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  <externalReference r:id="rId25"/>
    <externalReference r:id="rId26"/>
  </externalReferences>
  <definedNames>
    <definedName name="_C111">TH!$R$10:$R$5239</definedName>
    <definedName name="_C112">TH!$U$10:$U$5239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TH!$A$9:$AA$5124</definedName>
    <definedName name="_xlnm._FilterDatabase" localSheetId="17" hidden="1">TK!$A$1:$J$1</definedName>
    <definedName name="_M">TH!$B$10:$B$5239</definedName>
    <definedName name="_N111">TH!$Q$10:$Q$5239</definedName>
    <definedName name="_N112">TH!$T$10:$T$5239</definedName>
    <definedName name="_TM1">IF('IN-TC'!$S$4=1,1,IF('IN-TC'!$S$4=2,4,IF('IN-TC'!$S$4=3,7,10)))</definedName>
    <definedName name="_TM2">IF('IN-TC'!$S$4=1,3,IF('IN-TC'!$S$4=2,6,IF('IN-TC'!$S$4=3,9,12)))</definedName>
    <definedName name="DG">TH!$J$10:$J$5239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TH!$H$10:$H$5239</definedName>
    <definedName name="KHC">TH!$M$10:$M$5239</definedName>
    <definedName name="KHN">TH!$L$10:$L$5239</definedName>
    <definedName name="Loai">OFFSET(TH!$N$5,,,COUNTA(TH!$N$5:$N$43549))</definedName>
    <definedName name="Loai1">OFFSET(TH!$P$5,,,COUNTA(TH!$P$5:$P$43549))</definedName>
    <definedName name="Loai10">OFFSET(TH!$O$5,,,COUNTA(TH!$O$5:$O$43301))</definedName>
    <definedName name="Loai2">OFFSET(TH!$S$5,,,COUNTA(TH!$S$5:$S$43549))</definedName>
    <definedName name="Loai3">OFFSET('SO-TS'!$P$14,,,COUNTA('SO-TS'!$P$14:$P$3891))</definedName>
    <definedName name="Loai5">OFFSET(TH!$V$5,,,COUNTA(TH!$V$5:$V$43549))</definedName>
    <definedName name="Loai6">OFFSET(TH!$Z$5,,,COUNTA(TH!$Z$5:$Z$43549))</definedName>
    <definedName name="Loai7">OFFSET(TH!$W$5,,,COUNTA(TH!$W$5:$W$43549))</definedName>
    <definedName name="Loai8">OFFSET(TH!$X$5,,,COUNTA(TH!$X$5:$X$43549))</definedName>
    <definedName name="Loai9">OFFSET(TH!$Y$5,,,COUNTA(TH!$Y$5:$Y$43549))</definedName>
    <definedName name="MH">TH!$F$10:$F$5239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'131'!$A$1:$H$84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TH!$I$10:$I$5239</definedName>
    <definedName name="TH">TH!$K$10:$K$5239</definedName>
    <definedName name="TM">TH!$A$10:$M$5239</definedName>
  </definedNames>
  <calcPr calcId="144525"/>
</workbook>
</file>

<file path=xl/calcChain.xml><?xml version="1.0" encoding="utf-8"?>
<calcChain xmlns="http://schemas.openxmlformats.org/spreadsheetml/2006/main">
  <c r="N13" i="34" l="1"/>
  <c r="O13" i="34"/>
  <c r="P13" i="34"/>
  <c r="Q13" i="34"/>
  <c r="R13" i="34"/>
  <c r="S13" i="34"/>
  <c r="T13" i="34"/>
  <c r="U13" i="34"/>
  <c r="V13" i="34"/>
  <c r="W13" i="34"/>
  <c r="X13" i="34"/>
  <c r="Y13" i="34"/>
  <c r="Z13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N43" i="34"/>
  <c r="O43" i="34"/>
  <c r="P43" i="34"/>
  <c r="Q43" i="34"/>
  <c r="R43" i="34"/>
  <c r="S43" i="34"/>
  <c r="T43" i="34"/>
  <c r="U43" i="34"/>
  <c r="V43" i="34"/>
  <c r="W43" i="34"/>
  <c r="X43" i="34"/>
  <c r="Y43" i="34"/>
  <c r="Z43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Z44" i="34"/>
  <c r="N45" i="34"/>
  <c r="O45" i="34"/>
  <c r="P45" i="34"/>
  <c r="Q45" i="34"/>
  <c r="R45" i="34"/>
  <c r="S45" i="34"/>
  <c r="T45" i="34"/>
  <c r="U45" i="34"/>
  <c r="V45" i="34"/>
  <c r="W45" i="34"/>
  <c r="X45" i="34"/>
  <c r="Y45" i="34"/>
  <c r="Z45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Z46" i="34"/>
  <c r="N47" i="34"/>
  <c r="O47" i="34"/>
  <c r="P47" i="34"/>
  <c r="Q47" i="34"/>
  <c r="R47" i="34"/>
  <c r="S47" i="34"/>
  <c r="T47" i="34"/>
  <c r="U47" i="34"/>
  <c r="V47" i="34"/>
  <c r="W47" i="34"/>
  <c r="X47" i="34"/>
  <c r="Y47" i="34"/>
  <c r="Z47" i="34"/>
  <c r="N48" i="34"/>
  <c r="O48" i="34"/>
  <c r="P48" i="34"/>
  <c r="Q48" i="34"/>
  <c r="R48" i="34"/>
  <c r="S48" i="34"/>
  <c r="T48" i="34"/>
  <c r="U48" i="34"/>
  <c r="V48" i="34"/>
  <c r="W48" i="34"/>
  <c r="X48" i="34"/>
  <c r="Y48" i="34"/>
  <c r="Z48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Z49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Z51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Z52" i="34"/>
  <c r="N53" i="34"/>
  <c r="O53" i="34"/>
  <c r="P53" i="34"/>
  <c r="Q53" i="34"/>
  <c r="R53" i="34"/>
  <c r="S53" i="34"/>
  <c r="T53" i="34"/>
  <c r="U53" i="34"/>
  <c r="V53" i="34"/>
  <c r="W53" i="34"/>
  <c r="X53" i="34"/>
  <c r="Y53" i="34"/>
  <c r="Z53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Z54" i="34"/>
  <c r="N55" i="34"/>
  <c r="O55" i="34"/>
  <c r="P55" i="34"/>
  <c r="Q55" i="34"/>
  <c r="R55" i="34"/>
  <c r="S55" i="34"/>
  <c r="T55" i="34"/>
  <c r="U55" i="34"/>
  <c r="V55" i="34"/>
  <c r="W55" i="34"/>
  <c r="X55" i="34"/>
  <c r="Y55" i="34"/>
  <c r="Z55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Z56" i="34"/>
  <c r="N57" i="34"/>
  <c r="O57" i="34"/>
  <c r="P57" i="34"/>
  <c r="Q57" i="34"/>
  <c r="R57" i="34"/>
  <c r="S57" i="34"/>
  <c r="T57" i="34"/>
  <c r="U57" i="34"/>
  <c r="V57" i="34"/>
  <c r="W57" i="34"/>
  <c r="X57" i="34"/>
  <c r="Y57" i="34"/>
  <c r="Z57" i="34"/>
  <c r="N58" i="34"/>
  <c r="O58" i="34"/>
  <c r="P58" i="34"/>
  <c r="Q58" i="34"/>
  <c r="R58" i="34"/>
  <c r="S58" i="34"/>
  <c r="T58" i="34"/>
  <c r="U58" i="34"/>
  <c r="V58" i="34"/>
  <c r="W58" i="34"/>
  <c r="X58" i="34"/>
  <c r="Y58" i="34"/>
  <c r="Z58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N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N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N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N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N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N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N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N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N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N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N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N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N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N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N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N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N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N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N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N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N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N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N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N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N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N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N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N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N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N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N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N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N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N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N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N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N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N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N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N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N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N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N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N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N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N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N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N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N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N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N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N190" i="34"/>
  <c r="O190" i="34"/>
  <c r="P190" i="34"/>
  <c r="Q190" i="34"/>
  <c r="R190" i="34"/>
  <c r="S190" i="34"/>
  <c r="T190" i="34"/>
  <c r="U190" i="34"/>
  <c r="V190" i="34"/>
  <c r="W190" i="34"/>
  <c r="X190" i="34"/>
  <c r="Y190" i="34"/>
  <c r="Z190" i="34"/>
  <c r="N191" i="34"/>
  <c r="O191" i="34"/>
  <c r="P191" i="34"/>
  <c r="Q191" i="34"/>
  <c r="R191" i="34"/>
  <c r="S191" i="34"/>
  <c r="T191" i="34"/>
  <c r="U191" i="34"/>
  <c r="V191" i="34"/>
  <c r="W191" i="34"/>
  <c r="X191" i="34"/>
  <c r="Y191" i="34"/>
  <c r="Z191" i="34"/>
  <c r="N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N193" i="34"/>
  <c r="O193" i="34"/>
  <c r="P193" i="34"/>
  <c r="Q193" i="34"/>
  <c r="R193" i="34"/>
  <c r="S193" i="34"/>
  <c r="T193" i="34"/>
  <c r="U193" i="34"/>
  <c r="V193" i="34"/>
  <c r="W193" i="34"/>
  <c r="X193" i="34"/>
  <c r="Y193" i="34"/>
  <c r="Z193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N195" i="34"/>
  <c r="O195" i="34"/>
  <c r="P195" i="34"/>
  <c r="Q195" i="34"/>
  <c r="R195" i="34"/>
  <c r="S195" i="34"/>
  <c r="T195" i="34"/>
  <c r="U195" i="34"/>
  <c r="V195" i="34"/>
  <c r="W195" i="34"/>
  <c r="X195" i="34"/>
  <c r="Y195" i="34"/>
  <c r="Z195" i="34"/>
  <c r="N196" i="34"/>
  <c r="O196" i="34"/>
  <c r="P196" i="34"/>
  <c r="Q196" i="34"/>
  <c r="R196" i="34"/>
  <c r="S196" i="34"/>
  <c r="T196" i="34"/>
  <c r="U196" i="34"/>
  <c r="V196" i="34"/>
  <c r="W196" i="34"/>
  <c r="X196" i="34"/>
  <c r="Y196" i="34"/>
  <c r="Z196" i="34"/>
  <c r="N197" i="34"/>
  <c r="O197" i="34"/>
  <c r="P197" i="34"/>
  <c r="Q197" i="34"/>
  <c r="R197" i="34"/>
  <c r="S197" i="34"/>
  <c r="T197" i="34"/>
  <c r="U197" i="34"/>
  <c r="V197" i="34"/>
  <c r="W197" i="34"/>
  <c r="X197" i="34"/>
  <c r="Y197" i="34"/>
  <c r="Z197" i="34"/>
  <c r="N198" i="34"/>
  <c r="O198" i="34"/>
  <c r="P198" i="34"/>
  <c r="Q198" i="34"/>
  <c r="R198" i="34"/>
  <c r="S198" i="34"/>
  <c r="T198" i="34"/>
  <c r="U198" i="34"/>
  <c r="V198" i="34"/>
  <c r="W198" i="34"/>
  <c r="X198" i="34"/>
  <c r="Y198" i="34"/>
  <c r="Z198" i="34"/>
  <c r="N199" i="34"/>
  <c r="O199" i="34"/>
  <c r="P199" i="34"/>
  <c r="Q199" i="34"/>
  <c r="R199" i="34"/>
  <c r="S199" i="34"/>
  <c r="T199" i="34"/>
  <c r="U199" i="34"/>
  <c r="V199" i="34"/>
  <c r="W199" i="34"/>
  <c r="X199" i="34"/>
  <c r="Y199" i="34"/>
  <c r="Z199" i="34"/>
  <c r="N200" i="34"/>
  <c r="O200" i="34"/>
  <c r="P200" i="34"/>
  <c r="Q200" i="34"/>
  <c r="R200" i="34"/>
  <c r="S200" i="34"/>
  <c r="T200" i="34"/>
  <c r="U200" i="34"/>
  <c r="V200" i="34"/>
  <c r="W200" i="34"/>
  <c r="X200" i="34"/>
  <c r="Y200" i="34"/>
  <c r="Z200" i="34"/>
  <c r="N201" i="34"/>
  <c r="O201" i="34"/>
  <c r="P201" i="34"/>
  <c r="Q201" i="34"/>
  <c r="R201" i="34"/>
  <c r="S201" i="34"/>
  <c r="T201" i="34"/>
  <c r="U201" i="34"/>
  <c r="V201" i="34"/>
  <c r="W201" i="34"/>
  <c r="X201" i="34"/>
  <c r="Y201" i="34"/>
  <c r="Z201" i="34"/>
  <c r="N202" i="34"/>
  <c r="O202" i="34"/>
  <c r="P202" i="34"/>
  <c r="Q202" i="34"/>
  <c r="R202" i="34"/>
  <c r="S202" i="34"/>
  <c r="T202" i="34"/>
  <c r="U202" i="34"/>
  <c r="V202" i="34"/>
  <c r="W202" i="34"/>
  <c r="X202" i="34"/>
  <c r="Y202" i="34"/>
  <c r="Z202" i="34"/>
  <c r="N203" i="34"/>
  <c r="O203" i="34"/>
  <c r="P203" i="34"/>
  <c r="Q203" i="34"/>
  <c r="R203" i="34"/>
  <c r="S203" i="34"/>
  <c r="T203" i="34"/>
  <c r="U203" i="34"/>
  <c r="V203" i="34"/>
  <c r="W203" i="34"/>
  <c r="X203" i="34"/>
  <c r="Y203" i="34"/>
  <c r="Z203" i="34"/>
  <c r="N204" i="34"/>
  <c r="O204" i="34"/>
  <c r="P204" i="34"/>
  <c r="Q204" i="34"/>
  <c r="R204" i="34"/>
  <c r="S204" i="34"/>
  <c r="T204" i="34"/>
  <c r="U204" i="34"/>
  <c r="V204" i="34"/>
  <c r="W204" i="34"/>
  <c r="X204" i="34"/>
  <c r="Y204" i="34"/>
  <c r="Z204" i="34"/>
  <c r="N205" i="34"/>
  <c r="O205" i="34"/>
  <c r="P205" i="34"/>
  <c r="Q205" i="34"/>
  <c r="R205" i="34"/>
  <c r="S205" i="34"/>
  <c r="T205" i="34"/>
  <c r="U205" i="34"/>
  <c r="V205" i="34"/>
  <c r="W205" i="34"/>
  <c r="X205" i="34"/>
  <c r="Y205" i="34"/>
  <c r="Z205" i="34"/>
  <c r="N206" i="34"/>
  <c r="O206" i="34"/>
  <c r="P206" i="34"/>
  <c r="Q206" i="34"/>
  <c r="R206" i="34"/>
  <c r="S206" i="34"/>
  <c r="T206" i="34"/>
  <c r="U206" i="34"/>
  <c r="V206" i="34"/>
  <c r="W206" i="34"/>
  <c r="X206" i="34"/>
  <c r="Y206" i="34"/>
  <c r="Z206" i="34"/>
  <c r="N207" i="34"/>
  <c r="O207" i="34"/>
  <c r="P207" i="34"/>
  <c r="Q207" i="34"/>
  <c r="R207" i="34"/>
  <c r="S207" i="34"/>
  <c r="T207" i="34"/>
  <c r="U207" i="34"/>
  <c r="V207" i="34"/>
  <c r="W207" i="34"/>
  <c r="X207" i="34"/>
  <c r="Y207" i="34"/>
  <c r="Z207" i="34"/>
  <c r="N208" i="34"/>
  <c r="O208" i="34"/>
  <c r="P208" i="34"/>
  <c r="Q208" i="34"/>
  <c r="R208" i="34"/>
  <c r="S208" i="34"/>
  <c r="T208" i="34"/>
  <c r="U208" i="34"/>
  <c r="V208" i="34"/>
  <c r="W208" i="34"/>
  <c r="X208" i="34"/>
  <c r="Y208" i="34"/>
  <c r="Z208" i="34"/>
  <c r="N209" i="34"/>
  <c r="O209" i="34"/>
  <c r="P209" i="34"/>
  <c r="Q209" i="34"/>
  <c r="R209" i="34"/>
  <c r="S209" i="34"/>
  <c r="T209" i="34"/>
  <c r="U209" i="34"/>
  <c r="V209" i="34"/>
  <c r="W209" i="34"/>
  <c r="X209" i="34"/>
  <c r="Y209" i="34"/>
  <c r="Z209" i="34"/>
  <c r="N210" i="34"/>
  <c r="O210" i="34"/>
  <c r="P210" i="34"/>
  <c r="Q210" i="34"/>
  <c r="R210" i="34"/>
  <c r="S210" i="34"/>
  <c r="T210" i="34"/>
  <c r="U210" i="34"/>
  <c r="V210" i="34"/>
  <c r="W210" i="34"/>
  <c r="X210" i="34"/>
  <c r="Y210" i="34"/>
  <c r="Z210" i="34"/>
  <c r="N211" i="34"/>
  <c r="O211" i="34"/>
  <c r="P211" i="34"/>
  <c r="Q211" i="34"/>
  <c r="R211" i="34"/>
  <c r="S211" i="34"/>
  <c r="T211" i="34"/>
  <c r="U211" i="34"/>
  <c r="V211" i="34"/>
  <c r="W211" i="34"/>
  <c r="X211" i="34"/>
  <c r="Y211" i="34"/>
  <c r="Z211" i="34"/>
  <c r="N212" i="34"/>
  <c r="O212" i="34"/>
  <c r="P212" i="34"/>
  <c r="Q212" i="34"/>
  <c r="R212" i="34"/>
  <c r="S212" i="34"/>
  <c r="T212" i="34"/>
  <c r="U212" i="34"/>
  <c r="V212" i="34"/>
  <c r="W212" i="34"/>
  <c r="X212" i="34"/>
  <c r="Y212" i="34"/>
  <c r="Z212" i="34"/>
  <c r="N213" i="34"/>
  <c r="O213" i="34"/>
  <c r="P213" i="34"/>
  <c r="Q213" i="34"/>
  <c r="R213" i="34"/>
  <c r="S213" i="34"/>
  <c r="T213" i="34"/>
  <c r="U213" i="34"/>
  <c r="V213" i="34"/>
  <c r="W213" i="34"/>
  <c r="X213" i="34"/>
  <c r="Y213" i="34"/>
  <c r="Z213" i="34"/>
  <c r="N214" i="34"/>
  <c r="O214" i="34"/>
  <c r="P214" i="34"/>
  <c r="Q214" i="34"/>
  <c r="R214" i="34"/>
  <c r="S214" i="34"/>
  <c r="T214" i="34"/>
  <c r="U214" i="34"/>
  <c r="V214" i="34"/>
  <c r="W214" i="34"/>
  <c r="X214" i="34"/>
  <c r="Y214" i="34"/>
  <c r="Z214" i="34"/>
  <c r="N215" i="34"/>
  <c r="O215" i="34"/>
  <c r="P215" i="34"/>
  <c r="Q215" i="34"/>
  <c r="R215" i="34"/>
  <c r="S215" i="34"/>
  <c r="T215" i="34"/>
  <c r="U215" i="34"/>
  <c r="V215" i="34"/>
  <c r="W215" i="34"/>
  <c r="X215" i="34"/>
  <c r="Y215" i="34"/>
  <c r="Z215" i="34"/>
  <c r="N216" i="34"/>
  <c r="O216" i="34"/>
  <c r="P216" i="34"/>
  <c r="Q216" i="34"/>
  <c r="R216" i="34"/>
  <c r="S216" i="34"/>
  <c r="T216" i="34"/>
  <c r="U216" i="34"/>
  <c r="V216" i="34"/>
  <c r="W216" i="34"/>
  <c r="X216" i="34"/>
  <c r="Y216" i="34"/>
  <c r="Z216" i="34"/>
  <c r="N217" i="34"/>
  <c r="O217" i="34"/>
  <c r="P217" i="34"/>
  <c r="Q217" i="34"/>
  <c r="R217" i="34"/>
  <c r="S217" i="34"/>
  <c r="T217" i="34"/>
  <c r="U217" i="34"/>
  <c r="V217" i="34"/>
  <c r="W217" i="34"/>
  <c r="X217" i="34"/>
  <c r="Y217" i="34"/>
  <c r="Z217" i="34"/>
  <c r="N218" i="34"/>
  <c r="O218" i="34"/>
  <c r="P218" i="34"/>
  <c r="Q218" i="34"/>
  <c r="R218" i="34"/>
  <c r="S218" i="34"/>
  <c r="T218" i="34"/>
  <c r="U218" i="34"/>
  <c r="V218" i="34"/>
  <c r="W218" i="34"/>
  <c r="X218" i="34"/>
  <c r="Y218" i="34"/>
  <c r="Z218" i="34"/>
  <c r="N219" i="34"/>
  <c r="O219" i="34"/>
  <c r="P219" i="34"/>
  <c r="Q219" i="34"/>
  <c r="R219" i="34"/>
  <c r="S219" i="34"/>
  <c r="T219" i="34"/>
  <c r="U219" i="34"/>
  <c r="V219" i="34"/>
  <c r="W219" i="34"/>
  <c r="X219" i="34"/>
  <c r="Y219" i="34"/>
  <c r="Z219" i="34"/>
  <c r="N220" i="34"/>
  <c r="O220" i="34"/>
  <c r="P220" i="34"/>
  <c r="Q220" i="34"/>
  <c r="R220" i="34"/>
  <c r="S220" i="34"/>
  <c r="T220" i="34"/>
  <c r="U220" i="34"/>
  <c r="V220" i="34"/>
  <c r="W220" i="34"/>
  <c r="X220" i="34"/>
  <c r="Y220" i="34"/>
  <c r="Z220" i="34"/>
  <c r="N221" i="34"/>
  <c r="O221" i="34"/>
  <c r="P221" i="34"/>
  <c r="Q221" i="34"/>
  <c r="R221" i="34"/>
  <c r="S221" i="34"/>
  <c r="T221" i="34"/>
  <c r="U221" i="34"/>
  <c r="V221" i="34"/>
  <c r="W221" i="34"/>
  <c r="X221" i="34"/>
  <c r="Y221" i="34"/>
  <c r="Z221" i="34"/>
  <c r="N222" i="34"/>
  <c r="O222" i="34"/>
  <c r="P222" i="34"/>
  <c r="Q222" i="34"/>
  <c r="R222" i="34"/>
  <c r="S222" i="34"/>
  <c r="T222" i="34"/>
  <c r="U222" i="34"/>
  <c r="V222" i="34"/>
  <c r="W222" i="34"/>
  <c r="X222" i="34"/>
  <c r="Y222" i="34"/>
  <c r="Z222" i="34"/>
  <c r="N223" i="34"/>
  <c r="O223" i="34"/>
  <c r="P223" i="34"/>
  <c r="Q223" i="34"/>
  <c r="R223" i="34"/>
  <c r="S223" i="34"/>
  <c r="T223" i="34"/>
  <c r="U223" i="34"/>
  <c r="V223" i="34"/>
  <c r="W223" i="34"/>
  <c r="X223" i="34"/>
  <c r="Y223" i="34"/>
  <c r="Z223" i="34"/>
  <c r="N224" i="34"/>
  <c r="O224" i="34"/>
  <c r="P224" i="34"/>
  <c r="Q224" i="34"/>
  <c r="R224" i="34"/>
  <c r="S224" i="34"/>
  <c r="T224" i="34"/>
  <c r="U224" i="34"/>
  <c r="V224" i="34"/>
  <c r="W224" i="34"/>
  <c r="X224" i="34"/>
  <c r="Y224" i="34"/>
  <c r="Z224" i="34"/>
  <c r="N225" i="34"/>
  <c r="O225" i="34"/>
  <c r="P225" i="34"/>
  <c r="Q225" i="34"/>
  <c r="R225" i="34"/>
  <c r="S225" i="34"/>
  <c r="T225" i="34"/>
  <c r="U225" i="34"/>
  <c r="V225" i="34"/>
  <c r="W225" i="34"/>
  <c r="X225" i="34"/>
  <c r="Y225" i="34"/>
  <c r="Z225" i="34"/>
  <c r="N226" i="34"/>
  <c r="O226" i="34"/>
  <c r="P226" i="34"/>
  <c r="Q226" i="34"/>
  <c r="R226" i="34"/>
  <c r="S226" i="34"/>
  <c r="T226" i="34"/>
  <c r="U226" i="34"/>
  <c r="V226" i="34"/>
  <c r="W226" i="34"/>
  <c r="X226" i="34"/>
  <c r="Y226" i="34"/>
  <c r="Z226" i="34"/>
  <c r="N227" i="34"/>
  <c r="O227" i="34"/>
  <c r="P227" i="34"/>
  <c r="Q227" i="34"/>
  <c r="R227" i="34"/>
  <c r="S227" i="34"/>
  <c r="T227" i="34"/>
  <c r="U227" i="34"/>
  <c r="V227" i="34"/>
  <c r="W227" i="34"/>
  <c r="X227" i="34"/>
  <c r="Y227" i="34"/>
  <c r="Z227" i="34"/>
  <c r="N228" i="34"/>
  <c r="O228" i="34"/>
  <c r="P228" i="34"/>
  <c r="Q228" i="34"/>
  <c r="R228" i="34"/>
  <c r="S228" i="34"/>
  <c r="T228" i="34"/>
  <c r="U228" i="34"/>
  <c r="V228" i="34"/>
  <c r="W228" i="34"/>
  <c r="X228" i="34"/>
  <c r="Y228" i="34"/>
  <c r="Z228" i="34"/>
  <c r="N229" i="34"/>
  <c r="O229" i="34"/>
  <c r="P229" i="34"/>
  <c r="Q229" i="34"/>
  <c r="R229" i="34"/>
  <c r="S229" i="34"/>
  <c r="T229" i="34"/>
  <c r="U229" i="34"/>
  <c r="V229" i="34"/>
  <c r="W229" i="34"/>
  <c r="X229" i="34"/>
  <c r="Y229" i="34"/>
  <c r="Z229" i="34"/>
  <c r="N230" i="34"/>
  <c r="O230" i="34"/>
  <c r="P230" i="34"/>
  <c r="Q230" i="34"/>
  <c r="R230" i="34"/>
  <c r="S230" i="34"/>
  <c r="T230" i="34"/>
  <c r="U230" i="34"/>
  <c r="V230" i="34"/>
  <c r="W230" i="34"/>
  <c r="X230" i="34"/>
  <c r="Y230" i="34"/>
  <c r="Z230" i="34"/>
  <c r="N231" i="34"/>
  <c r="O231" i="34"/>
  <c r="P231" i="34"/>
  <c r="Q231" i="34"/>
  <c r="R231" i="34"/>
  <c r="S231" i="34"/>
  <c r="T231" i="34"/>
  <c r="U231" i="34"/>
  <c r="V231" i="34"/>
  <c r="W231" i="34"/>
  <c r="X231" i="34"/>
  <c r="Y231" i="34"/>
  <c r="Z231" i="34"/>
  <c r="N232" i="34"/>
  <c r="O232" i="34"/>
  <c r="P232" i="34"/>
  <c r="Q232" i="34"/>
  <c r="R232" i="34"/>
  <c r="S232" i="34"/>
  <c r="T232" i="34"/>
  <c r="U232" i="34"/>
  <c r="V232" i="34"/>
  <c r="W232" i="34"/>
  <c r="X232" i="34"/>
  <c r="Y232" i="34"/>
  <c r="Z232" i="34"/>
  <c r="N233" i="34"/>
  <c r="O233" i="34"/>
  <c r="P233" i="34"/>
  <c r="Q233" i="34"/>
  <c r="R233" i="34"/>
  <c r="S233" i="34"/>
  <c r="T233" i="34"/>
  <c r="U233" i="34"/>
  <c r="V233" i="34"/>
  <c r="W233" i="34"/>
  <c r="X233" i="34"/>
  <c r="Y233" i="34"/>
  <c r="Z233" i="34"/>
  <c r="N234" i="34"/>
  <c r="O234" i="34"/>
  <c r="P234" i="34"/>
  <c r="Q234" i="34"/>
  <c r="R234" i="34"/>
  <c r="S234" i="34"/>
  <c r="T234" i="34"/>
  <c r="U234" i="34"/>
  <c r="V234" i="34"/>
  <c r="W234" i="34"/>
  <c r="X234" i="34"/>
  <c r="Y234" i="34"/>
  <c r="Z234" i="34"/>
  <c r="N235" i="34"/>
  <c r="O235" i="34"/>
  <c r="P235" i="34"/>
  <c r="Q235" i="34"/>
  <c r="R235" i="34"/>
  <c r="S235" i="34"/>
  <c r="T235" i="34"/>
  <c r="U235" i="34"/>
  <c r="V235" i="34"/>
  <c r="W235" i="34"/>
  <c r="X235" i="34"/>
  <c r="Y235" i="34"/>
  <c r="Z235" i="34"/>
  <c r="N236" i="34"/>
  <c r="O236" i="34"/>
  <c r="P236" i="34"/>
  <c r="Q236" i="34"/>
  <c r="R236" i="34"/>
  <c r="S236" i="34"/>
  <c r="T236" i="34"/>
  <c r="U236" i="34"/>
  <c r="V236" i="34"/>
  <c r="W236" i="34"/>
  <c r="X236" i="34"/>
  <c r="Y236" i="34"/>
  <c r="Z236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N238" i="34"/>
  <c r="O238" i="34"/>
  <c r="P238" i="34"/>
  <c r="Q238" i="34"/>
  <c r="R238" i="34"/>
  <c r="S238" i="34"/>
  <c r="T238" i="34"/>
  <c r="U238" i="34"/>
  <c r="V238" i="34"/>
  <c r="W238" i="34"/>
  <c r="X238" i="34"/>
  <c r="Y238" i="34"/>
  <c r="Z238" i="34"/>
  <c r="N239" i="34"/>
  <c r="O239" i="34"/>
  <c r="P239" i="34"/>
  <c r="Q239" i="34"/>
  <c r="R239" i="34"/>
  <c r="S239" i="34"/>
  <c r="T239" i="34"/>
  <c r="U239" i="34"/>
  <c r="V239" i="34"/>
  <c r="W239" i="34"/>
  <c r="X239" i="34"/>
  <c r="Y239" i="34"/>
  <c r="Z239" i="34"/>
  <c r="N240" i="34"/>
  <c r="O240" i="34"/>
  <c r="P240" i="34"/>
  <c r="Q240" i="34"/>
  <c r="R240" i="34"/>
  <c r="S240" i="34"/>
  <c r="T240" i="34"/>
  <c r="U240" i="34"/>
  <c r="V240" i="34"/>
  <c r="W240" i="34"/>
  <c r="X240" i="34"/>
  <c r="Y240" i="34"/>
  <c r="Z240" i="34"/>
  <c r="N241" i="34"/>
  <c r="O241" i="34"/>
  <c r="P241" i="34"/>
  <c r="Q241" i="34"/>
  <c r="R241" i="34"/>
  <c r="S241" i="34"/>
  <c r="T241" i="34"/>
  <c r="U241" i="34"/>
  <c r="V241" i="34"/>
  <c r="W241" i="34"/>
  <c r="X241" i="34"/>
  <c r="Y241" i="34"/>
  <c r="Z241" i="34"/>
  <c r="N242" i="34"/>
  <c r="O242" i="34"/>
  <c r="P242" i="34"/>
  <c r="Q242" i="34"/>
  <c r="R242" i="34"/>
  <c r="S242" i="34"/>
  <c r="T242" i="34"/>
  <c r="U242" i="34"/>
  <c r="V242" i="34"/>
  <c r="W242" i="34"/>
  <c r="X242" i="34"/>
  <c r="Y242" i="34"/>
  <c r="Z242" i="34"/>
  <c r="N243" i="34"/>
  <c r="O243" i="34"/>
  <c r="P243" i="34"/>
  <c r="Q243" i="34"/>
  <c r="R243" i="34"/>
  <c r="S243" i="34"/>
  <c r="T243" i="34"/>
  <c r="U243" i="34"/>
  <c r="V243" i="34"/>
  <c r="W243" i="34"/>
  <c r="X243" i="34"/>
  <c r="Y243" i="34"/>
  <c r="Z243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N245" i="34"/>
  <c r="O245" i="34"/>
  <c r="P245" i="34"/>
  <c r="Q245" i="34"/>
  <c r="R245" i="34"/>
  <c r="S245" i="34"/>
  <c r="T245" i="34"/>
  <c r="U245" i="34"/>
  <c r="V245" i="34"/>
  <c r="W245" i="34"/>
  <c r="X245" i="34"/>
  <c r="Y245" i="34"/>
  <c r="Z245" i="34"/>
  <c r="N246" i="34"/>
  <c r="O246" i="34"/>
  <c r="P246" i="34"/>
  <c r="Q246" i="34"/>
  <c r="R246" i="34"/>
  <c r="S246" i="34"/>
  <c r="T246" i="34"/>
  <c r="U246" i="34"/>
  <c r="V246" i="34"/>
  <c r="W246" i="34"/>
  <c r="X246" i="34"/>
  <c r="Y246" i="34"/>
  <c r="Z246" i="34"/>
  <c r="N247" i="34"/>
  <c r="O247" i="34"/>
  <c r="P247" i="34"/>
  <c r="Q247" i="34"/>
  <c r="R247" i="34"/>
  <c r="S247" i="34"/>
  <c r="T247" i="34"/>
  <c r="U247" i="34"/>
  <c r="V247" i="34"/>
  <c r="W247" i="34"/>
  <c r="X247" i="34"/>
  <c r="Y247" i="34"/>
  <c r="Z247" i="34"/>
  <c r="N248" i="34"/>
  <c r="O248" i="34"/>
  <c r="P248" i="34"/>
  <c r="Q248" i="34"/>
  <c r="R248" i="34"/>
  <c r="S248" i="34"/>
  <c r="T248" i="34"/>
  <c r="U248" i="34"/>
  <c r="V248" i="34"/>
  <c r="W248" i="34"/>
  <c r="X248" i="34"/>
  <c r="Y248" i="34"/>
  <c r="Z248" i="34"/>
  <c r="N249" i="34"/>
  <c r="O249" i="34"/>
  <c r="P249" i="34"/>
  <c r="Q249" i="34"/>
  <c r="R249" i="34"/>
  <c r="S249" i="34"/>
  <c r="T249" i="34"/>
  <c r="U249" i="34"/>
  <c r="V249" i="34"/>
  <c r="W249" i="34"/>
  <c r="X249" i="34"/>
  <c r="Y249" i="34"/>
  <c r="Z249" i="34"/>
  <c r="N250" i="34"/>
  <c r="O250" i="34"/>
  <c r="P250" i="34"/>
  <c r="Q250" i="34"/>
  <c r="R250" i="34"/>
  <c r="S250" i="34"/>
  <c r="T250" i="34"/>
  <c r="U250" i="34"/>
  <c r="V250" i="34"/>
  <c r="W250" i="34"/>
  <c r="X250" i="34"/>
  <c r="Y250" i="34"/>
  <c r="Z250" i="34"/>
  <c r="N251" i="34"/>
  <c r="O251" i="34"/>
  <c r="P251" i="34"/>
  <c r="Q251" i="34"/>
  <c r="R251" i="34"/>
  <c r="S251" i="34"/>
  <c r="T251" i="34"/>
  <c r="U251" i="34"/>
  <c r="V251" i="34"/>
  <c r="W251" i="34"/>
  <c r="X251" i="34"/>
  <c r="Y251" i="34"/>
  <c r="Z251" i="34"/>
  <c r="N252" i="34"/>
  <c r="O252" i="34"/>
  <c r="P252" i="34"/>
  <c r="Q252" i="34"/>
  <c r="R252" i="34"/>
  <c r="S252" i="34"/>
  <c r="T252" i="34"/>
  <c r="U252" i="34"/>
  <c r="V252" i="34"/>
  <c r="W252" i="34"/>
  <c r="X252" i="34"/>
  <c r="Y252" i="34"/>
  <c r="Z252" i="34"/>
  <c r="N253" i="34"/>
  <c r="O253" i="34"/>
  <c r="P253" i="34"/>
  <c r="Q253" i="34"/>
  <c r="R253" i="34"/>
  <c r="S253" i="34"/>
  <c r="T253" i="34"/>
  <c r="U253" i="34"/>
  <c r="V253" i="34"/>
  <c r="W253" i="34"/>
  <c r="X253" i="34"/>
  <c r="Y253" i="34"/>
  <c r="Z253" i="34"/>
  <c r="N254" i="34"/>
  <c r="O254" i="34"/>
  <c r="P254" i="34"/>
  <c r="Q254" i="34"/>
  <c r="R254" i="34"/>
  <c r="S254" i="34"/>
  <c r="T254" i="34"/>
  <c r="U254" i="34"/>
  <c r="V254" i="34"/>
  <c r="W254" i="34"/>
  <c r="X254" i="34"/>
  <c r="Y254" i="34"/>
  <c r="Z254" i="34"/>
  <c r="N255" i="34"/>
  <c r="O255" i="34"/>
  <c r="P255" i="34"/>
  <c r="Q255" i="34"/>
  <c r="R255" i="34"/>
  <c r="S255" i="34"/>
  <c r="T255" i="34"/>
  <c r="U255" i="34"/>
  <c r="V255" i="34"/>
  <c r="W255" i="34"/>
  <c r="X255" i="34"/>
  <c r="Y255" i="34"/>
  <c r="Z255" i="34"/>
  <c r="N256" i="34"/>
  <c r="O256" i="34"/>
  <c r="P256" i="34"/>
  <c r="Q256" i="34"/>
  <c r="R256" i="34"/>
  <c r="S256" i="34"/>
  <c r="T256" i="34"/>
  <c r="U256" i="34"/>
  <c r="V256" i="34"/>
  <c r="W256" i="34"/>
  <c r="X256" i="34"/>
  <c r="Y256" i="34"/>
  <c r="Z256" i="34"/>
  <c r="N257" i="34"/>
  <c r="O257" i="34"/>
  <c r="P257" i="34"/>
  <c r="Q257" i="34"/>
  <c r="R257" i="34"/>
  <c r="S257" i="34"/>
  <c r="T257" i="34"/>
  <c r="U257" i="34"/>
  <c r="V257" i="34"/>
  <c r="W257" i="34"/>
  <c r="X257" i="34"/>
  <c r="Y257" i="34"/>
  <c r="Z257" i="34"/>
  <c r="N258" i="34"/>
  <c r="O258" i="34"/>
  <c r="P258" i="34"/>
  <c r="Q258" i="34"/>
  <c r="R258" i="34"/>
  <c r="S258" i="34"/>
  <c r="T258" i="34"/>
  <c r="U258" i="34"/>
  <c r="V258" i="34"/>
  <c r="W258" i="34"/>
  <c r="X258" i="34"/>
  <c r="Y258" i="34"/>
  <c r="Z258" i="34"/>
  <c r="N259" i="34"/>
  <c r="O259" i="34"/>
  <c r="P259" i="34"/>
  <c r="Q259" i="34"/>
  <c r="R259" i="34"/>
  <c r="S259" i="34"/>
  <c r="T259" i="34"/>
  <c r="U259" i="34"/>
  <c r="V259" i="34"/>
  <c r="W259" i="34"/>
  <c r="X259" i="34"/>
  <c r="Y259" i="34"/>
  <c r="Z259" i="34"/>
  <c r="N260" i="34"/>
  <c r="O260" i="34"/>
  <c r="P260" i="34"/>
  <c r="Q260" i="34"/>
  <c r="R260" i="34"/>
  <c r="S260" i="34"/>
  <c r="T260" i="34"/>
  <c r="U260" i="34"/>
  <c r="V260" i="34"/>
  <c r="W260" i="34"/>
  <c r="X260" i="34"/>
  <c r="Y260" i="34"/>
  <c r="Z260" i="34"/>
  <c r="N261" i="34"/>
  <c r="O261" i="34"/>
  <c r="P261" i="34"/>
  <c r="Q261" i="34"/>
  <c r="R261" i="34"/>
  <c r="S261" i="34"/>
  <c r="T261" i="34"/>
  <c r="U261" i="34"/>
  <c r="V261" i="34"/>
  <c r="W261" i="34"/>
  <c r="X261" i="34"/>
  <c r="Y261" i="34"/>
  <c r="Z261" i="34"/>
  <c r="N262" i="34"/>
  <c r="O262" i="34"/>
  <c r="P262" i="34"/>
  <c r="Q262" i="34"/>
  <c r="R262" i="34"/>
  <c r="S262" i="34"/>
  <c r="T262" i="34"/>
  <c r="U262" i="34"/>
  <c r="V262" i="34"/>
  <c r="W262" i="34"/>
  <c r="X262" i="34"/>
  <c r="Y262" i="34"/>
  <c r="Z262" i="34"/>
  <c r="N263" i="34"/>
  <c r="O263" i="34"/>
  <c r="P263" i="34"/>
  <c r="Q263" i="34"/>
  <c r="R263" i="34"/>
  <c r="S263" i="34"/>
  <c r="T263" i="34"/>
  <c r="U263" i="34"/>
  <c r="V263" i="34"/>
  <c r="W263" i="34"/>
  <c r="X263" i="34"/>
  <c r="Y263" i="34"/>
  <c r="Z263" i="34"/>
  <c r="N264" i="34"/>
  <c r="O264" i="34"/>
  <c r="P264" i="34"/>
  <c r="Q264" i="34"/>
  <c r="R264" i="34"/>
  <c r="S264" i="34"/>
  <c r="T264" i="34"/>
  <c r="U264" i="34"/>
  <c r="V264" i="34"/>
  <c r="W264" i="34"/>
  <c r="X264" i="34"/>
  <c r="Y264" i="34"/>
  <c r="Z264" i="34"/>
  <c r="N265" i="34"/>
  <c r="O265" i="34"/>
  <c r="P265" i="34"/>
  <c r="Q265" i="34"/>
  <c r="R265" i="34"/>
  <c r="S265" i="34"/>
  <c r="T265" i="34"/>
  <c r="U265" i="34"/>
  <c r="V265" i="34"/>
  <c r="W265" i="34"/>
  <c r="X265" i="34"/>
  <c r="Y265" i="34"/>
  <c r="Z265" i="34"/>
  <c r="N266" i="34"/>
  <c r="O266" i="34"/>
  <c r="P266" i="34"/>
  <c r="Q266" i="34"/>
  <c r="R266" i="34"/>
  <c r="S266" i="34"/>
  <c r="T266" i="34"/>
  <c r="U266" i="34"/>
  <c r="V266" i="34"/>
  <c r="W266" i="34"/>
  <c r="X266" i="34"/>
  <c r="Y266" i="34"/>
  <c r="Z266" i="34"/>
  <c r="N267" i="34"/>
  <c r="O267" i="34"/>
  <c r="P267" i="34"/>
  <c r="Q267" i="34"/>
  <c r="R267" i="34"/>
  <c r="S267" i="34"/>
  <c r="T267" i="34"/>
  <c r="U267" i="34"/>
  <c r="V267" i="34"/>
  <c r="W267" i="34"/>
  <c r="X267" i="34"/>
  <c r="Y267" i="34"/>
  <c r="Z267" i="34"/>
  <c r="N268" i="34"/>
  <c r="O268" i="34"/>
  <c r="P268" i="34"/>
  <c r="Q268" i="34"/>
  <c r="R268" i="34"/>
  <c r="S268" i="34"/>
  <c r="T268" i="34"/>
  <c r="U268" i="34"/>
  <c r="V268" i="34"/>
  <c r="W268" i="34"/>
  <c r="X268" i="34"/>
  <c r="Y268" i="34"/>
  <c r="Z268" i="34"/>
  <c r="N269" i="34"/>
  <c r="O269" i="34"/>
  <c r="P269" i="34"/>
  <c r="Q269" i="34"/>
  <c r="R269" i="34"/>
  <c r="S269" i="34"/>
  <c r="T269" i="34"/>
  <c r="U269" i="34"/>
  <c r="V269" i="34"/>
  <c r="W269" i="34"/>
  <c r="X269" i="34"/>
  <c r="Y269" i="34"/>
  <c r="Z269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N271" i="34"/>
  <c r="O271" i="34"/>
  <c r="P271" i="34"/>
  <c r="Q271" i="34"/>
  <c r="R271" i="34"/>
  <c r="S271" i="34"/>
  <c r="T271" i="34"/>
  <c r="U271" i="34"/>
  <c r="V271" i="34"/>
  <c r="W271" i="34"/>
  <c r="X271" i="34"/>
  <c r="Y271" i="34"/>
  <c r="Z271" i="34"/>
  <c r="N272" i="34"/>
  <c r="O272" i="34"/>
  <c r="P272" i="34"/>
  <c r="Q272" i="34"/>
  <c r="R272" i="34"/>
  <c r="S272" i="34"/>
  <c r="T272" i="34"/>
  <c r="U272" i="34"/>
  <c r="V272" i="34"/>
  <c r="W272" i="34"/>
  <c r="X272" i="34"/>
  <c r="Y272" i="34"/>
  <c r="Z272" i="34"/>
  <c r="N273" i="34"/>
  <c r="O273" i="34"/>
  <c r="P273" i="34"/>
  <c r="Q273" i="34"/>
  <c r="R273" i="34"/>
  <c r="S273" i="34"/>
  <c r="T273" i="34"/>
  <c r="U273" i="34"/>
  <c r="V273" i="34"/>
  <c r="W273" i="34"/>
  <c r="X273" i="34"/>
  <c r="Y273" i="34"/>
  <c r="Z273" i="34"/>
  <c r="N274" i="34"/>
  <c r="O274" i="34"/>
  <c r="P274" i="34"/>
  <c r="Q274" i="34"/>
  <c r="R274" i="34"/>
  <c r="S274" i="34"/>
  <c r="T274" i="34"/>
  <c r="U274" i="34"/>
  <c r="V274" i="34"/>
  <c r="W274" i="34"/>
  <c r="X274" i="34"/>
  <c r="Y274" i="34"/>
  <c r="Z274" i="34"/>
  <c r="N275" i="34"/>
  <c r="O275" i="34"/>
  <c r="P275" i="34"/>
  <c r="Q275" i="34"/>
  <c r="R275" i="34"/>
  <c r="S275" i="34"/>
  <c r="T275" i="34"/>
  <c r="U275" i="34"/>
  <c r="V275" i="34"/>
  <c r="W275" i="34"/>
  <c r="X275" i="34"/>
  <c r="Y275" i="34"/>
  <c r="Z275" i="34"/>
  <c r="N276" i="34"/>
  <c r="O276" i="34"/>
  <c r="P276" i="34"/>
  <c r="Q276" i="34"/>
  <c r="R276" i="34"/>
  <c r="S276" i="34"/>
  <c r="T276" i="34"/>
  <c r="U276" i="34"/>
  <c r="V276" i="34"/>
  <c r="W276" i="34"/>
  <c r="X276" i="34"/>
  <c r="Y276" i="34"/>
  <c r="Z276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N278" i="34"/>
  <c r="O278" i="34"/>
  <c r="P278" i="34"/>
  <c r="Q278" i="34"/>
  <c r="R278" i="34"/>
  <c r="S278" i="34"/>
  <c r="T278" i="34"/>
  <c r="U278" i="34"/>
  <c r="V278" i="34"/>
  <c r="W278" i="34"/>
  <c r="X278" i="34"/>
  <c r="Y278" i="34"/>
  <c r="Z278" i="34"/>
  <c r="N279" i="34"/>
  <c r="O279" i="34"/>
  <c r="P279" i="34"/>
  <c r="Q279" i="34"/>
  <c r="R279" i="34"/>
  <c r="S279" i="34"/>
  <c r="T279" i="34"/>
  <c r="U279" i="34"/>
  <c r="V279" i="34"/>
  <c r="W279" i="34"/>
  <c r="X279" i="34"/>
  <c r="Y279" i="34"/>
  <c r="Z279" i="34"/>
  <c r="N280" i="34"/>
  <c r="O280" i="34"/>
  <c r="P280" i="34"/>
  <c r="Q280" i="34"/>
  <c r="R280" i="34"/>
  <c r="S280" i="34"/>
  <c r="T280" i="34"/>
  <c r="U280" i="34"/>
  <c r="V280" i="34"/>
  <c r="W280" i="34"/>
  <c r="X280" i="34"/>
  <c r="Y280" i="34"/>
  <c r="Z280" i="34"/>
  <c r="N281" i="34"/>
  <c r="O281" i="34"/>
  <c r="P281" i="34"/>
  <c r="Q281" i="34"/>
  <c r="R281" i="34"/>
  <c r="S281" i="34"/>
  <c r="T281" i="34"/>
  <c r="U281" i="34"/>
  <c r="V281" i="34"/>
  <c r="W281" i="34"/>
  <c r="X281" i="34"/>
  <c r="Y281" i="34"/>
  <c r="Z281" i="34"/>
  <c r="N282" i="34"/>
  <c r="O282" i="34"/>
  <c r="P282" i="34"/>
  <c r="Q282" i="34"/>
  <c r="R282" i="34"/>
  <c r="S282" i="34"/>
  <c r="T282" i="34"/>
  <c r="U282" i="34"/>
  <c r="V282" i="34"/>
  <c r="W282" i="34"/>
  <c r="X282" i="34"/>
  <c r="Y282" i="34"/>
  <c r="Z282" i="34"/>
  <c r="N283" i="34"/>
  <c r="O283" i="34"/>
  <c r="P283" i="34"/>
  <c r="Q283" i="34"/>
  <c r="R283" i="34"/>
  <c r="S283" i="34"/>
  <c r="T283" i="34"/>
  <c r="U283" i="34"/>
  <c r="V283" i="34"/>
  <c r="W283" i="34"/>
  <c r="X283" i="34"/>
  <c r="Y283" i="34"/>
  <c r="Z283" i="34"/>
  <c r="N284" i="34"/>
  <c r="O284" i="34"/>
  <c r="P284" i="34"/>
  <c r="Q284" i="34"/>
  <c r="R284" i="34"/>
  <c r="S284" i="34"/>
  <c r="T284" i="34"/>
  <c r="U284" i="34"/>
  <c r="V284" i="34"/>
  <c r="W284" i="34"/>
  <c r="X284" i="34"/>
  <c r="Y284" i="34"/>
  <c r="Z284" i="34"/>
  <c r="N285" i="34"/>
  <c r="O285" i="34"/>
  <c r="P285" i="34"/>
  <c r="Q285" i="34"/>
  <c r="R285" i="34"/>
  <c r="S285" i="34"/>
  <c r="T285" i="34"/>
  <c r="U285" i="34"/>
  <c r="V285" i="34"/>
  <c r="W285" i="34"/>
  <c r="X285" i="34"/>
  <c r="Y285" i="34"/>
  <c r="Z285" i="34"/>
  <c r="N286" i="34"/>
  <c r="O286" i="34"/>
  <c r="P286" i="34"/>
  <c r="Q286" i="34"/>
  <c r="R286" i="34"/>
  <c r="S286" i="34"/>
  <c r="T286" i="34"/>
  <c r="U286" i="34"/>
  <c r="V286" i="34"/>
  <c r="W286" i="34"/>
  <c r="X286" i="34"/>
  <c r="Y286" i="34"/>
  <c r="Z286" i="34"/>
  <c r="N287" i="34"/>
  <c r="O287" i="34"/>
  <c r="P287" i="34"/>
  <c r="Q287" i="34"/>
  <c r="R287" i="34"/>
  <c r="S287" i="34"/>
  <c r="T287" i="34"/>
  <c r="U287" i="34"/>
  <c r="V287" i="34"/>
  <c r="W287" i="34"/>
  <c r="X287" i="34"/>
  <c r="Y287" i="34"/>
  <c r="Z287" i="34"/>
  <c r="N288" i="34"/>
  <c r="O288" i="34"/>
  <c r="P288" i="34"/>
  <c r="Q288" i="34"/>
  <c r="R288" i="34"/>
  <c r="S288" i="34"/>
  <c r="T288" i="34"/>
  <c r="U288" i="34"/>
  <c r="V288" i="34"/>
  <c r="W288" i="34"/>
  <c r="X288" i="34"/>
  <c r="Y288" i="34"/>
  <c r="Z288" i="34"/>
  <c r="N289" i="34"/>
  <c r="O289" i="34"/>
  <c r="P289" i="34"/>
  <c r="Q289" i="34"/>
  <c r="R289" i="34"/>
  <c r="S289" i="34"/>
  <c r="T289" i="34"/>
  <c r="U289" i="34"/>
  <c r="V289" i="34"/>
  <c r="W289" i="34"/>
  <c r="X289" i="34"/>
  <c r="Y289" i="34"/>
  <c r="Z289" i="34"/>
  <c r="N290" i="34"/>
  <c r="O290" i="34"/>
  <c r="P290" i="34"/>
  <c r="Q290" i="34"/>
  <c r="R290" i="34"/>
  <c r="S290" i="34"/>
  <c r="T290" i="34"/>
  <c r="U290" i="34"/>
  <c r="V290" i="34"/>
  <c r="W290" i="34"/>
  <c r="X290" i="34"/>
  <c r="Y290" i="34"/>
  <c r="Z290" i="34"/>
  <c r="N291" i="34"/>
  <c r="O291" i="34"/>
  <c r="P291" i="34"/>
  <c r="Q291" i="34"/>
  <c r="R291" i="34"/>
  <c r="S291" i="34"/>
  <c r="T291" i="34"/>
  <c r="U291" i="34"/>
  <c r="V291" i="34"/>
  <c r="W291" i="34"/>
  <c r="X291" i="34"/>
  <c r="Y291" i="34"/>
  <c r="Z291" i="34"/>
  <c r="N292" i="34"/>
  <c r="O292" i="34"/>
  <c r="P292" i="34"/>
  <c r="Q292" i="34"/>
  <c r="R292" i="34"/>
  <c r="S292" i="34"/>
  <c r="T292" i="34"/>
  <c r="U292" i="34"/>
  <c r="V292" i="34"/>
  <c r="W292" i="34"/>
  <c r="X292" i="34"/>
  <c r="Y292" i="34"/>
  <c r="Z292" i="34"/>
  <c r="N293" i="34"/>
  <c r="O293" i="34"/>
  <c r="P293" i="34"/>
  <c r="Q293" i="34"/>
  <c r="R293" i="34"/>
  <c r="S293" i="34"/>
  <c r="T293" i="34"/>
  <c r="U293" i="34"/>
  <c r="V293" i="34"/>
  <c r="W293" i="34"/>
  <c r="X293" i="34"/>
  <c r="Y293" i="34"/>
  <c r="Z293" i="34"/>
  <c r="N294" i="34"/>
  <c r="O294" i="34"/>
  <c r="P294" i="34"/>
  <c r="Q294" i="34"/>
  <c r="R294" i="34"/>
  <c r="S294" i="34"/>
  <c r="T294" i="34"/>
  <c r="U294" i="34"/>
  <c r="V294" i="34"/>
  <c r="W294" i="34"/>
  <c r="X294" i="34"/>
  <c r="Y294" i="34"/>
  <c r="Z294" i="34"/>
  <c r="N295" i="34"/>
  <c r="O295" i="34"/>
  <c r="P295" i="34"/>
  <c r="Q295" i="34"/>
  <c r="R295" i="34"/>
  <c r="S295" i="34"/>
  <c r="T295" i="34"/>
  <c r="U295" i="34"/>
  <c r="V295" i="34"/>
  <c r="W295" i="34"/>
  <c r="X295" i="34"/>
  <c r="Y295" i="34"/>
  <c r="Z295" i="34"/>
  <c r="N296" i="34"/>
  <c r="O296" i="34"/>
  <c r="P296" i="34"/>
  <c r="Q296" i="34"/>
  <c r="R296" i="34"/>
  <c r="S296" i="34"/>
  <c r="T296" i="34"/>
  <c r="U296" i="34"/>
  <c r="V296" i="34"/>
  <c r="W296" i="34"/>
  <c r="X296" i="34"/>
  <c r="Y296" i="34"/>
  <c r="Z296" i="34"/>
  <c r="N297" i="34"/>
  <c r="O297" i="34"/>
  <c r="P297" i="34"/>
  <c r="Q297" i="34"/>
  <c r="R297" i="34"/>
  <c r="S297" i="34"/>
  <c r="T297" i="34"/>
  <c r="U297" i="34"/>
  <c r="V297" i="34"/>
  <c r="W297" i="34"/>
  <c r="X297" i="34"/>
  <c r="Y297" i="34"/>
  <c r="Z297" i="34"/>
  <c r="N298" i="34"/>
  <c r="O298" i="34"/>
  <c r="P298" i="34"/>
  <c r="Q298" i="34"/>
  <c r="R298" i="34"/>
  <c r="S298" i="34"/>
  <c r="T298" i="34"/>
  <c r="U298" i="34"/>
  <c r="V298" i="34"/>
  <c r="W298" i="34"/>
  <c r="X298" i="34"/>
  <c r="Y298" i="34"/>
  <c r="Z298" i="34"/>
  <c r="N299" i="34"/>
  <c r="O299" i="34"/>
  <c r="P299" i="34"/>
  <c r="Q299" i="34"/>
  <c r="R299" i="34"/>
  <c r="S299" i="34"/>
  <c r="T299" i="34"/>
  <c r="U299" i="34"/>
  <c r="V299" i="34"/>
  <c r="W299" i="34"/>
  <c r="X299" i="34"/>
  <c r="Y299" i="34"/>
  <c r="Z299" i="34"/>
  <c r="N300" i="34"/>
  <c r="O300" i="34"/>
  <c r="P300" i="34"/>
  <c r="Q300" i="34"/>
  <c r="R300" i="34"/>
  <c r="S300" i="34"/>
  <c r="T300" i="34"/>
  <c r="U300" i="34"/>
  <c r="V300" i="34"/>
  <c r="W300" i="34"/>
  <c r="X300" i="34"/>
  <c r="Y300" i="34"/>
  <c r="Z300" i="34"/>
  <c r="N301" i="34"/>
  <c r="O301" i="34"/>
  <c r="P301" i="34"/>
  <c r="Q301" i="34"/>
  <c r="R301" i="34"/>
  <c r="S301" i="34"/>
  <c r="T301" i="34"/>
  <c r="U301" i="34"/>
  <c r="V301" i="34"/>
  <c r="W301" i="34"/>
  <c r="X301" i="34"/>
  <c r="Y301" i="34"/>
  <c r="Z301" i="34"/>
  <c r="N302" i="34"/>
  <c r="O302" i="34"/>
  <c r="P302" i="34"/>
  <c r="Q302" i="34"/>
  <c r="R302" i="34"/>
  <c r="S302" i="34"/>
  <c r="T302" i="34"/>
  <c r="U302" i="34"/>
  <c r="V302" i="34"/>
  <c r="W302" i="34"/>
  <c r="X302" i="34"/>
  <c r="Y302" i="34"/>
  <c r="Z302" i="34"/>
  <c r="N303" i="34"/>
  <c r="O303" i="34"/>
  <c r="P303" i="34"/>
  <c r="Q303" i="34"/>
  <c r="R303" i="34"/>
  <c r="S303" i="34"/>
  <c r="T303" i="34"/>
  <c r="U303" i="34"/>
  <c r="V303" i="34"/>
  <c r="W303" i="34"/>
  <c r="X303" i="34"/>
  <c r="Y303" i="34"/>
  <c r="Z303" i="34"/>
  <c r="N304" i="34"/>
  <c r="O304" i="34"/>
  <c r="P304" i="34"/>
  <c r="Q304" i="34"/>
  <c r="R304" i="34"/>
  <c r="S304" i="34"/>
  <c r="T304" i="34"/>
  <c r="U304" i="34"/>
  <c r="V304" i="34"/>
  <c r="W304" i="34"/>
  <c r="X304" i="34"/>
  <c r="Y304" i="34"/>
  <c r="Z304" i="34"/>
  <c r="N305" i="34"/>
  <c r="O305" i="34"/>
  <c r="P305" i="34"/>
  <c r="Q305" i="34"/>
  <c r="R305" i="34"/>
  <c r="S305" i="34"/>
  <c r="T305" i="34"/>
  <c r="U305" i="34"/>
  <c r="V305" i="34"/>
  <c r="W305" i="34"/>
  <c r="X305" i="34"/>
  <c r="Y305" i="34"/>
  <c r="Z305" i="34"/>
  <c r="N306" i="34"/>
  <c r="O306" i="34"/>
  <c r="P306" i="34"/>
  <c r="Q306" i="34"/>
  <c r="R306" i="34"/>
  <c r="S306" i="34"/>
  <c r="T306" i="34"/>
  <c r="U306" i="34"/>
  <c r="V306" i="34"/>
  <c r="W306" i="34"/>
  <c r="X306" i="34"/>
  <c r="Y306" i="34"/>
  <c r="Z306" i="34"/>
  <c r="N307" i="34"/>
  <c r="O307" i="34"/>
  <c r="P307" i="34"/>
  <c r="Q307" i="34"/>
  <c r="R307" i="34"/>
  <c r="S307" i="34"/>
  <c r="T307" i="34"/>
  <c r="U307" i="34"/>
  <c r="V307" i="34"/>
  <c r="W307" i="34"/>
  <c r="X307" i="34"/>
  <c r="Y307" i="34"/>
  <c r="Z307" i="34"/>
  <c r="N308" i="34"/>
  <c r="O308" i="34"/>
  <c r="P308" i="34"/>
  <c r="Q308" i="34"/>
  <c r="R308" i="34"/>
  <c r="S308" i="34"/>
  <c r="T308" i="34"/>
  <c r="U308" i="34"/>
  <c r="V308" i="34"/>
  <c r="W308" i="34"/>
  <c r="X308" i="34"/>
  <c r="Y308" i="34"/>
  <c r="Z308" i="34"/>
  <c r="N309" i="34"/>
  <c r="O309" i="34"/>
  <c r="P309" i="34"/>
  <c r="Q309" i="34"/>
  <c r="R309" i="34"/>
  <c r="S309" i="34"/>
  <c r="T309" i="34"/>
  <c r="U309" i="34"/>
  <c r="V309" i="34"/>
  <c r="W309" i="34"/>
  <c r="X309" i="34"/>
  <c r="Y309" i="34"/>
  <c r="Z309" i="34"/>
  <c r="N310" i="34"/>
  <c r="O310" i="34"/>
  <c r="P310" i="34"/>
  <c r="Q310" i="34"/>
  <c r="R310" i="34"/>
  <c r="S310" i="34"/>
  <c r="T310" i="34"/>
  <c r="U310" i="34"/>
  <c r="V310" i="34"/>
  <c r="W310" i="34"/>
  <c r="X310" i="34"/>
  <c r="Y310" i="34"/>
  <c r="Z310" i="34"/>
  <c r="N311" i="34"/>
  <c r="O311" i="34"/>
  <c r="P311" i="34"/>
  <c r="Q311" i="34"/>
  <c r="R311" i="34"/>
  <c r="S311" i="34"/>
  <c r="T311" i="34"/>
  <c r="U311" i="34"/>
  <c r="V311" i="34"/>
  <c r="W311" i="34"/>
  <c r="X311" i="34"/>
  <c r="Y311" i="34"/>
  <c r="Z311" i="34"/>
  <c r="N312" i="34"/>
  <c r="O312" i="34"/>
  <c r="P312" i="34"/>
  <c r="Q312" i="34"/>
  <c r="R312" i="34"/>
  <c r="S312" i="34"/>
  <c r="T312" i="34"/>
  <c r="U312" i="34"/>
  <c r="V312" i="34"/>
  <c r="W312" i="34"/>
  <c r="X312" i="34"/>
  <c r="Y312" i="34"/>
  <c r="Z312" i="34"/>
  <c r="N313" i="34"/>
  <c r="O313" i="34"/>
  <c r="P313" i="34"/>
  <c r="Q313" i="34"/>
  <c r="R313" i="34"/>
  <c r="S313" i="34"/>
  <c r="T313" i="34"/>
  <c r="U313" i="34"/>
  <c r="V313" i="34"/>
  <c r="W313" i="34"/>
  <c r="X313" i="34"/>
  <c r="Y313" i="34"/>
  <c r="Z313" i="34"/>
  <c r="N314" i="34"/>
  <c r="O314" i="34"/>
  <c r="P314" i="34"/>
  <c r="Q314" i="34"/>
  <c r="R314" i="34"/>
  <c r="S314" i="34"/>
  <c r="T314" i="34"/>
  <c r="U314" i="34"/>
  <c r="V314" i="34"/>
  <c r="W314" i="34"/>
  <c r="X314" i="34"/>
  <c r="Y314" i="34"/>
  <c r="Z314" i="34"/>
  <c r="N315" i="34"/>
  <c r="O315" i="34"/>
  <c r="P315" i="34"/>
  <c r="Q315" i="34"/>
  <c r="R315" i="34"/>
  <c r="S315" i="34"/>
  <c r="T315" i="34"/>
  <c r="U315" i="34"/>
  <c r="V315" i="34"/>
  <c r="W315" i="34"/>
  <c r="X315" i="34"/>
  <c r="Y315" i="34"/>
  <c r="Z315" i="34"/>
  <c r="N316" i="34"/>
  <c r="O316" i="34"/>
  <c r="P316" i="34"/>
  <c r="Q316" i="34"/>
  <c r="R316" i="34"/>
  <c r="S316" i="34"/>
  <c r="T316" i="34"/>
  <c r="U316" i="34"/>
  <c r="V316" i="34"/>
  <c r="W316" i="34"/>
  <c r="X316" i="34"/>
  <c r="Y316" i="34"/>
  <c r="Z316" i="34"/>
  <c r="N317" i="34"/>
  <c r="O317" i="34"/>
  <c r="P317" i="34"/>
  <c r="Q317" i="34"/>
  <c r="R317" i="34"/>
  <c r="S317" i="34"/>
  <c r="T317" i="34"/>
  <c r="U317" i="34"/>
  <c r="V317" i="34"/>
  <c r="W317" i="34"/>
  <c r="X317" i="34"/>
  <c r="Y317" i="34"/>
  <c r="Z317" i="34"/>
  <c r="N318" i="34"/>
  <c r="O318" i="34"/>
  <c r="P318" i="34"/>
  <c r="Q318" i="34"/>
  <c r="R318" i="34"/>
  <c r="S318" i="34"/>
  <c r="T318" i="34"/>
  <c r="U318" i="34"/>
  <c r="V318" i="34"/>
  <c r="W318" i="34"/>
  <c r="X318" i="34"/>
  <c r="Y318" i="34"/>
  <c r="Z318" i="34"/>
  <c r="N319" i="34"/>
  <c r="O319" i="34"/>
  <c r="P319" i="34"/>
  <c r="Q319" i="34"/>
  <c r="R319" i="34"/>
  <c r="S319" i="34"/>
  <c r="T319" i="34"/>
  <c r="U319" i="34"/>
  <c r="V319" i="34"/>
  <c r="W319" i="34"/>
  <c r="X319" i="34"/>
  <c r="Y319" i="34"/>
  <c r="Z319" i="34"/>
  <c r="N320" i="34"/>
  <c r="O320" i="34"/>
  <c r="P320" i="34"/>
  <c r="Q320" i="34"/>
  <c r="R320" i="34"/>
  <c r="S320" i="34"/>
  <c r="T320" i="34"/>
  <c r="U320" i="34"/>
  <c r="V320" i="34"/>
  <c r="W320" i="34"/>
  <c r="X320" i="34"/>
  <c r="Y320" i="34"/>
  <c r="Z320" i="34"/>
  <c r="N321" i="34"/>
  <c r="O321" i="34"/>
  <c r="P321" i="34"/>
  <c r="Q321" i="34"/>
  <c r="R321" i="34"/>
  <c r="S321" i="34"/>
  <c r="T321" i="34"/>
  <c r="U321" i="34"/>
  <c r="V321" i="34"/>
  <c r="W321" i="34"/>
  <c r="X321" i="34"/>
  <c r="Y321" i="34"/>
  <c r="Z321" i="34"/>
  <c r="N322" i="34"/>
  <c r="O322" i="34"/>
  <c r="P322" i="34"/>
  <c r="Q322" i="34"/>
  <c r="R322" i="34"/>
  <c r="S322" i="34"/>
  <c r="T322" i="34"/>
  <c r="U322" i="34"/>
  <c r="V322" i="34"/>
  <c r="W322" i="34"/>
  <c r="X322" i="34"/>
  <c r="Y322" i="34"/>
  <c r="Z322" i="34"/>
  <c r="N323" i="34"/>
  <c r="O323" i="34"/>
  <c r="P323" i="34"/>
  <c r="Q323" i="34"/>
  <c r="R323" i="34"/>
  <c r="S323" i="34"/>
  <c r="T323" i="34"/>
  <c r="U323" i="34"/>
  <c r="V323" i="34"/>
  <c r="W323" i="34"/>
  <c r="X323" i="34"/>
  <c r="Y323" i="34"/>
  <c r="Z323" i="34"/>
  <c r="N324" i="34"/>
  <c r="O324" i="34"/>
  <c r="P324" i="34"/>
  <c r="Q324" i="34"/>
  <c r="R324" i="34"/>
  <c r="S324" i="34"/>
  <c r="T324" i="34"/>
  <c r="U324" i="34"/>
  <c r="V324" i="34"/>
  <c r="W324" i="34"/>
  <c r="X324" i="34"/>
  <c r="Y324" i="34"/>
  <c r="Z324" i="34"/>
  <c r="N325" i="34"/>
  <c r="O325" i="34"/>
  <c r="P325" i="34"/>
  <c r="Q325" i="34"/>
  <c r="R325" i="34"/>
  <c r="S325" i="34"/>
  <c r="T325" i="34"/>
  <c r="U325" i="34"/>
  <c r="V325" i="34"/>
  <c r="W325" i="34"/>
  <c r="X325" i="34"/>
  <c r="Y325" i="34"/>
  <c r="Z325" i="34"/>
  <c r="N326" i="34"/>
  <c r="O326" i="34"/>
  <c r="P326" i="34"/>
  <c r="Q326" i="34"/>
  <c r="R326" i="34"/>
  <c r="S326" i="34"/>
  <c r="T326" i="34"/>
  <c r="U326" i="34"/>
  <c r="V326" i="34"/>
  <c r="W326" i="34"/>
  <c r="X326" i="34"/>
  <c r="Y326" i="34"/>
  <c r="Z326" i="34"/>
  <c r="N327" i="34"/>
  <c r="O327" i="34"/>
  <c r="P327" i="34"/>
  <c r="Q327" i="34"/>
  <c r="R327" i="34"/>
  <c r="S327" i="34"/>
  <c r="T327" i="34"/>
  <c r="U327" i="34"/>
  <c r="V327" i="34"/>
  <c r="W327" i="34"/>
  <c r="X327" i="34"/>
  <c r="Y327" i="34"/>
  <c r="Z327" i="34"/>
  <c r="N328" i="34"/>
  <c r="O328" i="34"/>
  <c r="P328" i="34"/>
  <c r="Q328" i="34"/>
  <c r="R328" i="34"/>
  <c r="S328" i="34"/>
  <c r="T328" i="34"/>
  <c r="U328" i="34"/>
  <c r="V328" i="34"/>
  <c r="W328" i="34"/>
  <c r="X328" i="34"/>
  <c r="Y328" i="34"/>
  <c r="Z328" i="34"/>
  <c r="N329" i="34"/>
  <c r="O329" i="34"/>
  <c r="P329" i="34"/>
  <c r="Q329" i="34"/>
  <c r="R329" i="34"/>
  <c r="S329" i="34"/>
  <c r="T329" i="34"/>
  <c r="U329" i="34"/>
  <c r="V329" i="34"/>
  <c r="W329" i="34"/>
  <c r="X329" i="34"/>
  <c r="Y329" i="34"/>
  <c r="Z329" i="34"/>
  <c r="N330" i="34"/>
  <c r="O330" i="34"/>
  <c r="P330" i="34"/>
  <c r="Q330" i="34"/>
  <c r="R330" i="34"/>
  <c r="S330" i="34"/>
  <c r="T330" i="34"/>
  <c r="U330" i="34"/>
  <c r="V330" i="34"/>
  <c r="W330" i="34"/>
  <c r="X330" i="34"/>
  <c r="Y330" i="34"/>
  <c r="Z330" i="34"/>
  <c r="N331" i="34"/>
  <c r="O331" i="34"/>
  <c r="P331" i="34"/>
  <c r="Q331" i="34"/>
  <c r="R331" i="34"/>
  <c r="S331" i="34"/>
  <c r="T331" i="34"/>
  <c r="U331" i="34"/>
  <c r="V331" i="34"/>
  <c r="W331" i="34"/>
  <c r="X331" i="34"/>
  <c r="Y331" i="34"/>
  <c r="Z331" i="34"/>
  <c r="N332" i="34"/>
  <c r="O332" i="34"/>
  <c r="P332" i="34"/>
  <c r="Q332" i="34"/>
  <c r="R332" i="34"/>
  <c r="S332" i="34"/>
  <c r="T332" i="34"/>
  <c r="U332" i="34"/>
  <c r="V332" i="34"/>
  <c r="W332" i="34"/>
  <c r="X332" i="34"/>
  <c r="Y332" i="34"/>
  <c r="Z332" i="34"/>
  <c r="N333" i="34"/>
  <c r="O333" i="34"/>
  <c r="P333" i="34"/>
  <c r="Q333" i="34"/>
  <c r="R333" i="34"/>
  <c r="S333" i="34"/>
  <c r="T333" i="34"/>
  <c r="U333" i="34"/>
  <c r="V333" i="34"/>
  <c r="W333" i="34"/>
  <c r="X333" i="34"/>
  <c r="Y333" i="34"/>
  <c r="Z333" i="34"/>
  <c r="N334" i="34"/>
  <c r="O334" i="34"/>
  <c r="P334" i="34"/>
  <c r="Q334" i="34"/>
  <c r="R334" i="34"/>
  <c r="S334" i="34"/>
  <c r="T334" i="34"/>
  <c r="U334" i="34"/>
  <c r="V334" i="34"/>
  <c r="W334" i="34"/>
  <c r="X334" i="34"/>
  <c r="Y334" i="34"/>
  <c r="Z334" i="34"/>
  <c r="N335" i="34"/>
  <c r="O335" i="34"/>
  <c r="P335" i="34"/>
  <c r="Q335" i="34"/>
  <c r="R335" i="34"/>
  <c r="S335" i="34"/>
  <c r="T335" i="34"/>
  <c r="U335" i="34"/>
  <c r="V335" i="34"/>
  <c r="W335" i="34"/>
  <c r="X335" i="34"/>
  <c r="Y335" i="34"/>
  <c r="Z335" i="34"/>
  <c r="N336" i="34"/>
  <c r="O336" i="34"/>
  <c r="P336" i="34"/>
  <c r="Q336" i="34"/>
  <c r="R336" i="34"/>
  <c r="S336" i="34"/>
  <c r="T336" i="34"/>
  <c r="U336" i="34"/>
  <c r="V336" i="34"/>
  <c r="W336" i="34"/>
  <c r="X336" i="34"/>
  <c r="Y336" i="34"/>
  <c r="Z336" i="34"/>
  <c r="N337" i="34"/>
  <c r="O337" i="34"/>
  <c r="P337" i="34"/>
  <c r="Q337" i="34"/>
  <c r="R337" i="34"/>
  <c r="S337" i="34"/>
  <c r="T337" i="34"/>
  <c r="U337" i="34"/>
  <c r="V337" i="34"/>
  <c r="W337" i="34"/>
  <c r="X337" i="34"/>
  <c r="Y337" i="34"/>
  <c r="Z337" i="34"/>
  <c r="N338" i="34"/>
  <c r="O338" i="34"/>
  <c r="P338" i="34"/>
  <c r="Q338" i="34"/>
  <c r="R338" i="34"/>
  <c r="S338" i="34"/>
  <c r="T338" i="34"/>
  <c r="U338" i="34"/>
  <c r="V338" i="34"/>
  <c r="W338" i="34"/>
  <c r="X338" i="34"/>
  <c r="Y338" i="34"/>
  <c r="Z338" i="34"/>
  <c r="N339" i="34"/>
  <c r="O339" i="34"/>
  <c r="P339" i="34"/>
  <c r="Q339" i="34"/>
  <c r="R339" i="34"/>
  <c r="S339" i="34"/>
  <c r="T339" i="34"/>
  <c r="U339" i="34"/>
  <c r="V339" i="34"/>
  <c r="W339" i="34"/>
  <c r="X339" i="34"/>
  <c r="Y339" i="34"/>
  <c r="Z339" i="34"/>
  <c r="N340" i="34"/>
  <c r="O340" i="34"/>
  <c r="P340" i="34"/>
  <c r="Q340" i="34"/>
  <c r="R340" i="34"/>
  <c r="S340" i="34"/>
  <c r="T340" i="34"/>
  <c r="U340" i="34"/>
  <c r="V340" i="34"/>
  <c r="W340" i="34"/>
  <c r="X340" i="34"/>
  <c r="Y340" i="34"/>
  <c r="Z340" i="34"/>
  <c r="N341" i="34"/>
  <c r="O341" i="34"/>
  <c r="P341" i="34"/>
  <c r="Q341" i="34"/>
  <c r="R341" i="34"/>
  <c r="S341" i="34"/>
  <c r="T341" i="34"/>
  <c r="U341" i="34"/>
  <c r="V341" i="34"/>
  <c r="W341" i="34"/>
  <c r="X341" i="34"/>
  <c r="Y341" i="34"/>
  <c r="Z341" i="34"/>
  <c r="N342" i="34"/>
  <c r="O342" i="34"/>
  <c r="P342" i="34"/>
  <c r="Q342" i="34"/>
  <c r="R342" i="34"/>
  <c r="S342" i="34"/>
  <c r="T342" i="34"/>
  <c r="U342" i="34"/>
  <c r="V342" i="34"/>
  <c r="W342" i="34"/>
  <c r="X342" i="34"/>
  <c r="Y342" i="34"/>
  <c r="Z342" i="34"/>
  <c r="N343" i="34"/>
  <c r="O343" i="34"/>
  <c r="P343" i="34"/>
  <c r="Q343" i="34"/>
  <c r="R343" i="34"/>
  <c r="S343" i="34"/>
  <c r="T343" i="34"/>
  <c r="U343" i="34"/>
  <c r="V343" i="34"/>
  <c r="W343" i="34"/>
  <c r="X343" i="34"/>
  <c r="Y343" i="34"/>
  <c r="Z343" i="34"/>
  <c r="N344" i="34"/>
  <c r="O344" i="34"/>
  <c r="P344" i="34"/>
  <c r="Q344" i="34"/>
  <c r="R344" i="34"/>
  <c r="S344" i="34"/>
  <c r="T344" i="34"/>
  <c r="U344" i="34"/>
  <c r="V344" i="34"/>
  <c r="W344" i="34"/>
  <c r="X344" i="34"/>
  <c r="Y344" i="34"/>
  <c r="Z344" i="34"/>
  <c r="N345" i="34"/>
  <c r="O345" i="34"/>
  <c r="P345" i="34"/>
  <c r="Q345" i="34"/>
  <c r="R345" i="34"/>
  <c r="S345" i="34"/>
  <c r="T345" i="34"/>
  <c r="U345" i="34"/>
  <c r="V345" i="34"/>
  <c r="W345" i="34"/>
  <c r="X345" i="34"/>
  <c r="Y345" i="34"/>
  <c r="Z345" i="34"/>
  <c r="N346" i="34"/>
  <c r="O346" i="34"/>
  <c r="P346" i="34"/>
  <c r="Q346" i="34"/>
  <c r="R346" i="34"/>
  <c r="S346" i="34"/>
  <c r="T346" i="34"/>
  <c r="U346" i="34"/>
  <c r="V346" i="34"/>
  <c r="W346" i="34"/>
  <c r="X346" i="34"/>
  <c r="Y346" i="34"/>
  <c r="Z346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N348" i="34"/>
  <c r="O348" i="34"/>
  <c r="P348" i="34"/>
  <c r="Q348" i="34"/>
  <c r="R348" i="34"/>
  <c r="S348" i="34"/>
  <c r="T348" i="34"/>
  <c r="U348" i="34"/>
  <c r="V348" i="34"/>
  <c r="W348" i="34"/>
  <c r="X348" i="34"/>
  <c r="Y348" i="34"/>
  <c r="Z348" i="34"/>
  <c r="N349" i="34"/>
  <c r="O349" i="34"/>
  <c r="P349" i="34"/>
  <c r="Q349" i="34"/>
  <c r="R349" i="34"/>
  <c r="S349" i="34"/>
  <c r="T349" i="34"/>
  <c r="U349" i="34"/>
  <c r="V349" i="34"/>
  <c r="W349" i="34"/>
  <c r="X349" i="34"/>
  <c r="Y349" i="34"/>
  <c r="Z349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N351" i="34"/>
  <c r="O351" i="34"/>
  <c r="P351" i="34"/>
  <c r="Q351" i="34"/>
  <c r="R351" i="34"/>
  <c r="S351" i="34"/>
  <c r="T351" i="34"/>
  <c r="U351" i="34"/>
  <c r="V351" i="34"/>
  <c r="W351" i="34"/>
  <c r="X351" i="34"/>
  <c r="Y351" i="34"/>
  <c r="Z351" i="34"/>
  <c r="N352" i="34"/>
  <c r="O352" i="34"/>
  <c r="P352" i="34"/>
  <c r="Q352" i="34"/>
  <c r="R352" i="34"/>
  <c r="S352" i="34"/>
  <c r="T352" i="34"/>
  <c r="U352" i="34"/>
  <c r="V352" i="34"/>
  <c r="W352" i="34"/>
  <c r="X352" i="34"/>
  <c r="Y352" i="34"/>
  <c r="Z352" i="34"/>
  <c r="N353" i="34"/>
  <c r="O353" i="34"/>
  <c r="P353" i="34"/>
  <c r="Q353" i="34"/>
  <c r="R353" i="34"/>
  <c r="S353" i="34"/>
  <c r="T353" i="34"/>
  <c r="U353" i="34"/>
  <c r="V353" i="34"/>
  <c r="W353" i="34"/>
  <c r="X353" i="34"/>
  <c r="Y353" i="34"/>
  <c r="Z353" i="34"/>
  <c r="N354" i="34"/>
  <c r="O354" i="34"/>
  <c r="P354" i="34"/>
  <c r="Q354" i="34"/>
  <c r="R354" i="34"/>
  <c r="S354" i="34"/>
  <c r="T354" i="34"/>
  <c r="U354" i="34"/>
  <c r="V354" i="34"/>
  <c r="W354" i="34"/>
  <c r="X354" i="34"/>
  <c r="Y354" i="34"/>
  <c r="Z354" i="34"/>
  <c r="N355" i="34"/>
  <c r="O355" i="34"/>
  <c r="P355" i="34"/>
  <c r="Q355" i="34"/>
  <c r="R355" i="34"/>
  <c r="S355" i="34"/>
  <c r="T355" i="34"/>
  <c r="U355" i="34"/>
  <c r="V355" i="34"/>
  <c r="W355" i="34"/>
  <c r="X355" i="34"/>
  <c r="Y355" i="34"/>
  <c r="Z355" i="34"/>
  <c r="N356" i="34"/>
  <c r="O356" i="34"/>
  <c r="P356" i="34"/>
  <c r="Q356" i="34"/>
  <c r="R356" i="34"/>
  <c r="S356" i="34"/>
  <c r="T356" i="34"/>
  <c r="U356" i="34"/>
  <c r="V356" i="34"/>
  <c r="W356" i="34"/>
  <c r="X356" i="34"/>
  <c r="Y356" i="34"/>
  <c r="Z356" i="34"/>
  <c r="N357" i="34"/>
  <c r="O357" i="34"/>
  <c r="P357" i="34"/>
  <c r="Q357" i="34"/>
  <c r="R357" i="34"/>
  <c r="S357" i="34"/>
  <c r="T357" i="34"/>
  <c r="U357" i="34"/>
  <c r="V357" i="34"/>
  <c r="W357" i="34"/>
  <c r="X357" i="34"/>
  <c r="Y357" i="34"/>
  <c r="Z357" i="34"/>
  <c r="N358" i="34"/>
  <c r="O358" i="34"/>
  <c r="P358" i="34"/>
  <c r="Q358" i="34"/>
  <c r="R358" i="34"/>
  <c r="S358" i="34"/>
  <c r="T358" i="34"/>
  <c r="U358" i="34"/>
  <c r="V358" i="34"/>
  <c r="W358" i="34"/>
  <c r="X358" i="34"/>
  <c r="Y358" i="34"/>
  <c r="Z358" i="34"/>
  <c r="N359" i="34"/>
  <c r="O359" i="34"/>
  <c r="P359" i="34"/>
  <c r="Q359" i="34"/>
  <c r="R359" i="34"/>
  <c r="S359" i="34"/>
  <c r="T359" i="34"/>
  <c r="U359" i="34"/>
  <c r="V359" i="34"/>
  <c r="W359" i="34"/>
  <c r="X359" i="34"/>
  <c r="Y359" i="34"/>
  <c r="Z359" i="34"/>
  <c r="N360" i="34"/>
  <c r="O360" i="34"/>
  <c r="P360" i="34"/>
  <c r="Q360" i="34"/>
  <c r="R360" i="34"/>
  <c r="S360" i="34"/>
  <c r="T360" i="34"/>
  <c r="U360" i="34"/>
  <c r="V360" i="34"/>
  <c r="W360" i="34"/>
  <c r="X360" i="34"/>
  <c r="Y360" i="34"/>
  <c r="Z360" i="34"/>
  <c r="N361" i="34"/>
  <c r="O361" i="34"/>
  <c r="P361" i="34"/>
  <c r="Q361" i="34"/>
  <c r="R361" i="34"/>
  <c r="S361" i="34"/>
  <c r="T361" i="34"/>
  <c r="U361" i="34"/>
  <c r="V361" i="34"/>
  <c r="W361" i="34"/>
  <c r="X361" i="34"/>
  <c r="Y361" i="34"/>
  <c r="Z361" i="34"/>
  <c r="N362" i="34"/>
  <c r="O362" i="34"/>
  <c r="P362" i="34"/>
  <c r="Q362" i="34"/>
  <c r="R362" i="34"/>
  <c r="S362" i="34"/>
  <c r="T362" i="34"/>
  <c r="U362" i="34"/>
  <c r="V362" i="34"/>
  <c r="W362" i="34"/>
  <c r="X362" i="34"/>
  <c r="Y362" i="34"/>
  <c r="Z362" i="34"/>
  <c r="N363" i="34"/>
  <c r="O363" i="34"/>
  <c r="P363" i="34"/>
  <c r="Q363" i="34"/>
  <c r="R363" i="34"/>
  <c r="S363" i="34"/>
  <c r="T363" i="34"/>
  <c r="U363" i="34"/>
  <c r="V363" i="34"/>
  <c r="W363" i="34"/>
  <c r="X363" i="34"/>
  <c r="Y363" i="34"/>
  <c r="Z363" i="34"/>
  <c r="N364" i="34"/>
  <c r="O364" i="34"/>
  <c r="P364" i="34"/>
  <c r="Q364" i="34"/>
  <c r="R364" i="34"/>
  <c r="S364" i="34"/>
  <c r="T364" i="34"/>
  <c r="U364" i="34"/>
  <c r="V364" i="34"/>
  <c r="W364" i="34"/>
  <c r="X364" i="34"/>
  <c r="Y364" i="34"/>
  <c r="Z364" i="34"/>
  <c r="N365" i="34"/>
  <c r="O365" i="34"/>
  <c r="P365" i="34"/>
  <c r="Q365" i="34"/>
  <c r="R365" i="34"/>
  <c r="S365" i="34"/>
  <c r="T365" i="34"/>
  <c r="U365" i="34"/>
  <c r="V365" i="34"/>
  <c r="W365" i="34"/>
  <c r="X365" i="34"/>
  <c r="Y365" i="34"/>
  <c r="Z365" i="34"/>
  <c r="N366" i="34"/>
  <c r="O366" i="34"/>
  <c r="P366" i="34"/>
  <c r="Q366" i="34"/>
  <c r="R366" i="34"/>
  <c r="S366" i="34"/>
  <c r="T366" i="34"/>
  <c r="U366" i="34"/>
  <c r="V366" i="34"/>
  <c r="W366" i="34"/>
  <c r="X366" i="34"/>
  <c r="Y366" i="34"/>
  <c r="Z366" i="34"/>
  <c r="N367" i="34"/>
  <c r="O367" i="34"/>
  <c r="P367" i="34"/>
  <c r="Q367" i="34"/>
  <c r="R367" i="34"/>
  <c r="S367" i="34"/>
  <c r="T367" i="34"/>
  <c r="U367" i="34"/>
  <c r="V367" i="34"/>
  <c r="W367" i="34"/>
  <c r="X367" i="34"/>
  <c r="Y367" i="34"/>
  <c r="Z367" i="34"/>
  <c r="N368" i="34"/>
  <c r="O368" i="34"/>
  <c r="P368" i="34"/>
  <c r="Q368" i="34"/>
  <c r="R368" i="34"/>
  <c r="S368" i="34"/>
  <c r="T368" i="34"/>
  <c r="U368" i="34"/>
  <c r="V368" i="34"/>
  <c r="W368" i="34"/>
  <c r="X368" i="34"/>
  <c r="Y368" i="34"/>
  <c r="Z368" i="34"/>
  <c r="N369" i="34"/>
  <c r="O369" i="34"/>
  <c r="P369" i="34"/>
  <c r="Q369" i="34"/>
  <c r="R369" i="34"/>
  <c r="S369" i="34"/>
  <c r="T369" i="34"/>
  <c r="U369" i="34"/>
  <c r="V369" i="34"/>
  <c r="W369" i="34"/>
  <c r="X369" i="34"/>
  <c r="Y369" i="34"/>
  <c r="Z369" i="34"/>
  <c r="N370" i="34"/>
  <c r="O370" i="34"/>
  <c r="P370" i="34"/>
  <c r="Q370" i="34"/>
  <c r="R370" i="34"/>
  <c r="S370" i="34"/>
  <c r="T370" i="34"/>
  <c r="U370" i="34"/>
  <c r="V370" i="34"/>
  <c r="W370" i="34"/>
  <c r="X370" i="34"/>
  <c r="Y370" i="34"/>
  <c r="Z370" i="34"/>
  <c r="N371" i="34"/>
  <c r="O371" i="34"/>
  <c r="P371" i="34"/>
  <c r="Q371" i="34"/>
  <c r="R371" i="34"/>
  <c r="S371" i="34"/>
  <c r="T371" i="34"/>
  <c r="U371" i="34"/>
  <c r="V371" i="34"/>
  <c r="W371" i="34"/>
  <c r="X371" i="34"/>
  <c r="Y371" i="34"/>
  <c r="Z371" i="34"/>
  <c r="N372" i="34"/>
  <c r="O372" i="34"/>
  <c r="P372" i="34"/>
  <c r="Q372" i="34"/>
  <c r="R372" i="34"/>
  <c r="S372" i="34"/>
  <c r="T372" i="34"/>
  <c r="U372" i="34"/>
  <c r="V372" i="34"/>
  <c r="W372" i="34"/>
  <c r="X372" i="34"/>
  <c r="Y372" i="34"/>
  <c r="Z372" i="34"/>
  <c r="N373" i="34"/>
  <c r="O373" i="34"/>
  <c r="P373" i="34"/>
  <c r="Q373" i="34"/>
  <c r="R373" i="34"/>
  <c r="S373" i="34"/>
  <c r="T373" i="34"/>
  <c r="U373" i="34"/>
  <c r="V373" i="34"/>
  <c r="W373" i="34"/>
  <c r="X373" i="34"/>
  <c r="Y373" i="34"/>
  <c r="Z373" i="34"/>
  <c r="N374" i="34"/>
  <c r="O374" i="34"/>
  <c r="P374" i="34"/>
  <c r="Q374" i="34"/>
  <c r="R374" i="34"/>
  <c r="S374" i="34"/>
  <c r="T374" i="34"/>
  <c r="U374" i="34"/>
  <c r="V374" i="34"/>
  <c r="W374" i="34"/>
  <c r="X374" i="34"/>
  <c r="Y374" i="34"/>
  <c r="Z374" i="34"/>
  <c r="N375" i="34"/>
  <c r="O375" i="34"/>
  <c r="P375" i="34"/>
  <c r="Q375" i="34"/>
  <c r="R375" i="34"/>
  <c r="S375" i="34"/>
  <c r="T375" i="34"/>
  <c r="U375" i="34"/>
  <c r="V375" i="34"/>
  <c r="W375" i="34"/>
  <c r="X375" i="34"/>
  <c r="Y375" i="34"/>
  <c r="Z375" i="34"/>
  <c r="N376" i="34"/>
  <c r="O376" i="34"/>
  <c r="P376" i="34"/>
  <c r="Q376" i="34"/>
  <c r="R376" i="34"/>
  <c r="S376" i="34"/>
  <c r="T376" i="34"/>
  <c r="U376" i="34"/>
  <c r="V376" i="34"/>
  <c r="W376" i="34"/>
  <c r="X376" i="34"/>
  <c r="Y376" i="34"/>
  <c r="Z376" i="34"/>
  <c r="N377" i="34"/>
  <c r="O377" i="34"/>
  <c r="P377" i="34"/>
  <c r="Q377" i="34"/>
  <c r="R377" i="34"/>
  <c r="S377" i="34"/>
  <c r="T377" i="34"/>
  <c r="U377" i="34"/>
  <c r="V377" i="34"/>
  <c r="W377" i="34"/>
  <c r="X377" i="34"/>
  <c r="Y377" i="34"/>
  <c r="Z377" i="34"/>
  <c r="N378" i="34"/>
  <c r="O378" i="34"/>
  <c r="P378" i="34"/>
  <c r="Q378" i="34"/>
  <c r="R378" i="34"/>
  <c r="S378" i="34"/>
  <c r="T378" i="34"/>
  <c r="U378" i="34"/>
  <c r="V378" i="34"/>
  <c r="W378" i="34"/>
  <c r="X378" i="34"/>
  <c r="Y378" i="34"/>
  <c r="Z378" i="34"/>
  <c r="N379" i="34"/>
  <c r="O379" i="34"/>
  <c r="P379" i="34"/>
  <c r="Q379" i="34"/>
  <c r="R379" i="34"/>
  <c r="S379" i="34"/>
  <c r="T379" i="34"/>
  <c r="U379" i="34"/>
  <c r="V379" i="34"/>
  <c r="W379" i="34"/>
  <c r="X379" i="34"/>
  <c r="Y379" i="34"/>
  <c r="Z379" i="34"/>
  <c r="N380" i="34"/>
  <c r="O380" i="34"/>
  <c r="P380" i="34"/>
  <c r="Q380" i="34"/>
  <c r="R380" i="34"/>
  <c r="S380" i="34"/>
  <c r="T380" i="34"/>
  <c r="U380" i="34"/>
  <c r="V380" i="34"/>
  <c r="W380" i="34"/>
  <c r="X380" i="34"/>
  <c r="Y380" i="34"/>
  <c r="Z380" i="34"/>
  <c r="N381" i="34"/>
  <c r="O381" i="34"/>
  <c r="P381" i="34"/>
  <c r="Q381" i="34"/>
  <c r="R381" i="34"/>
  <c r="S381" i="34"/>
  <c r="T381" i="34"/>
  <c r="U381" i="34"/>
  <c r="V381" i="34"/>
  <c r="W381" i="34"/>
  <c r="X381" i="34"/>
  <c r="Y381" i="34"/>
  <c r="Z381" i="34"/>
  <c r="N382" i="34"/>
  <c r="O382" i="34"/>
  <c r="P382" i="34"/>
  <c r="Q382" i="34"/>
  <c r="R382" i="34"/>
  <c r="S382" i="34"/>
  <c r="T382" i="34"/>
  <c r="U382" i="34"/>
  <c r="V382" i="34"/>
  <c r="W382" i="34"/>
  <c r="X382" i="34"/>
  <c r="Y382" i="34"/>
  <c r="Z382" i="34"/>
  <c r="N383" i="34"/>
  <c r="O383" i="34"/>
  <c r="P383" i="34"/>
  <c r="Q383" i="34"/>
  <c r="R383" i="34"/>
  <c r="S383" i="34"/>
  <c r="T383" i="34"/>
  <c r="U383" i="34"/>
  <c r="V383" i="34"/>
  <c r="W383" i="34"/>
  <c r="X383" i="34"/>
  <c r="Y383" i="34"/>
  <c r="Z383" i="34"/>
  <c r="N384" i="34"/>
  <c r="O384" i="34"/>
  <c r="P384" i="34"/>
  <c r="Q384" i="34"/>
  <c r="R384" i="34"/>
  <c r="S384" i="34"/>
  <c r="T384" i="34"/>
  <c r="U384" i="34"/>
  <c r="V384" i="34"/>
  <c r="W384" i="34"/>
  <c r="X384" i="34"/>
  <c r="Y384" i="34"/>
  <c r="Z384" i="34"/>
  <c r="N385" i="34"/>
  <c r="O385" i="34"/>
  <c r="P385" i="34"/>
  <c r="Q385" i="34"/>
  <c r="R385" i="34"/>
  <c r="S385" i="34"/>
  <c r="T385" i="34"/>
  <c r="U385" i="34"/>
  <c r="V385" i="34"/>
  <c r="W385" i="34"/>
  <c r="X385" i="34"/>
  <c r="Y385" i="34"/>
  <c r="Z385" i="34"/>
  <c r="N386" i="34"/>
  <c r="O386" i="34"/>
  <c r="P386" i="34"/>
  <c r="Q386" i="34"/>
  <c r="R386" i="34"/>
  <c r="S386" i="34"/>
  <c r="T386" i="34"/>
  <c r="U386" i="34"/>
  <c r="V386" i="34"/>
  <c r="W386" i="34"/>
  <c r="X386" i="34"/>
  <c r="Y386" i="34"/>
  <c r="Z386" i="34"/>
  <c r="N387" i="34"/>
  <c r="O387" i="34"/>
  <c r="P387" i="34"/>
  <c r="Q387" i="34"/>
  <c r="R387" i="34"/>
  <c r="S387" i="34"/>
  <c r="T387" i="34"/>
  <c r="U387" i="34"/>
  <c r="V387" i="34"/>
  <c r="W387" i="34"/>
  <c r="X387" i="34"/>
  <c r="Y387" i="34"/>
  <c r="Z387" i="34"/>
  <c r="N388" i="34"/>
  <c r="O388" i="34"/>
  <c r="P388" i="34"/>
  <c r="Q388" i="34"/>
  <c r="R388" i="34"/>
  <c r="S388" i="34"/>
  <c r="T388" i="34"/>
  <c r="U388" i="34"/>
  <c r="V388" i="34"/>
  <c r="W388" i="34"/>
  <c r="X388" i="34"/>
  <c r="Y388" i="34"/>
  <c r="Z388" i="34"/>
  <c r="N389" i="34"/>
  <c r="O389" i="34"/>
  <c r="P389" i="34"/>
  <c r="Q389" i="34"/>
  <c r="R389" i="34"/>
  <c r="S389" i="34"/>
  <c r="T389" i="34"/>
  <c r="U389" i="34"/>
  <c r="V389" i="34"/>
  <c r="W389" i="34"/>
  <c r="X389" i="34"/>
  <c r="Y389" i="34"/>
  <c r="Z389" i="34"/>
  <c r="N390" i="34"/>
  <c r="O390" i="34"/>
  <c r="P390" i="34"/>
  <c r="Q390" i="34"/>
  <c r="R390" i="34"/>
  <c r="S390" i="34"/>
  <c r="T390" i="34"/>
  <c r="U390" i="34"/>
  <c r="V390" i="34"/>
  <c r="W390" i="34"/>
  <c r="X390" i="34"/>
  <c r="Y390" i="34"/>
  <c r="Z390" i="34"/>
  <c r="N391" i="34"/>
  <c r="O391" i="34"/>
  <c r="P391" i="34"/>
  <c r="Q391" i="34"/>
  <c r="R391" i="34"/>
  <c r="S391" i="34"/>
  <c r="T391" i="34"/>
  <c r="U391" i="34"/>
  <c r="V391" i="34"/>
  <c r="W391" i="34"/>
  <c r="X391" i="34"/>
  <c r="Y391" i="34"/>
  <c r="Z391" i="34"/>
  <c r="N392" i="34"/>
  <c r="O392" i="34"/>
  <c r="P392" i="34"/>
  <c r="Q392" i="34"/>
  <c r="R392" i="34"/>
  <c r="S392" i="34"/>
  <c r="T392" i="34"/>
  <c r="U392" i="34"/>
  <c r="V392" i="34"/>
  <c r="W392" i="34"/>
  <c r="X392" i="34"/>
  <c r="Y392" i="34"/>
  <c r="Z392" i="34"/>
  <c r="N393" i="34"/>
  <c r="O393" i="34"/>
  <c r="P393" i="34"/>
  <c r="Q393" i="34"/>
  <c r="R393" i="34"/>
  <c r="S393" i="34"/>
  <c r="T393" i="34"/>
  <c r="U393" i="34"/>
  <c r="V393" i="34"/>
  <c r="W393" i="34"/>
  <c r="X393" i="34"/>
  <c r="Y393" i="34"/>
  <c r="Z393" i="34"/>
  <c r="N394" i="34"/>
  <c r="O394" i="34"/>
  <c r="P394" i="34"/>
  <c r="Q394" i="34"/>
  <c r="R394" i="34"/>
  <c r="S394" i="34"/>
  <c r="T394" i="34"/>
  <c r="U394" i="34"/>
  <c r="V394" i="34"/>
  <c r="W394" i="34"/>
  <c r="X394" i="34"/>
  <c r="Y394" i="34"/>
  <c r="Z394" i="34"/>
  <c r="N395" i="34"/>
  <c r="O395" i="34"/>
  <c r="P395" i="34"/>
  <c r="Q395" i="34"/>
  <c r="R395" i="34"/>
  <c r="S395" i="34"/>
  <c r="T395" i="34"/>
  <c r="U395" i="34"/>
  <c r="V395" i="34"/>
  <c r="W395" i="34"/>
  <c r="X395" i="34"/>
  <c r="Y395" i="34"/>
  <c r="Z395" i="34"/>
  <c r="N396" i="34"/>
  <c r="O396" i="34"/>
  <c r="P396" i="34"/>
  <c r="Q396" i="34"/>
  <c r="R396" i="34"/>
  <c r="S396" i="34"/>
  <c r="T396" i="34"/>
  <c r="U396" i="34"/>
  <c r="V396" i="34"/>
  <c r="W396" i="34"/>
  <c r="X396" i="34"/>
  <c r="Y396" i="34"/>
  <c r="Z396" i="34"/>
  <c r="N397" i="34"/>
  <c r="O397" i="34"/>
  <c r="P397" i="34"/>
  <c r="Q397" i="34"/>
  <c r="R397" i="34"/>
  <c r="S397" i="34"/>
  <c r="T397" i="34"/>
  <c r="U397" i="34"/>
  <c r="V397" i="34"/>
  <c r="W397" i="34"/>
  <c r="X397" i="34"/>
  <c r="Y397" i="34"/>
  <c r="Z397" i="34"/>
  <c r="N398" i="34"/>
  <c r="O398" i="34"/>
  <c r="P398" i="34"/>
  <c r="Q398" i="34"/>
  <c r="R398" i="34"/>
  <c r="S398" i="34"/>
  <c r="T398" i="34"/>
  <c r="U398" i="34"/>
  <c r="V398" i="34"/>
  <c r="W398" i="34"/>
  <c r="X398" i="34"/>
  <c r="Y398" i="34"/>
  <c r="Z398" i="34"/>
  <c r="N399" i="34"/>
  <c r="O399" i="34"/>
  <c r="P399" i="34"/>
  <c r="Q399" i="34"/>
  <c r="R399" i="34"/>
  <c r="S399" i="34"/>
  <c r="T399" i="34"/>
  <c r="U399" i="34"/>
  <c r="V399" i="34"/>
  <c r="W399" i="34"/>
  <c r="X399" i="34"/>
  <c r="Y399" i="34"/>
  <c r="Z399" i="34"/>
  <c r="N400" i="34"/>
  <c r="O400" i="34"/>
  <c r="P400" i="34"/>
  <c r="Q400" i="34"/>
  <c r="R400" i="34"/>
  <c r="S400" i="34"/>
  <c r="T400" i="34"/>
  <c r="U400" i="34"/>
  <c r="V400" i="34"/>
  <c r="W400" i="34"/>
  <c r="X400" i="34"/>
  <c r="Y400" i="34"/>
  <c r="Z400" i="34"/>
  <c r="N401" i="34"/>
  <c r="O401" i="34"/>
  <c r="P401" i="34"/>
  <c r="Q401" i="34"/>
  <c r="R401" i="34"/>
  <c r="S401" i="34"/>
  <c r="T401" i="34"/>
  <c r="U401" i="34"/>
  <c r="V401" i="34"/>
  <c r="W401" i="34"/>
  <c r="X401" i="34"/>
  <c r="Y401" i="34"/>
  <c r="Z401" i="34"/>
  <c r="N402" i="34"/>
  <c r="O402" i="34"/>
  <c r="P402" i="34"/>
  <c r="Q402" i="34"/>
  <c r="R402" i="34"/>
  <c r="S402" i="34"/>
  <c r="T402" i="34"/>
  <c r="U402" i="34"/>
  <c r="V402" i="34"/>
  <c r="W402" i="34"/>
  <c r="X402" i="34"/>
  <c r="Y402" i="34"/>
  <c r="Z402" i="34"/>
  <c r="N403" i="34"/>
  <c r="O403" i="34"/>
  <c r="P403" i="34"/>
  <c r="Q403" i="34"/>
  <c r="R403" i="34"/>
  <c r="S403" i="34"/>
  <c r="T403" i="34"/>
  <c r="U403" i="34"/>
  <c r="V403" i="34"/>
  <c r="W403" i="34"/>
  <c r="X403" i="34"/>
  <c r="Y403" i="34"/>
  <c r="Z403" i="34"/>
  <c r="N404" i="34"/>
  <c r="O404" i="34"/>
  <c r="P404" i="34"/>
  <c r="Q404" i="34"/>
  <c r="R404" i="34"/>
  <c r="S404" i="34"/>
  <c r="T404" i="34"/>
  <c r="U404" i="34"/>
  <c r="V404" i="34"/>
  <c r="W404" i="34"/>
  <c r="X404" i="34"/>
  <c r="Y404" i="34"/>
  <c r="Z404" i="34"/>
  <c r="N405" i="34"/>
  <c r="O405" i="34"/>
  <c r="P405" i="34"/>
  <c r="Q405" i="34"/>
  <c r="R405" i="34"/>
  <c r="S405" i="34"/>
  <c r="T405" i="34"/>
  <c r="U405" i="34"/>
  <c r="V405" i="34"/>
  <c r="W405" i="34"/>
  <c r="X405" i="34"/>
  <c r="Y405" i="34"/>
  <c r="Z405" i="34"/>
  <c r="N406" i="34"/>
  <c r="O406" i="34"/>
  <c r="P406" i="34"/>
  <c r="Q406" i="34"/>
  <c r="R406" i="34"/>
  <c r="S406" i="34"/>
  <c r="T406" i="34"/>
  <c r="U406" i="34"/>
  <c r="V406" i="34"/>
  <c r="W406" i="34"/>
  <c r="X406" i="34"/>
  <c r="Y406" i="34"/>
  <c r="Z406" i="34"/>
  <c r="N407" i="34"/>
  <c r="O407" i="34"/>
  <c r="P407" i="34"/>
  <c r="Q407" i="34"/>
  <c r="R407" i="34"/>
  <c r="S407" i="34"/>
  <c r="T407" i="34"/>
  <c r="U407" i="34"/>
  <c r="V407" i="34"/>
  <c r="W407" i="34"/>
  <c r="X407" i="34"/>
  <c r="Y407" i="34"/>
  <c r="Z407" i="34"/>
  <c r="N408" i="34"/>
  <c r="O408" i="34"/>
  <c r="P408" i="34"/>
  <c r="Q408" i="34"/>
  <c r="R408" i="34"/>
  <c r="S408" i="34"/>
  <c r="T408" i="34"/>
  <c r="U408" i="34"/>
  <c r="V408" i="34"/>
  <c r="W408" i="34"/>
  <c r="X408" i="34"/>
  <c r="Y408" i="34"/>
  <c r="Z408" i="34"/>
  <c r="N409" i="34"/>
  <c r="O409" i="34"/>
  <c r="P409" i="34"/>
  <c r="Q409" i="34"/>
  <c r="R409" i="34"/>
  <c r="S409" i="34"/>
  <c r="T409" i="34"/>
  <c r="U409" i="34"/>
  <c r="V409" i="34"/>
  <c r="W409" i="34"/>
  <c r="X409" i="34"/>
  <c r="Y409" i="34"/>
  <c r="Z409" i="34"/>
  <c r="N410" i="34"/>
  <c r="O410" i="34"/>
  <c r="P410" i="34"/>
  <c r="Q410" i="34"/>
  <c r="R410" i="34"/>
  <c r="S410" i="34"/>
  <c r="T410" i="34"/>
  <c r="U410" i="34"/>
  <c r="V410" i="34"/>
  <c r="W410" i="34"/>
  <c r="X410" i="34"/>
  <c r="Y410" i="34"/>
  <c r="Z410" i="34"/>
  <c r="N411" i="34"/>
  <c r="O411" i="34"/>
  <c r="P411" i="34"/>
  <c r="Q411" i="34"/>
  <c r="R411" i="34"/>
  <c r="S411" i="34"/>
  <c r="T411" i="34"/>
  <c r="U411" i="34"/>
  <c r="V411" i="34"/>
  <c r="W411" i="34"/>
  <c r="X411" i="34"/>
  <c r="Y411" i="34"/>
  <c r="Z411" i="34"/>
  <c r="N412" i="34"/>
  <c r="O412" i="34"/>
  <c r="P412" i="34"/>
  <c r="Q412" i="34"/>
  <c r="R412" i="34"/>
  <c r="S412" i="34"/>
  <c r="T412" i="34"/>
  <c r="U412" i="34"/>
  <c r="V412" i="34"/>
  <c r="W412" i="34"/>
  <c r="X412" i="34"/>
  <c r="Y412" i="34"/>
  <c r="Z412" i="34"/>
  <c r="N413" i="34"/>
  <c r="O413" i="34"/>
  <c r="P413" i="34"/>
  <c r="Q413" i="34"/>
  <c r="R413" i="34"/>
  <c r="S413" i="34"/>
  <c r="T413" i="34"/>
  <c r="U413" i="34"/>
  <c r="V413" i="34"/>
  <c r="W413" i="34"/>
  <c r="X413" i="34"/>
  <c r="Y413" i="34"/>
  <c r="Z413" i="34"/>
  <c r="N414" i="34"/>
  <c r="O414" i="34"/>
  <c r="P414" i="34"/>
  <c r="Q414" i="34"/>
  <c r="R414" i="34"/>
  <c r="S414" i="34"/>
  <c r="T414" i="34"/>
  <c r="U414" i="34"/>
  <c r="V414" i="34"/>
  <c r="W414" i="34"/>
  <c r="X414" i="34"/>
  <c r="Y414" i="34"/>
  <c r="Z414" i="34"/>
  <c r="N415" i="34"/>
  <c r="O415" i="34"/>
  <c r="P415" i="34"/>
  <c r="Q415" i="34"/>
  <c r="R415" i="34"/>
  <c r="S415" i="34"/>
  <c r="T415" i="34"/>
  <c r="U415" i="34"/>
  <c r="V415" i="34"/>
  <c r="W415" i="34"/>
  <c r="X415" i="34"/>
  <c r="Y415" i="34"/>
  <c r="Z415" i="34"/>
  <c r="N416" i="34"/>
  <c r="O416" i="34"/>
  <c r="P416" i="34"/>
  <c r="Q416" i="34"/>
  <c r="R416" i="34"/>
  <c r="S416" i="34"/>
  <c r="T416" i="34"/>
  <c r="U416" i="34"/>
  <c r="V416" i="34"/>
  <c r="W416" i="34"/>
  <c r="X416" i="34"/>
  <c r="Y416" i="34"/>
  <c r="Z416" i="34"/>
  <c r="N417" i="34"/>
  <c r="O417" i="34"/>
  <c r="P417" i="34"/>
  <c r="Q417" i="34"/>
  <c r="R417" i="34"/>
  <c r="S417" i="34"/>
  <c r="T417" i="34"/>
  <c r="U417" i="34"/>
  <c r="V417" i="34"/>
  <c r="W417" i="34"/>
  <c r="X417" i="34"/>
  <c r="Y417" i="34"/>
  <c r="Z417" i="34"/>
  <c r="N418" i="34"/>
  <c r="O418" i="34"/>
  <c r="P418" i="34"/>
  <c r="Q418" i="34"/>
  <c r="R418" i="34"/>
  <c r="S418" i="34"/>
  <c r="T418" i="34"/>
  <c r="U418" i="34"/>
  <c r="V418" i="34"/>
  <c r="W418" i="34"/>
  <c r="X418" i="34"/>
  <c r="Y418" i="34"/>
  <c r="Z418" i="34"/>
  <c r="N419" i="34"/>
  <c r="O419" i="34"/>
  <c r="P419" i="34"/>
  <c r="Q419" i="34"/>
  <c r="R419" i="34"/>
  <c r="S419" i="34"/>
  <c r="T419" i="34"/>
  <c r="U419" i="34"/>
  <c r="V419" i="34"/>
  <c r="W419" i="34"/>
  <c r="X419" i="34"/>
  <c r="Y419" i="34"/>
  <c r="Z419" i="34"/>
  <c r="N420" i="34"/>
  <c r="O420" i="34"/>
  <c r="P420" i="34"/>
  <c r="Q420" i="34"/>
  <c r="R420" i="34"/>
  <c r="S420" i="34"/>
  <c r="T420" i="34"/>
  <c r="U420" i="34"/>
  <c r="V420" i="34"/>
  <c r="W420" i="34"/>
  <c r="X420" i="34"/>
  <c r="Y420" i="34"/>
  <c r="Z420" i="34"/>
  <c r="N421" i="34"/>
  <c r="O421" i="34"/>
  <c r="P421" i="34"/>
  <c r="Q421" i="34"/>
  <c r="R421" i="34"/>
  <c r="S421" i="34"/>
  <c r="T421" i="34"/>
  <c r="U421" i="34"/>
  <c r="V421" i="34"/>
  <c r="W421" i="34"/>
  <c r="X421" i="34"/>
  <c r="Y421" i="34"/>
  <c r="Z421" i="34"/>
  <c r="N422" i="34"/>
  <c r="O422" i="34"/>
  <c r="P422" i="34"/>
  <c r="Q422" i="34"/>
  <c r="R422" i="34"/>
  <c r="S422" i="34"/>
  <c r="T422" i="34"/>
  <c r="U422" i="34"/>
  <c r="V422" i="34"/>
  <c r="W422" i="34"/>
  <c r="X422" i="34"/>
  <c r="Y422" i="34"/>
  <c r="Z422" i="34"/>
  <c r="N423" i="34"/>
  <c r="O423" i="34"/>
  <c r="P423" i="34"/>
  <c r="Q423" i="34"/>
  <c r="R423" i="34"/>
  <c r="S423" i="34"/>
  <c r="T423" i="34"/>
  <c r="U423" i="34"/>
  <c r="V423" i="34"/>
  <c r="W423" i="34"/>
  <c r="X423" i="34"/>
  <c r="Y423" i="34"/>
  <c r="Z423" i="34"/>
  <c r="N424" i="34"/>
  <c r="O424" i="34"/>
  <c r="P424" i="34"/>
  <c r="Q424" i="34"/>
  <c r="R424" i="34"/>
  <c r="S424" i="34"/>
  <c r="T424" i="34"/>
  <c r="U424" i="34"/>
  <c r="V424" i="34"/>
  <c r="W424" i="34"/>
  <c r="X424" i="34"/>
  <c r="Y424" i="34"/>
  <c r="Z424" i="34"/>
  <c r="N425" i="34"/>
  <c r="O425" i="34"/>
  <c r="P425" i="34"/>
  <c r="Q425" i="34"/>
  <c r="R425" i="34"/>
  <c r="S425" i="34"/>
  <c r="T425" i="34"/>
  <c r="U425" i="34"/>
  <c r="V425" i="34"/>
  <c r="W425" i="34"/>
  <c r="X425" i="34"/>
  <c r="Y425" i="34"/>
  <c r="Z425" i="34"/>
  <c r="N426" i="34"/>
  <c r="O426" i="34"/>
  <c r="P426" i="34"/>
  <c r="Q426" i="34"/>
  <c r="R426" i="34"/>
  <c r="S426" i="34"/>
  <c r="T426" i="34"/>
  <c r="U426" i="34"/>
  <c r="V426" i="34"/>
  <c r="W426" i="34"/>
  <c r="X426" i="34"/>
  <c r="Y426" i="34"/>
  <c r="Z426" i="34"/>
  <c r="N427" i="34"/>
  <c r="O427" i="34"/>
  <c r="P427" i="34"/>
  <c r="Q427" i="34"/>
  <c r="R427" i="34"/>
  <c r="S427" i="34"/>
  <c r="T427" i="34"/>
  <c r="U427" i="34"/>
  <c r="V427" i="34"/>
  <c r="W427" i="34"/>
  <c r="X427" i="34"/>
  <c r="Y427" i="34"/>
  <c r="Z427" i="34"/>
  <c r="N428" i="34"/>
  <c r="O428" i="34"/>
  <c r="P428" i="34"/>
  <c r="Q428" i="34"/>
  <c r="R428" i="34"/>
  <c r="S428" i="34"/>
  <c r="T428" i="34"/>
  <c r="U428" i="34"/>
  <c r="V428" i="34"/>
  <c r="W428" i="34"/>
  <c r="X428" i="34"/>
  <c r="Y428" i="34"/>
  <c r="Z428" i="34"/>
  <c r="N429" i="34"/>
  <c r="O429" i="34"/>
  <c r="P429" i="34"/>
  <c r="Q429" i="34"/>
  <c r="R429" i="34"/>
  <c r="S429" i="34"/>
  <c r="T429" i="34"/>
  <c r="U429" i="34"/>
  <c r="V429" i="34"/>
  <c r="W429" i="34"/>
  <c r="X429" i="34"/>
  <c r="Y429" i="34"/>
  <c r="Z429" i="34"/>
  <c r="N430" i="34"/>
  <c r="O430" i="34"/>
  <c r="P430" i="34"/>
  <c r="Q430" i="34"/>
  <c r="R430" i="34"/>
  <c r="S430" i="34"/>
  <c r="T430" i="34"/>
  <c r="U430" i="34"/>
  <c r="V430" i="34"/>
  <c r="W430" i="34"/>
  <c r="X430" i="34"/>
  <c r="Y430" i="34"/>
  <c r="Z430" i="34"/>
  <c r="N431" i="34"/>
  <c r="O431" i="34"/>
  <c r="P431" i="34"/>
  <c r="Q431" i="34"/>
  <c r="R431" i="34"/>
  <c r="S431" i="34"/>
  <c r="T431" i="34"/>
  <c r="U431" i="34"/>
  <c r="V431" i="34"/>
  <c r="W431" i="34"/>
  <c r="X431" i="34"/>
  <c r="Y431" i="34"/>
  <c r="Z431" i="34"/>
  <c r="N432" i="34"/>
  <c r="O432" i="34"/>
  <c r="P432" i="34"/>
  <c r="Q432" i="34"/>
  <c r="R432" i="34"/>
  <c r="S432" i="34"/>
  <c r="T432" i="34"/>
  <c r="U432" i="34"/>
  <c r="V432" i="34"/>
  <c r="W432" i="34"/>
  <c r="X432" i="34"/>
  <c r="Y432" i="34"/>
  <c r="Z432" i="34"/>
  <c r="N433" i="34"/>
  <c r="O433" i="34"/>
  <c r="P433" i="34"/>
  <c r="Q433" i="34"/>
  <c r="R433" i="34"/>
  <c r="S433" i="34"/>
  <c r="T433" i="34"/>
  <c r="U433" i="34"/>
  <c r="V433" i="34"/>
  <c r="W433" i="34"/>
  <c r="X433" i="34"/>
  <c r="Y433" i="34"/>
  <c r="Z433" i="34"/>
  <c r="N434" i="34"/>
  <c r="O434" i="34"/>
  <c r="P434" i="34"/>
  <c r="Q434" i="34"/>
  <c r="R434" i="34"/>
  <c r="S434" i="34"/>
  <c r="T434" i="34"/>
  <c r="U434" i="34"/>
  <c r="V434" i="34"/>
  <c r="W434" i="34"/>
  <c r="X434" i="34"/>
  <c r="Y434" i="34"/>
  <c r="Z434" i="34"/>
  <c r="N435" i="34"/>
  <c r="O435" i="34"/>
  <c r="P435" i="34"/>
  <c r="Q435" i="34"/>
  <c r="R435" i="34"/>
  <c r="S435" i="34"/>
  <c r="T435" i="34"/>
  <c r="U435" i="34"/>
  <c r="V435" i="34"/>
  <c r="W435" i="34"/>
  <c r="X435" i="34"/>
  <c r="Y435" i="34"/>
  <c r="Z435" i="34"/>
  <c r="N436" i="34"/>
  <c r="O436" i="34"/>
  <c r="P436" i="34"/>
  <c r="Q436" i="34"/>
  <c r="R436" i="34"/>
  <c r="S436" i="34"/>
  <c r="T436" i="34"/>
  <c r="U436" i="34"/>
  <c r="V436" i="34"/>
  <c r="W436" i="34"/>
  <c r="X436" i="34"/>
  <c r="Y436" i="34"/>
  <c r="Z436" i="34"/>
  <c r="N437" i="34"/>
  <c r="O437" i="34"/>
  <c r="P437" i="34"/>
  <c r="Q437" i="34"/>
  <c r="R437" i="34"/>
  <c r="S437" i="34"/>
  <c r="T437" i="34"/>
  <c r="U437" i="34"/>
  <c r="V437" i="34"/>
  <c r="W437" i="34"/>
  <c r="X437" i="34"/>
  <c r="Y437" i="34"/>
  <c r="Z437" i="34"/>
  <c r="N438" i="34"/>
  <c r="O438" i="34"/>
  <c r="P438" i="34"/>
  <c r="Q438" i="34"/>
  <c r="R438" i="34"/>
  <c r="S438" i="34"/>
  <c r="T438" i="34"/>
  <c r="U438" i="34"/>
  <c r="V438" i="34"/>
  <c r="W438" i="34"/>
  <c r="X438" i="34"/>
  <c r="Y438" i="34"/>
  <c r="Z438" i="34"/>
  <c r="N439" i="34"/>
  <c r="O439" i="34"/>
  <c r="P439" i="34"/>
  <c r="Q439" i="34"/>
  <c r="R439" i="34"/>
  <c r="S439" i="34"/>
  <c r="T439" i="34"/>
  <c r="U439" i="34"/>
  <c r="V439" i="34"/>
  <c r="W439" i="34"/>
  <c r="X439" i="34"/>
  <c r="Y439" i="34"/>
  <c r="Z439" i="34"/>
  <c r="N440" i="34"/>
  <c r="O440" i="34"/>
  <c r="P440" i="34"/>
  <c r="Q440" i="34"/>
  <c r="R440" i="34"/>
  <c r="S440" i="34"/>
  <c r="T440" i="34"/>
  <c r="U440" i="34"/>
  <c r="V440" i="34"/>
  <c r="W440" i="34"/>
  <c r="X440" i="34"/>
  <c r="Y440" i="34"/>
  <c r="Z440" i="34"/>
  <c r="N441" i="34"/>
  <c r="O441" i="34"/>
  <c r="P441" i="34"/>
  <c r="Q441" i="34"/>
  <c r="R441" i="34"/>
  <c r="S441" i="34"/>
  <c r="T441" i="34"/>
  <c r="U441" i="34"/>
  <c r="V441" i="34"/>
  <c r="W441" i="34"/>
  <c r="X441" i="34"/>
  <c r="Y441" i="34"/>
  <c r="Z441" i="34"/>
  <c r="N442" i="34"/>
  <c r="O442" i="34"/>
  <c r="P442" i="34"/>
  <c r="Q442" i="34"/>
  <c r="R442" i="34"/>
  <c r="S442" i="34"/>
  <c r="T442" i="34"/>
  <c r="U442" i="34"/>
  <c r="V442" i="34"/>
  <c r="W442" i="34"/>
  <c r="X442" i="34"/>
  <c r="Y442" i="34"/>
  <c r="Z442" i="34"/>
  <c r="N443" i="34"/>
  <c r="O443" i="34"/>
  <c r="P443" i="34"/>
  <c r="Q443" i="34"/>
  <c r="R443" i="34"/>
  <c r="S443" i="34"/>
  <c r="T443" i="34"/>
  <c r="U443" i="34"/>
  <c r="V443" i="34"/>
  <c r="W443" i="34"/>
  <c r="X443" i="34"/>
  <c r="Y443" i="34"/>
  <c r="Z443" i="34"/>
  <c r="N444" i="34"/>
  <c r="O444" i="34"/>
  <c r="P444" i="34"/>
  <c r="Q444" i="34"/>
  <c r="R444" i="34"/>
  <c r="S444" i="34"/>
  <c r="T444" i="34"/>
  <c r="U444" i="34"/>
  <c r="V444" i="34"/>
  <c r="W444" i="34"/>
  <c r="X444" i="34"/>
  <c r="Y444" i="34"/>
  <c r="Z444" i="34"/>
  <c r="N445" i="34"/>
  <c r="O445" i="34"/>
  <c r="P445" i="34"/>
  <c r="Q445" i="34"/>
  <c r="R445" i="34"/>
  <c r="S445" i="34"/>
  <c r="T445" i="34"/>
  <c r="U445" i="34"/>
  <c r="V445" i="34"/>
  <c r="W445" i="34"/>
  <c r="X445" i="34"/>
  <c r="Y445" i="34"/>
  <c r="Z445" i="34"/>
  <c r="N446" i="34"/>
  <c r="O446" i="34"/>
  <c r="P446" i="34"/>
  <c r="Q446" i="34"/>
  <c r="R446" i="34"/>
  <c r="S446" i="34"/>
  <c r="T446" i="34"/>
  <c r="U446" i="34"/>
  <c r="V446" i="34"/>
  <c r="W446" i="34"/>
  <c r="X446" i="34"/>
  <c r="Y446" i="34"/>
  <c r="Z446" i="34"/>
  <c r="N447" i="34"/>
  <c r="O447" i="34"/>
  <c r="P447" i="34"/>
  <c r="Q447" i="34"/>
  <c r="R447" i="34"/>
  <c r="S447" i="34"/>
  <c r="T447" i="34"/>
  <c r="U447" i="34"/>
  <c r="V447" i="34"/>
  <c r="W447" i="34"/>
  <c r="X447" i="34"/>
  <c r="Y447" i="34"/>
  <c r="Z447" i="34"/>
  <c r="N448" i="34"/>
  <c r="O448" i="34"/>
  <c r="P448" i="34"/>
  <c r="Q448" i="34"/>
  <c r="R448" i="34"/>
  <c r="S448" i="34"/>
  <c r="T448" i="34"/>
  <c r="U448" i="34"/>
  <c r="V448" i="34"/>
  <c r="W448" i="34"/>
  <c r="X448" i="34"/>
  <c r="Y448" i="34"/>
  <c r="Z448" i="34"/>
  <c r="N449" i="34"/>
  <c r="O449" i="34"/>
  <c r="P449" i="34"/>
  <c r="Q449" i="34"/>
  <c r="R449" i="34"/>
  <c r="S449" i="34"/>
  <c r="T449" i="34"/>
  <c r="U449" i="34"/>
  <c r="V449" i="34"/>
  <c r="W449" i="34"/>
  <c r="X449" i="34"/>
  <c r="Y449" i="34"/>
  <c r="Z449" i="34"/>
  <c r="N450" i="34"/>
  <c r="O450" i="34"/>
  <c r="P450" i="34"/>
  <c r="Q450" i="34"/>
  <c r="R450" i="34"/>
  <c r="S450" i="34"/>
  <c r="T450" i="34"/>
  <c r="U450" i="34"/>
  <c r="V450" i="34"/>
  <c r="W450" i="34"/>
  <c r="X450" i="34"/>
  <c r="Y450" i="34"/>
  <c r="Z450" i="34"/>
  <c r="N451" i="34"/>
  <c r="O451" i="34"/>
  <c r="P451" i="34"/>
  <c r="Q451" i="34"/>
  <c r="R451" i="34"/>
  <c r="S451" i="34"/>
  <c r="T451" i="34"/>
  <c r="U451" i="34"/>
  <c r="V451" i="34"/>
  <c r="W451" i="34"/>
  <c r="X451" i="34"/>
  <c r="Y451" i="34"/>
  <c r="Z451" i="34"/>
  <c r="N452" i="34"/>
  <c r="O452" i="34"/>
  <c r="P452" i="34"/>
  <c r="Q452" i="34"/>
  <c r="R452" i="34"/>
  <c r="S452" i="34"/>
  <c r="T452" i="34"/>
  <c r="U452" i="34"/>
  <c r="V452" i="34"/>
  <c r="W452" i="34"/>
  <c r="X452" i="34"/>
  <c r="Y452" i="34"/>
  <c r="Z452" i="34"/>
  <c r="N453" i="34"/>
  <c r="O453" i="34"/>
  <c r="P453" i="34"/>
  <c r="Q453" i="34"/>
  <c r="R453" i="34"/>
  <c r="S453" i="34"/>
  <c r="T453" i="34"/>
  <c r="U453" i="34"/>
  <c r="V453" i="34"/>
  <c r="W453" i="34"/>
  <c r="X453" i="34"/>
  <c r="Y453" i="34"/>
  <c r="Z453" i="34"/>
  <c r="N454" i="34"/>
  <c r="O454" i="34"/>
  <c r="P454" i="34"/>
  <c r="Q454" i="34"/>
  <c r="R454" i="34"/>
  <c r="S454" i="34"/>
  <c r="T454" i="34"/>
  <c r="U454" i="34"/>
  <c r="V454" i="34"/>
  <c r="W454" i="34"/>
  <c r="X454" i="34"/>
  <c r="Y454" i="34"/>
  <c r="Z454" i="34"/>
  <c r="N455" i="34"/>
  <c r="O455" i="34"/>
  <c r="P455" i="34"/>
  <c r="Q455" i="34"/>
  <c r="R455" i="34"/>
  <c r="S455" i="34"/>
  <c r="T455" i="34"/>
  <c r="U455" i="34"/>
  <c r="V455" i="34"/>
  <c r="W455" i="34"/>
  <c r="X455" i="34"/>
  <c r="Y455" i="34"/>
  <c r="Z455" i="34"/>
  <c r="N456" i="34"/>
  <c r="O456" i="34"/>
  <c r="P456" i="34"/>
  <c r="Q456" i="34"/>
  <c r="R456" i="34"/>
  <c r="S456" i="34"/>
  <c r="T456" i="34"/>
  <c r="U456" i="34"/>
  <c r="V456" i="34"/>
  <c r="W456" i="34"/>
  <c r="X456" i="34"/>
  <c r="Y456" i="34"/>
  <c r="Z456" i="34"/>
  <c r="N457" i="34"/>
  <c r="O457" i="34"/>
  <c r="P457" i="34"/>
  <c r="Q457" i="34"/>
  <c r="R457" i="34"/>
  <c r="S457" i="34"/>
  <c r="T457" i="34"/>
  <c r="U457" i="34"/>
  <c r="V457" i="34"/>
  <c r="W457" i="34"/>
  <c r="X457" i="34"/>
  <c r="Y457" i="34"/>
  <c r="Z457" i="34"/>
  <c r="N458" i="34"/>
  <c r="O458" i="34"/>
  <c r="P458" i="34"/>
  <c r="Q458" i="34"/>
  <c r="R458" i="34"/>
  <c r="S458" i="34"/>
  <c r="T458" i="34"/>
  <c r="U458" i="34"/>
  <c r="V458" i="34"/>
  <c r="W458" i="34"/>
  <c r="X458" i="34"/>
  <c r="Y458" i="34"/>
  <c r="Z458" i="34"/>
  <c r="N459" i="34"/>
  <c r="O459" i="34"/>
  <c r="P459" i="34"/>
  <c r="Q459" i="34"/>
  <c r="R459" i="34"/>
  <c r="S459" i="34"/>
  <c r="T459" i="34"/>
  <c r="U459" i="34"/>
  <c r="V459" i="34"/>
  <c r="W459" i="34"/>
  <c r="X459" i="34"/>
  <c r="Y459" i="34"/>
  <c r="Z459" i="34"/>
  <c r="N460" i="34"/>
  <c r="O460" i="34"/>
  <c r="P460" i="34"/>
  <c r="Q460" i="34"/>
  <c r="R460" i="34"/>
  <c r="S460" i="34"/>
  <c r="T460" i="34"/>
  <c r="U460" i="34"/>
  <c r="V460" i="34"/>
  <c r="W460" i="34"/>
  <c r="X460" i="34"/>
  <c r="Y460" i="34"/>
  <c r="Z460" i="34"/>
  <c r="N461" i="34"/>
  <c r="O461" i="34"/>
  <c r="P461" i="34"/>
  <c r="Q461" i="34"/>
  <c r="R461" i="34"/>
  <c r="S461" i="34"/>
  <c r="T461" i="34"/>
  <c r="U461" i="34"/>
  <c r="V461" i="34"/>
  <c r="W461" i="34"/>
  <c r="X461" i="34"/>
  <c r="Y461" i="34"/>
  <c r="Z461" i="34"/>
  <c r="N462" i="34"/>
  <c r="O462" i="34"/>
  <c r="P462" i="34"/>
  <c r="Q462" i="34"/>
  <c r="R462" i="34"/>
  <c r="S462" i="34"/>
  <c r="T462" i="34"/>
  <c r="U462" i="34"/>
  <c r="V462" i="34"/>
  <c r="W462" i="34"/>
  <c r="X462" i="34"/>
  <c r="Y462" i="34"/>
  <c r="Z462" i="34"/>
  <c r="N463" i="34"/>
  <c r="O463" i="34"/>
  <c r="P463" i="34"/>
  <c r="Q463" i="34"/>
  <c r="R463" i="34"/>
  <c r="S463" i="34"/>
  <c r="T463" i="34"/>
  <c r="U463" i="34"/>
  <c r="V463" i="34"/>
  <c r="W463" i="34"/>
  <c r="X463" i="34"/>
  <c r="Y463" i="34"/>
  <c r="Z463" i="34"/>
  <c r="N464" i="34"/>
  <c r="O464" i="34"/>
  <c r="P464" i="34"/>
  <c r="Q464" i="34"/>
  <c r="R464" i="34"/>
  <c r="S464" i="34"/>
  <c r="T464" i="34"/>
  <c r="U464" i="34"/>
  <c r="V464" i="34"/>
  <c r="W464" i="34"/>
  <c r="X464" i="34"/>
  <c r="Y464" i="34"/>
  <c r="Z464" i="34"/>
  <c r="N465" i="34"/>
  <c r="O465" i="34"/>
  <c r="P465" i="34"/>
  <c r="Q465" i="34"/>
  <c r="R465" i="34"/>
  <c r="S465" i="34"/>
  <c r="T465" i="34"/>
  <c r="U465" i="34"/>
  <c r="V465" i="34"/>
  <c r="W465" i="34"/>
  <c r="X465" i="34"/>
  <c r="Y465" i="34"/>
  <c r="Z465" i="34"/>
  <c r="N466" i="34"/>
  <c r="O466" i="34"/>
  <c r="P466" i="34"/>
  <c r="Q466" i="34"/>
  <c r="R466" i="34"/>
  <c r="S466" i="34"/>
  <c r="T466" i="34"/>
  <c r="U466" i="34"/>
  <c r="V466" i="34"/>
  <c r="W466" i="34"/>
  <c r="X466" i="34"/>
  <c r="Y466" i="34"/>
  <c r="Z466" i="34"/>
  <c r="N467" i="34"/>
  <c r="O467" i="34"/>
  <c r="P467" i="34"/>
  <c r="Q467" i="34"/>
  <c r="R467" i="34"/>
  <c r="S467" i="34"/>
  <c r="T467" i="34"/>
  <c r="U467" i="34"/>
  <c r="V467" i="34"/>
  <c r="W467" i="34"/>
  <c r="X467" i="34"/>
  <c r="Y467" i="34"/>
  <c r="Z467" i="34"/>
  <c r="N468" i="34"/>
  <c r="O468" i="34"/>
  <c r="P468" i="34"/>
  <c r="Q468" i="34"/>
  <c r="R468" i="34"/>
  <c r="S468" i="34"/>
  <c r="T468" i="34"/>
  <c r="U468" i="34"/>
  <c r="V468" i="34"/>
  <c r="W468" i="34"/>
  <c r="X468" i="34"/>
  <c r="Y468" i="34"/>
  <c r="Z468" i="34"/>
  <c r="N469" i="34"/>
  <c r="O469" i="34"/>
  <c r="P469" i="34"/>
  <c r="Q469" i="34"/>
  <c r="R469" i="34"/>
  <c r="S469" i="34"/>
  <c r="T469" i="34"/>
  <c r="U469" i="34"/>
  <c r="V469" i="34"/>
  <c r="W469" i="34"/>
  <c r="X469" i="34"/>
  <c r="Y469" i="34"/>
  <c r="Z469" i="34"/>
  <c r="N470" i="34"/>
  <c r="O470" i="34"/>
  <c r="P470" i="34"/>
  <c r="Q470" i="34"/>
  <c r="R470" i="34"/>
  <c r="S470" i="34"/>
  <c r="T470" i="34"/>
  <c r="U470" i="34"/>
  <c r="V470" i="34"/>
  <c r="W470" i="34"/>
  <c r="X470" i="34"/>
  <c r="Y470" i="34"/>
  <c r="Z470" i="34"/>
  <c r="N471" i="34"/>
  <c r="O471" i="34"/>
  <c r="P471" i="34"/>
  <c r="Q471" i="34"/>
  <c r="R471" i="34"/>
  <c r="S471" i="34"/>
  <c r="T471" i="34"/>
  <c r="U471" i="34"/>
  <c r="V471" i="34"/>
  <c r="W471" i="34"/>
  <c r="X471" i="34"/>
  <c r="Y471" i="34"/>
  <c r="Z471" i="34"/>
  <c r="N472" i="34"/>
  <c r="O472" i="34"/>
  <c r="P472" i="34"/>
  <c r="Q472" i="34"/>
  <c r="R472" i="34"/>
  <c r="S472" i="34"/>
  <c r="T472" i="34"/>
  <c r="U472" i="34"/>
  <c r="V472" i="34"/>
  <c r="W472" i="34"/>
  <c r="X472" i="34"/>
  <c r="Y472" i="34"/>
  <c r="Z472" i="34"/>
  <c r="N473" i="34"/>
  <c r="O473" i="34"/>
  <c r="P473" i="34"/>
  <c r="Q473" i="34"/>
  <c r="R473" i="34"/>
  <c r="S473" i="34"/>
  <c r="T473" i="34"/>
  <c r="U473" i="34"/>
  <c r="V473" i="34"/>
  <c r="W473" i="34"/>
  <c r="X473" i="34"/>
  <c r="Y473" i="34"/>
  <c r="Z473" i="34"/>
  <c r="N474" i="34"/>
  <c r="O474" i="34"/>
  <c r="P474" i="34"/>
  <c r="Q474" i="34"/>
  <c r="R474" i="34"/>
  <c r="S474" i="34"/>
  <c r="T474" i="34"/>
  <c r="U474" i="34"/>
  <c r="V474" i="34"/>
  <c r="W474" i="34"/>
  <c r="X474" i="34"/>
  <c r="Y474" i="34"/>
  <c r="Z474" i="34"/>
  <c r="N475" i="34"/>
  <c r="O475" i="34"/>
  <c r="P475" i="34"/>
  <c r="Q475" i="34"/>
  <c r="R475" i="34"/>
  <c r="S475" i="34"/>
  <c r="T475" i="34"/>
  <c r="U475" i="34"/>
  <c r="V475" i="34"/>
  <c r="W475" i="34"/>
  <c r="X475" i="34"/>
  <c r="Y475" i="34"/>
  <c r="Z475" i="34"/>
  <c r="N476" i="34"/>
  <c r="O476" i="34"/>
  <c r="P476" i="34"/>
  <c r="Q476" i="34"/>
  <c r="R476" i="34"/>
  <c r="S476" i="34"/>
  <c r="T476" i="34"/>
  <c r="U476" i="34"/>
  <c r="V476" i="34"/>
  <c r="W476" i="34"/>
  <c r="X476" i="34"/>
  <c r="Y476" i="34"/>
  <c r="Z476" i="34"/>
  <c r="N477" i="34"/>
  <c r="O477" i="34"/>
  <c r="P477" i="34"/>
  <c r="Q477" i="34"/>
  <c r="R477" i="34"/>
  <c r="S477" i="34"/>
  <c r="T477" i="34"/>
  <c r="U477" i="34"/>
  <c r="V477" i="34"/>
  <c r="W477" i="34"/>
  <c r="X477" i="34"/>
  <c r="Y477" i="34"/>
  <c r="Z477" i="34"/>
  <c r="N478" i="34"/>
  <c r="O478" i="34"/>
  <c r="P478" i="34"/>
  <c r="Q478" i="34"/>
  <c r="R478" i="34"/>
  <c r="S478" i="34"/>
  <c r="T478" i="34"/>
  <c r="U478" i="34"/>
  <c r="V478" i="34"/>
  <c r="W478" i="34"/>
  <c r="X478" i="34"/>
  <c r="Y478" i="34"/>
  <c r="Z478" i="34"/>
  <c r="N479" i="34"/>
  <c r="O479" i="34"/>
  <c r="P479" i="34"/>
  <c r="Q479" i="34"/>
  <c r="R479" i="34"/>
  <c r="S479" i="34"/>
  <c r="T479" i="34"/>
  <c r="U479" i="34"/>
  <c r="V479" i="34"/>
  <c r="W479" i="34"/>
  <c r="X479" i="34"/>
  <c r="Y479" i="34"/>
  <c r="Z479" i="34"/>
  <c r="N480" i="34"/>
  <c r="O480" i="34"/>
  <c r="P480" i="34"/>
  <c r="Q480" i="34"/>
  <c r="R480" i="34"/>
  <c r="S480" i="34"/>
  <c r="T480" i="34"/>
  <c r="U480" i="34"/>
  <c r="V480" i="34"/>
  <c r="W480" i="34"/>
  <c r="X480" i="34"/>
  <c r="Y480" i="34"/>
  <c r="Z480" i="34"/>
  <c r="N481" i="34"/>
  <c r="O481" i="34"/>
  <c r="P481" i="34"/>
  <c r="Q481" i="34"/>
  <c r="R481" i="34"/>
  <c r="S481" i="34"/>
  <c r="T481" i="34"/>
  <c r="U481" i="34"/>
  <c r="V481" i="34"/>
  <c r="W481" i="34"/>
  <c r="X481" i="34"/>
  <c r="Y481" i="34"/>
  <c r="Z481" i="34"/>
  <c r="N482" i="34"/>
  <c r="O482" i="34"/>
  <c r="P482" i="34"/>
  <c r="Q482" i="34"/>
  <c r="R482" i="34"/>
  <c r="S482" i="34"/>
  <c r="T482" i="34"/>
  <c r="U482" i="34"/>
  <c r="V482" i="34"/>
  <c r="W482" i="34"/>
  <c r="X482" i="34"/>
  <c r="Y482" i="34"/>
  <c r="Z482" i="34"/>
  <c r="N483" i="34"/>
  <c r="O483" i="34"/>
  <c r="P483" i="34"/>
  <c r="Q483" i="34"/>
  <c r="R483" i="34"/>
  <c r="S483" i="34"/>
  <c r="T483" i="34"/>
  <c r="U483" i="34"/>
  <c r="V483" i="34"/>
  <c r="W483" i="34"/>
  <c r="X483" i="34"/>
  <c r="Y483" i="34"/>
  <c r="Z483" i="34"/>
  <c r="N484" i="34"/>
  <c r="O484" i="34"/>
  <c r="P484" i="34"/>
  <c r="Q484" i="34"/>
  <c r="R484" i="34"/>
  <c r="S484" i="34"/>
  <c r="T484" i="34"/>
  <c r="U484" i="34"/>
  <c r="V484" i="34"/>
  <c r="W484" i="34"/>
  <c r="X484" i="34"/>
  <c r="Y484" i="34"/>
  <c r="Z484" i="34"/>
  <c r="N485" i="34"/>
  <c r="O485" i="34"/>
  <c r="P485" i="34"/>
  <c r="Q485" i="34"/>
  <c r="R485" i="34"/>
  <c r="S485" i="34"/>
  <c r="T485" i="34"/>
  <c r="U485" i="34"/>
  <c r="V485" i="34"/>
  <c r="W485" i="34"/>
  <c r="X485" i="34"/>
  <c r="Y485" i="34"/>
  <c r="Z485" i="34"/>
  <c r="N486" i="34"/>
  <c r="O486" i="34"/>
  <c r="P486" i="34"/>
  <c r="Q486" i="34"/>
  <c r="R486" i="34"/>
  <c r="S486" i="34"/>
  <c r="T486" i="34"/>
  <c r="U486" i="34"/>
  <c r="V486" i="34"/>
  <c r="W486" i="34"/>
  <c r="X486" i="34"/>
  <c r="Y486" i="34"/>
  <c r="Z486" i="34"/>
  <c r="N487" i="34"/>
  <c r="O487" i="34"/>
  <c r="P487" i="34"/>
  <c r="Q487" i="34"/>
  <c r="R487" i="34"/>
  <c r="S487" i="34"/>
  <c r="T487" i="34"/>
  <c r="U487" i="34"/>
  <c r="V487" i="34"/>
  <c r="W487" i="34"/>
  <c r="X487" i="34"/>
  <c r="Y487" i="34"/>
  <c r="Z487" i="34"/>
  <c r="N488" i="34"/>
  <c r="O488" i="34"/>
  <c r="P488" i="34"/>
  <c r="Q488" i="34"/>
  <c r="R488" i="34"/>
  <c r="S488" i="34"/>
  <c r="T488" i="34"/>
  <c r="U488" i="34"/>
  <c r="V488" i="34"/>
  <c r="W488" i="34"/>
  <c r="X488" i="34"/>
  <c r="Y488" i="34"/>
  <c r="Z488" i="34"/>
  <c r="N489" i="34"/>
  <c r="O489" i="34"/>
  <c r="P489" i="34"/>
  <c r="Q489" i="34"/>
  <c r="R489" i="34"/>
  <c r="S489" i="34"/>
  <c r="T489" i="34"/>
  <c r="U489" i="34"/>
  <c r="V489" i="34"/>
  <c r="W489" i="34"/>
  <c r="X489" i="34"/>
  <c r="Y489" i="34"/>
  <c r="Z489" i="34"/>
  <c r="N490" i="34"/>
  <c r="O490" i="34"/>
  <c r="P490" i="34"/>
  <c r="Q490" i="34"/>
  <c r="R490" i="34"/>
  <c r="S490" i="34"/>
  <c r="T490" i="34"/>
  <c r="U490" i="34"/>
  <c r="V490" i="34"/>
  <c r="W490" i="34"/>
  <c r="X490" i="34"/>
  <c r="Y490" i="34"/>
  <c r="Z490" i="34"/>
  <c r="N491" i="34"/>
  <c r="O491" i="34"/>
  <c r="P491" i="34"/>
  <c r="Q491" i="34"/>
  <c r="R491" i="34"/>
  <c r="S491" i="34"/>
  <c r="T491" i="34"/>
  <c r="U491" i="34"/>
  <c r="V491" i="34"/>
  <c r="W491" i="34"/>
  <c r="X491" i="34"/>
  <c r="Y491" i="34"/>
  <c r="Z491" i="34"/>
  <c r="N492" i="34"/>
  <c r="O492" i="34"/>
  <c r="P492" i="34"/>
  <c r="Q492" i="34"/>
  <c r="R492" i="34"/>
  <c r="S492" i="34"/>
  <c r="T492" i="34"/>
  <c r="U492" i="34"/>
  <c r="V492" i="34"/>
  <c r="W492" i="34"/>
  <c r="X492" i="34"/>
  <c r="Y492" i="34"/>
  <c r="Z492" i="34"/>
  <c r="N493" i="34"/>
  <c r="O493" i="34"/>
  <c r="P493" i="34"/>
  <c r="Q493" i="34"/>
  <c r="R493" i="34"/>
  <c r="S493" i="34"/>
  <c r="T493" i="34"/>
  <c r="U493" i="34"/>
  <c r="V493" i="34"/>
  <c r="W493" i="34"/>
  <c r="X493" i="34"/>
  <c r="Y493" i="34"/>
  <c r="Z493" i="34"/>
  <c r="N494" i="34"/>
  <c r="O494" i="34"/>
  <c r="P494" i="34"/>
  <c r="Q494" i="34"/>
  <c r="R494" i="34"/>
  <c r="S494" i="34"/>
  <c r="T494" i="34"/>
  <c r="U494" i="34"/>
  <c r="V494" i="34"/>
  <c r="W494" i="34"/>
  <c r="X494" i="34"/>
  <c r="Y494" i="34"/>
  <c r="Z494" i="34"/>
  <c r="N495" i="34"/>
  <c r="O495" i="34"/>
  <c r="P495" i="34"/>
  <c r="Q495" i="34"/>
  <c r="R495" i="34"/>
  <c r="S495" i="34"/>
  <c r="T495" i="34"/>
  <c r="U495" i="34"/>
  <c r="V495" i="34"/>
  <c r="W495" i="34"/>
  <c r="X495" i="34"/>
  <c r="Y495" i="34"/>
  <c r="Z495" i="34"/>
  <c r="N496" i="34"/>
  <c r="O496" i="34"/>
  <c r="P496" i="34"/>
  <c r="Q496" i="34"/>
  <c r="R496" i="34"/>
  <c r="S496" i="34"/>
  <c r="T496" i="34"/>
  <c r="U496" i="34"/>
  <c r="V496" i="34"/>
  <c r="W496" i="34"/>
  <c r="X496" i="34"/>
  <c r="Y496" i="34"/>
  <c r="Z496" i="34"/>
  <c r="N497" i="34"/>
  <c r="O497" i="34"/>
  <c r="P497" i="34"/>
  <c r="Q497" i="34"/>
  <c r="R497" i="34"/>
  <c r="S497" i="34"/>
  <c r="T497" i="34"/>
  <c r="U497" i="34"/>
  <c r="V497" i="34"/>
  <c r="W497" i="34"/>
  <c r="X497" i="34"/>
  <c r="Y497" i="34"/>
  <c r="Z497" i="34"/>
  <c r="N498" i="34"/>
  <c r="O498" i="34"/>
  <c r="P498" i="34"/>
  <c r="Q498" i="34"/>
  <c r="R498" i="34"/>
  <c r="S498" i="34"/>
  <c r="T498" i="34"/>
  <c r="U498" i="34"/>
  <c r="V498" i="34"/>
  <c r="W498" i="34"/>
  <c r="X498" i="34"/>
  <c r="Y498" i="34"/>
  <c r="Z498" i="34"/>
  <c r="N499" i="34"/>
  <c r="O499" i="34"/>
  <c r="P499" i="34"/>
  <c r="Q499" i="34"/>
  <c r="R499" i="34"/>
  <c r="S499" i="34"/>
  <c r="T499" i="34"/>
  <c r="U499" i="34"/>
  <c r="V499" i="34"/>
  <c r="W499" i="34"/>
  <c r="X499" i="34"/>
  <c r="Y499" i="34"/>
  <c r="Z499" i="34"/>
  <c r="N500" i="34"/>
  <c r="O500" i="34"/>
  <c r="P500" i="34"/>
  <c r="Q500" i="34"/>
  <c r="R500" i="34"/>
  <c r="S500" i="34"/>
  <c r="T500" i="34"/>
  <c r="U500" i="34"/>
  <c r="V500" i="34"/>
  <c r="W500" i="34"/>
  <c r="X500" i="34"/>
  <c r="Y500" i="34"/>
  <c r="Z500" i="34"/>
  <c r="N501" i="34"/>
  <c r="O501" i="34"/>
  <c r="P501" i="34"/>
  <c r="Q501" i="34"/>
  <c r="R501" i="34"/>
  <c r="S501" i="34"/>
  <c r="T501" i="34"/>
  <c r="U501" i="34"/>
  <c r="V501" i="34"/>
  <c r="W501" i="34"/>
  <c r="X501" i="34"/>
  <c r="Y501" i="34"/>
  <c r="Z501" i="34"/>
  <c r="N502" i="34"/>
  <c r="O502" i="34"/>
  <c r="P502" i="34"/>
  <c r="Q502" i="34"/>
  <c r="R502" i="34"/>
  <c r="S502" i="34"/>
  <c r="T502" i="34"/>
  <c r="U502" i="34"/>
  <c r="V502" i="34"/>
  <c r="W502" i="34"/>
  <c r="X502" i="34"/>
  <c r="Y502" i="34"/>
  <c r="Z502" i="34"/>
  <c r="N503" i="34"/>
  <c r="O503" i="34"/>
  <c r="P503" i="34"/>
  <c r="Q503" i="34"/>
  <c r="R503" i="34"/>
  <c r="S503" i="34"/>
  <c r="T503" i="34"/>
  <c r="U503" i="34"/>
  <c r="V503" i="34"/>
  <c r="W503" i="34"/>
  <c r="X503" i="34"/>
  <c r="Y503" i="34"/>
  <c r="Z503" i="34"/>
  <c r="N504" i="34"/>
  <c r="O504" i="34"/>
  <c r="P504" i="34"/>
  <c r="Q504" i="34"/>
  <c r="R504" i="34"/>
  <c r="S504" i="34"/>
  <c r="T504" i="34"/>
  <c r="U504" i="34"/>
  <c r="V504" i="34"/>
  <c r="W504" i="34"/>
  <c r="X504" i="34"/>
  <c r="Y504" i="34"/>
  <c r="Z504" i="34"/>
  <c r="N505" i="34"/>
  <c r="O505" i="34"/>
  <c r="P505" i="34"/>
  <c r="Q505" i="34"/>
  <c r="R505" i="34"/>
  <c r="S505" i="34"/>
  <c r="T505" i="34"/>
  <c r="U505" i="34"/>
  <c r="V505" i="34"/>
  <c r="W505" i="34"/>
  <c r="X505" i="34"/>
  <c r="Y505" i="34"/>
  <c r="Z505" i="34"/>
  <c r="N506" i="34"/>
  <c r="O506" i="34"/>
  <c r="P506" i="34"/>
  <c r="Q506" i="34"/>
  <c r="R506" i="34"/>
  <c r="S506" i="34"/>
  <c r="T506" i="34"/>
  <c r="U506" i="34"/>
  <c r="V506" i="34"/>
  <c r="W506" i="34"/>
  <c r="X506" i="34"/>
  <c r="Y506" i="34"/>
  <c r="Z506" i="34"/>
  <c r="N507" i="34"/>
  <c r="O507" i="34"/>
  <c r="P507" i="34"/>
  <c r="Q507" i="34"/>
  <c r="R507" i="34"/>
  <c r="S507" i="34"/>
  <c r="T507" i="34"/>
  <c r="U507" i="34"/>
  <c r="V507" i="34"/>
  <c r="W507" i="34"/>
  <c r="X507" i="34"/>
  <c r="Y507" i="34"/>
  <c r="Z507" i="34"/>
  <c r="N508" i="34"/>
  <c r="O508" i="34"/>
  <c r="P508" i="34"/>
  <c r="Q508" i="34"/>
  <c r="R508" i="34"/>
  <c r="S508" i="34"/>
  <c r="T508" i="34"/>
  <c r="U508" i="34"/>
  <c r="V508" i="34"/>
  <c r="W508" i="34"/>
  <c r="X508" i="34"/>
  <c r="Y508" i="34"/>
  <c r="Z508" i="34"/>
  <c r="N509" i="34"/>
  <c r="O509" i="34"/>
  <c r="P509" i="34"/>
  <c r="Q509" i="34"/>
  <c r="R509" i="34"/>
  <c r="S509" i="34"/>
  <c r="T509" i="34"/>
  <c r="U509" i="34"/>
  <c r="V509" i="34"/>
  <c r="W509" i="34"/>
  <c r="X509" i="34"/>
  <c r="Y509" i="34"/>
  <c r="Z509" i="34"/>
  <c r="N510" i="34"/>
  <c r="O510" i="34"/>
  <c r="P510" i="34"/>
  <c r="Q510" i="34"/>
  <c r="R510" i="34"/>
  <c r="S510" i="34"/>
  <c r="T510" i="34"/>
  <c r="U510" i="34"/>
  <c r="V510" i="34"/>
  <c r="W510" i="34"/>
  <c r="X510" i="34"/>
  <c r="Y510" i="34"/>
  <c r="Z510" i="34"/>
  <c r="N511" i="34"/>
  <c r="O511" i="34"/>
  <c r="P511" i="34"/>
  <c r="Q511" i="34"/>
  <c r="R511" i="34"/>
  <c r="S511" i="34"/>
  <c r="T511" i="34"/>
  <c r="U511" i="34"/>
  <c r="V511" i="34"/>
  <c r="W511" i="34"/>
  <c r="X511" i="34"/>
  <c r="Y511" i="34"/>
  <c r="Z511" i="34"/>
  <c r="N512" i="34"/>
  <c r="O512" i="34"/>
  <c r="P512" i="34"/>
  <c r="Q512" i="34"/>
  <c r="R512" i="34"/>
  <c r="S512" i="34"/>
  <c r="T512" i="34"/>
  <c r="U512" i="34"/>
  <c r="V512" i="34"/>
  <c r="W512" i="34"/>
  <c r="X512" i="34"/>
  <c r="Y512" i="34"/>
  <c r="Z512" i="34"/>
  <c r="N513" i="34"/>
  <c r="O513" i="34"/>
  <c r="P513" i="34"/>
  <c r="Q513" i="34"/>
  <c r="R513" i="34"/>
  <c r="S513" i="34"/>
  <c r="T513" i="34"/>
  <c r="U513" i="34"/>
  <c r="V513" i="34"/>
  <c r="W513" i="34"/>
  <c r="X513" i="34"/>
  <c r="Y513" i="34"/>
  <c r="Z513" i="34"/>
  <c r="N514" i="34"/>
  <c r="O514" i="34"/>
  <c r="P514" i="34"/>
  <c r="Q514" i="34"/>
  <c r="R514" i="34"/>
  <c r="S514" i="34"/>
  <c r="T514" i="34"/>
  <c r="U514" i="34"/>
  <c r="V514" i="34"/>
  <c r="W514" i="34"/>
  <c r="X514" i="34"/>
  <c r="Y514" i="34"/>
  <c r="Z514" i="34"/>
  <c r="N515" i="34"/>
  <c r="O515" i="34"/>
  <c r="P515" i="34"/>
  <c r="Q515" i="34"/>
  <c r="R515" i="34"/>
  <c r="S515" i="34"/>
  <c r="T515" i="34"/>
  <c r="U515" i="34"/>
  <c r="V515" i="34"/>
  <c r="W515" i="34"/>
  <c r="X515" i="34"/>
  <c r="Y515" i="34"/>
  <c r="Z515" i="34"/>
  <c r="N516" i="34"/>
  <c r="O516" i="34"/>
  <c r="P516" i="34"/>
  <c r="Q516" i="34"/>
  <c r="R516" i="34"/>
  <c r="S516" i="34"/>
  <c r="T516" i="34"/>
  <c r="U516" i="34"/>
  <c r="V516" i="34"/>
  <c r="W516" i="34"/>
  <c r="X516" i="34"/>
  <c r="Y516" i="34"/>
  <c r="Z516" i="34"/>
  <c r="N517" i="34"/>
  <c r="O517" i="34"/>
  <c r="P517" i="34"/>
  <c r="Q517" i="34"/>
  <c r="R517" i="34"/>
  <c r="S517" i="34"/>
  <c r="T517" i="34"/>
  <c r="U517" i="34"/>
  <c r="V517" i="34"/>
  <c r="W517" i="34"/>
  <c r="X517" i="34"/>
  <c r="Y517" i="34"/>
  <c r="Z517" i="34"/>
  <c r="N518" i="34"/>
  <c r="O518" i="34"/>
  <c r="P518" i="34"/>
  <c r="Q518" i="34"/>
  <c r="R518" i="34"/>
  <c r="S518" i="34"/>
  <c r="T518" i="34"/>
  <c r="U518" i="34"/>
  <c r="V518" i="34"/>
  <c r="W518" i="34"/>
  <c r="X518" i="34"/>
  <c r="Y518" i="34"/>
  <c r="Z518" i="34"/>
  <c r="N519" i="34"/>
  <c r="O519" i="34"/>
  <c r="P519" i="34"/>
  <c r="Q519" i="34"/>
  <c r="R519" i="34"/>
  <c r="S519" i="34"/>
  <c r="T519" i="34"/>
  <c r="U519" i="34"/>
  <c r="V519" i="34"/>
  <c r="W519" i="34"/>
  <c r="X519" i="34"/>
  <c r="Y519" i="34"/>
  <c r="Z519" i="34"/>
  <c r="N520" i="34"/>
  <c r="O520" i="34"/>
  <c r="P520" i="34"/>
  <c r="Q520" i="34"/>
  <c r="R520" i="34"/>
  <c r="S520" i="34"/>
  <c r="T520" i="34"/>
  <c r="U520" i="34"/>
  <c r="V520" i="34"/>
  <c r="W520" i="34"/>
  <c r="X520" i="34"/>
  <c r="Y520" i="34"/>
  <c r="Z520" i="34"/>
  <c r="N521" i="34"/>
  <c r="O521" i="34"/>
  <c r="P521" i="34"/>
  <c r="Q521" i="34"/>
  <c r="R521" i="34"/>
  <c r="S521" i="34"/>
  <c r="T521" i="34"/>
  <c r="U521" i="34"/>
  <c r="V521" i="34"/>
  <c r="W521" i="34"/>
  <c r="X521" i="34"/>
  <c r="Y521" i="34"/>
  <c r="Z521" i="34"/>
  <c r="N522" i="34"/>
  <c r="O522" i="34"/>
  <c r="P522" i="34"/>
  <c r="Q522" i="34"/>
  <c r="R522" i="34"/>
  <c r="S522" i="34"/>
  <c r="T522" i="34"/>
  <c r="U522" i="34"/>
  <c r="V522" i="34"/>
  <c r="W522" i="34"/>
  <c r="X522" i="34"/>
  <c r="Y522" i="34"/>
  <c r="Z522" i="34"/>
  <c r="N523" i="34"/>
  <c r="O523" i="34"/>
  <c r="P523" i="34"/>
  <c r="Q523" i="34"/>
  <c r="R523" i="34"/>
  <c r="S523" i="34"/>
  <c r="T523" i="34"/>
  <c r="U523" i="34"/>
  <c r="V523" i="34"/>
  <c r="W523" i="34"/>
  <c r="X523" i="34"/>
  <c r="Y523" i="34"/>
  <c r="Z523" i="34"/>
  <c r="N524" i="34"/>
  <c r="O524" i="34"/>
  <c r="P524" i="34"/>
  <c r="Q524" i="34"/>
  <c r="R524" i="34"/>
  <c r="S524" i="34"/>
  <c r="T524" i="34"/>
  <c r="U524" i="34"/>
  <c r="V524" i="34"/>
  <c r="W524" i="34"/>
  <c r="X524" i="34"/>
  <c r="Y524" i="34"/>
  <c r="Z524" i="34"/>
  <c r="N525" i="34"/>
  <c r="O525" i="34"/>
  <c r="P525" i="34"/>
  <c r="Q525" i="34"/>
  <c r="R525" i="34"/>
  <c r="S525" i="34"/>
  <c r="T525" i="34"/>
  <c r="U525" i="34"/>
  <c r="V525" i="34"/>
  <c r="W525" i="34"/>
  <c r="X525" i="34"/>
  <c r="Y525" i="34"/>
  <c r="Z525" i="34"/>
  <c r="N526" i="34"/>
  <c r="O526" i="34"/>
  <c r="P526" i="34"/>
  <c r="Q526" i="34"/>
  <c r="R526" i="34"/>
  <c r="S526" i="34"/>
  <c r="T526" i="34"/>
  <c r="U526" i="34"/>
  <c r="V526" i="34"/>
  <c r="W526" i="34"/>
  <c r="X526" i="34"/>
  <c r="Y526" i="34"/>
  <c r="Z526" i="34"/>
  <c r="N527" i="34"/>
  <c r="O527" i="34"/>
  <c r="P527" i="34"/>
  <c r="Q527" i="34"/>
  <c r="R527" i="34"/>
  <c r="S527" i="34"/>
  <c r="T527" i="34"/>
  <c r="U527" i="34"/>
  <c r="V527" i="34"/>
  <c r="W527" i="34"/>
  <c r="X527" i="34"/>
  <c r="Y527" i="34"/>
  <c r="Z527" i="34"/>
  <c r="N528" i="34"/>
  <c r="O528" i="34"/>
  <c r="P528" i="34"/>
  <c r="Q528" i="34"/>
  <c r="R528" i="34"/>
  <c r="S528" i="34"/>
  <c r="T528" i="34"/>
  <c r="U528" i="34"/>
  <c r="V528" i="34"/>
  <c r="W528" i="34"/>
  <c r="X528" i="34"/>
  <c r="Y528" i="34"/>
  <c r="Z528" i="34"/>
  <c r="N529" i="34"/>
  <c r="O529" i="34"/>
  <c r="P529" i="34"/>
  <c r="Q529" i="34"/>
  <c r="R529" i="34"/>
  <c r="S529" i="34"/>
  <c r="T529" i="34"/>
  <c r="U529" i="34"/>
  <c r="V529" i="34"/>
  <c r="W529" i="34"/>
  <c r="X529" i="34"/>
  <c r="Y529" i="34"/>
  <c r="Z529" i="34"/>
  <c r="N530" i="34"/>
  <c r="O530" i="34"/>
  <c r="P530" i="34"/>
  <c r="Q530" i="34"/>
  <c r="R530" i="34"/>
  <c r="S530" i="34"/>
  <c r="T530" i="34"/>
  <c r="U530" i="34"/>
  <c r="V530" i="34"/>
  <c r="W530" i="34"/>
  <c r="X530" i="34"/>
  <c r="Y530" i="34"/>
  <c r="Z530" i="34"/>
  <c r="N531" i="34"/>
  <c r="O531" i="34"/>
  <c r="P531" i="34"/>
  <c r="Q531" i="34"/>
  <c r="R531" i="34"/>
  <c r="S531" i="34"/>
  <c r="T531" i="34"/>
  <c r="U531" i="34"/>
  <c r="V531" i="34"/>
  <c r="W531" i="34"/>
  <c r="X531" i="34"/>
  <c r="Y531" i="34"/>
  <c r="Z531" i="34"/>
  <c r="N532" i="34"/>
  <c r="O532" i="34"/>
  <c r="P532" i="34"/>
  <c r="Q532" i="34"/>
  <c r="R532" i="34"/>
  <c r="S532" i="34"/>
  <c r="T532" i="34"/>
  <c r="U532" i="34"/>
  <c r="V532" i="34"/>
  <c r="W532" i="34"/>
  <c r="X532" i="34"/>
  <c r="Y532" i="34"/>
  <c r="Z532" i="34"/>
  <c r="N533" i="34"/>
  <c r="O533" i="34"/>
  <c r="P533" i="34"/>
  <c r="Q533" i="34"/>
  <c r="R533" i="34"/>
  <c r="S533" i="34"/>
  <c r="T533" i="34"/>
  <c r="U533" i="34"/>
  <c r="V533" i="34"/>
  <c r="W533" i="34"/>
  <c r="X533" i="34"/>
  <c r="Y533" i="34"/>
  <c r="Z533" i="34"/>
  <c r="N534" i="34"/>
  <c r="O534" i="34"/>
  <c r="P534" i="34"/>
  <c r="Q534" i="34"/>
  <c r="R534" i="34"/>
  <c r="S534" i="34"/>
  <c r="T534" i="34"/>
  <c r="U534" i="34"/>
  <c r="V534" i="34"/>
  <c r="W534" i="34"/>
  <c r="X534" i="34"/>
  <c r="Y534" i="34"/>
  <c r="Z534" i="34"/>
  <c r="N535" i="34"/>
  <c r="O535" i="34"/>
  <c r="P535" i="34"/>
  <c r="Q535" i="34"/>
  <c r="R535" i="34"/>
  <c r="S535" i="34"/>
  <c r="T535" i="34"/>
  <c r="U535" i="34"/>
  <c r="V535" i="34"/>
  <c r="W535" i="34"/>
  <c r="X535" i="34"/>
  <c r="Y535" i="34"/>
  <c r="Z535" i="34"/>
  <c r="N536" i="34"/>
  <c r="O536" i="34"/>
  <c r="P536" i="34"/>
  <c r="Q536" i="34"/>
  <c r="R536" i="34"/>
  <c r="S536" i="34"/>
  <c r="T536" i="34"/>
  <c r="U536" i="34"/>
  <c r="V536" i="34"/>
  <c r="W536" i="34"/>
  <c r="X536" i="34"/>
  <c r="Y536" i="34"/>
  <c r="Z536" i="34"/>
  <c r="N537" i="34"/>
  <c r="O537" i="34"/>
  <c r="P537" i="34"/>
  <c r="Q537" i="34"/>
  <c r="R537" i="34"/>
  <c r="S537" i="34"/>
  <c r="T537" i="34"/>
  <c r="U537" i="34"/>
  <c r="V537" i="34"/>
  <c r="W537" i="34"/>
  <c r="X537" i="34"/>
  <c r="Y537" i="34"/>
  <c r="Z537" i="34"/>
  <c r="N538" i="34"/>
  <c r="O538" i="34"/>
  <c r="P538" i="34"/>
  <c r="Q538" i="34"/>
  <c r="R538" i="34"/>
  <c r="S538" i="34"/>
  <c r="T538" i="34"/>
  <c r="U538" i="34"/>
  <c r="V538" i="34"/>
  <c r="W538" i="34"/>
  <c r="X538" i="34"/>
  <c r="Y538" i="34"/>
  <c r="Z538" i="34"/>
  <c r="N539" i="34"/>
  <c r="O539" i="34"/>
  <c r="P539" i="34"/>
  <c r="Q539" i="34"/>
  <c r="R539" i="34"/>
  <c r="S539" i="34"/>
  <c r="T539" i="34"/>
  <c r="U539" i="34"/>
  <c r="V539" i="34"/>
  <c r="W539" i="34"/>
  <c r="X539" i="34"/>
  <c r="Y539" i="34"/>
  <c r="Z539" i="34"/>
  <c r="N540" i="34"/>
  <c r="O540" i="34"/>
  <c r="P540" i="34"/>
  <c r="Q540" i="34"/>
  <c r="R540" i="34"/>
  <c r="S540" i="34"/>
  <c r="T540" i="34"/>
  <c r="U540" i="34"/>
  <c r="V540" i="34"/>
  <c r="W540" i="34"/>
  <c r="X540" i="34"/>
  <c r="Y540" i="34"/>
  <c r="Z540" i="34"/>
  <c r="N541" i="34"/>
  <c r="O541" i="34"/>
  <c r="P541" i="34"/>
  <c r="Q541" i="34"/>
  <c r="R541" i="34"/>
  <c r="S541" i="34"/>
  <c r="T541" i="34"/>
  <c r="U541" i="34"/>
  <c r="V541" i="34"/>
  <c r="W541" i="34"/>
  <c r="X541" i="34"/>
  <c r="Y541" i="34"/>
  <c r="Z541" i="34"/>
  <c r="N542" i="34"/>
  <c r="O542" i="34"/>
  <c r="P542" i="34"/>
  <c r="Q542" i="34"/>
  <c r="R542" i="34"/>
  <c r="S542" i="34"/>
  <c r="T542" i="34"/>
  <c r="U542" i="34"/>
  <c r="V542" i="34"/>
  <c r="W542" i="34"/>
  <c r="X542" i="34"/>
  <c r="Y542" i="34"/>
  <c r="Z542" i="34"/>
  <c r="N543" i="34"/>
  <c r="O543" i="34"/>
  <c r="P543" i="34"/>
  <c r="Q543" i="34"/>
  <c r="R543" i="34"/>
  <c r="S543" i="34"/>
  <c r="T543" i="34"/>
  <c r="U543" i="34"/>
  <c r="V543" i="34"/>
  <c r="W543" i="34"/>
  <c r="X543" i="34"/>
  <c r="Y543" i="34"/>
  <c r="Z543" i="34"/>
  <c r="N544" i="34"/>
  <c r="O544" i="34"/>
  <c r="P544" i="34"/>
  <c r="Q544" i="34"/>
  <c r="R544" i="34"/>
  <c r="S544" i="34"/>
  <c r="T544" i="34"/>
  <c r="U544" i="34"/>
  <c r="V544" i="34"/>
  <c r="W544" i="34"/>
  <c r="X544" i="34"/>
  <c r="Y544" i="34"/>
  <c r="Z544" i="34"/>
  <c r="N545" i="34"/>
  <c r="O545" i="34"/>
  <c r="P545" i="34"/>
  <c r="Q545" i="34"/>
  <c r="R545" i="34"/>
  <c r="S545" i="34"/>
  <c r="T545" i="34"/>
  <c r="U545" i="34"/>
  <c r="V545" i="34"/>
  <c r="W545" i="34"/>
  <c r="X545" i="34"/>
  <c r="Y545" i="34"/>
  <c r="Z545" i="34"/>
  <c r="N546" i="34"/>
  <c r="O546" i="34"/>
  <c r="P546" i="34"/>
  <c r="Q546" i="34"/>
  <c r="R546" i="34"/>
  <c r="S546" i="34"/>
  <c r="T546" i="34"/>
  <c r="U546" i="34"/>
  <c r="V546" i="34"/>
  <c r="W546" i="34"/>
  <c r="X546" i="34"/>
  <c r="Y546" i="34"/>
  <c r="Z546" i="34"/>
  <c r="N547" i="34"/>
  <c r="O547" i="34"/>
  <c r="P547" i="34"/>
  <c r="Q547" i="34"/>
  <c r="R547" i="34"/>
  <c r="S547" i="34"/>
  <c r="T547" i="34"/>
  <c r="U547" i="34"/>
  <c r="V547" i="34"/>
  <c r="W547" i="34"/>
  <c r="X547" i="34"/>
  <c r="Y547" i="34"/>
  <c r="Z547" i="34"/>
  <c r="N548" i="34"/>
  <c r="O548" i="34"/>
  <c r="P548" i="34"/>
  <c r="Q548" i="34"/>
  <c r="R548" i="34"/>
  <c r="S548" i="34"/>
  <c r="T548" i="34"/>
  <c r="U548" i="34"/>
  <c r="V548" i="34"/>
  <c r="W548" i="34"/>
  <c r="X548" i="34"/>
  <c r="Y548" i="34"/>
  <c r="Z548" i="34"/>
  <c r="N549" i="34"/>
  <c r="O549" i="34"/>
  <c r="P549" i="34"/>
  <c r="Q549" i="34"/>
  <c r="R549" i="34"/>
  <c r="S549" i="34"/>
  <c r="T549" i="34"/>
  <c r="U549" i="34"/>
  <c r="V549" i="34"/>
  <c r="W549" i="34"/>
  <c r="X549" i="34"/>
  <c r="Y549" i="34"/>
  <c r="Z549" i="34"/>
  <c r="N550" i="34"/>
  <c r="O550" i="34"/>
  <c r="P550" i="34"/>
  <c r="Q550" i="34"/>
  <c r="R550" i="34"/>
  <c r="S550" i="34"/>
  <c r="T550" i="34"/>
  <c r="U550" i="34"/>
  <c r="V550" i="34"/>
  <c r="W550" i="34"/>
  <c r="X550" i="34"/>
  <c r="Y550" i="34"/>
  <c r="Z550" i="34"/>
  <c r="N551" i="34"/>
  <c r="O551" i="34"/>
  <c r="P551" i="34"/>
  <c r="Q551" i="34"/>
  <c r="R551" i="34"/>
  <c r="S551" i="34"/>
  <c r="T551" i="34"/>
  <c r="U551" i="34"/>
  <c r="V551" i="34"/>
  <c r="W551" i="34"/>
  <c r="X551" i="34"/>
  <c r="Y551" i="34"/>
  <c r="Z551" i="34"/>
  <c r="N552" i="34"/>
  <c r="O552" i="34"/>
  <c r="P552" i="34"/>
  <c r="Q552" i="34"/>
  <c r="R552" i="34"/>
  <c r="S552" i="34"/>
  <c r="T552" i="34"/>
  <c r="U552" i="34"/>
  <c r="V552" i="34"/>
  <c r="W552" i="34"/>
  <c r="X552" i="34"/>
  <c r="Y552" i="34"/>
  <c r="Z552" i="34"/>
  <c r="N553" i="34"/>
  <c r="O553" i="34"/>
  <c r="P553" i="34"/>
  <c r="Q553" i="34"/>
  <c r="R553" i="34"/>
  <c r="S553" i="34"/>
  <c r="T553" i="34"/>
  <c r="U553" i="34"/>
  <c r="V553" i="34"/>
  <c r="W553" i="34"/>
  <c r="X553" i="34"/>
  <c r="Y553" i="34"/>
  <c r="Z553" i="34"/>
  <c r="N554" i="34"/>
  <c r="O554" i="34"/>
  <c r="P554" i="34"/>
  <c r="Q554" i="34"/>
  <c r="R554" i="34"/>
  <c r="S554" i="34"/>
  <c r="T554" i="34"/>
  <c r="U554" i="34"/>
  <c r="V554" i="34"/>
  <c r="W554" i="34"/>
  <c r="X554" i="34"/>
  <c r="Y554" i="34"/>
  <c r="Z554" i="34"/>
  <c r="N555" i="34"/>
  <c r="O555" i="34"/>
  <c r="P555" i="34"/>
  <c r="Q555" i="34"/>
  <c r="R555" i="34"/>
  <c r="S555" i="34"/>
  <c r="T555" i="34"/>
  <c r="U555" i="34"/>
  <c r="V555" i="34"/>
  <c r="W555" i="34"/>
  <c r="X555" i="34"/>
  <c r="Y555" i="34"/>
  <c r="Z555" i="34"/>
  <c r="N556" i="34"/>
  <c r="O556" i="34"/>
  <c r="P556" i="34"/>
  <c r="Q556" i="34"/>
  <c r="R556" i="34"/>
  <c r="S556" i="34"/>
  <c r="T556" i="34"/>
  <c r="U556" i="34"/>
  <c r="V556" i="34"/>
  <c r="W556" i="34"/>
  <c r="X556" i="34"/>
  <c r="Y556" i="34"/>
  <c r="Z556" i="34"/>
  <c r="N557" i="34"/>
  <c r="O557" i="34"/>
  <c r="P557" i="34"/>
  <c r="Q557" i="34"/>
  <c r="R557" i="34"/>
  <c r="S557" i="34"/>
  <c r="T557" i="34"/>
  <c r="U557" i="34"/>
  <c r="V557" i="34"/>
  <c r="W557" i="34"/>
  <c r="X557" i="34"/>
  <c r="Y557" i="34"/>
  <c r="Z557" i="34"/>
  <c r="N558" i="34"/>
  <c r="O558" i="34"/>
  <c r="P558" i="34"/>
  <c r="Q558" i="34"/>
  <c r="R558" i="34"/>
  <c r="S558" i="34"/>
  <c r="T558" i="34"/>
  <c r="U558" i="34"/>
  <c r="V558" i="34"/>
  <c r="W558" i="34"/>
  <c r="X558" i="34"/>
  <c r="Y558" i="34"/>
  <c r="Z558" i="34"/>
  <c r="N559" i="34"/>
  <c r="O559" i="34"/>
  <c r="P559" i="34"/>
  <c r="Q559" i="34"/>
  <c r="R559" i="34"/>
  <c r="S559" i="34"/>
  <c r="T559" i="34"/>
  <c r="U559" i="34"/>
  <c r="V559" i="34"/>
  <c r="W559" i="34"/>
  <c r="X559" i="34"/>
  <c r="Y559" i="34"/>
  <c r="Z559" i="34"/>
  <c r="N560" i="34"/>
  <c r="O560" i="34"/>
  <c r="P560" i="34"/>
  <c r="Q560" i="34"/>
  <c r="R560" i="34"/>
  <c r="S560" i="34"/>
  <c r="T560" i="34"/>
  <c r="U560" i="34"/>
  <c r="V560" i="34"/>
  <c r="W560" i="34"/>
  <c r="X560" i="34"/>
  <c r="Y560" i="34"/>
  <c r="Z560" i="34"/>
  <c r="N561" i="34"/>
  <c r="O561" i="34"/>
  <c r="P561" i="34"/>
  <c r="Q561" i="34"/>
  <c r="R561" i="34"/>
  <c r="S561" i="34"/>
  <c r="T561" i="34"/>
  <c r="U561" i="34"/>
  <c r="V561" i="34"/>
  <c r="W561" i="34"/>
  <c r="X561" i="34"/>
  <c r="Y561" i="34"/>
  <c r="Z561" i="34"/>
  <c r="N562" i="34"/>
  <c r="O562" i="34"/>
  <c r="P562" i="34"/>
  <c r="Q562" i="34"/>
  <c r="R562" i="34"/>
  <c r="S562" i="34"/>
  <c r="T562" i="34"/>
  <c r="U562" i="34"/>
  <c r="V562" i="34"/>
  <c r="W562" i="34"/>
  <c r="X562" i="34"/>
  <c r="Y562" i="34"/>
  <c r="Z562" i="34"/>
  <c r="N563" i="34"/>
  <c r="O563" i="34"/>
  <c r="P563" i="34"/>
  <c r="Q563" i="34"/>
  <c r="R563" i="34"/>
  <c r="S563" i="34"/>
  <c r="T563" i="34"/>
  <c r="U563" i="34"/>
  <c r="V563" i="34"/>
  <c r="W563" i="34"/>
  <c r="X563" i="34"/>
  <c r="Y563" i="34"/>
  <c r="Z563" i="34"/>
  <c r="N564" i="34"/>
  <c r="O564" i="34"/>
  <c r="P564" i="34"/>
  <c r="Q564" i="34"/>
  <c r="R564" i="34"/>
  <c r="S564" i="34"/>
  <c r="T564" i="34"/>
  <c r="U564" i="34"/>
  <c r="V564" i="34"/>
  <c r="W564" i="34"/>
  <c r="X564" i="34"/>
  <c r="Y564" i="34"/>
  <c r="Z564" i="34"/>
  <c r="N565" i="34"/>
  <c r="O565" i="34"/>
  <c r="P565" i="34"/>
  <c r="Q565" i="34"/>
  <c r="R565" i="34"/>
  <c r="S565" i="34"/>
  <c r="T565" i="34"/>
  <c r="U565" i="34"/>
  <c r="V565" i="34"/>
  <c r="W565" i="34"/>
  <c r="X565" i="34"/>
  <c r="Y565" i="34"/>
  <c r="Z565" i="34"/>
  <c r="N566" i="34"/>
  <c r="O566" i="34"/>
  <c r="P566" i="34"/>
  <c r="Q566" i="34"/>
  <c r="R566" i="34"/>
  <c r="S566" i="34"/>
  <c r="T566" i="34"/>
  <c r="U566" i="34"/>
  <c r="V566" i="34"/>
  <c r="W566" i="34"/>
  <c r="X566" i="34"/>
  <c r="Y566" i="34"/>
  <c r="Z566" i="34"/>
  <c r="N567" i="34"/>
  <c r="O567" i="34"/>
  <c r="P567" i="34"/>
  <c r="Q567" i="34"/>
  <c r="R567" i="34"/>
  <c r="S567" i="34"/>
  <c r="T567" i="34"/>
  <c r="U567" i="34"/>
  <c r="V567" i="34"/>
  <c r="W567" i="34"/>
  <c r="X567" i="34"/>
  <c r="Y567" i="34"/>
  <c r="Z567" i="34"/>
  <c r="N568" i="34"/>
  <c r="O568" i="34"/>
  <c r="P568" i="34"/>
  <c r="Q568" i="34"/>
  <c r="R568" i="34"/>
  <c r="S568" i="34"/>
  <c r="T568" i="34"/>
  <c r="U568" i="34"/>
  <c r="V568" i="34"/>
  <c r="W568" i="34"/>
  <c r="X568" i="34"/>
  <c r="Y568" i="34"/>
  <c r="Z568" i="34"/>
  <c r="N569" i="34"/>
  <c r="O569" i="34"/>
  <c r="P569" i="34"/>
  <c r="Q569" i="34"/>
  <c r="R569" i="34"/>
  <c r="S569" i="34"/>
  <c r="T569" i="34"/>
  <c r="U569" i="34"/>
  <c r="V569" i="34"/>
  <c r="W569" i="34"/>
  <c r="X569" i="34"/>
  <c r="Y569" i="34"/>
  <c r="Z569" i="34"/>
  <c r="N570" i="34"/>
  <c r="O570" i="34"/>
  <c r="P570" i="34"/>
  <c r="Q570" i="34"/>
  <c r="R570" i="34"/>
  <c r="S570" i="34"/>
  <c r="T570" i="34"/>
  <c r="U570" i="34"/>
  <c r="V570" i="34"/>
  <c r="W570" i="34"/>
  <c r="X570" i="34"/>
  <c r="Y570" i="34"/>
  <c r="Z570" i="34"/>
  <c r="N571" i="34"/>
  <c r="O571" i="34"/>
  <c r="P571" i="34"/>
  <c r="Q571" i="34"/>
  <c r="R571" i="34"/>
  <c r="S571" i="34"/>
  <c r="T571" i="34"/>
  <c r="U571" i="34"/>
  <c r="V571" i="34"/>
  <c r="W571" i="34"/>
  <c r="X571" i="34"/>
  <c r="Y571" i="34"/>
  <c r="Z571" i="34"/>
  <c r="N572" i="34"/>
  <c r="O572" i="34"/>
  <c r="P572" i="34"/>
  <c r="Q572" i="34"/>
  <c r="R572" i="34"/>
  <c r="S572" i="34"/>
  <c r="T572" i="34"/>
  <c r="U572" i="34"/>
  <c r="V572" i="34"/>
  <c r="W572" i="34"/>
  <c r="X572" i="34"/>
  <c r="Y572" i="34"/>
  <c r="Z572" i="34"/>
  <c r="N573" i="34"/>
  <c r="O573" i="34"/>
  <c r="P573" i="34"/>
  <c r="Q573" i="34"/>
  <c r="R573" i="34"/>
  <c r="S573" i="34"/>
  <c r="T573" i="34"/>
  <c r="U573" i="34"/>
  <c r="V573" i="34"/>
  <c r="W573" i="34"/>
  <c r="X573" i="34"/>
  <c r="Y573" i="34"/>
  <c r="Z573" i="34"/>
  <c r="N574" i="34"/>
  <c r="O574" i="34"/>
  <c r="P574" i="34"/>
  <c r="Q574" i="34"/>
  <c r="R574" i="34"/>
  <c r="S574" i="34"/>
  <c r="T574" i="34"/>
  <c r="U574" i="34"/>
  <c r="V574" i="34"/>
  <c r="W574" i="34"/>
  <c r="X574" i="34"/>
  <c r="Y574" i="34"/>
  <c r="Z574" i="34"/>
  <c r="N575" i="34"/>
  <c r="O575" i="34"/>
  <c r="P575" i="34"/>
  <c r="Q575" i="34"/>
  <c r="R575" i="34"/>
  <c r="S575" i="34"/>
  <c r="T575" i="34"/>
  <c r="U575" i="34"/>
  <c r="V575" i="34"/>
  <c r="W575" i="34"/>
  <c r="X575" i="34"/>
  <c r="Y575" i="34"/>
  <c r="Z575" i="34"/>
  <c r="N576" i="34"/>
  <c r="O576" i="34"/>
  <c r="P576" i="34"/>
  <c r="Q576" i="34"/>
  <c r="R576" i="34"/>
  <c r="S576" i="34"/>
  <c r="T576" i="34"/>
  <c r="U576" i="34"/>
  <c r="V576" i="34"/>
  <c r="W576" i="34"/>
  <c r="X576" i="34"/>
  <c r="Y576" i="34"/>
  <c r="Z576" i="34"/>
  <c r="N577" i="34"/>
  <c r="O577" i="34"/>
  <c r="P577" i="34"/>
  <c r="Q577" i="34"/>
  <c r="R577" i="34"/>
  <c r="S577" i="34"/>
  <c r="T577" i="34"/>
  <c r="U577" i="34"/>
  <c r="V577" i="34"/>
  <c r="W577" i="34"/>
  <c r="X577" i="34"/>
  <c r="Y577" i="34"/>
  <c r="Z577" i="34"/>
  <c r="N578" i="34"/>
  <c r="O578" i="34"/>
  <c r="P578" i="34"/>
  <c r="Q578" i="34"/>
  <c r="R578" i="34"/>
  <c r="S578" i="34"/>
  <c r="T578" i="34"/>
  <c r="U578" i="34"/>
  <c r="V578" i="34"/>
  <c r="W578" i="34"/>
  <c r="X578" i="34"/>
  <c r="Y578" i="34"/>
  <c r="Z578" i="34"/>
  <c r="N579" i="34"/>
  <c r="O579" i="34"/>
  <c r="P579" i="34"/>
  <c r="Q579" i="34"/>
  <c r="R579" i="34"/>
  <c r="S579" i="34"/>
  <c r="T579" i="34"/>
  <c r="U579" i="34"/>
  <c r="V579" i="34"/>
  <c r="W579" i="34"/>
  <c r="X579" i="34"/>
  <c r="Y579" i="34"/>
  <c r="Z579" i="34"/>
  <c r="N580" i="34"/>
  <c r="O580" i="34"/>
  <c r="P580" i="34"/>
  <c r="Q580" i="34"/>
  <c r="R580" i="34"/>
  <c r="S580" i="34"/>
  <c r="T580" i="34"/>
  <c r="U580" i="34"/>
  <c r="V580" i="34"/>
  <c r="W580" i="34"/>
  <c r="X580" i="34"/>
  <c r="Y580" i="34"/>
  <c r="Z580" i="34"/>
  <c r="N581" i="34"/>
  <c r="O581" i="34"/>
  <c r="P581" i="34"/>
  <c r="Q581" i="34"/>
  <c r="R581" i="34"/>
  <c r="S581" i="34"/>
  <c r="T581" i="34"/>
  <c r="U581" i="34"/>
  <c r="V581" i="34"/>
  <c r="W581" i="34"/>
  <c r="X581" i="34"/>
  <c r="Y581" i="34"/>
  <c r="Z581" i="34"/>
  <c r="N582" i="34"/>
  <c r="O582" i="34"/>
  <c r="P582" i="34"/>
  <c r="Q582" i="34"/>
  <c r="R582" i="34"/>
  <c r="S582" i="34"/>
  <c r="T582" i="34"/>
  <c r="U582" i="34"/>
  <c r="V582" i="34"/>
  <c r="W582" i="34"/>
  <c r="X582" i="34"/>
  <c r="Y582" i="34"/>
  <c r="Z582" i="34"/>
  <c r="N583" i="34"/>
  <c r="O583" i="34"/>
  <c r="P583" i="34"/>
  <c r="Q583" i="34"/>
  <c r="R583" i="34"/>
  <c r="S583" i="34"/>
  <c r="T583" i="34"/>
  <c r="U583" i="34"/>
  <c r="V583" i="34"/>
  <c r="W583" i="34"/>
  <c r="X583" i="34"/>
  <c r="Y583" i="34"/>
  <c r="Z583" i="34"/>
  <c r="N584" i="34"/>
  <c r="O584" i="34"/>
  <c r="P584" i="34"/>
  <c r="Q584" i="34"/>
  <c r="R584" i="34"/>
  <c r="S584" i="34"/>
  <c r="T584" i="34"/>
  <c r="U584" i="34"/>
  <c r="V584" i="34"/>
  <c r="W584" i="34"/>
  <c r="X584" i="34"/>
  <c r="Y584" i="34"/>
  <c r="Z584" i="34"/>
  <c r="N585" i="34"/>
  <c r="O585" i="34"/>
  <c r="P585" i="34"/>
  <c r="Q585" i="34"/>
  <c r="R585" i="34"/>
  <c r="S585" i="34"/>
  <c r="T585" i="34"/>
  <c r="U585" i="34"/>
  <c r="V585" i="34"/>
  <c r="W585" i="34"/>
  <c r="X585" i="34"/>
  <c r="Y585" i="34"/>
  <c r="Z585" i="34"/>
  <c r="N586" i="34"/>
  <c r="O586" i="34"/>
  <c r="P586" i="34"/>
  <c r="Q586" i="34"/>
  <c r="R586" i="34"/>
  <c r="S586" i="34"/>
  <c r="T586" i="34"/>
  <c r="U586" i="34"/>
  <c r="V586" i="34"/>
  <c r="W586" i="34"/>
  <c r="X586" i="34"/>
  <c r="Y586" i="34"/>
  <c r="Z586" i="34"/>
  <c r="N587" i="34"/>
  <c r="O587" i="34"/>
  <c r="P587" i="34"/>
  <c r="Q587" i="34"/>
  <c r="R587" i="34"/>
  <c r="S587" i="34"/>
  <c r="T587" i="34"/>
  <c r="U587" i="34"/>
  <c r="V587" i="34"/>
  <c r="W587" i="34"/>
  <c r="X587" i="34"/>
  <c r="Y587" i="34"/>
  <c r="Z587" i="34"/>
  <c r="N588" i="34"/>
  <c r="O588" i="34"/>
  <c r="P588" i="34"/>
  <c r="Q588" i="34"/>
  <c r="R588" i="34"/>
  <c r="S588" i="34"/>
  <c r="T588" i="34"/>
  <c r="U588" i="34"/>
  <c r="V588" i="34"/>
  <c r="W588" i="34"/>
  <c r="X588" i="34"/>
  <c r="Y588" i="34"/>
  <c r="Z588" i="34"/>
  <c r="N589" i="34"/>
  <c r="O589" i="34"/>
  <c r="P589" i="34"/>
  <c r="Q589" i="34"/>
  <c r="R589" i="34"/>
  <c r="S589" i="34"/>
  <c r="T589" i="34"/>
  <c r="U589" i="34"/>
  <c r="V589" i="34"/>
  <c r="W589" i="34"/>
  <c r="X589" i="34"/>
  <c r="Y589" i="34"/>
  <c r="Z589" i="34"/>
  <c r="N590" i="34"/>
  <c r="O590" i="34"/>
  <c r="P590" i="34"/>
  <c r="Q590" i="34"/>
  <c r="R590" i="34"/>
  <c r="S590" i="34"/>
  <c r="T590" i="34"/>
  <c r="U590" i="34"/>
  <c r="V590" i="34"/>
  <c r="W590" i="34"/>
  <c r="X590" i="34"/>
  <c r="Y590" i="34"/>
  <c r="Z590" i="34"/>
  <c r="N591" i="34"/>
  <c r="O591" i="34"/>
  <c r="P591" i="34"/>
  <c r="Q591" i="34"/>
  <c r="R591" i="34"/>
  <c r="S591" i="34"/>
  <c r="T591" i="34"/>
  <c r="U591" i="34"/>
  <c r="V591" i="34"/>
  <c r="W591" i="34"/>
  <c r="X591" i="34"/>
  <c r="Y591" i="34"/>
  <c r="Z591" i="34"/>
  <c r="N592" i="34"/>
  <c r="O592" i="34"/>
  <c r="P592" i="34"/>
  <c r="Q592" i="34"/>
  <c r="R592" i="34"/>
  <c r="S592" i="34"/>
  <c r="T592" i="34"/>
  <c r="U592" i="34"/>
  <c r="V592" i="34"/>
  <c r="W592" i="34"/>
  <c r="X592" i="34"/>
  <c r="Y592" i="34"/>
  <c r="Z592" i="34"/>
  <c r="N593" i="34"/>
  <c r="O593" i="34"/>
  <c r="P593" i="34"/>
  <c r="Q593" i="34"/>
  <c r="R593" i="34"/>
  <c r="S593" i="34"/>
  <c r="T593" i="34"/>
  <c r="U593" i="34"/>
  <c r="V593" i="34"/>
  <c r="W593" i="34"/>
  <c r="X593" i="34"/>
  <c r="Y593" i="34"/>
  <c r="Z593" i="34"/>
  <c r="N594" i="34"/>
  <c r="O594" i="34"/>
  <c r="P594" i="34"/>
  <c r="Q594" i="34"/>
  <c r="R594" i="34"/>
  <c r="S594" i="34"/>
  <c r="T594" i="34"/>
  <c r="U594" i="34"/>
  <c r="V594" i="34"/>
  <c r="W594" i="34"/>
  <c r="X594" i="34"/>
  <c r="Y594" i="34"/>
  <c r="Z594" i="34"/>
  <c r="N595" i="34"/>
  <c r="O595" i="34"/>
  <c r="P595" i="34"/>
  <c r="Q595" i="34"/>
  <c r="R595" i="34"/>
  <c r="S595" i="34"/>
  <c r="T595" i="34"/>
  <c r="U595" i="34"/>
  <c r="V595" i="34"/>
  <c r="W595" i="34"/>
  <c r="X595" i="34"/>
  <c r="Y595" i="34"/>
  <c r="Z595" i="34"/>
  <c r="N596" i="34"/>
  <c r="O596" i="34"/>
  <c r="P596" i="34"/>
  <c r="Q596" i="34"/>
  <c r="R596" i="34"/>
  <c r="S596" i="34"/>
  <c r="T596" i="34"/>
  <c r="U596" i="34"/>
  <c r="V596" i="34"/>
  <c r="W596" i="34"/>
  <c r="X596" i="34"/>
  <c r="Y596" i="34"/>
  <c r="Z596" i="34"/>
  <c r="N597" i="34"/>
  <c r="O597" i="34"/>
  <c r="P597" i="34"/>
  <c r="Q597" i="34"/>
  <c r="R597" i="34"/>
  <c r="S597" i="34"/>
  <c r="T597" i="34"/>
  <c r="U597" i="34"/>
  <c r="V597" i="34"/>
  <c r="W597" i="34"/>
  <c r="X597" i="34"/>
  <c r="Y597" i="34"/>
  <c r="Z597" i="34"/>
  <c r="N598" i="34"/>
  <c r="O598" i="34"/>
  <c r="P598" i="34"/>
  <c r="Q598" i="34"/>
  <c r="R598" i="34"/>
  <c r="S598" i="34"/>
  <c r="T598" i="34"/>
  <c r="U598" i="34"/>
  <c r="V598" i="34"/>
  <c r="W598" i="34"/>
  <c r="X598" i="34"/>
  <c r="Y598" i="34"/>
  <c r="Z598" i="34"/>
  <c r="N599" i="34"/>
  <c r="O599" i="34"/>
  <c r="P599" i="34"/>
  <c r="Q599" i="34"/>
  <c r="R599" i="34"/>
  <c r="S599" i="34"/>
  <c r="T599" i="34"/>
  <c r="U599" i="34"/>
  <c r="V599" i="34"/>
  <c r="W599" i="34"/>
  <c r="X599" i="34"/>
  <c r="Y599" i="34"/>
  <c r="Z599" i="34"/>
  <c r="N600" i="34"/>
  <c r="O600" i="34"/>
  <c r="P600" i="34"/>
  <c r="Q600" i="34"/>
  <c r="R600" i="34"/>
  <c r="S600" i="34"/>
  <c r="T600" i="34"/>
  <c r="U600" i="34"/>
  <c r="V600" i="34"/>
  <c r="W600" i="34"/>
  <c r="X600" i="34"/>
  <c r="Y600" i="34"/>
  <c r="Z600" i="34"/>
  <c r="N601" i="34"/>
  <c r="O601" i="34"/>
  <c r="P601" i="34"/>
  <c r="Q601" i="34"/>
  <c r="R601" i="34"/>
  <c r="S601" i="34"/>
  <c r="T601" i="34"/>
  <c r="U601" i="34"/>
  <c r="V601" i="34"/>
  <c r="W601" i="34"/>
  <c r="X601" i="34"/>
  <c r="Y601" i="34"/>
  <c r="Z601" i="34"/>
  <c r="N602" i="34"/>
  <c r="O602" i="34"/>
  <c r="P602" i="34"/>
  <c r="Q602" i="34"/>
  <c r="R602" i="34"/>
  <c r="S602" i="34"/>
  <c r="T602" i="34"/>
  <c r="U602" i="34"/>
  <c r="V602" i="34"/>
  <c r="W602" i="34"/>
  <c r="X602" i="34"/>
  <c r="Y602" i="34"/>
  <c r="Z602" i="34"/>
  <c r="N603" i="34"/>
  <c r="O603" i="34"/>
  <c r="P603" i="34"/>
  <c r="Q603" i="34"/>
  <c r="R603" i="34"/>
  <c r="S603" i="34"/>
  <c r="T603" i="34"/>
  <c r="U603" i="34"/>
  <c r="V603" i="34"/>
  <c r="W603" i="34"/>
  <c r="X603" i="34"/>
  <c r="Y603" i="34"/>
  <c r="Z603" i="34"/>
  <c r="N604" i="34"/>
  <c r="O604" i="34"/>
  <c r="P604" i="34"/>
  <c r="Q604" i="34"/>
  <c r="R604" i="34"/>
  <c r="S604" i="34"/>
  <c r="T604" i="34"/>
  <c r="U604" i="34"/>
  <c r="V604" i="34"/>
  <c r="W604" i="34"/>
  <c r="X604" i="34"/>
  <c r="Y604" i="34"/>
  <c r="Z604" i="34"/>
  <c r="N605" i="34"/>
  <c r="O605" i="34"/>
  <c r="P605" i="34"/>
  <c r="Q605" i="34"/>
  <c r="R605" i="34"/>
  <c r="S605" i="34"/>
  <c r="T605" i="34"/>
  <c r="U605" i="34"/>
  <c r="V605" i="34"/>
  <c r="W605" i="34"/>
  <c r="X605" i="34"/>
  <c r="Y605" i="34"/>
  <c r="Z605" i="34"/>
  <c r="N606" i="34"/>
  <c r="O606" i="34"/>
  <c r="P606" i="34"/>
  <c r="Q606" i="34"/>
  <c r="R606" i="34"/>
  <c r="S606" i="34"/>
  <c r="T606" i="34"/>
  <c r="U606" i="34"/>
  <c r="V606" i="34"/>
  <c r="W606" i="34"/>
  <c r="X606" i="34"/>
  <c r="Y606" i="34"/>
  <c r="Z606" i="34"/>
  <c r="N607" i="34"/>
  <c r="O607" i="34"/>
  <c r="P607" i="34"/>
  <c r="Q607" i="34"/>
  <c r="R607" i="34"/>
  <c r="S607" i="34"/>
  <c r="T607" i="34"/>
  <c r="U607" i="34"/>
  <c r="V607" i="34"/>
  <c r="W607" i="34"/>
  <c r="X607" i="34"/>
  <c r="Y607" i="34"/>
  <c r="Z607" i="34"/>
  <c r="N608" i="34"/>
  <c r="O608" i="34"/>
  <c r="P608" i="34"/>
  <c r="Q608" i="34"/>
  <c r="R608" i="34"/>
  <c r="S608" i="34"/>
  <c r="T608" i="34"/>
  <c r="U608" i="34"/>
  <c r="V608" i="34"/>
  <c r="W608" i="34"/>
  <c r="X608" i="34"/>
  <c r="Y608" i="34"/>
  <c r="Z608" i="34"/>
  <c r="N609" i="34"/>
  <c r="O609" i="34"/>
  <c r="P609" i="34"/>
  <c r="Q609" i="34"/>
  <c r="R609" i="34"/>
  <c r="S609" i="34"/>
  <c r="T609" i="34"/>
  <c r="U609" i="34"/>
  <c r="V609" i="34"/>
  <c r="W609" i="34"/>
  <c r="X609" i="34"/>
  <c r="Y609" i="34"/>
  <c r="Z609" i="34"/>
  <c r="N610" i="34"/>
  <c r="O610" i="34"/>
  <c r="P610" i="34"/>
  <c r="Q610" i="34"/>
  <c r="R610" i="34"/>
  <c r="S610" i="34"/>
  <c r="T610" i="34"/>
  <c r="U610" i="34"/>
  <c r="V610" i="34"/>
  <c r="W610" i="34"/>
  <c r="X610" i="34"/>
  <c r="Y610" i="34"/>
  <c r="Z610" i="34"/>
  <c r="N611" i="34"/>
  <c r="O611" i="34"/>
  <c r="P611" i="34"/>
  <c r="Q611" i="34"/>
  <c r="R611" i="34"/>
  <c r="S611" i="34"/>
  <c r="T611" i="34"/>
  <c r="U611" i="34"/>
  <c r="V611" i="34"/>
  <c r="W611" i="34"/>
  <c r="X611" i="34"/>
  <c r="Y611" i="34"/>
  <c r="Z611" i="34"/>
  <c r="N612" i="34"/>
  <c r="O612" i="34"/>
  <c r="P612" i="34"/>
  <c r="Q612" i="34"/>
  <c r="R612" i="34"/>
  <c r="S612" i="34"/>
  <c r="T612" i="34"/>
  <c r="U612" i="34"/>
  <c r="V612" i="34"/>
  <c r="W612" i="34"/>
  <c r="X612" i="34"/>
  <c r="Y612" i="34"/>
  <c r="Z612" i="34"/>
  <c r="N613" i="34"/>
  <c r="O613" i="34"/>
  <c r="P613" i="34"/>
  <c r="Q613" i="34"/>
  <c r="R613" i="34"/>
  <c r="S613" i="34"/>
  <c r="T613" i="34"/>
  <c r="U613" i="34"/>
  <c r="V613" i="34"/>
  <c r="W613" i="34"/>
  <c r="X613" i="34"/>
  <c r="Y613" i="34"/>
  <c r="Z613" i="34"/>
  <c r="N614" i="34"/>
  <c r="O614" i="34"/>
  <c r="P614" i="34"/>
  <c r="Q614" i="34"/>
  <c r="R614" i="34"/>
  <c r="S614" i="34"/>
  <c r="T614" i="34"/>
  <c r="U614" i="34"/>
  <c r="V614" i="34"/>
  <c r="W614" i="34"/>
  <c r="X614" i="34"/>
  <c r="Y614" i="34"/>
  <c r="Z614" i="34"/>
  <c r="N615" i="34"/>
  <c r="O615" i="34"/>
  <c r="P615" i="34"/>
  <c r="Q615" i="34"/>
  <c r="R615" i="34"/>
  <c r="S615" i="34"/>
  <c r="T615" i="34"/>
  <c r="U615" i="34"/>
  <c r="V615" i="34"/>
  <c r="W615" i="34"/>
  <c r="X615" i="34"/>
  <c r="Y615" i="34"/>
  <c r="Z615" i="34"/>
  <c r="N616" i="34"/>
  <c r="O616" i="34"/>
  <c r="P616" i="34"/>
  <c r="Q616" i="34"/>
  <c r="R616" i="34"/>
  <c r="S616" i="34"/>
  <c r="T616" i="34"/>
  <c r="U616" i="34"/>
  <c r="V616" i="34"/>
  <c r="W616" i="34"/>
  <c r="X616" i="34"/>
  <c r="Y616" i="34"/>
  <c r="Z616" i="34"/>
  <c r="N617" i="34"/>
  <c r="O617" i="34"/>
  <c r="P617" i="34"/>
  <c r="Q617" i="34"/>
  <c r="R617" i="34"/>
  <c r="S617" i="34"/>
  <c r="T617" i="34"/>
  <c r="U617" i="34"/>
  <c r="V617" i="34"/>
  <c r="W617" i="34"/>
  <c r="X617" i="34"/>
  <c r="Y617" i="34"/>
  <c r="Z617" i="34"/>
  <c r="N618" i="34"/>
  <c r="O618" i="34"/>
  <c r="P618" i="34"/>
  <c r="Q618" i="34"/>
  <c r="R618" i="34"/>
  <c r="S618" i="34"/>
  <c r="T618" i="34"/>
  <c r="U618" i="34"/>
  <c r="V618" i="34"/>
  <c r="W618" i="34"/>
  <c r="X618" i="34"/>
  <c r="Y618" i="34"/>
  <c r="Z618" i="34"/>
  <c r="N619" i="34"/>
  <c r="O619" i="34"/>
  <c r="P619" i="34"/>
  <c r="Q619" i="34"/>
  <c r="R619" i="34"/>
  <c r="S619" i="34"/>
  <c r="T619" i="34"/>
  <c r="U619" i="34"/>
  <c r="V619" i="34"/>
  <c r="W619" i="34"/>
  <c r="X619" i="34"/>
  <c r="Y619" i="34"/>
  <c r="Z619" i="34"/>
  <c r="N620" i="34"/>
  <c r="O620" i="34"/>
  <c r="P620" i="34"/>
  <c r="Q620" i="34"/>
  <c r="R620" i="34"/>
  <c r="S620" i="34"/>
  <c r="T620" i="34"/>
  <c r="U620" i="34"/>
  <c r="V620" i="34"/>
  <c r="W620" i="34"/>
  <c r="X620" i="34"/>
  <c r="Y620" i="34"/>
  <c r="Z620" i="34"/>
  <c r="N621" i="34"/>
  <c r="O621" i="34"/>
  <c r="P621" i="34"/>
  <c r="Q621" i="34"/>
  <c r="R621" i="34"/>
  <c r="S621" i="34"/>
  <c r="T621" i="34"/>
  <c r="U621" i="34"/>
  <c r="V621" i="34"/>
  <c r="W621" i="34"/>
  <c r="X621" i="34"/>
  <c r="Y621" i="34"/>
  <c r="Z621" i="34"/>
  <c r="N622" i="34"/>
  <c r="O622" i="34"/>
  <c r="P622" i="34"/>
  <c r="Q622" i="34"/>
  <c r="R622" i="34"/>
  <c r="S622" i="34"/>
  <c r="T622" i="34"/>
  <c r="U622" i="34"/>
  <c r="V622" i="34"/>
  <c r="W622" i="34"/>
  <c r="X622" i="34"/>
  <c r="Y622" i="34"/>
  <c r="Z622" i="34"/>
  <c r="N623" i="34"/>
  <c r="O623" i="34"/>
  <c r="P623" i="34"/>
  <c r="Q623" i="34"/>
  <c r="R623" i="34"/>
  <c r="S623" i="34"/>
  <c r="T623" i="34"/>
  <c r="U623" i="34"/>
  <c r="V623" i="34"/>
  <c r="W623" i="34"/>
  <c r="X623" i="34"/>
  <c r="Y623" i="34"/>
  <c r="Z623" i="34"/>
  <c r="N624" i="34"/>
  <c r="O624" i="34"/>
  <c r="P624" i="34"/>
  <c r="Q624" i="34"/>
  <c r="R624" i="34"/>
  <c r="S624" i="34"/>
  <c r="T624" i="34"/>
  <c r="U624" i="34"/>
  <c r="V624" i="34"/>
  <c r="W624" i="34"/>
  <c r="X624" i="34"/>
  <c r="Y624" i="34"/>
  <c r="Z624" i="34"/>
  <c r="N625" i="34"/>
  <c r="O625" i="34"/>
  <c r="P625" i="34"/>
  <c r="Q625" i="34"/>
  <c r="R625" i="34"/>
  <c r="S625" i="34"/>
  <c r="T625" i="34"/>
  <c r="U625" i="34"/>
  <c r="V625" i="34"/>
  <c r="W625" i="34"/>
  <c r="X625" i="34"/>
  <c r="Y625" i="34"/>
  <c r="Z625" i="34"/>
  <c r="N626" i="34"/>
  <c r="O626" i="34"/>
  <c r="P626" i="34"/>
  <c r="Q626" i="34"/>
  <c r="R626" i="34"/>
  <c r="S626" i="34"/>
  <c r="T626" i="34"/>
  <c r="U626" i="34"/>
  <c r="V626" i="34"/>
  <c r="W626" i="34"/>
  <c r="X626" i="34"/>
  <c r="Y626" i="34"/>
  <c r="Z626" i="34"/>
  <c r="N627" i="34"/>
  <c r="O627" i="34"/>
  <c r="P627" i="34"/>
  <c r="Q627" i="34"/>
  <c r="R627" i="34"/>
  <c r="S627" i="34"/>
  <c r="T627" i="34"/>
  <c r="U627" i="34"/>
  <c r="V627" i="34"/>
  <c r="W627" i="34"/>
  <c r="X627" i="34"/>
  <c r="Y627" i="34"/>
  <c r="Z627" i="34"/>
  <c r="N628" i="34"/>
  <c r="O628" i="34"/>
  <c r="P628" i="34"/>
  <c r="Q628" i="34"/>
  <c r="R628" i="34"/>
  <c r="S628" i="34"/>
  <c r="T628" i="34"/>
  <c r="U628" i="34"/>
  <c r="V628" i="34"/>
  <c r="W628" i="34"/>
  <c r="X628" i="34"/>
  <c r="Y628" i="34"/>
  <c r="Z628" i="34"/>
  <c r="N629" i="34"/>
  <c r="O629" i="34"/>
  <c r="P629" i="34"/>
  <c r="Q629" i="34"/>
  <c r="R629" i="34"/>
  <c r="S629" i="34"/>
  <c r="T629" i="34"/>
  <c r="U629" i="34"/>
  <c r="V629" i="34"/>
  <c r="W629" i="34"/>
  <c r="X629" i="34"/>
  <c r="Y629" i="34"/>
  <c r="Z629" i="34"/>
  <c r="N630" i="34"/>
  <c r="O630" i="34"/>
  <c r="P630" i="34"/>
  <c r="Q630" i="34"/>
  <c r="R630" i="34"/>
  <c r="S630" i="34"/>
  <c r="T630" i="34"/>
  <c r="U630" i="34"/>
  <c r="V630" i="34"/>
  <c r="W630" i="34"/>
  <c r="X630" i="34"/>
  <c r="Y630" i="34"/>
  <c r="Z630" i="34"/>
  <c r="N631" i="34"/>
  <c r="O631" i="34"/>
  <c r="P631" i="34"/>
  <c r="Q631" i="34"/>
  <c r="R631" i="34"/>
  <c r="S631" i="34"/>
  <c r="T631" i="34"/>
  <c r="U631" i="34"/>
  <c r="V631" i="34"/>
  <c r="W631" i="34"/>
  <c r="X631" i="34"/>
  <c r="Y631" i="34"/>
  <c r="Z631" i="34"/>
  <c r="N632" i="34"/>
  <c r="O632" i="34"/>
  <c r="P632" i="34"/>
  <c r="Q632" i="34"/>
  <c r="R632" i="34"/>
  <c r="S632" i="34"/>
  <c r="T632" i="34"/>
  <c r="U632" i="34"/>
  <c r="V632" i="34"/>
  <c r="W632" i="34"/>
  <c r="X632" i="34"/>
  <c r="Y632" i="34"/>
  <c r="Z632" i="34"/>
  <c r="N633" i="34"/>
  <c r="O633" i="34"/>
  <c r="P633" i="34"/>
  <c r="Q633" i="34"/>
  <c r="R633" i="34"/>
  <c r="S633" i="34"/>
  <c r="T633" i="34"/>
  <c r="U633" i="34"/>
  <c r="V633" i="34"/>
  <c r="W633" i="34"/>
  <c r="X633" i="34"/>
  <c r="Y633" i="34"/>
  <c r="Z633" i="34"/>
  <c r="N634" i="34"/>
  <c r="O634" i="34"/>
  <c r="P634" i="34"/>
  <c r="Q634" i="34"/>
  <c r="R634" i="34"/>
  <c r="S634" i="34"/>
  <c r="T634" i="34"/>
  <c r="U634" i="34"/>
  <c r="V634" i="34"/>
  <c r="W634" i="34"/>
  <c r="X634" i="34"/>
  <c r="Y634" i="34"/>
  <c r="Z634" i="34"/>
  <c r="N635" i="34"/>
  <c r="O635" i="34"/>
  <c r="P635" i="34"/>
  <c r="Q635" i="34"/>
  <c r="R635" i="34"/>
  <c r="S635" i="34"/>
  <c r="T635" i="34"/>
  <c r="U635" i="34"/>
  <c r="V635" i="34"/>
  <c r="W635" i="34"/>
  <c r="X635" i="34"/>
  <c r="Y635" i="34"/>
  <c r="Z635" i="34"/>
  <c r="N636" i="34"/>
  <c r="O636" i="34"/>
  <c r="P636" i="34"/>
  <c r="Q636" i="34"/>
  <c r="R636" i="34"/>
  <c r="S636" i="34"/>
  <c r="T636" i="34"/>
  <c r="U636" i="34"/>
  <c r="V636" i="34"/>
  <c r="W636" i="34"/>
  <c r="X636" i="34"/>
  <c r="Y636" i="34"/>
  <c r="Z636" i="34"/>
  <c r="N637" i="34"/>
  <c r="O637" i="34"/>
  <c r="P637" i="34"/>
  <c r="Q637" i="34"/>
  <c r="R637" i="34"/>
  <c r="S637" i="34"/>
  <c r="T637" i="34"/>
  <c r="U637" i="34"/>
  <c r="V637" i="34"/>
  <c r="W637" i="34"/>
  <c r="X637" i="34"/>
  <c r="Y637" i="34"/>
  <c r="Z637" i="34"/>
  <c r="N638" i="34"/>
  <c r="O638" i="34"/>
  <c r="P638" i="34"/>
  <c r="Q638" i="34"/>
  <c r="R638" i="34"/>
  <c r="S638" i="34"/>
  <c r="T638" i="34"/>
  <c r="U638" i="34"/>
  <c r="V638" i="34"/>
  <c r="W638" i="34"/>
  <c r="X638" i="34"/>
  <c r="Y638" i="34"/>
  <c r="Z638" i="34"/>
  <c r="N639" i="34"/>
  <c r="O639" i="34"/>
  <c r="P639" i="34"/>
  <c r="Q639" i="34"/>
  <c r="R639" i="34"/>
  <c r="S639" i="34"/>
  <c r="T639" i="34"/>
  <c r="U639" i="34"/>
  <c r="V639" i="34"/>
  <c r="W639" i="34"/>
  <c r="X639" i="34"/>
  <c r="Y639" i="34"/>
  <c r="Z639" i="34"/>
  <c r="N640" i="34"/>
  <c r="O640" i="34"/>
  <c r="P640" i="34"/>
  <c r="Q640" i="34"/>
  <c r="R640" i="34"/>
  <c r="S640" i="34"/>
  <c r="T640" i="34"/>
  <c r="U640" i="34"/>
  <c r="V640" i="34"/>
  <c r="W640" i="34"/>
  <c r="X640" i="34"/>
  <c r="Y640" i="34"/>
  <c r="Z640" i="34"/>
  <c r="N641" i="34"/>
  <c r="O641" i="34"/>
  <c r="P641" i="34"/>
  <c r="Q641" i="34"/>
  <c r="R641" i="34"/>
  <c r="S641" i="34"/>
  <c r="T641" i="34"/>
  <c r="U641" i="34"/>
  <c r="V641" i="34"/>
  <c r="W641" i="34"/>
  <c r="X641" i="34"/>
  <c r="Y641" i="34"/>
  <c r="Z641" i="34"/>
  <c r="N642" i="34"/>
  <c r="O642" i="34"/>
  <c r="P642" i="34"/>
  <c r="Q642" i="34"/>
  <c r="R642" i="34"/>
  <c r="S642" i="34"/>
  <c r="T642" i="34"/>
  <c r="U642" i="34"/>
  <c r="V642" i="34"/>
  <c r="W642" i="34"/>
  <c r="X642" i="34"/>
  <c r="Y642" i="34"/>
  <c r="Z642" i="34"/>
  <c r="N643" i="34"/>
  <c r="O643" i="34"/>
  <c r="P643" i="34"/>
  <c r="Q643" i="34"/>
  <c r="R643" i="34"/>
  <c r="S643" i="34"/>
  <c r="T643" i="34"/>
  <c r="U643" i="34"/>
  <c r="V643" i="34"/>
  <c r="W643" i="34"/>
  <c r="X643" i="34"/>
  <c r="Y643" i="34"/>
  <c r="Z643" i="34"/>
  <c r="N644" i="34"/>
  <c r="O644" i="34"/>
  <c r="P644" i="34"/>
  <c r="Q644" i="34"/>
  <c r="R644" i="34"/>
  <c r="S644" i="34"/>
  <c r="T644" i="34"/>
  <c r="U644" i="34"/>
  <c r="V644" i="34"/>
  <c r="W644" i="34"/>
  <c r="X644" i="34"/>
  <c r="Y644" i="34"/>
  <c r="Z644" i="34"/>
  <c r="N645" i="34"/>
  <c r="O645" i="34"/>
  <c r="P645" i="34"/>
  <c r="Q645" i="34"/>
  <c r="R645" i="34"/>
  <c r="S645" i="34"/>
  <c r="T645" i="34"/>
  <c r="U645" i="34"/>
  <c r="V645" i="34"/>
  <c r="W645" i="34"/>
  <c r="X645" i="34"/>
  <c r="Y645" i="34"/>
  <c r="Z645" i="34"/>
  <c r="N646" i="34"/>
  <c r="O646" i="34"/>
  <c r="P646" i="34"/>
  <c r="Q646" i="34"/>
  <c r="R646" i="34"/>
  <c r="S646" i="34"/>
  <c r="T646" i="34"/>
  <c r="U646" i="34"/>
  <c r="V646" i="34"/>
  <c r="W646" i="34"/>
  <c r="X646" i="34"/>
  <c r="Y646" i="34"/>
  <c r="Z646" i="34"/>
  <c r="N647" i="34"/>
  <c r="O647" i="34"/>
  <c r="P647" i="34"/>
  <c r="Q647" i="34"/>
  <c r="R647" i="34"/>
  <c r="S647" i="34"/>
  <c r="T647" i="34"/>
  <c r="U647" i="34"/>
  <c r="V647" i="34"/>
  <c r="W647" i="34"/>
  <c r="X647" i="34"/>
  <c r="Y647" i="34"/>
  <c r="Z647" i="34"/>
  <c r="N648" i="34"/>
  <c r="O648" i="34"/>
  <c r="P648" i="34"/>
  <c r="Q648" i="34"/>
  <c r="R648" i="34"/>
  <c r="S648" i="34"/>
  <c r="T648" i="34"/>
  <c r="U648" i="34"/>
  <c r="V648" i="34"/>
  <c r="W648" i="34"/>
  <c r="X648" i="34"/>
  <c r="Y648" i="34"/>
  <c r="Z648" i="34"/>
  <c r="N649" i="34"/>
  <c r="O649" i="34"/>
  <c r="P649" i="34"/>
  <c r="Q649" i="34"/>
  <c r="R649" i="34"/>
  <c r="S649" i="34"/>
  <c r="T649" i="34"/>
  <c r="U649" i="34"/>
  <c r="V649" i="34"/>
  <c r="W649" i="34"/>
  <c r="X649" i="34"/>
  <c r="Y649" i="34"/>
  <c r="Z649" i="34"/>
  <c r="N650" i="34"/>
  <c r="O650" i="34"/>
  <c r="P650" i="34"/>
  <c r="Q650" i="34"/>
  <c r="R650" i="34"/>
  <c r="S650" i="34"/>
  <c r="T650" i="34"/>
  <c r="U650" i="34"/>
  <c r="V650" i="34"/>
  <c r="W650" i="34"/>
  <c r="X650" i="34"/>
  <c r="Y650" i="34"/>
  <c r="Z650" i="34"/>
  <c r="N651" i="34"/>
  <c r="O651" i="34"/>
  <c r="P651" i="34"/>
  <c r="Q651" i="34"/>
  <c r="R651" i="34"/>
  <c r="S651" i="34"/>
  <c r="T651" i="34"/>
  <c r="U651" i="34"/>
  <c r="V651" i="34"/>
  <c r="W651" i="34"/>
  <c r="X651" i="34"/>
  <c r="Y651" i="34"/>
  <c r="Z651" i="34"/>
  <c r="N652" i="34"/>
  <c r="O652" i="34"/>
  <c r="P652" i="34"/>
  <c r="Q652" i="34"/>
  <c r="R652" i="34"/>
  <c r="S652" i="34"/>
  <c r="T652" i="34"/>
  <c r="U652" i="34"/>
  <c r="V652" i="34"/>
  <c r="W652" i="34"/>
  <c r="X652" i="34"/>
  <c r="Y652" i="34"/>
  <c r="Z652" i="34"/>
  <c r="N653" i="34"/>
  <c r="O653" i="34"/>
  <c r="P653" i="34"/>
  <c r="Q653" i="34"/>
  <c r="R653" i="34"/>
  <c r="S653" i="34"/>
  <c r="T653" i="34"/>
  <c r="U653" i="34"/>
  <c r="V653" i="34"/>
  <c r="W653" i="34"/>
  <c r="X653" i="34"/>
  <c r="Y653" i="34"/>
  <c r="Z653" i="34"/>
  <c r="N654" i="34"/>
  <c r="O654" i="34"/>
  <c r="P654" i="34"/>
  <c r="Q654" i="34"/>
  <c r="R654" i="34"/>
  <c r="S654" i="34"/>
  <c r="T654" i="34"/>
  <c r="U654" i="34"/>
  <c r="V654" i="34"/>
  <c r="W654" i="34"/>
  <c r="X654" i="34"/>
  <c r="Y654" i="34"/>
  <c r="Z654" i="34"/>
  <c r="N655" i="34"/>
  <c r="O655" i="34"/>
  <c r="P655" i="34"/>
  <c r="Q655" i="34"/>
  <c r="R655" i="34"/>
  <c r="S655" i="34"/>
  <c r="T655" i="34"/>
  <c r="U655" i="34"/>
  <c r="V655" i="34"/>
  <c r="W655" i="34"/>
  <c r="X655" i="34"/>
  <c r="Y655" i="34"/>
  <c r="Z655" i="34"/>
  <c r="N656" i="34"/>
  <c r="O656" i="34"/>
  <c r="P656" i="34"/>
  <c r="Q656" i="34"/>
  <c r="R656" i="34"/>
  <c r="S656" i="34"/>
  <c r="T656" i="34"/>
  <c r="U656" i="34"/>
  <c r="V656" i="34"/>
  <c r="W656" i="34"/>
  <c r="X656" i="34"/>
  <c r="Y656" i="34"/>
  <c r="Z656" i="34"/>
  <c r="N657" i="34"/>
  <c r="O657" i="34"/>
  <c r="P657" i="34"/>
  <c r="Q657" i="34"/>
  <c r="R657" i="34"/>
  <c r="S657" i="34"/>
  <c r="T657" i="34"/>
  <c r="U657" i="34"/>
  <c r="V657" i="34"/>
  <c r="W657" i="34"/>
  <c r="X657" i="34"/>
  <c r="Y657" i="34"/>
  <c r="Z657" i="34"/>
  <c r="N658" i="34"/>
  <c r="O658" i="34"/>
  <c r="P658" i="34"/>
  <c r="Q658" i="34"/>
  <c r="R658" i="34"/>
  <c r="S658" i="34"/>
  <c r="T658" i="34"/>
  <c r="U658" i="34"/>
  <c r="V658" i="34"/>
  <c r="W658" i="34"/>
  <c r="X658" i="34"/>
  <c r="Y658" i="34"/>
  <c r="Z658" i="34"/>
  <c r="N659" i="34"/>
  <c r="O659" i="34"/>
  <c r="P659" i="34"/>
  <c r="Q659" i="34"/>
  <c r="R659" i="34"/>
  <c r="S659" i="34"/>
  <c r="T659" i="34"/>
  <c r="U659" i="34"/>
  <c r="V659" i="34"/>
  <c r="W659" i="34"/>
  <c r="X659" i="34"/>
  <c r="Y659" i="34"/>
  <c r="Z659" i="34"/>
  <c r="N660" i="34"/>
  <c r="O660" i="34"/>
  <c r="P660" i="34"/>
  <c r="Q660" i="34"/>
  <c r="R660" i="34"/>
  <c r="S660" i="34"/>
  <c r="T660" i="34"/>
  <c r="U660" i="34"/>
  <c r="V660" i="34"/>
  <c r="W660" i="34"/>
  <c r="X660" i="34"/>
  <c r="Y660" i="34"/>
  <c r="Z660" i="34"/>
  <c r="N661" i="34"/>
  <c r="O661" i="34"/>
  <c r="P661" i="34"/>
  <c r="Q661" i="34"/>
  <c r="R661" i="34"/>
  <c r="S661" i="34"/>
  <c r="T661" i="34"/>
  <c r="U661" i="34"/>
  <c r="V661" i="34"/>
  <c r="W661" i="34"/>
  <c r="X661" i="34"/>
  <c r="Y661" i="34"/>
  <c r="Z661" i="34"/>
  <c r="N662" i="34"/>
  <c r="O662" i="34"/>
  <c r="P662" i="34"/>
  <c r="Q662" i="34"/>
  <c r="R662" i="34"/>
  <c r="S662" i="34"/>
  <c r="T662" i="34"/>
  <c r="U662" i="34"/>
  <c r="V662" i="34"/>
  <c r="W662" i="34"/>
  <c r="X662" i="34"/>
  <c r="Y662" i="34"/>
  <c r="Z662" i="34"/>
  <c r="N663" i="34"/>
  <c r="O663" i="34"/>
  <c r="P663" i="34"/>
  <c r="Q663" i="34"/>
  <c r="R663" i="34"/>
  <c r="S663" i="34"/>
  <c r="T663" i="34"/>
  <c r="U663" i="34"/>
  <c r="V663" i="34"/>
  <c r="W663" i="34"/>
  <c r="X663" i="34"/>
  <c r="Y663" i="34"/>
  <c r="Z663" i="34"/>
  <c r="N664" i="34"/>
  <c r="O664" i="34"/>
  <c r="P664" i="34"/>
  <c r="Q664" i="34"/>
  <c r="R664" i="34"/>
  <c r="S664" i="34"/>
  <c r="T664" i="34"/>
  <c r="U664" i="34"/>
  <c r="V664" i="34"/>
  <c r="W664" i="34"/>
  <c r="X664" i="34"/>
  <c r="Y664" i="34"/>
  <c r="Z664" i="34"/>
  <c r="N665" i="34"/>
  <c r="O665" i="34"/>
  <c r="P665" i="34"/>
  <c r="Q665" i="34"/>
  <c r="R665" i="34"/>
  <c r="S665" i="34"/>
  <c r="T665" i="34"/>
  <c r="U665" i="34"/>
  <c r="V665" i="34"/>
  <c r="W665" i="34"/>
  <c r="X665" i="34"/>
  <c r="Y665" i="34"/>
  <c r="Z665" i="34"/>
  <c r="N666" i="34"/>
  <c r="O666" i="34"/>
  <c r="P666" i="34"/>
  <c r="Q666" i="34"/>
  <c r="R666" i="34"/>
  <c r="S666" i="34"/>
  <c r="T666" i="34"/>
  <c r="U666" i="34"/>
  <c r="V666" i="34"/>
  <c r="W666" i="34"/>
  <c r="X666" i="34"/>
  <c r="Y666" i="34"/>
  <c r="Z666" i="34"/>
  <c r="N667" i="34"/>
  <c r="O667" i="34"/>
  <c r="P667" i="34"/>
  <c r="Q667" i="34"/>
  <c r="R667" i="34"/>
  <c r="S667" i="34"/>
  <c r="T667" i="34"/>
  <c r="U667" i="34"/>
  <c r="V667" i="34"/>
  <c r="W667" i="34"/>
  <c r="X667" i="34"/>
  <c r="Y667" i="34"/>
  <c r="Z667" i="34"/>
  <c r="N668" i="34"/>
  <c r="O668" i="34"/>
  <c r="P668" i="34"/>
  <c r="Q668" i="34"/>
  <c r="R668" i="34"/>
  <c r="S668" i="34"/>
  <c r="T668" i="34"/>
  <c r="U668" i="34"/>
  <c r="V668" i="34"/>
  <c r="W668" i="34"/>
  <c r="X668" i="34"/>
  <c r="Y668" i="34"/>
  <c r="Z668" i="34"/>
  <c r="N669" i="34"/>
  <c r="O669" i="34"/>
  <c r="P669" i="34"/>
  <c r="Q669" i="34"/>
  <c r="R669" i="34"/>
  <c r="S669" i="34"/>
  <c r="T669" i="34"/>
  <c r="U669" i="34"/>
  <c r="V669" i="34"/>
  <c r="W669" i="34"/>
  <c r="X669" i="34"/>
  <c r="Y669" i="34"/>
  <c r="Z669" i="34"/>
  <c r="N670" i="34"/>
  <c r="O670" i="34"/>
  <c r="P670" i="34"/>
  <c r="Q670" i="34"/>
  <c r="R670" i="34"/>
  <c r="S670" i="34"/>
  <c r="T670" i="34"/>
  <c r="U670" i="34"/>
  <c r="V670" i="34"/>
  <c r="W670" i="34"/>
  <c r="X670" i="34"/>
  <c r="Y670" i="34"/>
  <c r="Z670" i="34"/>
  <c r="N671" i="34"/>
  <c r="O671" i="34"/>
  <c r="P671" i="34"/>
  <c r="Q671" i="34"/>
  <c r="R671" i="34"/>
  <c r="S671" i="34"/>
  <c r="T671" i="34"/>
  <c r="U671" i="34"/>
  <c r="V671" i="34"/>
  <c r="W671" i="34"/>
  <c r="X671" i="34"/>
  <c r="Y671" i="34"/>
  <c r="Z671" i="34"/>
  <c r="N672" i="34"/>
  <c r="O672" i="34"/>
  <c r="P672" i="34"/>
  <c r="Q672" i="34"/>
  <c r="R672" i="34"/>
  <c r="S672" i="34"/>
  <c r="T672" i="34"/>
  <c r="U672" i="34"/>
  <c r="V672" i="34"/>
  <c r="W672" i="34"/>
  <c r="X672" i="34"/>
  <c r="Y672" i="34"/>
  <c r="Z672" i="34"/>
  <c r="N673" i="34"/>
  <c r="O673" i="34"/>
  <c r="P673" i="34"/>
  <c r="Q673" i="34"/>
  <c r="R673" i="34"/>
  <c r="S673" i="34"/>
  <c r="T673" i="34"/>
  <c r="U673" i="34"/>
  <c r="V673" i="34"/>
  <c r="W673" i="34"/>
  <c r="X673" i="34"/>
  <c r="Y673" i="34"/>
  <c r="Z673" i="34"/>
  <c r="N674" i="34"/>
  <c r="O674" i="34"/>
  <c r="P674" i="34"/>
  <c r="Q674" i="34"/>
  <c r="R674" i="34"/>
  <c r="S674" i="34"/>
  <c r="T674" i="34"/>
  <c r="U674" i="34"/>
  <c r="V674" i="34"/>
  <c r="W674" i="34"/>
  <c r="X674" i="34"/>
  <c r="Y674" i="34"/>
  <c r="Z674" i="34"/>
  <c r="N675" i="34"/>
  <c r="O675" i="34"/>
  <c r="P675" i="34"/>
  <c r="Q675" i="34"/>
  <c r="R675" i="34"/>
  <c r="S675" i="34"/>
  <c r="T675" i="34"/>
  <c r="U675" i="34"/>
  <c r="V675" i="34"/>
  <c r="W675" i="34"/>
  <c r="X675" i="34"/>
  <c r="Y675" i="34"/>
  <c r="Z675" i="34"/>
  <c r="N676" i="34"/>
  <c r="O676" i="34"/>
  <c r="P676" i="34"/>
  <c r="Q676" i="34"/>
  <c r="R676" i="34"/>
  <c r="S676" i="34"/>
  <c r="T676" i="34"/>
  <c r="U676" i="34"/>
  <c r="V676" i="34"/>
  <c r="W676" i="34"/>
  <c r="X676" i="34"/>
  <c r="Y676" i="34"/>
  <c r="Z676" i="34"/>
  <c r="N677" i="34"/>
  <c r="O677" i="34"/>
  <c r="P677" i="34"/>
  <c r="Q677" i="34"/>
  <c r="R677" i="34"/>
  <c r="S677" i="34"/>
  <c r="T677" i="34"/>
  <c r="U677" i="34"/>
  <c r="V677" i="34"/>
  <c r="W677" i="34"/>
  <c r="X677" i="34"/>
  <c r="Y677" i="34"/>
  <c r="Z677" i="34"/>
  <c r="N678" i="34"/>
  <c r="O678" i="34"/>
  <c r="P678" i="34"/>
  <c r="Q678" i="34"/>
  <c r="R678" i="34"/>
  <c r="S678" i="34"/>
  <c r="T678" i="34"/>
  <c r="U678" i="34"/>
  <c r="V678" i="34"/>
  <c r="W678" i="34"/>
  <c r="X678" i="34"/>
  <c r="Y678" i="34"/>
  <c r="Z678" i="34"/>
  <c r="N679" i="34"/>
  <c r="O679" i="34"/>
  <c r="P679" i="34"/>
  <c r="Q679" i="34"/>
  <c r="R679" i="34"/>
  <c r="S679" i="34"/>
  <c r="T679" i="34"/>
  <c r="U679" i="34"/>
  <c r="V679" i="34"/>
  <c r="W679" i="34"/>
  <c r="X679" i="34"/>
  <c r="Y679" i="34"/>
  <c r="Z679" i="34"/>
  <c r="N680" i="34"/>
  <c r="O680" i="34"/>
  <c r="P680" i="34"/>
  <c r="Q680" i="34"/>
  <c r="R680" i="34"/>
  <c r="S680" i="34"/>
  <c r="T680" i="34"/>
  <c r="U680" i="34"/>
  <c r="V680" i="34"/>
  <c r="W680" i="34"/>
  <c r="X680" i="34"/>
  <c r="Y680" i="34"/>
  <c r="Z680" i="34"/>
  <c r="N681" i="34"/>
  <c r="O681" i="34"/>
  <c r="P681" i="34"/>
  <c r="Q681" i="34"/>
  <c r="R681" i="34"/>
  <c r="S681" i="34"/>
  <c r="T681" i="34"/>
  <c r="U681" i="34"/>
  <c r="V681" i="34"/>
  <c r="W681" i="34"/>
  <c r="X681" i="34"/>
  <c r="Y681" i="34"/>
  <c r="Z681" i="34"/>
  <c r="N682" i="34"/>
  <c r="O682" i="34"/>
  <c r="P682" i="34"/>
  <c r="Q682" i="34"/>
  <c r="R682" i="34"/>
  <c r="S682" i="34"/>
  <c r="T682" i="34"/>
  <c r="U682" i="34"/>
  <c r="V682" i="34"/>
  <c r="W682" i="34"/>
  <c r="X682" i="34"/>
  <c r="Y682" i="34"/>
  <c r="Z682" i="34"/>
  <c r="N683" i="34"/>
  <c r="O683" i="34"/>
  <c r="P683" i="34"/>
  <c r="Q683" i="34"/>
  <c r="R683" i="34"/>
  <c r="S683" i="34"/>
  <c r="T683" i="34"/>
  <c r="U683" i="34"/>
  <c r="V683" i="34"/>
  <c r="W683" i="34"/>
  <c r="X683" i="34"/>
  <c r="Y683" i="34"/>
  <c r="Z683" i="34"/>
  <c r="N684" i="34"/>
  <c r="O684" i="34"/>
  <c r="P684" i="34"/>
  <c r="Q684" i="34"/>
  <c r="R684" i="34"/>
  <c r="S684" i="34"/>
  <c r="T684" i="34"/>
  <c r="U684" i="34"/>
  <c r="V684" i="34"/>
  <c r="W684" i="34"/>
  <c r="X684" i="34"/>
  <c r="Y684" i="34"/>
  <c r="Z684" i="34"/>
  <c r="N685" i="34"/>
  <c r="O685" i="34"/>
  <c r="P685" i="34"/>
  <c r="Q685" i="34"/>
  <c r="R685" i="34"/>
  <c r="S685" i="34"/>
  <c r="T685" i="34"/>
  <c r="U685" i="34"/>
  <c r="V685" i="34"/>
  <c r="W685" i="34"/>
  <c r="X685" i="34"/>
  <c r="Y685" i="34"/>
  <c r="Z685" i="34"/>
  <c r="N686" i="34"/>
  <c r="O686" i="34"/>
  <c r="P686" i="34"/>
  <c r="Q686" i="34"/>
  <c r="R686" i="34"/>
  <c r="S686" i="34"/>
  <c r="T686" i="34"/>
  <c r="U686" i="34"/>
  <c r="V686" i="34"/>
  <c r="W686" i="34"/>
  <c r="X686" i="34"/>
  <c r="Y686" i="34"/>
  <c r="Z686" i="34"/>
  <c r="N687" i="34"/>
  <c r="O687" i="34"/>
  <c r="P687" i="34"/>
  <c r="Q687" i="34"/>
  <c r="R687" i="34"/>
  <c r="S687" i="34"/>
  <c r="T687" i="34"/>
  <c r="U687" i="34"/>
  <c r="V687" i="34"/>
  <c r="W687" i="34"/>
  <c r="X687" i="34"/>
  <c r="Y687" i="34"/>
  <c r="Z687" i="34"/>
  <c r="N688" i="34"/>
  <c r="O688" i="34"/>
  <c r="P688" i="34"/>
  <c r="Q688" i="34"/>
  <c r="R688" i="34"/>
  <c r="S688" i="34"/>
  <c r="T688" i="34"/>
  <c r="U688" i="34"/>
  <c r="V688" i="34"/>
  <c r="W688" i="34"/>
  <c r="X688" i="34"/>
  <c r="Y688" i="34"/>
  <c r="Z688" i="34"/>
  <c r="N689" i="34"/>
  <c r="O689" i="34"/>
  <c r="P689" i="34"/>
  <c r="Q689" i="34"/>
  <c r="R689" i="34"/>
  <c r="S689" i="34"/>
  <c r="T689" i="34"/>
  <c r="U689" i="34"/>
  <c r="V689" i="34"/>
  <c r="W689" i="34"/>
  <c r="X689" i="34"/>
  <c r="Y689" i="34"/>
  <c r="Z689" i="34"/>
  <c r="N690" i="34"/>
  <c r="O690" i="34"/>
  <c r="P690" i="34"/>
  <c r="Q690" i="34"/>
  <c r="R690" i="34"/>
  <c r="S690" i="34"/>
  <c r="T690" i="34"/>
  <c r="U690" i="34"/>
  <c r="V690" i="34"/>
  <c r="W690" i="34"/>
  <c r="X690" i="34"/>
  <c r="Y690" i="34"/>
  <c r="Z690" i="34"/>
  <c r="N691" i="34"/>
  <c r="O691" i="34"/>
  <c r="P691" i="34"/>
  <c r="Q691" i="34"/>
  <c r="R691" i="34"/>
  <c r="S691" i="34"/>
  <c r="T691" i="34"/>
  <c r="U691" i="34"/>
  <c r="V691" i="34"/>
  <c r="W691" i="34"/>
  <c r="X691" i="34"/>
  <c r="Y691" i="34"/>
  <c r="Z691" i="34"/>
  <c r="N692" i="34"/>
  <c r="O692" i="34"/>
  <c r="P692" i="34"/>
  <c r="Q692" i="34"/>
  <c r="R692" i="34"/>
  <c r="S692" i="34"/>
  <c r="T692" i="34"/>
  <c r="U692" i="34"/>
  <c r="V692" i="34"/>
  <c r="W692" i="34"/>
  <c r="X692" i="34"/>
  <c r="Y692" i="34"/>
  <c r="Z692" i="34"/>
  <c r="N693" i="34"/>
  <c r="O693" i="34"/>
  <c r="P693" i="34"/>
  <c r="Q693" i="34"/>
  <c r="R693" i="34"/>
  <c r="S693" i="34"/>
  <c r="T693" i="34"/>
  <c r="U693" i="34"/>
  <c r="V693" i="34"/>
  <c r="W693" i="34"/>
  <c r="X693" i="34"/>
  <c r="Y693" i="34"/>
  <c r="Z693" i="34"/>
  <c r="N694" i="34"/>
  <c r="O694" i="34"/>
  <c r="P694" i="34"/>
  <c r="Q694" i="34"/>
  <c r="R694" i="34"/>
  <c r="S694" i="34"/>
  <c r="T694" i="34"/>
  <c r="U694" i="34"/>
  <c r="V694" i="34"/>
  <c r="W694" i="34"/>
  <c r="X694" i="34"/>
  <c r="Y694" i="34"/>
  <c r="Z694" i="34"/>
  <c r="N695" i="34"/>
  <c r="O695" i="34"/>
  <c r="P695" i="34"/>
  <c r="Q695" i="34"/>
  <c r="R695" i="34"/>
  <c r="S695" i="34"/>
  <c r="T695" i="34"/>
  <c r="U695" i="34"/>
  <c r="V695" i="34"/>
  <c r="W695" i="34"/>
  <c r="X695" i="34"/>
  <c r="Y695" i="34"/>
  <c r="Z695" i="34"/>
  <c r="N696" i="34"/>
  <c r="O696" i="34"/>
  <c r="P696" i="34"/>
  <c r="Q696" i="34"/>
  <c r="R696" i="34"/>
  <c r="S696" i="34"/>
  <c r="T696" i="34"/>
  <c r="U696" i="34"/>
  <c r="V696" i="34"/>
  <c r="W696" i="34"/>
  <c r="X696" i="34"/>
  <c r="Y696" i="34"/>
  <c r="Z696" i="34"/>
  <c r="N697" i="34"/>
  <c r="O697" i="34"/>
  <c r="P697" i="34"/>
  <c r="Q697" i="34"/>
  <c r="R697" i="34"/>
  <c r="S697" i="34"/>
  <c r="T697" i="34"/>
  <c r="U697" i="34"/>
  <c r="V697" i="34"/>
  <c r="W697" i="34"/>
  <c r="X697" i="34"/>
  <c r="Y697" i="34"/>
  <c r="Z697" i="34"/>
  <c r="N698" i="34"/>
  <c r="O698" i="34"/>
  <c r="P698" i="34"/>
  <c r="Q698" i="34"/>
  <c r="R698" i="34"/>
  <c r="S698" i="34"/>
  <c r="T698" i="34"/>
  <c r="U698" i="34"/>
  <c r="V698" i="34"/>
  <c r="W698" i="34"/>
  <c r="X698" i="34"/>
  <c r="Y698" i="34"/>
  <c r="Z698" i="34"/>
  <c r="N699" i="34"/>
  <c r="O699" i="34"/>
  <c r="P699" i="34"/>
  <c r="Q699" i="34"/>
  <c r="R699" i="34"/>
  <c r="S699" i="34"/>
  <c r="T699" i="34"/>
  <c r="U699" i="34"/>
  <c r="V699" i="34"/>
  <c r="W699" i="34"/>
  <c r="X699" i="34"/>
  <c r="Y699" i="34"/>
  <c r="Z699" i="34"/>
  <c r="N700" i="34"/>
  <c r="O700" i="34"/>
  <c r="P700" i="34"/>
  <c r="Q700" i="34"/>
  <c r="R700" i="34"/>
  <c r="S700" i="34"/>
  <c r="T700" i="34"/>
  <c r="U700" i="34"/>
  <c r="V700" i="34"/>
  <c r="W700" i="34"/>
  <c r="X700" i="34"/>
  <c r="Y700" i="34"/>
  <c r="Z700" i="34"/>
  <c r="N701" i="34"/>
  <c r="O701" i="34"/>
  <c r="P701" i="34"/>
  <c r="Q701" i="34"/>
  <c r="R701" i="34"/>
  <c r="S701" i="34"/>
  <c r="T701" i="34"/>
  <c r="U701" i="34"/>
  <c r="V701" i="34"/>
  <c r="W701" i="34"/>
  <c r="X701" i="34"/>
  <c r="Y701" i="34"/>
  <c r="Z701" i="34"/>
  <c r="N702" i="34"/>
  <c r="O702" i="34"/>
  <c r="P702" i="34"/>
  <c r="Q702" i="34"/>
  <c r="R702" i="34"/>
  <c r="S702" i="34"/>
  <c r="T702" i="34"/>
  <c r="U702" i="34"/>
  <c r="V702" i="34"/>
  <c r="W702" i="34"/>
  <c r="X702" i="34"/>
  <c r="Y702" i="34"/>
  <c r="Z702" i="34"/>
  <c r="N703" i="34"/>
  <c r="O703" i="34"/>
  <c r="P703" i="34"/>
  <c r="Q703" i="34"/>
  <c r="R703" i="34"/>
  <c r="S703" i="34"/>
  <c r="T703" i="34"/>
  <c r="U703" i="34"/>
  <c r="V703" i="34"/>
  <c r="W703" i="34"/>
  <c r="X703" i="34"/>
  <c r="Y703" i="34"/>
  <c r="Z703" i="34"/>
  <c r="N704" i="34"/>
  <c r="O704" i="34"/>
  <c r="P704" i="34"/>
  <c r="Q704" i="34"/>
  <c r="R704" i="34"/>
  <c r="S704" i="34"/>
  <c r="T704" i="34"/>
  <c r="U704" i="34"/>
  <c r="V704" i="34"/>
  <c r="W704" i="34"/>
  <c r="X704" i="34"/>
  <c r="Y704" i="34"/>
  <c r="Z704" i="34"/>
  <c r="N705" i="34"/>
  <c r="O705" i="34"/>
  <c r="P705" i="34"/>
  <c r="Q705" i="34"/>
  <c r="R705" i="34"/>
  <c r="S705" i="34"/>
  <c r="T705" i="34"/>
  <c r="U705" i="34"/>
  <c r="V705" i="34"/>
  <c r="W705" i="34"/>
  <c r="X705" i="34"/>
  <c r="Y705" i="34"/>
  <c r="Z705" i="34"/>
  <c r="N706" i="34"/>
  <c r="O706" i="34"/>
  <c r="P706" i="34"/>
  <c r="Q706" i="34"/>
  <c r="R706" i="34"/>
  <c r="S706" i="34"/>
  <c r="T706" i="34"/>
  <c r="U706" i="34"/>
  <c r="V706" i="34"/>
  <c r="W706" i="34"/>
  <c r="X706" i="34"/>
  <c r="Y706" i="34"/>
  <c r="Z706" i="34"/>
  <c r="N707" i="34"/>
  <c r="O707" i="34"/>
  <c r="P707" i="34"/>
  <c r="Q707" i="34"/>
  <c r="R707" i="34"/>
  <c r="S707" i="34"/>
  <c r="T707" i="34"/>
  <c r="U707" i="34"/>
  <c r="V707" i="34"/>
  <c r="W707" i="34"/>
  <c r="X707" i="34"/>
  <c r="Y707" i="34"/>
  <c r="Z707" i="34"/>
  <c r="N708" i="34"/>
  <c r="O708" i="34"/>
  <c r="P708" i="34"/>
  <c r="Q708" i="34"/>
  <c r="R708" i="34"/>
  <c r="S708" i="34"/>
  <c r="T708" i="34"/>
  <c r="U708" i="34"/>
  <c r="V708" i="34"/>
  <c r="W708" i="34"/>
  <c r="X708" i="34"/>
  <c r="Y708" i="34"/>
  <c r="Z708" i="34"/>
  <c r="N709" i="34"/>
  <c r="O709" i="34"/>
  <c r="P709" i="34"/>
  <c r="Q709" i="34"/>
  <c r="R709" i="34"/>
  <c r="S709" i="34"/>
  <c r="T709" i="34"/>
  <c r="U709" i="34"/>
  <c r="V709" i="34"/>
  <c r="W709" i="34"/>
  <c r="X709" i="34"/>
  <c r="Y709" i="34"/>
  <c r="Z709" i="34"/>
  <c r="N710" i="34"/>
  <c r="O710" i="34"/>
  <c r="P710" i="34"/>
  <c r="Q710" i="34"/>
  <c r="R710" i="34"/>
  <c r="S710" i="34"/>
  <c r="T710" i="34"/>
  <c r="U710" i="34"/>
  <c r="V710" i="34"/>
  <c r="W710" i="34"/>
  <c r="X710" i="34"/>
  <c r="Y710" i="34"/>
  <c r="Z710" i="34"/>
  <c r="N711" i="34"/>
  <c r="O711" i="34"/>
  <c r="P711" i="34"/>
  <c r="Q711" i="34"/>
  <c r="R711" i="34"/>
  <c r="S711" i="34"/>
  <c r="T711" i="34"/>
  <c r="U711" i="34"/>
  <c r="V711" i="34"/>
  <c r="W711" i="34"/>
  <c r="X711" i="34"/>
  <c r="Y711" i="34"/>
  <c r="Z711" i="34"/>
  <c r="N712" i="34"/>
  <c r="O712" i="34"/>
  <c r="P712" i="34"/>
  <c r="Q712" i="34"/>
  <c r="R712" i="34"/>
  <c r="S712" i="34"/>
  <c r="T712" i="34"/>
  <c r="U712" i="34"/>
  <c r="V712" i="34"/>
  <c r="W712" i="34"/>
  <c r="X712" i="34"/>
  <c r="Y712" i="34"/>
  <c r="Z712" i="34"/>
  <c r="N713" i="34"/>
  <c r="O713" i="34"/>
  <c r="P713" i="34"/>
  <c r="Q713" i="34"/>
  <c r="R713" i="34"/>
  <c r="S713" i="34"/>
  <c r="T713" i="34"/>
  <c r="U713" i="34"/>
  <c r="V713" i="34"/>
  <c r="W713" i="34"/>
  <c r="X713" i="34"/>
  <c r="Y713" i="34"/>
  <c r="Z713" i="34"/>
  <c r="N714" i="34"/>
  <c r="O714" i="34"/>
  <c r="P714" i="34"/>
  <c r="Q714" i="34"/>
  <c r="R714" i="34"/>
  <c r="S714" i="34"/>
  <c r="T714" i="34"/>
  <c r="U714" i="34"/>
  <c r="V714" i="34"/>
  <c r="W714" i="34"/>
  <c r="X714" i="34"/>
  <c r="Y714" i="34"/>
  <c r="Z714" i="34"/>
  <c r="N715" i="34"/>
  <c r="O715" i="34"/>
  <c r="P715" i="34"/>
  <c r="Q715" i="34"/>
  <c r="R715" i="34"/>
  <c r="S715" i="34"/>
  <c r="T715" i="34"/>
  <c r="U715" i="34"/>
  <c r="V715" i="34"/>
  <c r="W715" i="34"/>
  <c r="X715" i="34"/>
  <c r="Y715" i="34"/>
  <c r="Z715" i="34"/>
  <c r="N716" i="34"/>
  <c r="O716" i="34"/>
  <c r="P716" i="34"/>
  <c r="Q716" i="34"/>
  <c r="R716" i="34"/>
  <c r="S716" i="34"/>
  <c r="T716" i="34"/>
  <c r="U716" i="34"/>
  <c r="V716" i="34"/>
  <c r="W716" i="34"/>
  <c r="X716" i="34"/>
  <c r="Y716" i="34"/>
  <c r="Z716" i="34"/>
  <c r="N717" i="34"/>
  <c r="O717" i="34"/>
  <c r="P717" i="34"/>
  <c r="Q717" i="34"/>
  <c r="R717" i="34"/>
  <c r="S717" i="34"/>
  <c r="T717" i="34"/>
  <c r="U717" i="34"/>
  <c r="V717" i="34"/>
  <c r="W717" i="34"/>
  <c r="X717" i="34"/>
  <c r="Y717" i="34"/>
  <c r="Z717" i="34"/>
  <c r="N718" i="34"/>
  <c r="O718" i="34"/>
  <c r="P718" i="34"/>
  <c r="Q718" i="34"/>
  <c r="R718" i="34"/>
  <c r="S718" i="34"/>
  <c r="T718" i="34"/>
  <c r="U718" i="34"/>
  <c r="V718" i="34"/>
  <c r="W718" i="34"/>
  <c r="X718" i="34"/>
  <c r="Y718" i="34"/>
  <c r="Z718" i="34"/>
  <c r="N719" i="34"/>
  <c r="O719" i="34"/>
  <c r="P719" i="34"/>
  <c r="Q719" i="34"/>
  <c r="R719" i="34"/>
  <c r="S719" i="34"/>
  <c r="T719" i="34"/>
  <c r="U719" i="34"/>
  <c r="V719" i="34"/>
  <c r="W719" i="34"/>
  <c r="X719" i="34"/>
  <c r="Y719" i="34"/>
  <c r="Z719" i="34"/>
  <c r="N720" i="34"/>
  <c r="O720" i="34"/>
  <c r="P720" i="34"/>
  <c r="Q720" i="34"/>
  <c r="R720" i="34"/>
  <c r="S720" i="34"/>
  <c r="T720" i="34"/>
  <c r="U720" i="34"/>
  <c r="V720" i="34"/>
  <c r="W720" i="34"/>
  <c r="X720" i="34"/>
  <c r="Y720" i="34"/>
  <c r="Z720" i="34"/>
  <c r="N721" i="34"/>
  <c r="O721" i="34"/>
  <c r="P721" i="34"/>
  <c r="Q721" i="34"/>
  <c r="R721" i="34"/>
  <c r="S721" i="34"/>
  <c r="T721" i="34"/>
  <c r="U721" i="34"/>
  <c r="V721" i="34"/>
  <c r="W721" i="34"/>
  <c r="X721" i="34"/>
  <c r="Y721" i="34"/>
  <c r="Z721" i="34"/>
  <c r="N722" i="34"/>
  <c r="O722" i="34"/>
  <c r="P722" i="34"/>
  <c r="Q722" i="34"/>
  <c r="R722" i="34"/>
  <c r="S722" i="34"/>
  <c r="T722" i="34"/>
  <c r="U722" i="34"/>
  <c r="V722" i="34"/>
  <c r="W722" i="34"/>
  <c r="X722" i="34"/>
  <c r="Y722" i="34"/>
  <c r="Z722" i="34"/>
  <c r="N723" i="34"/>
  <c r="O723" i="34"/>
  <c r="P723" i="34"/>
  <c r="Q723" i="34"/>
  <c r="R723" i="34"/>
  <c r="S723" i="34"/>
  <c r="T723" i="34"/>
  <c r="U723" i="34"/>
  <c r="V723" i="34"/>
  <c r="W723" i="34"/>
  <c r="X723" i="34"/>
  <c r="Y723" i="34"/>
  <c r="Z723" i="34"/>
  <c r="N724" i="34"/>
  <c r="O724" i="34"/>
  <c r="P724" i="34"/>
  <c r="Q724" i="34"/>
  <c r="R724" i="34"/>
  <c r="S724" i="34"/>
  <c r="T724" i="34"/>
  <c r="U724" i="34"/>
  <c r="V724" i="34"/>
  <c r="W724" i="34"/>
  <c r="X724" i="34"/>
  <c r="Y724" i="34"/>
  <c r="Z724" i="34"/>
  <c r="N725" i="34"/>
  <c r="O725" i="34"/>
  <c r="P725" i="34"/>
  <c r="Q725" i="34"/>
  <c r="R725" i="34"/>
  <c r="S725" i="34"/>
  <c r="T725" i="34"/>
  <c r="U725" i="34"/>
  <c r="V725" i="34"/>
  <c r="W725" i="34"/>
  <c r="X725" i="34"/>
  <c r="Y725" i="34"/>
  <c r="Z725" i="34"/>
  <c r="N726" i="34"/>
  <c r="O726" i="34"/>
  <c r="P726" i="34"/>
  <c r="Q726" i="34"/>
  <c r="R726" i="34"/>
  <c r="S726" i="34"/>
  <c r="T726" i="34"/>
  <c r="U726" i="34"/>
  <c r="V726" i="34"/>
  <c r="W726" i="34"/>
  <c r="X726" i="34"/>
  <c r="Y726" i="34"/>
  <c r="Z726" i="34"/>
  <c r="N727" i="34"/>
  <c r="O727" i="34"/>
  <c r="P727" i="34"/>
  <c r="Q727" i="34"/>
  <c r="R727" i="34"/>
  <c r="S727" i="34"/>
  <c r="T727" i="34"/>
  <c r="U727" i="34"/>
  <c r="V727" i="34"/>
  <c r="W727" i="34"/>
  <c r="X727" i="34"/>
  <c r="Y727" i="34"/>
  <c r="Z727" i="34"/>
  <c r="N728" i="34"/>
  <c r="O728" i="34"/>
  <c r="P728" i="34"/>
  <c r="Q728" i="34"/>
  <c r="R728" i="34"/>
  <c r="S728" i="34"/>
  <c r="T728" i="34"/>
  <c r="U728" i="34"/>
  <c r="V728" i="34"/>
  <c r="W728" i="34"/>
  <c r="X728" i="34"/>
  <c r="Y728" i="34"/>
  <c r="Z728" i="34"/>
  <c r="N729" i="34"/>
  <c r="O729" i="34"/>
  <c r="P729" i="34"/>
  <c r="Q729" i="34"/>
  <c r="R729" i="34"/>
  <c r="S729" i="34"/>
  <c r="T729" i="34"/>
  <c r="U729" i="34"/>
  <c r="V729" i="34"/>
  <c r="W729" i="34"/>
  <c r="X729" i="34"/>
  <c r="Y729" i="34"/>
  <c r="Z729" i="34"/>
  <c r="N730" i="34"/>
  <c r="O730" i="34"/>
  <c r="P730" i="34"/>
  <c r="Q730" i="34"/>
  <c r="R730" i="34"/>
  <c r="S730" i="34"/>
  <c r="T730" i="34"/>
  <c r="U730" i="34"/>
  <c r="V730" i="34"/>
  <c r="W730" i="34"/>
  <c r="X730" i="34"/>
  <c r="Y730" i="34"/>
  <c r="Z730" i="34"/>
  <c r="N731" i="34"/>
  <c r="O731" i="34"/>
  <c r="P731" i="34"/>
  <c r="Q731" i="34"/>
  <c r="R731" i="34"/>
  <c r="S731" i="34"/>
  <c r="T731" i="34"/>
  <c r="U731" i="34"/>
  <c r="V731" i="34"/>
  <c r="W731" i="34"/>
  <c r="X731" i="34"/>
  <c r="Y731" i="34"/>
  <c r="Z731" i="34"/>
  <c r="N732" i="34"/>
  <c r="O732" i="34"/>
  <c r="P732" i="34"/>
  <c r="Q732" i="34"/>
  <c r="R732" i="34"/>
  <c r="S732" i="34"/>
  <c r="T732" i="34"/>
  <c r="U732" i="34"/>
  <c r="V732" i="34"/>
  <c r="W732" i="34"/>
  <c r="X732" i="34"/>
  <c r="Y732" i="34"/>
  <c r="Z732" i="34"/>
  <c r="N733" i="34"/>
  <c r="O733" i="34"/>
  <c r="P733" i="34"/>
  <c r="Q733" i="34"/>
  <c r="R733" i="34"/>
  <c r="S733" i="34"/>
  <c r="T733" i="34"/>
  <c r="U733" i="34"/>
  <c r="V733" i="34"/>
  <c r="W733" i="34"/>
  <c r="X733" i="34"/>
  <c r="Y733" i="34"/>
  <c r="Z733" i="34"/>
  <c r="N734" i="34"/>
  <c r="O734" i="34"/>
  <c r="P734" i="34"/>
  <c r="Q734" i="34"/>
  <c r="R734" i="34"/>
  <c r="S734" i="34"/>
  <c r="T734" i="34"/>
  <c r="U734" i="34"/>
  <c r="V734" i="34"/>
  <c r="W734" i="34"/>
  <c r="X734" i="34"/>
  <c r="Y734" i="34"/>
  <c r="Z734" i="34"/>
  <c r="N735" i="34"/>
  <c r="O735" i="34"/>
  <c r="P735" i="34"/>
  <c r="Q735" i="34"/>
  <c r="R735" i="34"/>
  <c r="S735" i="34"/>
  <c r="T735" i="34"/>
  <c r="U735" i="34"/>
  <c r="V735" i="34"/>
  <c r="W735" i="34"/>
  <c r="X735" i="34"/>
  <c r="Y735" i="34"/>
  <c r="Z735" i="34"/>
  <c r="N736" i="34"/>
  <c r="O736" i="34"/>
  <c r="P736" i="34"/>
  <c r="Q736" i="34"/>
  <c r="R736" i="34"/>
  <c r="S736" i="34"/>
  <c r="T736" i="34"/>
  <c r="U736" i="34"/>
  <c r="V736" i="34"/>
  <c r="W736" i="34"/>
  <c r="X736" i="34"/>
  <c r="Y736" i="34"/>
  <c r="Z736" i="34"/>
  <c r="N737" i="34"/>
  <c r="O737" i="34"/>
  <c r="P737" i="34"/>
  <c r="Q737" i="34"/>
  <c r="R737" i="34"/>
  <c r="S737" i="34"/>
  <c r="T737" i="34"/>
  <c r="U737" i="34"/>
  <c r="V737" i="34"/>
  <c r="W737" i="34"/>
  <c r="X737" i="34"/>
  <c r="Y737" i="34"/>
  <c r="Z737" i="34"/>
  <c r="N738" i="34"/>
  <c r="O738" i="34"/>
  <c r="P738" i="34"/>
  <c r="Q738" i="34"/>
  <c r="R738" i="34"/>
  <c r="S738" i="34"/>
  <c r="T738" i="34"/>
  <c r="U738" i="34"/>
  <c r="V738" i="34"/>
  <c r="W738" i="34"/>
  <c r="X738" i="34"/>
  <c r="Y738" i="34"/>
  <c r="Z738" i="34"/>
  <c r="N739" i="34"/>
  <c r="O739" i="34"/>
  <c r="P739" i="34"/>
  <c r="Q739" i="34"/>
  <c r="R739" i="34"/>
  <c r="S739" i="34"/>
  <c r="T739" i="34"/>
  <c r="U739" i="34"/>
  <c r="V739" i="34"/>
  <c r="W739" i="34"/>
  <c r="X739" i="34"/>
  <c r="Y739" i="34"/>
  <c r="Z739" i="34"/>
  <c r="N740" i="34"/>
  <c r="O740" i="34"/>
  <c r="P740" i="34"/>
  <c r="Q740" i="34"/>
  <c r="R740" i="34"/>
  <c r="S740" i="34"/>
  <c r="T740" i="34"/>
  <c r="U740" i="34"/>
  <c r="V740" i="34"/>
  <c r="W740" i="34"/>
  <c r="X740" i="34"/>
  <c r="Y740" i="34"/>
  <c r="Z740" i="34"/>
  <c r="N741" i="34"/>
  <c r="O741" i="34"/>
  <c r="P741" i="34"/>
  <c r="Q741" i="34"/>
  <c r="R741" i="34"/>
  <c r="S741" i="34"/>
  <c r="T741" i="34"/>
  <c r="U741" i="34"/>
  <c r="V741" i="34"/>
  <c r="W741" i="34"/>
  <c r="X741" i="34"/>
  <c r="Y741" i="34"/>
  <c r="Z741" i="34"/>
  <c r="N742" i="34"/>
  <c r="O742" i="34"/>
  <c r="P742" i="34"/>
  <c r="Q742" i="34"/>
  <c r="R742" i="34"/>
  <c r="S742" i="34"/>
  <c r="T742" i="34"/>
  <c r="U742" i="34"/>
  <c r="V742" i="34"/>
  <c r="W742" i="34"/>
  <c r="X742" i="34"/>
  <c r="Y742" i="34"/>
  <c r="Z742" i="34"/>
  <c r="N743" i="34"/>
  <c r="O743" i="34"/>
  <c r="P743" i="34"/>
  <c r="Q743" i="34"/>
  <c r="R743" i="34"/>
  <c r="S743" i="34"/>
  <c r="T743" i="34"/>
  <c r="U743" i="34"/>
  <c r="V743" i="34"/>
  <c r="W743" i="34"/>
  <c r="X743" i="34"/>
  <c r="Y743" i="34"/>
  <c r="Z743" i="34"/>
  <c r="N744" i="34"/>
  <c r="O744" i="34"/>
  <c r="P744" i="34"/>
  <c r="Q744" i="34"/>
  <c r="R744" i="34"/>
  <c r="S744" i="34"/>
  <c r="T744" i="34"/>
  <c r="U744" i="34"/>
  <c r="V744" i="34"/>
  <c r="W744" i="34"/>
  <c r="X744" i="34"/>
  <c r="Y744" i="34"/>
  <c r="Z744" i="34"/>
  <c r="N745" i="34"/>
  <c r="O745" i="34"/>
  <c r="P745" i="34"/>
  <c r="Q745" i="34"/>
  <c r="R745" i="34"/>
  <c r="S745" i="34"/>
  <c r="T745" i="34"/>
  <c r="U745" i="34"/>
  <c r="V745" i="34"/>
  <c r="W745" i="34"/>
  <c r="X745" i="34"/>
  <c r="Y745" i="34"/>
  <c r="Z745" i="34"/>
  <c r="N746" i="34"/>
  <c r="O746" i="34"/>
  <c r="P746" i="34"/>
  <c r="Q746" i="34"/>
  <c r="R746" i="34"/>
  <c r="S746" i="34"/>
  <c r="T746" i="34"/>
  <c r="U746" i="34"/>
  <c r="V746" i="34"/>
  <c r="W746" i="34"/>
  <c r="X746" i="34"/>
  <c r="Y746" i="34"/>
  <c r="Z746" i="34"/>
  <c r="N747" i="34"/>
  <c r="O747" i="34"/>
  <c r="P747" i="34"/>
  <c r="Q747" i="34"/>
  <c r="R747" i="34"/>
  <c r="S747" i="34"/>
  <c r="T747" i="34"/>
  <c r="U747" i="34"/>
  <c r="V747" i="34"/>
  <c r="W747" i="34"/>
  <c r="X747" i="34"/>
  <c r="Y747" i="34"/>
  <c r="Z747" i="34"/>
  <c r="N748" i="34"/>
  <c r="O748" i="34"/>
  <c r="P748" i="34"/>
  <c r="Q748" i="34"/>
  <c r="R748" i="34"/>
  <c r="S748" i="34"/>
  <c r="T748" i="34"/>
  <c r="U748" i="34"/>
  <c r="V748" i="34"/>
  <c r="W748" i="34"/>
  <c r="X748" i="34"/>
  <c r="Y748" i="34"/>
  <c r="Z748" i="34"/>
  <c r="N749" i="34"/>
  <c r="O749" i="34"/>
  <c r="P749" i="34"/>
  <c r="Q749" i="34"/>
  <c r="R749" i="34"/>
  <c r="S749" i="34"/>
  <c r="T749" i="34"/>
  <c r="U749" i="34"/>
  <c r="V749" i="34"/>
  <c r="W749" i="34"/>
  <c r="X749" i="34"/>
  <c r="Y749" i="34"/>
  <c r="Z749" i="34"/>
  <c r="N750" i="34"/>
  <c r="O750" i="34"/>
  <c r="P750" i="34"/>
  <c r="Q750" i="34"/>
  <c r="R750" i="34"/>
  <c r="S750" i="34"/>
  <c r="T750" i="34"/>
  <c r="U750" i="34"/>
  <c r="V750" i="34"/>
  <c r="W750" i="34"/>
  <c r="X750" i="34"/>
  <c r="Y750" i="34"/>
  <c r="Z750" i="34"/>
  <c r="N751" i="34"/>
  <c r="O751" i="34"/>
  <c r="P751" i="34"/>
  <c r="Q751" i="34"/>
  <c r="R751" i="34"/>
  <c r="S751" i="34"/>
  <c r="T751" i="34"/>
  <c r="U751" i="34"/>
  <c r="V751" i="34"/>
  <c r="W751" i="34"/>
  <c r="X751" i="34"/>
  <c r="Y751" i="34"/>
  <c r="Z751" i="34"/>
  <c r="N752" i="34"/>
  <c r="O752" i="34"/>
  <c r="P752" i="34"/>
  <c r="Q752" i="34"/>
  <c r="R752" i="34"/>
  <c r="S752" i="34"/>
  <c r="T752" i="34"/>
  <c r="U752" i="34"/>
  <c r="V752" i="34"/>
  <c r="W752" i="34"/>
  <c r="X752" i="34"/>
  <c r="Y752" i="34"/>
  <c r="Z752" i="34"/>
  <c r="N753" i="34"/>
  <c r="O753" i="34"/>
  <c r="P753" i="34"/>
  <c r="Q753" i="34"/>
  <c r="R753" i="34"/>
  <c r="S753" i="34"/>
  <c r="T753" i="34"/>
  <c r="U753" i="34"/>
  <c r="V753" i="34"/>
  <c r="W753" i="34"/>
  <c r="X753" i="34"/>
  <c r="Y753" i="34"/>
  <c r="Z753" i="34"/>
  <c r="N754" i="34"/>
  <c r="O754" i="34"/>
  <c r="P754" i="34"/>
  <c r="Q754" i="34"/>
  <c r="R754" i="34"/>
  <c r="S754" i="34"/>
  <c r="T754" i="34"/>
  <c r="U754" i="34"/>
  <c r="V754" i="34"/>
  <c r="W754" i="34"/>
  <c r="X754" i="34"/>
  <c r="Y754" i="34"/>
  <c r="Z754" i="34"/>
  <c r="N755" i="34"/>
  <c r="O755" i="34"/>
  <c r="P755" i="34"/>
  <c r="Q755" i="34"/>
  <c r="R755" i="34"/>
  <c r="S755" i="34"/>
  <c r="T755" i="34"/>
  <c r="U755" i="34"/>
  <c r="V755" i="34"/>
  <c r="W755" i="34"/>
  <c r="X755" i="34"/>
  <c r="Y755" i="34"/>
  <c r="Z755" i="34"/>
  <c r="N756" i="34"/>
  <c r="O756" i="34"/>
  <c r="P756" i="34"/>
  <c r="Q756" i="34"/>
  <c r="R756" i="34"/>
  <c r="S756" i="34"/>
  <c r="T756" i="34"/>
  <c r="U756" i="34"/>
  <c r="V756" i="34"/>
  <c r="W756" i="34"/>
  <c r="X756" i="34"/>
  <c r="Y756" i="34"/>
  <c r="Z756" i="34"/>
  <c r="N757" i="34"/>
  <c r="O757" i="34"/>
  <c r="P757" i="34"/>
  <c r="Q757" i="34"/>
  <c r="R757" i="34"/>
  <c r="S757" i="34"/>
  <c r="T757" i="34"/>
  <c r="U757" i="34"/>
  <c r="V757" i="34"/>
  <c r="W757" i="34"/>
  <c r="X757" i="34"/>
  <c r="Y757" i="34"/>
  <c r="Z757" i="34"/>
  <c r="N758" i="34"/>
  <c r="O758" i="34"/>
  <c r="P758" i="34"/>
  <c r="Q758" i="34"/>
  <c r="R758" i="34"/>
  <c r="S758" i="34"/>
  <c r="T758" i="34"/>
  <c r="U758" i="34"/>
  <c r="V758" i="34"/>
  <c r="W758" i="34"/>
  <c r="X758" i="34"/>
  <c r="Y758" i="34"/>
  <c r="Z758" i="34"/>
  <c r="N759" i="34"/>
  <c r="O759" i="34"/>
  <c r="P759" i="34"/>
  <c r="Q759" i="34"/>
  <c r="R759" i="34"/>
  <c r="S759" i="34"/>
  <c r="T759" i="34"/>
  <c r="U759" i="34"/>
  <c r="V759" i="34"/>
  <c r="W759" i="34"/>
  <c r="X759" i="34"/>
  <c r="Y759" i="34"/>
  <c r="Z759" i="34"/>
  <c r="N760" i="34"/>
  <c r="O760" i="34"/>
  <c r="P760" i="34"/>
  <c r="Q760" i="34"/>
  <c r="R760" i="34"/>
  <c r="S760" i="34"/>
  <c r="T760" i="34"/>
  <c r="U760" i="34"/>
  <c r="V760" i="34"/>
  <c r="W760" i="34"/>
  <c r="X760" i="34"/>
  <c r="Y760" i="34"/>
  <c r="Z760" i="34"/>
  <c r="N761" i="34"/>
  <c r="O761" i="34"/>
  <c r="P761" i="34"/>
  <c r="Q761" i="34"/>
  <c r="R761" i="34"/>
  <c r="S761" i="34"/>
  <c r="T761" i="34"/>
  <c r="U761" i="34"/>
  <c r="V761" i="34"/>
  <c r="W761" i="34"/>
  <c r="X761" i="34"/>
  <c r="Y761" i="34"/>
  <c r="Z761" i="34"/>
  <c r="N762" i="34"/>
  <c r="O762" i="34"/>
  <c r="P762" i="34"/>
  <c r="Q762" i="34"/>
  <c r="R762" i="34"/>
  <c r="S762" i="34"/>
  <c r="T762" i="34"/>
  <c r="U762" i="34"/>
  <c r="V762" i="34"/>
  <c r="W762" i="34"/>
  <c r="X762" i="34"/>
  <c r="Y762" i="34"/>
  <c r="Z762" i="34"/>
  <c r="N763" i="34"/>
  <c r="O763" i="34"/>
  <c r="P763" i="34"/>
  <c r="Q763" i="34"/>
  <c r="R763" i="34"/>
  <c r="S763" i="34"/>
  <c r="T763" i="34"/>
  <c r="U763" i="34"/>
  <c r="V763" i="34"/>
  <c r="W763" i="34"/>
  <c r="X763" i="34"/>
  <c r="Y763" i="34"/>
  <c r="Z763" i="34"/>
  <c r="N764" i="34"/>
  <c r="O764" i="34"/>
  <c r="P764" i="34"/>
  <c r="Q764" i="34"/>
  <c r="R764" i="34"/>
  <c r="S764" i="34"/>
  <c r="T764" i="34"/>
  <c r="U764" i="34"/>
  <c r="V764" i="34"/>
  <c r="W764" i="34"/>
  <c r="X764" i="34"/>
  <c r="Y764" i="34"/>
  <c r="Z764" i="34"/>
  <c r="N765" i="34"/>
  <c r="O765" i="34"/>
  <c r="P765" i="34"/>
  <c r="Q765" i="34"/>
  <c r="R765" i="34"/>
  <c r="S765" i="34"/>
  <c r="T765" i="34"/>
  <c r="U765" i="34"/>
  <c r="V765" i="34"/>
  <c r="W765" i="34"/>
  <c r="X765" i="34"/>
  <c r="Y765" i="34"/>
  <c r="Z765" i="34"/>
  <c r="N766" i="34"/>
  <c r="O766" i="34"/>
  <c r="P766" i="34"/>
  <c r="Q766" i="34"/>
  <c r="R766" i="34"/>
  <c r="S766" i="34"/>
  <c r="T766" i="34"/>
  <c r="U766" i="34"/>
  <c r="V766" i="34"/>
  <c r="W766" i="34"/>
  <c r="X766" i="34"/>
  <c r="Y766" i="34"/>
  <c r="Z766" i="34"/>
  <c r="N767" i="34"/>
  <c r="O767" i="34"/>
  <c r="P767" i="34"/>
  <c r="Q767" i="34"/>
  <c r="R767" i="34"/>
  <c r="S767" i="34"/>
  <c r="T767" i="34"/>
  <c r="U767" i="34"/>
  <c r="V767" i="34"/>
  <c r="W767" i="34"/>
  <c r="X767" i="34"/>
  <c r="Y767" i="34"/>
  <c r="Z767" i="34"/>
  <c r="N768" i="34"/>
  <c r="O768" i="34"/>
  <c r="P768" i="34"/>
  <c r="Q768" i="34"/>
  <c r="R768" i="34"/>
  <c r="S768" i="34"/>
  <c r="T768" i="34"/>
  <c r="U768" i="34"/>
  <c r="V768" i="34"/>
  <c r="W768" i="34"/>
  <c r="X768" i="34"/>
  <c r="Y768" i="34"/>
  <c r="Z768" i="34"/>
  <c r="N769" i="34"/>
  <c r="O769" i="34"/>
  <c r="P769" i="34"/>
  <c r="Q769" i="34"/>
  <c r="R769" i="34"/>
  <c r="S769" i="34"/>
  <c r="T769" i="34"/>
  <c r="U769" i="34"/>
  <c r="V769" i="34"/>
  <c r="W769" i="34"/>
  <c r="X769" i="34"/>
  <c r="Y769" i="34"/>
  <c r="Z769" i="34"/>
  <c r="N770" i="34"/>
  <c r="O770" i="34"/>
  <c r="P770" i="34"/>
  <c r="Q770" i="34"/>
  <c r="R770" i="34"/>
  <c r="S770" i="34"/>
  <c r="T770" i="34"/>
  <c r="U770" i="34"/>
  <c r="V770" i="34"/>
  <c r="W770" i="34"/>
  <c r="X770" i="34"/>
  <c r="Y770" i="34"/>
  <c r="Z770" i="34"/>
  <c r="N771" i="34"/>
  <c r="O771" i="34"/>
  <c r="P771" i="34"/>
  <c r="Q771" i="34"/>
  <c r="R771" i="34"/>
  <c r="S771" i="34"/>
  <c r="T771" i="34"/>
  <c r="U771" i="34"/>
  <c r="V771" i="34"/>
  <c r="W771" i="34"/>
  <c r="X771" i="34"/>
  <c r="Y771" i="34"/>
  <c r="Z771" i="34"/>
  <c r="N772" i="34"/>
  <c r="O772" i="34"/>
  <c r="P772" i="34"/>
  <c r="Q772" i="34"/>
  <c r="R772" i="34"/>
  <c r="S772" i="34"/>
  <c r="T772" i="34"/>
  <c r="U772" i="34"/>
  <c r="V772" i="34"/>
  <c r="W772" i="34"/>
  <c r="X772" i="34"/>
  <c r="Y772" i="34"/>
  <c r="Z772" i="34"/>
  <c r="N773" i="34"/>
  <c r="O773" i="34"/>
  <c r="P773" i="34"/>
  <c r="Q773" i="34"/>
  <c r="R773" i="34"/>
  <c r="S773" i="34"/>
  <c r="T773" i="34"/>
  <c r="U773" i="34"/>
  <c r="V773" i="34"/>
  <c r="W773" i="34"/>
  <c r="X773" i="34"/>
  <c r="Y773" i="34"/>
  <c r="Z773" i="34"/>
  <c r="N774" i="34"/>
  <c r="O774" i="34"/>
  <c r="P774" i="34"/>
  <c r="Q774" i="34"/>
  <c r="R774" i="34"/>
  <c r="S774" i="34"/>
  <c r="T774" i="34"/>
  <c r="U774" i="34"/>
  <c r="V774" i="34"/>
  <c r="W774" i="34"/>
  <c r="X774" i="34"/>
  <c r="Y774" i="34"/>
  <c r="Z774" i="34"/>
  <c r="N775" i="34"/>
  <c r="O775" i="34"/>
  <c r="P775" i="34"/>
  <c r="Q775" i="34"/>
  <c r="R775" i="34"/>
  <c r="S775" i="34"/>
  <c r="T775" i="34"/>
  <c r="U775" i="34"/>
  <c r="V775" i="34"/>
  <c r="W775" i="34"/>
  <c r="X775" i="34"/>
  <c r="Y775" i="34"/>
  <c r="Z775" i="34"/>
  <c r="N776" i="34"/>
  <c r="O776" i="34"/>
  <c r="P776" i="34"/>
  <c r="Q776" i="34"/>
  <c r="R776" i="34"/>
  <c r="S776" i="34"/>
  <c r="T776" i="34"/>
  <c r="U776" i="34"/>
  <c r="V776" i="34"/>
  <c r="W776" i="34"/>
  <c r="X776" i="34"/>
  <c r="Y776" i="34"/>
  <c r="Z776" i="34"/>
  <c r="N777" i="34"/>
  <c r="O777" i="34"/>
  <c r="P777" i="34"/>
  <c r="Q777" i="34"/>
  <c r="R777" i="34"/>
  <c r="S777" i="34"/>
  <c r="T777" i="34"/>
  <c r="U777" i="34"/>
  <c r="V777" i="34"/>
  <c r="W777" i="34"/>
  <c r="X777" i="34"/>
  <c r="Y777" i="34"/>
  <c r="Z777" i="34"/>
  <c r="N778" i="34"/>
  <c r="O778" i="34"/>
  <c r="P778" i="34"/>
  <c r="Q778" i="34"/>
  <c r="R778" i="34"/>
  <c r="S778" i="34"/>
  <c r="T778" i="34"/>
  <c r="U778" i="34"/>
  <c r="V778" i="34"/>
  <c r="W778" i="34"/>
  <c r="X778" i="34"/>
  <c r="Y778" i="34"/>
  <c r="Z778" i="34"/>
  <c r="N779" i="34"/>
  <c r="O779" i="34"/>
  <c r="P779" i="34"/>
  <c r="Q779" i="34"/>
  <c r="R779" i="34"/>
  <c r="S779" i="34"/>
  <c r="T779" i="34"/>
  <c r="U779" i="34"/>
  <c r="V779" i="34"/>
  <c r="W779" i="34"/>
  <c r="X779" i="34"/>
  <c r="Y779" i="34"/>
  <c r="Z779" i="34"/>
  <c r="N780" i="34"/>
  <c r="O780" i="34"/>
  <c r="P780" i="34"/>
  <c r="Q780" i="34"/>
  <c r="R780" i="34"/>
  <c r="S780" i="34"/>
  <c r="T780" i="34"/>
  <c r="U780" i="34"/>
  <c r="V780" i="34"/>
  <c r="W780" i="34"/>
  <c r="X780" i="34"/>
  <c r="Y780" i="34"/>
  <c r="Z780" i="34"/>
  <c r="N781" i="34"/>
  <c r="O781" i="34"/>
  <c r="P781" i="34"/>
  <c r="Q781" i="34"/>
  <c r="R781" i="34"/>
  <c r="S781" i="34"/>
  <c r="T781" i="34"/>
  <c r="U781" i="34"/>
  <c r="V781" i="34"/>
  <c r="W781" i="34"/>
  <c r="X781" i="34"/>
  <c r="Y781" i="34"/>
  <c r="Z781" i="34"/>
  <c r="N782" i="34"/>
  <c r="O782" i="34"/>
  <c r="P782" i="34"/>
  <c r="Q782" i="34"/>
  <c r="R782" i="34"/>
  <c r="S782" i="34"/>
  <c r="T782" i="34"/>
  <c r="U782" i="34"/>
  <c r="V782" i="34"/>
  <c r="W782" i="34"/>
  <c r="X782" i="34"/>
  <c r="Y782" i="34"/>
  <c r="Z782" i="34"/>
  <c r="N783" i="34"/>
  <c r="O783" i="34"/>
  <c r="P783" i="34"/>
  <c r="Q783" i="34"/>
  <c r="R783" i="34"/>
  <c r="S783" i="34"/>
  <c r="T783" i="34"/>
  <c r="U783" i="34"/>
  <c r="V783" i="34"/>
  <c r="W783" i="34"/>
  <c r="X783" i="34"/>
  <c r="Y783" i="34"/>
  <c r="Z783" i="34"/>
  <c r="N784" i="34"/>
  <c r="O784" i="34"/>
  <c r="P784" i="34"/>
  <c r="Q784" i="34"/>
  <c r="R784" i="34"/>
  <c r="S784" i="34"/>
  <c r="T784" i="34"/>
  <c r="U784" i="34"/>
  <c r="V784" i="34"/>
  <c r="W784" i="34"/>
  <c r="X784" i="34"/>
  <c r="Y784" i="34"/>
  <c r="Z784" i="34"/>
  <c r="N785" i="34"/>
  <c r="O785" i="34"/>
  <c r="P785" i="34"/>
  <c r="Q785" i="34"/>
  <c r="R785" i="34"/>
  <c r="S785" i="34"/>
  <c r="T785" i="34"/>
  <c r="U785" i="34"/>
  <c r="V785" i="34"/>
  <c r="W785" i="34"/>
  <c r="X785" i="34"/>
  <c r="Y785" i="34"/>
  <c r="Z785" i="34"/>
  <c r="N786" i="34"/>
  <c r="O786" i="34"/>
  <c r="P786" i="34"/>
  <c r="Q786" i="34"/>
  <c r="R786" i="34"/>
  <c r="S786" i="34"/>
  <c r="T786" i="34"/>
  <c r="U786" i="34"/>
  <c r="V786" i="34"/>
  <c r="W786" i="34"/>
  <c r="X786" i="34"/>
  <c r="Y786" i="34"/>
  <c r="Z786" i="34"/>
  <c r="N787" i="34"/>
  <c r="O787" i="34"/>
  <c r="P787" i="34"/>
  <c r="Q787" i="34"/>
  <c r="R787" i="34"/>
  <c r="S787" i="34"/>
  <c r="T787" i="34"/>
  <c r="U787" i="34"/>
  <c r="V787" i="34"/>
  <c r="W787" i="34"/>
  <c r="X787" i="34"/>
  <c r="Y787" i="34"/>
  <c r="Z787" i="34"/>
  <c r="N788" i="34"/>
  <c r="O788" i="34"/>
  <c r="P788" i="34"/>
  <c r="Q788" i="34"/>
  <c r="R788" i="34"/>
  <c r="S788" i="34"/>
  <c r="T788" i="34"/>
  <c r="U788" i="34"/>
  <c r="V788" i="34"/>
  <c r="W788" i="34"/>
  <c r="X788" i="34"/>
  <c r="Y788" i="34"/>
  <c r="Z788" i="34"/>
  <c r="N789" i="34"/>
  <c r="O789" i="34"/>
  <c r="P789" i="34"/>
  <c r="Q789" i="34"/>
  <c r="R789" i="34"/>
  <c r="S789" i="34"/>
  <c r="T789" i="34"/>
  <c r="U789" i="34"/>
  <c r="V789" i="34"/>
  <c r="W789" i="34"/>
  <c r="X789" i="34"/>
  <c r="Y789" i="34"/>
  <c r="Z789" i="34"/>
  <c r="N790" i="34"/>
  <c r="O790" i="34"/>
  <c r="P790" i="34"/>
  <c r="Q790" i="34"/>
  <c r="R790" i="34"/>
  <c r="S790" i="34"/>
  <c r="T790" i="34"/>
  <c r="U790" i="34"/>
  <c r="V790" i="34"/>
  <c r="W790" i="34"/>
  <c r="X790" i="34"/>
  <c r="Y790" i="34"/>
  <c r="Z790" i="34"/>
  <c r="N791" i="34"/>
  <c r="O791" i="34"/>
  <c r="P791" i="34"/>
  <c r="Q791" i="34"/>
  <c r="R791" i="34"/>
  <c r="S791" i="34"/>
  <c r="T791" i="34"/>
  <c r="U791" i="34"/>
  <c r="V791" i="34"/>
  <c r="W791" i="34"/>
  <c r="X791" i="34"/>
  <c r="Y791" i="34"/>
  <c r="Z791" i="34"/>
  <c r="N792" i="34"/>
  <c r="O792" i="34"/>
  <c r="P792" i="34"/>
  <c r="Q792" i="34"/>
  <c r="R792" i="34"/>
  <c r="S792" i="34"/>
  <c r="T792" i="34"/>
  <c r="U792" i="34"/>
  <c r="V792" i="34"/>
  <c r="W792" i="34"/>
  <c r="X792" i="34"/>
  <c r="Y792" i="34"/>
  <c r="Z792" i="34"/>
  <c r="N793" i="34"/>
  <c r="O793" i="34"/>
  <c r="P793" i="34"/>
  <c r="Q793" i="34"/>
  <c r="R793" i="34"/>
  <c r="S793" i="34"/>
  <c r="T793" i="34"/>
  <c r="U793" i="34"/>
  <c r="V793" i="34"/>
  <c r="W793" i="34"/>
  <c r="X793" i="34"/>
  <c r="Y793" i="34"/>
  <c r="Z793" i="34"/>
  <c r="N794" i="34"/>
  <c r="O794" i="34"/>
  <c r="P794" i="34"/>
  <c r="Q794" i="34"/>
  <c r="R794" i="34"/>
  <c r="S794" i="34"/>
  <c r="T794" i="34"/>
  <c r="U794" i="34"/>
  <c r="V794" i="34"/>
  <c r="W794" i="34"/>
  <c r="X794" i="34"/>
  <c r="Y794" i="34"/>
  <c r="Z794" i="34"/>
  <c r="N795" i="34"/>
  <c r="O795" i="34"/>
  <c r="P795" i="34"/>
  <c r="Q795" i="34"/>
  <c r="R795" i="34"/>
  <c r="S795" i="34"/>
  <c r="T795" i="34"/>
  <c r="U795" i="34"/>
  <c r="V795" i="34"/>
  <c r="W795" i="34"/>
  <c r="X795" i="34"/>
  <c r="Y795" i="34"/>
  <c r="Z795" i="34"/>
  <c r="N796" i="34"/>
  <c r="O796" i="34"/>
  <c r="P796" i="34"/>
  <c r="Q796" i="34"/>
  <c r="R796" i="34"/>
  <c r="S796" i="34"/>
  <c r="T796" i="34"/>
  <c r="U796" i="34"/>
  <c r="V796" i="34"/>
  <c r="W796" i="34"/>
  <c r="X796" i="34"/>
  <c r="Y796" i="34"/>
  <c r="Z796" i="34"/>
  <c r="N797" i="34"/>
  <c r="O797" i="34"/>
  <c r="P797" i="34"/>
  <c r="Q797" i="34"/>
  <c r="R797" i="34"/>
  <c r="S797" i="34"/>
  <c r="T797" i="34"/>
  <c r="U797" i="34"/>
  <c r="V797" i="34"/>
  <c r="W797" i="34"/>
  <c r="X797" i="34"/>
  <c r="Y797" i="34"/>
  <c r="Z797" i="34"/>
  <c r="N798" i="34"/>
  <c r="O798" i="34"/>
  <c r="P798" i="34"/>
  <c r="Q798" i="34"/>
  <c r="R798" i="34"/>
  <c r="S798" i="34"/>
  <c r="T798" i="34"/>
  <c r="U798" i="34"/>
  <c r="V798" i="34"/>
  <c r="W798" i="34"/>
  <c r="X798" i="34"/>
  <c r="Y798" i="34"/>
  <c r="Z798" i="34"/>
  <c r="N799" i="34"/>
  <c r="O799" i="34"/>
  <c r="P799" i="34"/>
  <c r="Q799" i="34"/>
  <c r="R799" i="34"/>
  <c r="S799" i="34"/>
  <c r="T799" i="34"/>
  <c r="U799" i="34"/>
  <c r="V799" i="34"/>
  <c r="W799" i="34"/>
  <c r="X799" i="34"/>
  <c r="Y799" i="34"/>
  <c r="Z799" i="34"/>
  <c r="N800" i="34"/>
  <c r="O800" i="34"/>
  <c r="P800" i="34"/>
  <c r="Q800" i="34"/>
  <c r="R800" i="34"/>
  <c r="S800" i="34"/>
  <c r="T800" i="34"/>
  <c r="U800" i="34"/>
  <c r="V800" i="34"/>
  <c r="W800" i="34"/>
  <c r="X800" i="34"/>
  <c r="Y800" i="34"/>
  <c r="Z800" i="34"/>
  <c r="N801" i="34"/>
  <c r="O801" i="34"/>
  <c r="P801" i="34"/>
  <c r="Q801" i="34"/>
  <c r="R801" i="34"/>
  <c r="S801" i="34"/>
  <c r="T801" i="34"/>
  <c r="U801" i="34"/>
  <c r="V801" i="34"/>
  <c r="W801" i="34"/>
  <c r="X801" i="34"/>
  <c r="Y801" i="34"/>
  <c r="Z801" i="34"/>
  <c r="N802" i="34"/>
  <c r="O802" i="34"/>
  <c r="P802" i="34"/>
  <c r="Q802" i="34"/>
  <c r="R802" i="34"/>
  <c r="S802" i="34"/>
  <c r="T802" i="34"/>
  <c r="U802" i="34"/>
  <c r="V802" i="34"/>
  <c r="W802" i="34"/>
  <c r="X802" i="34"/>
  <c r="Y802" i="34"/>
  <c r="Z802" i="34"/>
  <c r="N803" i="34"/>
  <c r="O803" i="34"/>
  <c r="P803" i="34"/>
  <c r="Q803" i="34"/>
  <c r="R803" i="34"/>
  <c r="S803" i="34"/>
  <c r="T803" i="34"/>
  <c r="U803" i="34"/>
  <c r="V803" i="34"/>
  <c r="W803" i="34"/>
  <c r="X803" i="34"/>
  <c r="Y803" i="34"/>
  <c r="Z803" i="34"/>
  <c r="N804" i="34"/>
  <c r="O804" i="34"/>
  <c r="P804" i="34"/>
  <c r="Q804" i="34"/>
  <c r="R804" i="34"/>
  <c r="S804" i="34"/>
  <c r="T804" i="34"/>
  <c r="U804" i="34"/>
  <c r="V804" i="34"/>
  <c r="W804" i="34"/>
  <c r="X804" i="34"/>
  <c r="Y804" i="34"/>
  <c r="Z804" i="34"/>
  <c r="N805" i="34"/>
  <c r="O805" i="34"/>
  <c r="P805" i="34"/>
  <c r="Q805" i="34"/>
  <c r="R805" i="34"/>
  <c r="S805" i="34"/>
  <c r="T805" i="34"/>
  <c r="U805" i="34"/>
  <c r="V805" i="34"/>
  <c r="W805" i="34"/>
  <c r="X805" i="34"/>
  <c r="Y805" i="34"/>
  <c r="Z805" i="34"/>
  <c r="N806" i="34"/>
  <c r="O806" i="34"/>
  <c r="P806" i="34"/>
  <c r="Q806" i="34"/>
  <c r="R806" i="34"/>
  <c r="S806" i="34"/>
  <c r="T806" i="34"/>
  <c r="U806" i="34"/>
  <c r="V806" i="34"/>
  <c r="W806" i="34"/>
  <c r="X806" i="34"/>
  <c r="Y806" i="34"/>
  <c r="Z806" i="34"/>
  <c r="N807" i="34"/>
  <c r="O807" i="34"/>
  <c r="P807" i="34"/>
  <c r="Q807" i="34"/>
  <c r="R807" i="34"/>
  <c r="S807" i="34"/>
  <c r="T807" i="34"/>
  <c r="U807" i="34"/>
  <c r="V807" i="34"/>
  <c r="W807" i="34"/>
  <c r="X807" i="34"/>
  <c r="Y807" i="34"/>
  <c r="Z807" i="34"/>
  <c r="N808" i="34"/>
  <c r="O808" i="34"/>
  <c r="P808" i="34"/>
  <c r="Q808" i="34"/>
  <c r="R808" i="34"/>
  <c r="S808" i="34"/>
  <c r="T808" i="34"/>
  <c r="U808" i="34"/>
  <c r="V808" i="34"/>
  <c r="W808" i="34"/>
  <c r="X808" i="34"/>
  <c r="Y808" i="34"/>
  <c r="Z808" i="34"/>
  <c r="N809" i="34"/>
  <c r="O809" i="34"/>
  <c r="P809" i="34"/>
  <c r="Q809" i="34"/>
  <c r="R809" i="34"/>
  <c r="S809" i="34"/>
  <c r="T809" i="34"/>
  <c r="U809" i="34"/>
  <c r="V809" i="34"/>
  <c r="W809" i="34"/>
  <c r="X809" i="34"/>
  <c r="Y809" i="34"/>
  <c r="Z809" i="34"/>
  <c r="N810" i="34"/>
  <c r="O810" i="34"/>
  <c r="P810" i="34"/>
  <c r="Q810" i="34"/>
  <c r="R810" i="34"/>
  <c r="S810" i="34"/>
  <c r="T810" i="34"/>
  <c r="U810" i="34"/>
  <c r="V810" i="34"/>
  <c r="W810" i="34"/>
  <c r="X810" i="34"/>
  <c r="Y810" i="34"/>
  <c r="Z810" i="34"/>
  <c r="N811" i="34"/>
  <c r="O811" i="34"/>
  <c r="P811" i="34"/>
  <c r="Q811" i="34"/>
  <c r="R811" i="34"/>
  <c r="S811" i="34"/>
  <c r="T811" i="34"/>
  <c r="U811" i="34"/>
  <c r="V811" i="34"/>
  <c r="W811" i="34"/>
  <c r="X811" i="34"/>
  <c r="Y811" i="34"/>
  <c r="Z811" i="34"/>
  <c r="N812" i="34"/>
  <c r="O812" i="34"/>
  <c r="P812" i="34"/>
  <c r="Q812" i="34"/>
  <c r="R812" i="34"/>
  <c r="S812" i="34"/>
  <c r="T812" i="34"/>
  <c r="U812" i="34"/>
  <c r="V812" i="34"/>
  <c r="W812" i="34"/>
  <c r="X812" i="34"/>
  <c r="Y812" i="34"/>
  <c r="Z812" i="34"/>
  <c r="N813" i="34"/>
  <c r="O813" i="34"/>
  <c r="P813" i="34"/>
  <c r="Q813" i="34"/>
  <c r="R813" i="34"/>
  <c r="S813" i="34"/>
  <c r="T813" i="34"/>
  <c r="U813" i="34"/>
  <c r="V813" i="34"/>
  <c r="W813" i="34"/>
  <c r="X813" i="34"/>
  <c r="Y813" i="34"/>
  <c r="Z813" i="34"/>
  <c r="N814" i="34"/>
  <c r="O814" i="34"/>
  <c r="P814" i="34"/>
  <c r="Q814" i="34"/>
  <c r="R814" i="34"/>
  <c r="S814" i="34"/>
  <c r="T814" i="34"/>
  <c r="U814" i="34"/>
  <c r="V814" i="34"/>
  <c r="W814" i="34"/>
  <c r="X814" i="34"/>
  <c r="Y814" i="34"/>
  <c r="Z814" i="34"/>
  <c r="N815" i="34"/>
  <c r="O815" i="34"/>
  <c r="P815" i="34"/>
  <c r="Q815" i="34"/>
  <c r="R815" i="34"/>
  <c r="S815" i="34"/>
  <c r="T815" i="34"/>
  <c r="U815" i="34"/>
  <c r="V815" i="34"/>
  <c r="W815" i="34"/>
  <c r="X815" i="34"/>
  <c r="Y815" i="34"/>
  <c r="Z815" i="34"/>
  <c r="N816" i="34"/>
  <c r="O816" i="34"/>
  <c r="P816" i="34"/>
  <c r="Q816" i="34"/>
  <c r="R816" i="34"/>
  <c r="S816" i="34"/>
  <c r="T816" i="34"/>
  <c r="U816" i="34"/>
  <c r="V816" i="34"/>
  <c r="W816" i="34"/>
  <c r="X816" i="34"/>
  <c r="Y816" i="34"/>
  <c r="Z816" i="34"/>
  <c r="N817" i="34"/>
  <c r="O817" i="34"/>
  <c r="P817" i="34"/>
  <c r="Q817" i="34"/>
  <c r="R817" i="34"/>
  <c r="S817" i="34"/>
  <c r="T817" i="34"/>
  <c r="U817" i="34"/>
  <c r="V817" i="34"/>
  <c r="W817" i="34"/>
  <c r="X817" i="34"/>
  <c r="Y817" i="34"/>
  <c r="Z817" i="34"/>
  <c r="N818" i="34"/>
  <c r="O818" i="34"/>
  <c r="P818" i="34"/>
  <c r="Q818" i="34"/>
  <c r="R818" i="34"/>
  <c r="S818" i="34"/>
  <c r="T818" i="34"/>
  <c r="U818" i="34"/>
  <c r="V818" i="34"/>
  <c r="W818" i="34"/>
  <c r="X818" i="34"/>
  <c r="Y818" i="34"/>
  <c r="Z818" i="34"/>
  <c r="N819" i="34"/>
  <c r="O819" i="34"/>
  <c r="P819" i="34"/>
  <c r="Q819" i="34"/>
  <c r="R819" i="34"/>
  <c r="S819" i="34"/>
  <c r="T819" i="34"/>
  <c r="U819" i="34"/>
  <c r="V819" i="34"/>
  <c r="W819" i="34"/>
  <c r="X819" i="34"/>
  <c r="Y819" i="34"/>
  <c r="Z819" i="34"/>
  <c r="N820" i="34"/>
  <c r="O820" i="34"/>
  <c r="P820" i="34"/>
  <c r="Q820" i="34"/>
  <c r="R820" i="34"/>
  <c r="S820" i="34"/>
  <c r="T820" i="34"/>
  <c r="U820" i="34"/>
  <c r="V820" i="34"/>
  <c r="W820" i="34"/>
  <c r="X820" i="34"/>
  <c r="Y820" i="34"/>
  <c r="Z820" i="34"/>
  <c r="N821" i="34"/>
  <c r="O821" i="34"/>
  <c r="P821" i="34"/>
  <c r="Q821" i="34"/>
  <c r="R821" i="34"/>
  <c r="S821" i="34"/>
  <c r="T821" i="34"/>
  <c r="U821" i="34"/>
  <c r="V821" i="34"/>
  <c r="W821" i="34"/>
  <c r="X821" i="34"/>
  <c r="Y821" i="34"/>
  <c r="Z821" i="34"/>
  <c r="N822" i="34"/>
  <c r="O822" i="34"/>
  <c r="P822" i="34"/>
  <c r="Q822" i="34"/>
  <c r="R822" i="34"/>
  <c r="S822" i="34"/>
  <c r="T822" i="34"/>
  <c r="U822" i="34"/>
  <c r="V822" i="34"/>
  <c r="W822" i="34"/>
  <c r="X822" i="34"/>
  <c r="Y822" i="34"/>
  <c r="Z822" i="34"/>
  <c r="N823" i="34"/>
  <c r="O823" i="34"/>
  <c r="P823" i="34"/>
  <c r="Q823" i="34"/>
  <c r="R823" i="34"/>
  <c r="S823" i="34"/>
  <c r="T823" i="34"/>
  <c r="U823" i="34"/>
  <c r="V823" i="34"/>
  <c r="W823" i="34"/>
  <c r="X823" i="34"/>
  <c r="Y823" i="34"/>
  <c r="Z823" i="34"/>
  <c r="N824" i="34"/>
  <c r="O824" i="34"/>
  <c r="P824" i="34"/>
  <c r="Q824" i="34"/>
  <c r="R824" i="34"/>
  <c r="S824" i="34"/>
  <c r="T824" i="34"/>
  <c r="U824" i="34"/>
  <c r="V824" i="34"/>
  <c r="W824" i="34"/>
  <c r="X824" i="34"/>
  <c r="Y824" i="34"/>
  <c r="Z824" i="34"/>
  <c r="N825" i="34"/>
  <c r="O825" i="34"/>
  <c r="P825" i="34"/>
  <c r="Q825" i="34"/>
  <c r="R825" i="34"/>
  <c r="S825" i="34"/>
  <c r="T825" i="34"/>
  <c r="U825" i="34"/>
  <c r="V825" i="34"/>
  <c r="W825" i="34"/>
  <c r="X825" i="34"/>
  <c r="Y825" i="34"/>
  <c r="Z825" i="34"/>
  <c r="N826" i="34"/>
  <c r="O826" i="34"/>
  <c r="P826" i="34"/>
  <c r="Q826" i="34"/>
  <c r="R826" i="34"/>
  <c r="S826" i="34"/>
  <c r="T826" i="34"/>
  <c r="U826" i="34"/>
  <c r="V826" i="34"/>
  <c r="W826" i="34"/>
  <c r="X826" i="34"/>
  <c r="Y826" i="34"/>
  <c r="Z826" i="34"/>
  <c r="N827" i="34"/>
  <c r="O827" i="34"/>
  <c r="P827" i="34"/>
  <c r="Q827" i="34"/>
  <c r="R827" i="34"/>
  <c r="S827" i="34"/>
  <c r="T827" i="34"/>
  <c r="U827" i="34"/>
  <c r="V827" i="34"/>
  <c r="W827" i="34"/>
  <c r="X827" i="34"/>
  <c r="Y827" i="34"/>
  <c r="Z827" i="34"/>
  <c r="N828" i="34"/>
  <c r="O828" i="34"/>
  <c r="P828" i="34"/>
  <c r="Q828" i="34"/>
  <c r="R828" i="34"/>
  <c r="S828" i="34"/>
  <c r="T828" i="34"/>
  <c r="U828" i="34"/>
  <c r="V828" i="34"/>
  <c r="W828" i="34"/>
  <c r="X828" i="34"/>
  <c r="Y828" i="34"/>
  <c r="Z828" i="34"/>
  <c r="N829" i="34"/>
  <c r="O829" i="34"/>
  <c r="P829" i="34"/>
  <c r="Q829" i="34"/>
  <c r="R829" i="34"/>
  <c r="S829" i="34"/>
  <c r="T829" i="34"/>
  <c r="U829" i="34"/>
  <c r="V829" i="34"/>
  <c r="W829" i="34"/>
  <c r="X829" i="34"/>
  <c r="Y829" i="34"/>
  <c r="Z829" i="34"/>
  <c r="N830" i="34"/>
  <c r="O830" i="34"/>
  <c r="P830" i="34"/>
  <c r="Q830" i="34"/>
  <c r="R830" i="34"/>
  <c r="S830" i="34"/>
  <c r="T830" i="34"/>
  <c r="U830" i="34"/>
  <c r="V830" i="34"/>
  <c r="W830" i="34"/>
  <c r="X830" i="34"/>
  <c r="Y830" i="34"/>
  <c r="Z830" i="34"/>
  <c r="N831" i="34"/>
  <c r="O831" i="34"/>
  <c r="P831" i="34"/>
  <c r="Q831" i="34"/>
  <c r="R831" i="34"/>
  <c r="S831" i="34"/>
  <c r="T831" i="34"/>
  <c r="U831" i="34"/>
  <c r="V831" i="34"/>
  <c r="W831" i="34"/>
  <c r="X831" i="34"/>
  <c r="Y831" i="34"/>
  <c r="Z831" i="34"/>
  <c r="N832" i="34"/>
  <c r="O832" i="34"/>
  <c r="P832" i="34"/>
  <c r="Q832" i="34"/>
  <c r="R832" i="34"/>
  <c r="S832" i="34"/>
  <c r="T832" i="34"/>
  <c r="U832" i="34"/>
  <c r="V832" i="34"/>
  <c r="W832" i="34"/>
  <c r="X832" i="34"/>
  <c r="Y832" i="34"/>
  <c r="Z832" i="34"/>
  <c r="N833" i="34"/>
  <c r="O833" i="34"/>
  <c r="P833" i="34"/>
  <c r="Q833" i="34"/>
  <c r="R833" i="34"/>
  <c r="S833" i="34"/>
  <c r="T833" i="34"/>
  <c r="U833" i="34"/>
  <c r="V833" i="34"/>
  <c r="W833" i="34"/>
  <c r="X833" i="34"/>
  <c r="Y833" i="34"/>
  <c r="Z833" i="34"/>
  <c r="N834" i="34"/>
  <c r="O834" i="34"/>
  <c r="P834" i="34"/>
  <c r="Q834" i="34"/>
  <c r="R834" i="34"/>
  <c r="S834" i="34"/>
  <c r="T834" i="34"/>
  <c r="U834" i="34"/>
  <c r="V834" i="34"/>
  <c r="W834" i="34"/>
  <c r="X834" i="34"/>
  <c r="Y834" i="34"/>
  <c r="Z834" i="34"/>
  <c r="N835" i="34"/>
  <c r="O835" i="34"/>
  <c r="P835" i="34"/>
  <c r="Q835" i="34"/>
  <c r="R835" i="34"/>
  <c r="S835" i="34"/>
  <c r="T835" i="34"/>
  <c r="U835" i="34"/>
  <c r="V835" i="34"/>
  <c r="W835" i="34"/>
  <c r="X835" i="34"/>
  <c r="Y835" i="34"/>
  <c r="Z835" i="34"/>
  <c r="N836" i="34"/>
  <c r="O836" i="34"/>
  <c r="P836" i="34"/>
  <c r="Q836" i="34"/>
  <c r="R836" i="34"/>
  <c r="S836" i="34"/>
  <c r="T836" i="34"/>
  <c r="U836" i="34"/>
  <c r="V836" i="34"/>
  <c r="W836" i="34"/>
  <c r="X836" i="34"/>
  <c r="Y836" i="34"/>
  <c r="Z836" i="34"/>
  <c r="N837" i="34"/>
  <c r="O837" i="34"/>
  <c r="P837" i="34"/>
  <c r="Q837" i="34"/>
  <c r="R837" i="34"/>
  <c r="S837" i="34"/>
  <c r="T837" i="34"/>
  <c r="U837" i="34"/>
  <c r="V837" i="34"/>
  <c r="W837" i="34"/>
  <c r="X837" i="34"/>
  <c r="Y837" i="34"/>
  <c r="Z837" i="34"/>
  <c r="N838" i="34"/>
  <c r="O838" i="34"/>
  <c r="P838" i="34"/>
  <c r="Q838" i="34"/>
  <c r="R838" i="34"/>
  <c r="S838" i="34"/>
  <c r="T838" i="34"/>
  <c r="U838" i="34"/>
  <c r="V838" i="34"/>
  <c r="W838" i="34"/>
  <c r="X838" i="34"/>
  <c r="Y838" i="34"/>
  <c r="Z838" i="34"/>
  <c r="N839" i="34"/>
  <c r="O839" i="34"/>
  <c r="P839" i="34"/>
  <c r="Q839" i="34"/>
  <c r="R839" i="34"/>
  <c r="S839" i="34"/>
  <c r="T839" i="34"/>
  <c r="U839" i="34"/>
  <c r="V839" i="34"/>
  <c r="W839" i="34"/>
  <c r="X839" i="34"/>
  <c r="Y839" i="34"/>
  <c r="Z839" i="34"/>
  <c r="N840" i="34"/>
  <c r="O840" i="34"/>
  <c r="P840" i="34"/>
  <c r="Q840" i="34"/>
  <c r="R840" i="34"/>
  <c r="S840" i="34"/>
  <c r="T840" i="34"/>
  <c r="U840" i="34"/>
  <c r="V840" i="34"/>
  <c r="W840" i="34"/>
  <c r="X840" i="34"/>
  <c r="Y840" i="34"/>
  <c r="Z840" i="34"/>
  <c r="N841" i="34"/>
  <c r="O841" i="34"/>
  <c r="P841" i="34"/>
  <c r="Q841" i="34"/>
  <c r="R841" i="34"/>
  <c r="S841" i="34"/>
  <c r="T841" i="34"/>
  <c r="U841" i="34"/>
  <c r="V841" i="34"/>
  <c r="W841" i="34"/>
  <c r="X841" i="34"/>
  <c r="Y841" i="34"/>
  <c r="Z841" i="34"/>
  <c r="N842" i="34"/>
  <c r="O842" i="34"/>
  <c r="P842" i="34"/>
  <c r="Q842" i="34"/>
  <c r="R842" i="34"/>
  <c r="S842" i="34"/>
  <c r="T842" i="34"/>
  <c r="U842" i="34"/>
  <c r="V842" i="34"/>
  <c r="W842" i="34"/>
  <c r="X842" i="34"/>
  <c r="Y842" i="34"/>
  <c r="Z842" i="34"/>
  <c r="N843" i="34"/>
  <c r="O843" i="34"/>
  <c r="P843" i="34"/>
  <c r="Q843" i="34"/>
  <c r="R843" i="34"/>
  <c r="S843" i="34"/>
  <c r="T843" i="34"/>
  <c r="U843" i="34"/>
  <c r="V843" i="34"/>
  <c r="W843" i="34"/>
  <c r="X843" i="34"/>
  <c r="Y843" i="34"/>
  <c r="Z843" i="34"/>
  <c r="N844" i="34"/>
  <c r="O844" i="34"/>
  <c r="P844" i="34"/>
  <c r="Q844" i="34"/>
  <c r="R844" i="34"/>
  <c r="S844" i="34"/>
  <c r="T844" i="34"/>
  <c r="U844" i="34"/>
  <c r="V844" i="34"/>
  <c r="W844" i="34"/>
  <c r="X844" i="34"/>
  <c r="Y844" i="34"/>
  <c r="Z844" i="34"/>
  <c r="N845" i="34"/>
  <c r="O845" i="34"/>
  <c r="P845" i="34"/>
  <c r="Q845" i="34"/>
  <c r="R845" i="34"/>
  <c r="S845" i="34"/>
  <c r="T845" i="34"/>
  <c r="U845" i="34"/>
  <c r="V845" i="34"/>
  <c r="W845" i="34"/>
  <c r="X845" i="34"/>
  <c r="Y845" i="34"/>
  <c r="Z845" i="34"/>
  <c r="N846" i="34"/>
  <c r="O846" i="34"/>
  <c r="P846" i="34"/>
  <c r="Q846" i="34"/>
  <c r="R846" i="34"/>
  <c r="S846" i="34"/>
  <c r="T846" i="34"/>
  <c r="U846" i="34"/>
  <c r="V846" i="34"/>
  <c r="W846" i="34"/>
  <c r="X846" i="34"/>
  <c r="Y846" i="34"/>
  <c r="Z846" i="34"/>
  <c r="N847" i="34"/>
  <c r="O847" i="34"/>
  <c r="P847" i="34"/>
  <c r="Q847" i="34"/>
  <c r="R847" i="34"/>
  <c r="S847" i="34"/>
  <c r="T847" i="34"/>
  <c r="U847" i="34"/>
  <c r="V847" i="34"/>
  <c r="W847" i="34"/>
  <c r="X847" i="34"/>
  <c r="Y847" i="34"/>
  <c r="Z847" i="34"/>
  <c r="N848" i="34"/>
  <c r="O848" i="34"/>
  <c r="P848" i="34"/>
  <c r="Q848" i="34"/>
  <c r="R848" i="34"/>
  <c r="S848" i="34"/>
  <c r="T848" i="34"/>
  <c r="U848" i="34"/>
  <c r="V848" i="34"/>
  <c r="W848" i="34"/>
  <c r="X848" i="34"/>
  <c r="Y848" i="34"/>
  <c r="Z848" i="34"/>
  <c r="N849" i="34"/>
  <c r="O849" i="34"/>
  <c r="P849" i="34"/>
  <c r="Q849" i="34"/>
  <c r="R849" i="34"/>
  <c r="S849" i="34"/>
  <c r="T849" i="34"/>
  <c r="U849" i="34"/>
  <c r="V849" i="34"/>
  <c r="W849" i="34"/>
  <c r="X849" i="34"/>
  <c r="Y849" i="34"/>
  <c r="Z849" i="34"/>
  <c r="N850" i="34"/>
  <c r="O850" i="34"/>
  <c r="P850" i="34"/>
  <c r="Q850" i="34"/>
  <c r="R850" i="34"/>
  <c r="S850" i="34"/>
  <c r="T850" i="34"/>
  <c r="U850" i="34"/>
  <c r="V850" i="34"/>
  <c r="W850" i="34"/>
  <c r="X850" i="34"/>
  <c r="Y850" i="34"/>
  <c r="Z850" i="34"/>
  <c r="N851" i="34"/>
  <c r="O851" i="34"/>
  <c r="P851" i="34"/>
  <c r="Q851" i="34"/>
  <c r="R851" i="34"/>
  <c r="S851" i="34"/>
  <c r="T851" i="34"/>
  <c r="U851" i="34"/>
  <c r="V851" i="34"/>
  <c r="W851" i="34"/>
  <c r="X851" i="34"/>
  <c r="Y851" i="34"/>
  <c r="Z851" i="34"/>
  <c r="N852" i="34"/>
  <c r="O852" i="34"/>
  <c r="P852" i="34"/>
  <c r="Q852" i="34"/>
  <c r="R852" i="34"/>
  <c r="S852" i="34"/>
  <c r="T852" i="34"/>
  <c r="U852" i="34"/>
  <c r="V852" i="34"/>
  <c r="W852" i="34"/>
  <c r="X852" i="34"/>
  <c r="Y852" i="34"/>
  <c r="Z852" i="34"/>
  <c r="N853" i="34"/>
  <c r="O853" i="34"/>
  <c r="P853" i="34"/>
  <c r="Q853" i="34"/>
  <c r="R853" i="34"/>
  <c r="S853" i="34"/>
  <c r="T853" i="34"/>
  <c r="U853" i="34"/>
  <c r="V853" i="34"/>
  <c r="W853" i="34"/>
  <c r="X853" i="34"/>
  <c r="Y853" i="34"/>
  <c r="Z853" i="34"/>
  <c r="N854" i="34"/>
  <c r="O854" i="34"/>
  <c r="P854" i="34"/>
  <c r="Q854" i="34"/>
  <c r="R854" i="34"/>
  <c r="S854" i="34"/>
  <c r="T854" i="34"/>
  <c r="U854" i="34"/>
  <c r="V854" i="34"/>
  <c r="W854" i="34"/>
  <c r="X854" i="34"/>
  <c r="Y854" i="34"/>
  <c r="Z854" i="34"/>
  <c r="N855" i="34"/>
  <c r="O855" i="34"/>
  <c r="P855" i="34"/>
  <c r="Q855" i="34"/>
  <c r="R855" i="34"/>
  <c r="S855" i="34"/>
  <c r="T855" i="34"/>
  <c r="U855" i="34"/>
  <c r="V855" i="34"/>
  <c r="W855" i="34"/>
  <c r="X855" i="34"/>
  <c r="Y855" i="34"/>
  <c r="Z855" i="34"/>
  <c r="N856" i="34"/>
  <c r="O856" i="34"/>
  <c r="P856" i="34"/>
  <c r="Q856" i="34"/>
  <c r="R856" i="34"/>
  <c r="S856" i="34"/>
  <c r="T856" i="34"/>
  <c r="U856" i="34"/>
  <c r="V856" i="34"/>
  <c r="W856" i="34"/>
  <c r="X856" i="34"/>
  <c r="Y856" i="34"/>
  <c r="Z856" i="34"/>
  <c r="N857" i="34"/>
  <c r="O857" i="34"/>
  <c r="P857" i="34"/>
  <c r="Q857" i="34"/>
  <c r="R857" i="34"/>
  <c r="S857" i="34"/>
  <c r="T857" i="34"/>
  <c r="U857" i="34"/>
  <c r="V857" i="34"/>
  <c r="W857" i="34"/>
  <c r="X857" i="34"/>
  <c r="Y857" i="34"/>
  <c r="Z857" i="34"/>
  <c r="N858" i="34"/>
  <c r="O858" i="34"/>
  <c r="P858" i="34"/>
  <c r="Q858" i="34"/>
  <c r="R858" i="34"/>
  <c r="S858" i="34"/>
  <c r="T858" i="34"/>
  <c r="U858" i="34"/>
  <c r="V858" i="34"/>
  <c r="W858" i="34"/>
  <c r="X858" i="34"/>
  <c r="Y858" i="34"/>
  <c r="Z858" i="34"/>
  <c r="N859" i="34"/>
  <c r="O859" i="34"/>
  <c r="P859" i="34"/>
  <c r="Q859" i="34"/>
  <c r="R859" i="34"/>
  <c r="S859" i="34"/>
  <c r="T859" i="34"/>
  <c r="U859" i="34"/>
  <c r="V859" i="34"/>
  <c r="W859" i="34"/>
  <c r="X859" i="34"/>
  <c r="Y859" i="34"/>
  <c r="Z859" i="34"/>
  <c r="N860" i="34"/>
  <c r="O860" i="34"/>
  <c r="P860" i="34"/>
  <c r="Q860" i="34"/>
  <c r="R860" i="34"/>
  <c r="S860" i="34"/>
  <c r="T860" i="34"/>
  <c r="U860" i="34"/>
  <c r="V860" i="34"/>
  <c r="W860" i="34"/>
  <c r="X860" i="34"/>
  <c r="Y860" i="34"/>
  <c r="Z860" i="34"/>
  <c r="N861" i="34"/>
  <c r="O861" i="34"/>
  <c r="P861" i="34"/>
  <c r="Q861" i="34"/>
  <c r="R861" i="34"/>
  <c r="S861" i="34"/>
  <c r="T861" i="34"/>
  <c r="U861" i="34"/>
  <c r="V861" i="34"/>
  <c r="W861" i="34"/>
  <c r="X861" i="34"/>
  <c r="Y861" i="34"/>
  <c r="Z861" i="34"/>
  <c r="N862" i="34"/>
  <c r="O862" i="34"/>
  <c r="P862" i="34"/>
  <c r="Q862" i="34"/>
  <c r="R862" i="34"/>
  <c r="S862" i="34"/>
  <c r="T862" i="34"/>
  <c r="U862" i="34"/>
  <c r="V862" i="34"/>
  <c r="W862" i="34"/>
  <c r="X862" i="34"/>
  <c r="Y862" i="34"/>
  <c r="Z862" i="34"/>
  <c r="N863" i="34"/>
  <c r="O863" i="34"/>
  <c r="P863" i="34"/>
  <c r="Q863" i="34"/>
  <c r="R863" i="34"/>
  <c r="S863" i="34"/>
  <c r="T863" i="34"/>
  <c r="U863" i="34"/>
  <c r="V863" i="34"/>
  <c r="W863" i="34"/>
  <c r="X863" i="34"/>
  <c r="Y863" i="34"/>
  <c r="Z863" i="34"/>
  <c r="N864" i="34"/>
  <c r="O864" i="34"/>
  <c r="P864" i="34"/>
  <c r="Q864" i="34"/>
  <c r="R864" i="34"/>
  <c r="S864" i="34"/>
  <c r="T864" i="34"/>
  <c r="U864" i="34"/>
  <c r="V864" i="34"/>
  <c r="W864" i="34"/>
  <c r="X864" i="34"/>
  <c r="Y864" i="34"/>
  <c r="Z864" i="34"/>
  <c r="N865" i="34"/>
  <c r="O865" i="34"/>
  <c r="P865" i="34"/>
  <c r="Q865" i="34"/>
  <c r="R865" i="34"/>
  <c r="S865" i="34"/>
  <c r="T865" i="34"/>
  <c r="U865" i="34"/>
  <c r="V865" i="34"/>
  <c r="W865" i="34"/>
  <c r="X865" i="34"/>
  <c r="Y865" i="34"/>
  <c r="Z865" i="34"/>
  <c r="N866" i="34"/>
  <c r="O866" i="34"/>
  <c r="P866" i="34"/>
  <c r="Q866" i="34"/>
  <c r="R866" i="34"/>
  <c r="S866" i="34"/>
  <c r="T866" i="34"/>
  <c r="U866" i="34"/>
  <c r="V866" i="34"/>
  <c r="W866" i="34"/>
  <c r="X866" i="34"/>
  <c r="Y866" i="34"/>
  <c r="Z866" i="34"/>
  <c r="N867" i="34"/>
  <c r="O867" i="34"/>
  <c r="P867" i="34"/>
  <c r="Q867" i="34"/>
  <c r="R867" i="34"/>
  <c r="S867" i="34"/>
  <c r="T867" i="34"/>
  <c r="U867" i="34"/>
  <c r="V867" i="34"/>
  <c r="W867" i="34"/>
  <c r="X867" i="34"/>
  <c r="Y867" i="34"/>
  <c r="Z867" i="34"/>
  <c r="N868" i="34"/>
  <c r="O868" i="34"/>
  <c r="P868" i="34"/>
  <c r="Q868" i="34"/>
  <c r="R868" i="34"/>
  <c r="S868" i="34"/>
  <c r="T868" i="34"/>
  <c r="U868" i="34"/>
  <c r="V868" i="34"/>
  <c r="W868" i="34"/>
  <c r="X868" i="34"/>
  <c r="Y868" i="34"/>
  <c r="Z868" i="34"/>
  <c r="N869" i="34"/>
  <c r="O869" i="34"/>
  <c r="P869" i="34"/>
  <c r="Q869" i="34"/>
  <c r="R869" i="34"/>
  <c r="S869" i="34"/>
  <c r="T869" i="34"/>
  <c r="U869" i="34"/>
  <c r="V869" i="34"/>
  <c r="W869" i="34"/>
  <c r="X869" i="34"/>
  <c r="Y869" i="34"/>
  <c r="Z869" i="34"/>
  <c r="N870" i="34"/>
  <c r="O870" i="34"/>
  <c r="P870" i="34"/>
  <c r="Q870" i="34"/>
  <c r="R870" i="34"/>
  <c r="S870" i="34"/>
  <c r="T870" i="34"/>
  <c r="U870" i="34"/>
  <c r="V870" i="34"/>
  <c r="W870" i="34"/>
  <c r="X870" i="34"/>
  <c r="Y870" i="34"/>
  <c r="Z870" i="34"/>
  <c r="N871" i="34"/>
  <c r="O871" i="34"/>
  <c r="P871" i="34"/>
  <c r="Q871" i="34"/>
  <c r="R871" i="34"/>
  <c r="S871" i="34"/>
  <c r="T871" i="34"/>
  <c r="U871" i="34"/>
  <c r="V871" i="34"/>
  <c r="W871" i="34"/>
  <c r="X871" i="34"/>
  <c r="Y871" i="34"/>
  <c r="Z871" i="34"/>
  <c r="N872" i="34"/>
  <c r="O872" i="34"/>
  <c r="P872" i="34"/>
  <c r="Q872" i="34"/>
  <c r="R872" i="34"/>
  <c r="S872" i="34"/>
  <c r="T872" i="34"/>
  <c r="U872" i="34"/>
  <c r="V872" i="34"/>
  <c r="W872" i="34"/>
  <c r="X872" i="34"/>
  <c r="Y872" i="34"/>
  <c r="Z872" i="34"/>
  <c r="N873" i="34"/>
  <c r="O873" i="34"/>
  <c r="P873" i="34"/>
  <c r="Q873" i="34"/>
  <c r="R873" i="34"/>
  <c r="S873" i="34"/>
  <c r="T873" i="34"/>
  <c r="U873" i="34"/>
  <c r="V873" i="34"/>
  <c r="W873" i="34"/>
  <c r="X873" i="34"/>
  <c r="Y873" i="34"/>
  <c r="Z873" i="34"/>
  <c r="N874" i="34"/>
  <c r="O874" i="34"/>
  <c r="P874" i="34"/>
  <c r="Q874" i="34"/>
  <c r="R874" i="34"/>
  <c r="S874" i="34"/>
  <c r="T874" i="34"/>
  <c r="U874" i="34"/>
  <c r="V874" i="34"/>
  <c r="W874" i="34"/>
  <c r="X874" i="34"/>
  <c r="Y874" i="34"/>
  <c r="Z874" i="34"/>
  <c r="N875" i="34"/>
  <c r="O875" i="34"/>
  <c r="P875" i="34"/>
  <c r="Q875" i="34"/>
  <c r="R875" i="34"/>
  <c r="S875" i="34"/>
  <c r="T875" i="34"/>
  <c r="U875" i="34"/>
  <c r="V875" i="34"/>
  <c r="W875" i="34"/>
  <c r="X875" i="34"/>
  <c r="Y875" i="34"/>
  <c r="Z875" i="34"/>
  <c r="N876" i="34"/>
  <c r="O876" i="34"/>
  <c r="P876" i="34"/>
  <c r="Q876" i="34"/>
  <c r="R876" i="34"/>
  <c r="S876" i="34"/>
  <c r="T876" i="34"/>
  <c r="U876" i="34"/>
  <c r="V876" i="34"/>
  <c r="W876" i="34"/>
  <c r="X876" i="34"/>
  <c r="Y876" i="34"/>
  <c r="Z876" i="34"/>
  <c r="N877" i="34"/>
  <c r="O877" i="34"/>
  <c r="P877" i="34"/>
  <c r="Q877" i="34"/>
  <c r="R877" i="34"/>
  <c r="S877" i="34"/>
  <c r="T877" i="34"/>
  <c r="U877" i="34"/>
  <c r="V877" i="34"/>
  <c r="W877" i="34"/>
  <c r="X877" i="34"/>
  <c r="Y877" i="34"/>
  <c r="Z877" i="34"/>
  <c r="N878" i="34"/>
  <c r="O878" i="34"/>
  <c r="P878" i="34"/>
  <c r="Q878" i="34"/>
  <c r="R878" i="34"/>
  <c r="S878" i="34"/>
  <c r="T878" i="34"/>
  <c r="U878" i="34"/>
  <c r="V878" i="34"/>
  <c r="W878" i="34"/>
  <c r="X878" i="34"/>
  <c r="Y878" i="34"/>
  <c r="Z878" i="34"/>
  <c r="N879" i="34"/>
  <c r="O879" i="34"/>
  <c r="P879" i="34"/>
  <c r="Q879" i="34"/>
  <c r="R879" i="34"/>
  <c r="S879" i="34"/>
  <c r="T879" i="34"/>
  <c r="U879" i="34"/>
  <c r="V879" i="34"/>
  <c r="W879" i="34"/>
  <c r="X879" i="34"/>
  <c r="Y879" i="34"/>
  <c r="Z879" i="34"/>
  <c r="N880" i="34"/>
  <c r="O880" i="34"/>
  <c r="P880" i="34"/>
  <c r="Q880" i="34"/>
  <c r="R880" i="34"/>
  <c r="S880" i="34"/>
  <c r="T880" i="34"/>
  <c r="U880" i="34"/>
  <c r="V880" i="34"/>
  <c r="W880" i="34"/>
  <c r="X880" i="34"/>
  <c r="Y880" i="34"/>
  <c r="Z880" i="34"/>
  <c r="N881" i="34"/>
  <c r="O881" i="34"/>
  <c r="P881" i="34"/>
  <c r="Q881" i="34"/>
  <c r="R881" i="34"/>
  <c r="S881" i="34"/>
  <c r="T881" i="34"/>
  <c r="U881" i="34"/>
  <c r="V881" i="34"/>
  <c r="W881" i="34"/>
  <c r="X881" i="34"/>
  <c r="Y881" i="34"/>
  <c r="Z881" i="34"/>
  <c r="N882" i="34"/>
  <c r="O882" i="34"/>
  <c r="P882" i="34"/>
  <c r="Q882" i="34"/>
  <c r="R882" i="34"/>
  <c r="S882" i="34"/>
  <c r="T882" i="34"/>
  <c r="U882" i="34"/>
  <c r="V882" i="34"/>
  <c r="W882" i="34"/>
  <c r="X882" i="34"/>
  <c r="Y882" i="34"/>
  <c r="Z882" i="34"/>
  <c r="N883" i="34"/>
  <c r="O883" i="34"/>
  <c r="P883" i="34"/>
  <c r="Q883" i="34"/>
  <c r="R883" i="34"/>
  <c r="S883" i="34"/>
  <c r="T883" i="34"/>
  <c r="U883" i="34"/>
  <c r="V883" i="34"/>
  <c r="W883" i="34"/>
  <c r="X883" i="34"/>
  <c r="Y883" i="34"/>
  <c r="Z883" i="34"/>
  <c r="N884" i="34"/>
  <c r="O884" i="34"/>
  <c r="P884" i="34"/>
  <c r="Q884" i="34"/>
  <c r="R884" i="34"/>
  <c r="S884" i="34"/>
  <c r="T884" i="34"/>
  <c r="U884" i="34"/>
  <c r="V884" i="34"/>
  <c r="W884" i="34"/>
  <c r="X884" i="34"/>
  <c r="Y884" i="34"/>
  <c r="Z884" i="34"/>
  <c r="N885" i="34"/>
  <c r="O885" i="34"/>
  <c r="P885" i="34"/>
  <c r="Q885" i="34"/>
  <c r="R885" i="34"/>
  <c r="S885" i="34"/>
  <c r="T885" i="34"/>
  <c r="U885" i="34"/>
  <c r="V885" i="34"/>
  <c r="W885" i="34"/>
  <c r="X885" i="34"/>
  <c r="Y885" i="34"/>
  <c r="Z885" i="34"/>
  <c r="N886" i="34"/>
  <c r="O886" i="34"/>
  <c r="P886" i="34"/>
  <c r="Q886" i="34"/>
  <c r="R886" i="34"/>
  <c r="S886" i="34"/>
  <c r="T886" i="34"/>
  <c r="U886" i="34"/>
  <c r="V886" i="34"/>
  <c r="W886" i="34"/>
  <c r="X886" i="34"/>
  <c r="Y886" i="34"/>
  <c r="Z886" i="34"/>
  <c r="N887" i="34"/>
  <c r="O887" i="34"/>
  <c r="P887" i="34"/>
  <c r="Q887" i="34"/>
  <c r="R887" i="34"/>
  <c r="S887" i="34"/>
  <c r="T887" i="34"/>
  <c r="U887" i="34"/>
  <c r="V887" i="34"/>
  <c r="W887" i="34"/>
  <c r="X887" i="34"/>
  <c r="Y887" i="34"/>
  <c r="Z887" i="34"/>
  <c r="N888" i="34"/>
  <c r="O888" i="34"/>
  <c r="P888" i="34"/>
  <c r="Q888" i="34"/>
  <c r="R888" i="34"/>
  <c r="S888" i="34"/>
  <c r="T888" i="34"/>
  <c r="U888" i="34"/>
  <c r="V888" i="34"/>
  <c r="W888" i="34"/>
  <c r="X888" i="34"/>
  <c r="Y888" i="34"/>
  <c r="Z888" i="34"/>
  <c r="N889" i="34"/>
  <c r="O889" i="34"/>
  <c r="P889" i="34"/>
  <c r="Q889" i="34"/>
  <c r="R889" i="34"/>
  <c r="S889" i="34"/>
  <c r="T889" i="34"/>
  <c r="U889" i="34"/>
  <c r="V889" i="34"/>
  <c r="W889" i="34"/>
  <c r="X889" i="34"/>
  <c r="Y889" i="34"/>
  <c r="Z889" i="34"/>
  <c r="N890" i="34"/>
  <c r="O890" i="34"/>
  <c r="P890" i="34"/>
  <c r="Q890" i="34"/>
  <c r="R890" i="34"/>
  <c r="S890" i="34"/>
  <c r="T890" i="34"/>
  <c r="U890" i="34"/>
  <c r="V890" i="34"/>
  <c r="W890" i="34"/>
  <c r="X890" i="34"/>
  <c r="Y890" i="34"/>
  <c r="Z890" i="34"/>
  <c r="N891" i="34"/>
  <c r="O891" i="34"/>
  <c r="P891" i="34"/>
  <c r="Q891" i="34"/>
  <c r="R891" i="34"/>
  <c r="S891" i="34"/>
  <c r="T891" i="34"/>
  <c r="U891" i="34"/>
  <c r="V891" i="34"/>
  <c r="W891" i="34"/>
  <c r="X891" i="34"/>
  <c r="Y891" i="34"/>
  <c r="Z891" i="34"/>
  <c r="N892" i="34"/>
  <c r="O892" i="34"/>
  <c r="P892" i="34"/>
  <c r="Q892" i="34"/>
  <c r="R892" i="34"/>
  <c r="S892" i="34"/>
  <c r="T892" i="34"/>
  <c r="U892" i="34"/>
  <c r="V892" i="34"/>
  <c r="W892" i="34"/>
  <c r="X892" i="34"/>
  <c r="Y892" i="34"/>
  <c r="Z892" i="34"/>
  <c r="N893" i="34"/>
  <c r="O893" i="34"/>
  <c r="P893" i="34"/>
  <c r="Q893" i="34"/>
  <c r="R893" i="34"/>
  <c r="S893" i="34"/>
  <c r="T893" i="34"/>
  <c r="U893" i="34"/>
  <c r="V893" i="34"/>
  <c r="W893" i="34"/>
  <c r="X893" i="34"/>
  <c r="Y893" i="34"/>
  <c r="Z893" i="34"/>
  <c r="N894" i="34"/>
  <c r="O894" i="34"/>
  <c r="P894" i="34"/>
  <c r="Q894" i="34"/>
  <c r="R894" i="34"/>
  <c r="S894" i="34"/>
  <c r="T894" i="34"/>
  <c r="U894" i="34"/>
  <c r="V894" i="34"/>
  <c r="W894" i="34"/>
  <c r="X894" i="34"/>
  <c r="Y894" i="34"/>
  <c r="Z894" i="34"/>
  <c r="N895" i="34"/>
  <c r="O895" i="34"/>
  <c r="P895" i="34"/>
  <c r="Q895" i="34"/>
  <c r="R895" i="34"/>
  <c r="S895" i="34"/>
  <c r="T895" i="34"/>
  <c r="U895" i="34"/>
  <c r="V895" i="34"/>
  <c r="W895" i="34"/>
  <c r="X895" i="34"/>
  <c r="Y895" i="34"/>
  <c r="Z895" i="34"/>
  <c r="N896" i="34"/>
  <c r="O896" i="34"/>
  <c r="P896" i="34"/>
  <c r="Q896" i="34"/>
  <c r="R896" i="34"/>
  <c r="S896" i="34"/>
  <c r="T896" i="34"/>
  <c r="U896" i="34"/>
  <c r="V896" i="34"/>
  <c r="W896" i="34"/>
  <c r="X896" i="34"/>
  <c r="Y896" i="34"/>
  <c r="Z896" i="34"/>
  <c r="N897" i="34"/>
  <c r="O897" i="34"/>
  <c r="P897" i="34"/>
  <c r="Q897" i="34"/>
  <c r="R897" i="34"/>
  <c r="S897" i="34"/>
  <c r="T897" i="34"/>
  <c r="U897" i="34"/>
  <c r="V897" i="34"/>
  <c r="W897" i="34"/>
  <c r="X897" i="34"/>
  <c r="Y897" i="34"/>
  <c r="Z897" i="34"/>
  <c r="N898" i="34"/>
  <c r="O898" i="34"/>
  <c r="P898" i="34"/>
  <c r="Q898" i="34"/>
  <c r="R898" i="34"/>
  <c r="S898" i="34"/>
  <c r="T898" i="34"/>
  <c r="U898" i="34"/>
  <c r="V898" i="34"/>
  <c r="W898" i="34"/>
  <c r="X898" i="34"/>
  <c r="Y898" i="34"/>
  <c r="Z898" i="34"/>
  <c r="N899" i="34"/>
  <c r="O899" i="34"/>
  <c r="P899" i="34"/>
  <c r="Q899" i="34"/>
  <c r="R899" i="34"/>
  <c r="S899" i="34"/>
  <c r="T899" i="34"/>
  <c r="U899" i="34"/>
  <c r="V899" i="34"/>
  <c r="W899" i="34"/>
  <c r="X899" i="34"/>
  <c r="Y899" i="34"/>
  <c r="Z899" i="34"/>
  <c r="N900" i="34"/>
  <c r="O900" i="34"/>
  <c r="P900" i="34"/>
  <c r="Q900" i="34"/>
  <c r="R900" i="34"/>
  <c r="S900" i="34"/>
  <c r="T900" i="34"/>
  <c r="U900" i="34"/>
  <c r="V900" i="34"/>
  <c r="W900" i="34"/>
  <c r="X900" i="34"/>
  <c r="Y900" i="34"/>
  <c r="Z900" i="34"/>
  <c r="N901" i="34"/>
  <c r="O901" i="34"/>
  <c r="P901" i="34"/>
  <c r="Q901" i="34"/>
  <c r="R901" i="34"/>
  <c r="S901" i="34"/>
  <c r="T901" i="34"/>
  <c r="U901" i="34"/>
  <c r="V901" i="34"/>
  <c r="W901" i="34"/>
  <c r="X901" i="34"/>
  <c r="Y901" i="34"/>
  <c r="Z901" i="34"/>
  <c r="N902" i="34"/>
  <c r="O902" i="34"/>
  <c r="P902" i="34"/>
  <c r="Q902" i="34"/>
  <c r="R902" i="34"/>
  <c r="S902" i="34"/>
  <c r="T902" i="34"/>
  <c r="U902" i="34"/>
  <c r="V902" i="34"/>
  <c r="W902" i="34"/>
  <c r="X902" i="34"/>
  <c r="Y902" i="34"/>
  <c r="Z902" i="34"/>
  <c r="N903" i="34"/>
  <c r="O903" i="34"/>
  <c r="P903" i="34"/>
  <c r="Q903" i="34"/>
  <c r="R903" i="34"/>
  <c r="S903" i="34"/>
  <c r="T903" i="34"/>
  <c r="U903" i="34"/>
  <c r="V903" i="34"/>
  <c r="W903" i="34"/>
  <c r="X903" i="34"/>
  <c r="Y903" i="34"/>
  <c r="Z903" i="34"/>
  <c r="N904" i="34"/>
  <c r="O904" i="34"/>
  <c r="P904" i="34"/>
  <c r="Q904" i="34"/>
  <c r="R904" i="34"/>
  <c r="S904" i="34"/>
  <c r="T904" i="34"/>
  <c r="U904" i="34"/>
  <c r="V904" i="34"/>
  <c r="W904" i="34"/>
  <c r="X904" i="34"/>
  <c r="Y904" i="34"/>
  <c r="Z904" i="34"/>
  <c r="N905" i="34"/>
  <c r="O905" i="34"/>
  <c r="P905" i="34"/>
  <c r="Q905" i="34"/>
  <c r="R905" i="34"/>
  <c r="S905" i="34"/>
  <c r="T905" i="34"/>
  <c r="U905" i="34"/>
  <c r="V905" i="34"/>
  <c r="W905" i="34"/>
  <c r="X905" i="34"/>
  <c r="Y905" i="34"/>
  <c r="Z905" i="34"/>
  <c r="N906" i="34"/>
  <c r="O906" i="34"/>
  <c r="P906" i="34"/>
  <c r="Q906" i="34"/>
  <c r="R906" i="34"/>
  <c r="S906" i="34"/>
  <c r="T906" i="34"/>
  <c r="U906" i="34"/>
  <c r="V906" i="34"/>
  <c r="W906" i="34"/>
  <c r="X906" i="34"/>
  <c r="Y906" i="34"/>
  <c r="Z906" i="34"/>
  <c r="N907" i="34"/>
  <c r="O907" i="34"/>
  <c r="P907" i="34"/>
  <c r="Q907" i="34"/>
  <c r="R907" i="34"/>
  <c r="S907" i="34"/>
  <c r="T907" i="34"/>
  <c r="U907" i="34"/>
  <c r="V907" i="34"/>
  <c r="W907" i="34"/>
  <c r="X907" i="34"/>
  <c r="Y907" i="34"/>
  <c r="Z907" i="34"/>
  <c r="N908" i="34"/>
  <c r="O908" i="34"/>
  <c r="P908" i="34"/>
  <c r="Q908" i="34"/>
  <c r="R908" i="34"/>
  <c r="S908" i="34"/>
  <c r="T908" i="34"/>
  <c r="U908" i="34"/>
  <c r="V908" i="34"/>
  <c r="W908" i="34"/>
  <c r="X908" i="34"/>
  <c r="Y908" i="34"/>
  <c r="Z908" i="34"/>
  <c r="N909" i="34"/>
  <c r="O909" i="34"/>
  <c r="P909" i="34"/>
  <c r="Q909" i="34"/>
  <c r="R909" i="34"/>
  <c r="S909" i="34"/>
  <c r="T909" i="34"/>
  <c r="U909" i="34"/>
  <c r="V909" i="34"/>
  <c r="W909" i="34"/>
  <c r="X909" i="34"/>
  <c r="Y909" i="34"/>
  <c r="Z909" i="34"/>
  <c r="N910" i="34"/>
  <c r="O910" i="34"/>
  <c r="P910" i="34"/>
  <c r="Q910" i="34"/>
  <c r="R910" i="34"/>
  <c r="S910" i="34"/>
  <c r="T910" i="34"/>
  <c r="U910" i="34"/>
  <c r="V910" i="34"/>
  <c r="W910" i="34"/>
  <c r="X910" i="34"/>
  <c r="Y910" i="34"/>
  <c r="Z910" i="34"/>
  <c r="N911" i="34"/>
  <c r="O911" i="34"/>
  <c r="P911" i="34"/>
  <c r="Q911" i="34"/>
  <c r="R911" i="34"/>
  <c r="S911" i="34"/>
  <c r="T911" i="34"/>
  <c r="U911" i="34"/>
  <c r="V911" i="34"/>
  <c r="W911" i="34"/>
  <c r="X911" i="34"/>
  <c r="Y911" i="34"/>
  <c r="Z911" i="34"/>
  <c r="N912" i="34"/>
  <c r="O912" i="34"/>
  <c r="P912" i="34"/>
  <c r="Q912" i="34"/>
  <c r="R912" i="34"/>
  <c r="S912" i="34"/>
  <c r="T912" i="34"/>
  <c r="U912" i="34"/>
  <c r="V912" i="34"/>
  <c r="W912" i="34"/>
  <c r="X912" i="34"/>
  <c r="Y912" i="34"/>
  <c r="Z912" i="34"/>
  <c r="N913" i="34"/>
  <c r="O913" i="34"/>
  <c r="P913" i="34"/>
  <c r="Q913" i="34"/>
  <c r="R913" i="34"/>
  <c r="S913" i="34"/>
  <c r="T913" i="34"/>
  <c r="U913" i="34"/>
  <c r="V913" i="34"/>
  <c r="W913" i="34"/>
  <c r="X913" i="34"/>
  <c r="Y913" i="34"/>
  <c r="Z913" i="34"/>
  <c r="N914" i="34"/>
  <c r="O914" i="34"/>
  <c r="P914" i="34"/>
  <c r="Q914" i="34"/>
  <c r="R914" i="34"/>
  <c r="S914" i="34"/>
  <c r="T914" i="34"/>
  <c r="U914" i="34"/>
  <c r="V914" i="34"/>
  <c r="W914" i="34"/>
  <c r="X914" i="34"/>
  <c r="Y914" i="34"/>
  <c r="Z914" i="34"/>
  <c r="N915" i="34"/>
  <c r="O915" i="34"/>
  <c r="P915" i="34"/>
  <c r="Q915" i="34"/>
  <c r="R915" i="34"/>
  <c r="S915" i="34"/>
  <c r="T915" i="34"/>
  <c r="U915" i="34"/>
  <c r="V915" i="34"/>
  <c r="W915" i="34"/>
  <c r="X915" i="34"/>
  <c r="Y915" i="34"/>
  <c r="Z915" i="34"/>
  <c r="N916" i="34"/>
  <c r="O916" i="34"/>
  <c r="P916" i="34"/>
  <c r="Q916" i="34"/>
  <c r="R916" i="34"/>
  <c r="S916" i="34"/>
  <c r="T916" i="34"/>
  <c r="U916" i="34"/>
  <c r="V916" i="34"/>
  <c r="W916" i="34"/>
  <c r="X916" i="34"/>
  <c r="Y916" i="34"/>
  <c r="Z916" i="34"/>
  <c r="N917" i="34"/>
  <c r="O917" i="34"/>
  <c r="P917" i="34"/>
  <c r="Q917" i="34"/>
  <c r="R917" i="34"/>
  <c r="S917" i="34"/>
  <c r="T917" i="34"/>
  <c r="U917" i="34"/>
  <c r="V917" i="34"/>
  <c r="W917" i="34"/>
  <c r="X917" i="34"/>
  <c r="Y917" i="34"/>
  <c r="Z917" i="34"/>
  <c r="N918" i="34"/>
  <c r="O918" i="34"/>
  <c r="P918" i="34"/>
  <c r="Q918" i="34"/>
  <c r="R918" i="34"/>
  <c r="S918" i="34"/>
  <c r="T918" i="34"/>
  <c r="U918" i="34"/>
  <c r="V918" i="34"/>
  <c r="W918" i="34"/>
  <c r="X918" i="34"/>
  <c r="Y918" i="34"/>
  <c r="Z918" i="34"/>
  <c r="N919" i="34"/>
  <c r="O919" i="34"/>
  <c r="P919" i="34"/>
  <c r="Q919" i="34"/>
  <c r="R919" i="34"/>
  <c r="S919" i="34"/>
  <c r="T919" i="34"/>
  <c r="U919" i="34"/>
  <c r="V919" i="34"/>
  <c r="W919" i="34"/>
  <c r="X919" i="34"/>
  <c r="Y919" i="34"/>
  <c r="Z919" i="34"/>
  <c r="N920" i="34"/>
  <c r="O920" i="34"/>
  <c r="P920" i="34"/>
  <c r="Q920" i="34"/>
  <c r="R920" i="34"/>
  <c r="S920" i="34"/>
  <c r="T920" i="34"/>
  <c r="U920" i="34"/>
  <c r="V920" i="34"/>
  <c r="W920" i="34"/>
  <c r="X920" i="34"/>
  <c r="Y920" i="34"/>
  <c r="Z920" i="34"/>
  <c r="N921" i="34"/>
  <c r="O921" i="34"/>
  <c r="P921" i="34"/>
  <c r="Q921" i="34"/>
  <c r="R921" i="34"/>
  <c r="S921" i="34"/>
  <c r="T921" i="34"/>
  <c r="U921" i="34"/>
  <c r="V921" i="34"/>
  <c r="W921" i="34"/>
  <c r="X921" i="34"/>
  <c r="Y921" i="34"/>
  <c r="Z921" i="34"/>
  <c r="N922" i="34"/>
  <c r="O922" i="34"/>
  <c r="P922" i="34"/>
  <c r="Q922" i="34"/>
  <c r="R922" i="34"/>
  <c r="S922" i="34"/>
  <c r="T922" i="34"/>
  <c r="U922" i="34"/>
  <c r="V922" i="34"/>
  <c r="W922" i="34"/>
  <c r="X922" i="34"/>
  <c r="Y922" i="34"/>
  <c r="Z922" i="34"/>
  <c r="N923" i="34"/>
  <c r="O923" i="34"/>
  <c r="P923" i="34"/>
  <c r="Q923" i="34"/>
  <c r="R923" i="34"/>
  <c r="S923" i="34"/>
  <c r="T923" i="34"/>
  <c r="U923" i="34"/>
  <c r="V923" i="34"/>
  <c r="W923" i="34"/>
  <c r="X923" i="34"/>
  <c r="Y923" i="34"/>
  <c r="Z923" i="34"/>
  <c r="N924" i="34"/>
  <c r="O924" i="34"/>
  <c r="P924" i="34"/>
  <c r="Q924" i="34"/>
  <c r="R924" i="34"/>
  <c r="S924" i="34"/>
  <c r="T924" i="34"/>
  <c r="U924" i="34"/>
  <c r="V924" i="34"/>
  <c r="W924" i="34"/>
  <c r="X924" i="34"/>
  <c r="Y924" i="34"/>
  <c r="Z924" i="34"/>
  <c r="N925" i="34"/>
  <c r="O925" i="34"/>
  <c r="P925" i="34"/>
  <c r="Q925" i="34"/>
  <c r="R925" i="34"/>
  <c r="S925" i="34"/>
  <c r="T925" i="34"/>
  <c r="U925" i="34"/>
  <c r="V925" i="34"/>
  <c r="W925" i="34"/>
  <c r="X925" i="34"/>
  <c r="Y925" i="34"/>
  <c r="Z925" i="34"/>
  <c r="N926" i="34"/>
  <c r="O926" i="34"/>
  <c r="P926" i="34"/>
  <c r="Q926" i="34"/>
  <c r="R926" i="34"/>
  <c r="S926" i="34"/>
  <c r="T926" i="34"/>
  <c r="U926" i="34"/>
  <c r="V926" i="34"/>
  <c r="W926" i="34"/>
  <c r="X926" i="34"/>
  <c r="Y926" i="34"/>
  <c r="Z926" i="34"/>
  <c r="N927" i="34"/>
  <c r="O927" i="34"/>
  <c r="P927" i="34"/>
  <c r="Q927" i="34"/>
  <c r="R927" i="34"/>
  <c r="S927" i="34"/>
  <c r="T927" i="34"/>
  <c r="U927" i="34"/>
  <c r="V927" i="34"/>
  <c r="W927" i="34"/>
  <c r="X927" i="34"/>
  <c r="Y927" i="34"/>
  <c r="Z927" i="34"/>
  <c r="N928" i="34"/>
  <c r="O928" i="34"/>
  <c r="P928" i="34"/>
  <c r="Q928" i="34"/>
  <c r="R928" i="34"/>
  <c r="S928" i="34"/>
  <c r="T928" i="34"/>
  <c r="U928" i="34"/>
  <c r="V928" i="34"/>
  <c r="W928" i="34"/>
  <c r="X928" i="34"/>
  <c r="Y928" i="34"/>
  <c r="Z928" i="34"/>
  <c r="N929" i="34"/>
  <c r="O929" i="34"/>
  <c r="P929" i="34"/>
  <c r="Q929" i="34"/>
  <c r="R929" i="34"/>
  <c r="S929" i="34"/>
  <c r="T929" i="34"/>
  <c r="U929" i="34"/>
  <c r="V929" i="34"/>
  <c r="W929" i="34"/>
  <c r="X929" i="34"/>
  <c r="Y929" i="34"/>
  <c r="Z929" i="34"/>
  <c r="N930" i="34"/>
  <c r="O930" i="34"/>
  <c r="P930" i="34"/>
  <c r="Q930" i="34"/>
  <c r="R930" i="34"/>
  <c r="S930" i="34"/>
  <c r="T930" i="34"/>
  <c r="U930" i="34"/>
  <c r="V930" i="34"/>
  <c r="W930" i="34"/>
  <c r="X930" i="34"/>
  <c r="Y930" i="34"/>
  <c r="Z930" i="34"/>
  <c r="N931" i="34"/>
  <c r="O931" i="34"/>
  <c r="P931" i="34"/>
  <c r="Q931" i="34"/>
  <c r="R931" i="34"/>
  <c r="S931" i="34"/>
  <c r="T931" i="34"/>
  <c r="U931" i="34"/>
  <c r="V931" i="34"/>
  <c r="W931" i="34"/>
  <c r="X931" i="34"/>
  <c r="Y931" i="34"/>
  <c r="Z931" i="34"/>
  <c r="N932" i="34"/>
  <c r="O932" i="34"/>
  <c r="P932" i="34"/>
  <c r="Q932" i="34"/>
  <c r="R932" i="34"/>
  <c r="S932" i="34"/>
  <c r="T932" i="34"/>
  <c r="U932" i="34"/>
  <c r="V932" i="34"/>
  <c r="W932" i="34"/>
  <c r="X932" i="34"/>
  <c r="Y932" i="34"/>
  <c r="Z932" i="34"/>
  <c r="N933" i="34"/>
  <c r="O933" i="34"/>
  <c r="P933" i="34"/>
  <c r="Q933" i="34"/>
  <c r="R933" i="34"/>
  <c r="S933" i="34"/>
  <c r="T933" i="34"/>
  <c r="U933" i="34"/>
  <c r="V933" i="34"/>
  <c r="W933" i="34"/>
  <c r="X933" i="34"/>
  <c r="Y933" i="34"/>
  <c r="Z933" i="34"/>
  <c r="N934" i="34"/>
  <c r="O934" i="34"/>
  <c r="P934" i="34"/>
  <c r="Q934" i="34"/>
  <c r="R934" i="34"/>
  <c r="S934" i="34"/>
  <c r="T934" i="34"/>
  <c r="U934" i="34"/>
  <c r="V934" i="34"/>
  <c r="W934" i="34"/>
  <c r="X934" i="34"/>
  <c r="Y934" i="34"/>
  <c r="Z934" i="34"/>
  <c r="N935" i="34"/>
  <c r="O935" i="34"/>
  <c r="P935" i="34"/>
  <c r="Q935" i="34"/>
  <c r="R935" i="34"/>
  <c r="S935" i="34"/>
  <c r="T935" i="34"/>
  <c r="U935" i="34"/>
  <c r="V935" i="34"/>
  <c r="W935" i="34"/>
  <c r="X935" i="34"/>
  <c r="Y935" i="34"/>
  <c r="Z935" i="34"/>
  <c r="N936" i="34"/>
  <c r="O936" i="34"/>
  <c r="P936" i="34"/>
  <c r="Q936" i="34"/>
  <c r="R936" i="34"/>
  <c r="S936" i="34"/>
  <c r="T936" i="34"/>
  <c r="U936" i="34"/>
  <c r="V936" i="34"/>
  <c r="W936" i="34"/>
  <c r="X936" i="34"/>
  <c r="Y936" i="34"/>
  <c r="Z936" i="34"/>
  <c r="N937" i="34"/>
  <c r="O937" i="34"/>
  <c r="P937" i="34"/>
  <c r="Q937" i="34"/>
  <c r="R937" i="34"/>
  <c r="S937" i="34"/>
  <c r="T937" i="34"/>
  <c r="U937" i="34"/>
  <c r="V937" i="34"/>
  <c r="W937" i="34"/>
  <c r="X937" i="34"/>
  <c r="Y937" i="34"/>
  <c r="Z937" i="34"/>
  <c r="N938" i="34"/>
  <c r="O938" i="34"/>
  <c r="P938" i="34"/>
  <c r="Q938" i="34"/>
  <c r="R938" i="34"/>
  <c r="S938" i="34"/>
  <c r="T938" i="34"/>
  <c r="U938" i="34"/>
  <c r="V938" i="34"/>
  <c r="W938" i="34"/>
  <c r="X938" i="34"/>
  <c r="Y938" i="34"/>
  <c r="Z938" i="34"/>
  <c r="N939" i="34"/>
  <c r="O939" i="34"/>
  <c r="P939" i="34"/>
  <c r="Q939" i="34"/>
  <c r="R939" i="34"/>
  <c r="S939" i="34"/>
  <c r="T939" i="34"/>
  <c r="U939" i="34"/>
  <c r="V939" i="34"/>
  <c r="W939" i="34"/>
  <c r="X939" i="34"/>
  <c r="Y939" i="34"/>
  <c r="Z939" i="34"/>
  <c r="N940" i="34"/>
  <c r="O940" i="34"/>
  <c r="P940" i="34"/>
  <c r="Q940" i="34"/>
  <c r="R940" i="34"/>
  <c r="S940" i="34"/>
  <c r="T940" i="34"/>
  <c r="U940" i="34"/>
  <c r="V940" i="34"/>
  <c r="W940" i="34"/>
  <c r="X940" i="34"/>
  <c r="Y940" i="34"/>
  <c r="Z940" i="34"/>
  <c r="N941" i="34"/>
  <c r="O941" i="34"/>
  <c r="P941" i="34"/>
  <c r="Q941" i="34"/>
  <c r="R941" i="34"/>
  <c r="S941" i="34"/>
  <c r="T941" i="34"/>
  <c r="U941" i="34"/>
  <c r="V941" i="34"/>
  <c r="W941" i="34"/>
  <c r="X941" i="34"/>
  <c r="Y941" i="34"/>
  <c r="Z941" i="34"/>
  <c r="N942" i="34"/>
  <c r="O942" i="34"/>
  <c r="P942" i="34"/>
  <c r="Q942" i="34"/>
  <c r="R942" i="34"/>
  <c r="S942" i="34"/>
  <c r="T942" i="34"/>
  <c r="U942" i="34"/>
  <c r="V942" i="34"/>
  <c r="W942" i="34"/>
  <c r="X942" i="34"/>
  <c r="Y942" i="34"/>
  <c r="Z942" i="34"/>
  <c r="N943" i="34"/>
  <c r="O943" i="34"/>
  <c r="P943" i="34"/>
  <c r="Q943" i="34"/>
  <c r="R943" i="34"/>
  <c r="S943" i="34"/>
  <c r="T943" i="34"/>
  <c r="U943" i="34"/>
  <c r="V943" i="34"/>
  <c r="W943" i="34"/>
  <c r="X943" i="34"/>
  <c r="Y943" i="34"/>
  <c r="Z943" i="34"/>
  <c r="N944" i="34"/>
  <c r="O944" i="34"/>
  <c r="P944" i="34"/>
  <c r="Q944" i="34"/>
  <c r="R944" i="34"/>
  <c r="S944" i="34"/>
  <c r="T944" i="34"/>
  <c r="U944" i="34"/>
  <c r="V944" i="34"/>
  <c r="W944" i="34"/>
  <c r="X944" i="34"/>
  <c r="Y944" i="34"/>
  <c r="Z944" i="34"/>
  <c r="N945" i="34"/>
  <c r="O945" i="34"/>
  <c r="P945" i="34"/>
  <c r="Q945" i="34"/>
  <c r="R945" i="34"/>
  <c r="S945" i="34"/>
  <c r="T945" i="34"/>
  <c r="U945" i="34"/>
  <c r="V945" i="34"/>
  <c r="W945" i="34"/>
  <c r="X945" i="34"/>
  <c r="Y945" i="34"/>
  <c r="Z945" i="34"/>
  <c r="N946" i="34"/>
  <c r="O946" i="34"/>
  <c r="P946" i="34"/>
  <c r="Q946" i="34"/>
  <c r="R946" i="34"/>
  <c r="S946" i="34"/>
  <c r="T946" i="34"/>
  <c r="U946" i="34"/>
  <c r="V946" i="34"/>
  <c r="W946" i="34"/>
  <c r="X946" i="34"/>
  <c r="Y946" i="34"/>
  <c r="Z946" i="34"/>
  <c r="N947" i="34"/>
  <c r="O947" i="34"/>
  <c r="P947" i="34"/>
  <c r="Q947" i="34"/>
  <c r="R947" i="34"/>
  <c r="S947" i="34"/>
  <c r="T947" i="34"/>
  <c r="U947" i="34"/>
  <c r="V947" i="34"/>
  <c r="W947" i="34"/>
  <c r="X947" i="34"/>
  <c r="Y947" i="34"/>
  <c r="Z947" i="34"/>
  <c r="N948" i="34"/>
  <c r="O948" i="34"/>
  <c r="P948" i="34"/>
  <c r="Q948" i="34"/>
  <c r="R948" i="34"/>
  <c r="S948" i="34"/>
  <c r="T948" i="34"/>
  <c r="U948" i="34"/>
  <c r="V948" i="34"/>
  <c r="W948" i="34"/>
  <c r="X948" i="34"/>
  <c r="Y948" i="34"/>
  <c r="Z948" i="34"/>
  <c r="N949" i="34"/>
  <c r="O949" i="34"/>
  <c r="P949" i="34"/>
  <c r="Q949" i="34"/>
  <c r="R949" i="34"/>
  <c r="S949" i="34"/>
  <c r="T949" i="34"/>
  <c r="U949" i="34"/>
  <c r="V949" i="34"/>
  <c r="W949" i="34"/>
  <c r="X949" i="34"/>
  <c r="Y949" i="34"/>
  <c r="Z949" i="34"/>
  <c r="N950" i="34"/>
  <c r="O950" i="34"/>
  <c r="P950" i="34"/>
  <c r="Q950" i="34"/>
  <c r="R950" i="34"/>
  <c r="S950" i="34"/>
  <c r="T950" i="34"/>
  <c r="U950" i="34"/>
  <c r="V950" i="34"/>
  <c r="W950" i="34"/>
  <c r="X950" i="34"/>
  <c r="Y950" i="34"/>
  <c r="Z950" i="34"/>
  <c r="N951" i="34"/>
  <c r="O951" i="34"/>
  <c r="P951" i="34"/>
  <c r="Q951" i="34"/>
  <c r="R951" i="34"/>
  <c r="S951" i="34"/>
  <c r="T951" i="34"/>
  <c r="U951" i="34"/>
  <c r="V951" i="34"/>
  <c r="W951" i="34"/>
  <c r="X951" i="34"/>
  <c r="Y951" i="34"/>
  <c r="Z951" i="34"/>
  <c r="N952" i="34"/>
  <c r="O952" i="34"/>
  <c r="P952" i="34"/>
  <c r="Q952" i="34"/>
  <c r="R952" i="34"/>
  <c r="S952" i="34"/>
  <c r="T952" i="34"/>
  <c r="U952" i="34"/>
  <c r="V952" i="34"/>
  <c r="W952" i="34"/>
  <c r="X952" i="34"/>
  <c r="Y952" i="34"/>
  <c r="Z952" i="34"/>
  <c r="N953" i="34"/>
  <c r="O953" i="34"/>
  <c r="P953" i="34"/>
  <c r="Q953" i="34"/>
  <c r="R953" i="34"/>
  <c r="S953" i="34"/>
  <c r="T953" i="34"/>
  <c r="U953" i="34"/>
  <c r="V953" i="34"/>
  <c r="W953" i="34"/>
  <c r="X953" i="34"/>
  <c r="Y953" i="34"/>
  <c r="Z953" i="34"/>
  <c r="N954" i="34"/>
  <c r="O954" i="34"/>
  <c r="P954" i="34"/>
  <c r="Q954" i="34"/>
  <c r="R954" i="34"/>
  <c r="S954" i="34"/>
  <c r="T954" i="34"/>
  <c r="U954" i="34"/>
  <c r="V954" i="34"/>
  <c r="W954" i="34"/>
  <c r="X954" i="34"/>
  <c r="Y954" i="34"/>
  <c r="Z954" i="34"/>
  <c r="N955" i="34"/>
  <c r="O955" i="34"/>
  <c r="P955" i="34"/>
  <c r="Q955" i="34"/>
  <c r="R955" i="34"/>
  <c r="S955" i="34"/>
  <c r="T955" i="34"/>
  <c r="U955" i="34"/>
  <c r="V955" i="34"/>
  <c r="W955" i="34"/>
  <c r="X955" i="34"/>
  <c r="Y955" i="34"/>
  <c r="Z955" i="34"/>
  <c r="N956" i="34"/>
  <c r="O956" i="34"/>
  <c r="P956" i="34"/>
  <c r="Q956" i="34"/>
  <c r="R956" i="34"/>
  <c r="S956" i="34"/>
  <c r="T956" i="34"/>
  <c r="U956" i="34"/>
  <c r="V956" i="34"/>
  <c r="W956" i="34"/>
  <c r="X956" i="34"/>
  <c r="Y956" i="34"/>
  <c r="Z956" i="34"/>
  <c r="N957" i="34"/>
  <c r="O957" i="34"/>
  <c r="P957" i="34"/>
  <c r="Q957" i="34"/>
  <c r="R957" i="34"/>
  <c r="S957" i="34"/>
  <c r="T957" i="34"/>
  <c r="U957" i="34"/>
  <c r="V957" i="34"/>
  <c r="W957" i="34"/>
  <c r="X957" i="34"/>
  <c r="Y957" i="34"/>
  <c r="Z957" i="34"/>
  <c r="N958" i="34"/>
  <c r="O958" i="34"/>
  <c r="P958" i="34"/>
  <c r="Q958" i="34"/>
  <c r="R958" i="34"/>
  <c r="S958" i="34"/>
  <c r="T958" i="34"/>
  <c r="U958" i="34"/>
  <c r="V958" i="34"/>
  <c r="W958" i="34"/>
  <c r="X958" i="34"/>
  <c r="Y958" i="34"/>
  <c r="Z958" i="34"/>
  <c r="N959" i="34"/>
  <c r="O959" i="34"/>
  <c r="P959" i="34"/>
  <c r="Q959" i="34"/>
  <c r="R959" i="34"/>
  <c r="S959" i="34"/>
  <c r="T959" i="34"/>
  <c r="U959" i="34"/>
  <c r="V959" i="34"/>
  <c r="W959" i="34"/>
  <c r="X959" i="34"/>
  <c r="Y959" i="34"/>
  <c r="Z959" i="34"/>
  <c r="N960" i="34"/>
  <c r="O960" i="34"/>
  <c r="P960" i="34"/>
  <c r="Q960" i="34"/>
  <c r="R960" i="34"/>
  <c r="S960" i="34"/>
  <c r="T960" i="34"/>
  <c r="U960" i="34"/>
  <c r="V960" i="34"/>
  <c r="W960" i="34"/>
  <c r="X960" i="34"/>
  <c r="Y960" i="34"/>
  <c r="Z960" i="34"/>
  <c r="N961" i="34"/>
  <c r="O961" i="34"/>
  <c r="P961" i="34"/>
  <c r="Q961" i="34"/>
  <c r="R961" i="34"/>
  <c r="S961" i="34"/>
  <c r="T961" i="34"/>
  <c r="U961" i="34"/>
  <c r="V961" i="34"/>
  <c r="W961" i="34"/>
  <c r="X961" i="34"/>
  <c r="Y961" i="34"/>
  <c r="Z961" i="34"/>
  <c r="N962" i="34"/>
  <c r="O962" i="34"/>
  <c r="P962" i="34"/>
  <c r="Q962" i="34"/>
  <c r="R962" i="34"/>
  <c r="S962" i="34"/>
  <c r="T962" i="34"/>
  <c r="U962" i="34"/>
  <c r="V962" i="34"/>
  <c r="W962" i="34"/>
  <c r="X962" i="34"/>
  <c r="Y962" i="34"/>
  <c r="Z962" i="34"/>
  <c r="N963" i="34"/>
  <c r="O963" i="34"/>
  <c r="P963" i="34"/>
  <c r="Q963" i="34"/>
  <c r="R963" i="34"/>
  <c r="S963" i="34"/>
  <c r="T963" i="34"/>
  <c r="U963" i="34"/>
  <c r="V963" i="34"/>
  <c r="W963" i="34"/>
  <c r="X963" i="34"/>
  <c r="Y963" i="34"/>
  <c r="Z963" i="34"/>
  <c r="N964" i="34"/>
  <c r="O964" i="34"/>
  <c r="P964" i="34"/>
  <c r="Q964" i="34"/>
  <c r="R964" i="34"/>
  <c r="S964" i="34"/>
  <c r="T964" i="34"/>
  <c r="U964" i="34"/>
  <c r="V964" i="34"/>
  <c r="W964" i="34"/>
  <c r="X964" i="34"/>
  <c r="Y964" i="34"/>
  <c r="Z964" i="34"/>
  <c r="N965" i="34"/>
  <c r="O965" i="34"/>
  <c r="P965" i="34"/>
  <c r="Q965" i="34"/>
  <c r="R965" i="34"/>
  <c r="S965" i="34"/>
  <c r="T965" i="34"/>
  <c r="U965" i="34"/>
  <c r="V965" i="34"/>
  <c r="W965" i="34"/>
  <c r="X965" i="34"/>
  <c r="Y965" i="34"/>
  <c r="Z965" i="34"/>
  <c r="N966" i="34"/>
  <c r="O966" i="34"/>
  <c r="P966" i="34"/>
  <c r="Q966" i="34"/>
  <c r="R966" i="34"/>
  <c r="S966" i="34"/>
  <c r="T966" i="34"/>
  <c r="U966" i="34"/>
  <c r="V966" i="34"/>
  <c r="W966" i="34"/>
  <c r="X966" i="34"/>
  <c r="Y966" i="34"/>
  <c r="Z966" i="34"/>
  <c r="N967" i="34"/>
  <c r="O967" i="34"/>
  <c r="P967" i="34"/>
  <c r="Q967" i="34"/>
  <c r="R967" i="34"/>
  <c r="S967" i="34"/>
  <c r="T967" i="34"/>
  <c r="U967" i="34"/>
  <c r="V967" i="34"/>
  <c r="W967" i="34"/>
  <c r="X967" i="34"/>
  <c r="Y967" i="34"/>
  <c r="Z967" i="34"/>
  <c r="N968" i="34"/>
  <c r="O968" i="34"/>
  <c r="P968" i="34"/>
  <c r="Q968" i="34"/>
  <c r="R968" i="34"/>
  <c r="S968" i="34"/>
  <c r="T968" i="34"/>
  <c r="U968" i="34"/>
  <c r="V968" i="34"/>
  <c r="W968" i="34"/>
  <c r="X968" i="34"/>
  <c r="Y968" i="34"/>
  <c r="Z968" i="34"/>
  <c r="N969" i="34"/>
  <c r="O969" i="34"/>
  <c r="P969" i="34"/>
  <c r="Q969" i="34"/>
  <c r="R969" i="34"/>
  <c r="S969" i="34"/>
  <c r="T969" i="34"/>
  <c r="U969" i="34"/>
  <c r="V969" i="34"/>
  <c r="W969" i="34"/>
  <c r="X969" i="34"/>
  <c r="Y969" i="34"/>
  <c r="Z969" i="34"/>
  <c r="N970" i="34"/>
  <c r="O970" i="34"/>
  <c r="P970" i="34"/>
  <c r="Q970" i="34"/>
  <c r="R970" i="34"/>
  <c r="S970" i="34"/>
  <c r="T970" i="34"/>
  <c r="U970" i="34"/>
  <c r="V970" i="34"/>
  <c r="W970" i="34"/>
  <c r="X970" i="34"/>
  <c r="Y970" i="34"/>
  <c r="Z970" i="34"/>
  <c r="N971" i="34"/>
  <c r="O971" i="34"/>
  <c r="P971" i="34"/>
  <c r="Q971" i="34"/>
  <c r="R971" i="34"/>
  <c r="S971" i="34"/>
  <c r="T971" i="34"/>
  <c r="U971" i="34"/>
  <c r="V971" i="34"/>
  <c r="W971" i="34"/>
  <c r="X971" i="34"/>
  <c r="Y971" i="34"/>
  <c r="Z971" i="34"/>
  <c r="N972" i="34"/>
  <c r="O972" i="34"/>
  <c r="P972" i="34"/>
  <c r="Q972" i="34"/>
  <c r="R972" i="34"/>
  <c r="S972" i="34"/>
  <c r="T972" i="34"/>
  <c r="U972" i="34"/>
  <c r="V972" i="34"/>
  <c r="W972" i="34"/>
  <c r="X972" i="34"/>
  <c r="Y972" i="34"/>
  <c r="Z972" i="34"/>
  <c r="N973" i="34"/>
  <c r="O973" i="34"/>
  <c r="P973" i="34"/>
  <c r="Q973" i="34"/>
  <c r="R973" i="34"/>
  <c r="S973" i="34"/>
  <c r="T973" i="34"/>
  <c r="U973" i="34"/>
  <c r="V973" i="34"/>
  <c r="W973" i="34"/>
  <c r="X973" i="34"/>
  <c r="Y973" i="34"/>
  <c r="Z973" i="34"/>
  <c r="N974" i="34"/>
  <c r="O974" i="34"/>
  <c r="P974" i="34"/>
  <c r="Q974" i="34"/>
  <c r="R974" i="34"/>
  <c r="S974" i="34"/>
  <c r="T974" i="34"/>
  <c r="U974" i="34"/>
  <c r="V974" i="34"/>
  <c r="W974" i="34"/>
  <c r="X974" i="34"/>
  <c r="Y974" i="34"/>
  <c r="Z974" i="34"/>
  <c r="N975" i="34"/>
  <c r="O975" i="34"/>
  <c r="P975" i="34"/>
  <c r="Q975" i="34"/>
  <c r="R975" i="34"/>
  <c r="S975" i="34"/>
  <c r="T975" i="34"/>
  <c r="U975" i="34"/>
  <c r="V975" i="34"/>
  <c r="W975" i="34"/>
  <c r="X975" i="34"/>
  <c r="Y975" i="34"/>
  <c r="Z975" i="34"/>
  <c r="N976" i="34"/>
  <c r="O976" i="34"/>
  <c r="P976" i="34"/>
  <c r="Q976" i="34"/>
  <c r="R976" i="34"/>
  <c r="S976" i="34"/>
  <c r="T976" i="34"/>
  <c r="U976" i="34"/>
  <c r="V976" i="34"/>
  <c r="W976" i="34"/>
  <c r="X976" i="34"/>
  <c r="Y976" i="34"/>
  <c r="Z976" i="34"/>
  <c r="N977" i="34"/>
  <c r="O977" i="34"/>
  <c r="P977" i="34"/>
  <c r="Q977" i="34"/>
  <c r="R977" i="34"/>
  <c r="S977" i="34"/>
  <c r="T977" i="34"/>
  <c r="U977" i="34"/>
  <c r="V977" i="34"/>
  <c r="W977" i="34"/>
  <c r="X977" i="34"/>
  <c r="Y977" i="34"/>
  <c r="Z977" i="34"/>
  <c r="N978" i="34"/>
  <c r="O978" i="34"/>
  <c r="P978" i="34"/>
  <c r="Q978" i="34"/>
  <c r="R978" i="34"/>
  <c r="S978" i="34"/>
  <c r="T978" i="34"/>
  <c r="U978" i="34"/>
  <c r="V978" i="34"/>
  <c r="W978" i="34"/>
  <c r="X978" i="34"/>
  <c r="Y978" i="34"/>
  <c r="Z978" i="34"/>
  <c r="N979" i="34"/>
  <c r="O979" i="34"/>
  <c r="P979" i="34"/>
  <c r="Q979" i="34"/>
  <c r="R979" i="34"/>
  <c r="S979" i="34"/>
  <c r="T979" i="34"/>
  <c r="U979" i="34"/>
  <c r="V979" i="34"/>
  <c r="W979" i="34"/>
  <c r="X979" i="34"/>
  <c r="Y979" i="34"/>
  <c r="Z979" i="34"/>
  <c r="N980" i="34"/>
  <c r="O980" i="34"/>
  <c r="P980" i="34"/>
  <c r="Q980" i="34"/>
  <c r="R980" i="34"/>
  <c r="S980" i="34"/>
  <c r="T980" i="34"/>
  <c r="U980" i="34"/>
  <c r="V980" i="34"/>
  <c r="W980" i="34"/>
  <c r="X980" i="34"/>
  <c r="Y980" i="34"/>
  <c r="Z980" i="34"/>
  <c r="N981" i="34"/>
  <c r="O981" i="34"/>
  <c r="P981" i="34"/>
  <c r="Q981" i="34"/>
  <c r="R981" i="34"/>
  <c r="S981" i="34"/>
  <c r="T981" i="34"/>
  <c r="U981" i="34"/>
  <c r="V981" i="34"/>
  <c r="W981" i="34"/>
  <c r="X981" i="34"/>
  <c r="Y981" i="34"/>
  <c r="Z981" i="34"/>
  <c r="N982" i="34"/>
  <c r="O982" i="34"/>
  <c r="P982" i="34"/>
  <c r="Q982" i="34"/>
  <c r="R982" i="34"/>
  <c r="S982" i="34"/>
  <c r="T982" i="34"/>
  <c r="U982" i="34"/>
  <c r="V982" i="34"/>
  <c r="W982" i="34"/>
  <c r="X982" i="34"/>
  <c r="Y982" i="34"/>
  <c r="Z982" i="34"/>
  <c r="N983" i="34"/>
  <c r="O983" i="34"/>
  <c r="P983" i="34"/>
  <c r="Q983" i="34"/>
  <c r="R983" i="34"/>
  <c r="S983" i="34"/>
  <c r="T983" i="34"/>
  <c r="U983" i="34"/>
  <c r="V983" i="34"/>
  <c r="W983" i="34"/>
  <c r="X983" i="34"/>
  <c r="Y983" i="34"/>
  <c r="Z983" i="34"/>
  <c r="N984" i="34"/>
  <c r="O984" i="34"/>
  <c r="P984" i="34"/>
  <c r="Q984" i="34"/>
  <c r="R984" i="34"/>
  <c r="S984" i="34"/>
  <c r="T984" i="34"/>
  <c r="U984" i="34"/>
  <c r="V984" i="34"/>
  <c r="W984" i="34"/>
  <c r="X984" i="34"/>
  <c r="Y984" i="34"/>
  <c r="Z984" i="34"/>
  <c r="N985" i="34"/>
  <c r="O985" i="34"/>
  <c r="P985" i="34"/>
  <c r="Q985" i="34"/>
  <c r="R985" i="34"/>
  <c r="S985" i="34"/>
  <c r="T985" i="34"/>
  <c r="U985" i="34"/>
  <c r="V985" i="34"/>
  <c r="W985" i="34"/>
  <c r="X985" i="34"/>
  <c r="Y985" i="34"/>
  <c r="Z985" i="34"/>
  <c r="N986" i="34"/>
  <c r="O986" i="34"/>
  <c r="P986" i="34"/>
  <c r="Q986" i="34"/>
  <c r="R986" i="34"/>
  <c r="S986" i="34"/>
  <c r="T986" i="34"/>
  <c r="U986" i="34"/>
  <c r="V986" i="34"/>
  <c r="W986" i="34"/>
  <c r="X986" i="34"/>
  <c r="Y986" i="34"/>
  <c r="Z986" i="34"/>
  <c r="N987" i="34"/>
  <c r="O987" i="34"/>
  <c r="P987" i="34"/>
  <c r="Q987" i="34"/>
  <c r="R987" i="34"/>
  <c r="S987" i="34"/>
  <c r="T987" i="34"/>
  <c r="U987" i="34"/>
  <c r="V987" i="34"/>
  <c r="W987" i="34"/>
  <c r="X987" i="34"/>
  <c r="Y987" i="34"/>
  <c r="Z987" i="34"/>
  <c r="N988" i="34"/>
  <c r="O988" i="34"/>
  <c r="P988" i="34"/>
  <c r="Q988" i="34"/>
  <c r="R988" i="34"/>
  <c r="S988" i="34"/>
  <c r="T988" i="34"/>
  <c r="U988" i="34"/>
  <c r="V988" i="34"/>
  <c r="W988" i="34"/>
  <c r="X988" i="34"/>
  <c r="Y988" i="34"/>
  <c r="Z988" i="34"/>
  <c r="N989" i="34"/>
  <c r="O989" i="34"/>
  <c r="P989" i="34"/>
  <c r="Q989" i="34"/>
  <c r="R989" i="34"/>
  <c r="S989" i="34"/>
  <c r="T989" i="34"/>
  <c r="U989" i="34"/>
  <c r="V989" i="34"/>
  <c r="W989" i="34"/>
  <c r="X989" i="34"/>
  <c r="Y989" i="34"/>
  <c r="Z989" i="34"/>
  <c r="N990" i="34"/>
  <c r="O990" i="34"/>
  <c r="P990" i="34"/>
  <c r="Q990" i="34"/>
  <c r="R990" i="34"/>
  <c r="S990" i="34"/>
  <c r="T990" i="34"/>
  <c r="U990" i="34"/>
  <c r="V990" i="34"/>
  <c r="W990" i="34"/>
  <c r="X990" i="34"/>
  <c r="Y990" i="34"/>
  <c r="Z990" i="34"/>
  <c r="N991" i="34"/>
  <c r="O991" i="34"/>
  <c r="P991" i="34"/>
  <c r="Q991" i="34"/>
  <c r="R991" i="34"/>
  <c r="S991" i="34"/>
  <c r="T991" i="34"/>
  <c r="U991" i="34"/>
  <c r="V991" i="34"/>
  <c r="W991" i="34"/>
  <c r="X991" i="34"/>
  <c r="Y991" i="34"/>
  <c r="Z991" i="34"/>
  <c r="N992" i="34"/>
  <c r="O992" i="34"/>
  <c r="P992" i="34"/>
  <c r="Q992" i="34"/>
  <c r="R992" i="34"/>
  <c r="S992" i="34"/>
  <c r="T992" i="34"/>
  <c r="U992" i="34"/>
  <c r="V992" i="34"/>
  <c r="W992" i="34"/>
  <c r="X992" i="34"/>
  <c r="Y992" i="34"/>
  <c r="Z992" i="34"/>
  <c r="N993" i="34"/>
  <c r="O993" i="34"/>
  <c r="P993" i="34"/>
  <c r="Q993" i="34"/>
  <c r="R993" i="34"/>
  <c r="S993" i="34"/>
  <c r="T993" i="34"/>
  <c r="U993" i="34"/>
  <c r="V993" i="34"/>
  <c r="W993" i="34"/>
  <c r="X993" i="34"/>
  <c r="Y993" i="34"/>
  <c r="Z993" i="34"/>
  <c r="N994" i="34"/>
  <c r="O994" i="34"/>
  <c r="P994" i="34"/>
  <c r="Q994" i="34"/>
  <c r="R994" i="34"/>
  <c r="S994" i="34"/>
  <c r="T994" i="34"/>
  <c r="U994" i="34"/>
  <c r="V994" i="34"/>
  <c r="W994" i="34"/>
  <c r="X994" i="34"/>
  <c r="Y994" i="34"/>
  <c r="Z994" i="34"/>
  <c r="N995" i="34"/>
  <c r="O995" i="34"/>
  <c r="P995" i="34"/>
  <c r="Q995" i="34"/>
  <c r="R995" i="34"/>
  <c r="S995" i="34"/>
  <c r="T995" i="34"/>
  <c r="U995" i="34"/>
  <c r="V995" i="34"/>
  <c r="W995" i="34"/>
  <c r="X995" i="34"/>
  <c r="Y995" i="34"/>
  <c r="Z995" i="34"/>
  <c r="N996" i="34"/>
  <c r="O996" i="34"/>
  <c r="P996" i="34"/>
  <c r="Q996" i="34"/>
  <c r="R996" i="34"/>
  <c r="S996" i="34"/>
  <c r="T996" i="34"/>
  <c r="U996" i="34"/>
  <c r="V996" i="34"/>
  <c r="W996" i="34"/>
  <c r="X996" i="34"/>
  <c r="Y996" i="34"/>
  <c r="Z996" i="34"/>
  <c r="N997" i="34"/>
  <c r="O997" i="34"/>
  <c r="P997" i="34"/>
  <c r="Q997" i="34"/>
  <c r="R997" i="34"/>
  <c r="S997" i="34"/>
  <c r="T997" i="34"/>
  <c r="U997" i="34"/>
  <c r="V997" i="34"/>
  <c r="W997" i="34"/>
  <c r="X997" i="34"/>
  <c r="Y997" i="34"/>
  <c r="Z997" i="34"/>
  <c r="N998" i="34"/>
  <c r="O998" i="34"/>
  <c r="P998" i="34"/>
  <c r="Q998" i="34"/>
  <c r="R998" i="34"/>
  <c r="S998" i="34"/>
  <c r="T998" i="34"/>
  <c r="U998" i="34"/>
  <c r="V998" i="34"/>
  <c r="W998" i="34"/>
  <c r="X998" i="34"/>
  <c r="Y998" i="34"/>
  <c r="Z998" i="34"/>
  <c r="N999" i="34"/>
  <c r="O999" i="34"/>
  <c r="P999" i="34"/>
  <c r="Q999" i="34"/>
  <c r="R999" i="34"/>
  <c r="S999" i="34"/>
  <c r="T999" i="34"/>
  <c r="U999" i="34"/>
  <c r="V999" i="34"/>
  <c r="W999" i="34"/>
  <c r="X999" i="34"/>
  <c r="Y999" i="34"/>
  <c r="Z999" i="34"/>
  <c r="N1000" i="34"/>
  <c r="O1000" i="34"/>
  <c r="P1000" i="34"/>
  <c r="Q1000" i="34"/>
  <c r="R1000" i="34"/>
  <c r="S1000" i="34"/>
  <c r="T1000" i="34"/>
  <c r="U1000" i="34"/>
  <c r="V1000" i="34"/>
  <c r="W1000" i="34"/>
  <c r="X1000" i="34"/>
  <c r="Y1000" i="34"/>
  <c r="Z1000" i="34"/>
  <c r="N1001" i="34"/>
  <c r="O1001" i="34"/>
  <c r="P1001" i="34"/>
  <c r="Q1001" i="34"/>
  <c r="R1001" i="34"/>
  <c r="S1001" i="34"/>
  <c r="T1001" i="34"/>
  <c r="U1001" i="34"/>
  <c r="V1001" i="34"/>
  <c r="W1001" i="34"/>
  <c r="X1001" i="34"/>
  <c r="Y1001" i="34"/>
  <c r="Z1001" i="34"/>
  <c r="N1002" i="34"/>
  <c r="O1002" i="34"/>
  <c r="P1002" i="34"/>
  <c r="Q1002" i="34"/>
  <c r="R1002" i="34"/>
  <c r="S1002" i="34"/>
  <c r="T1002" i="34"/>
  <c r="U1002" i="34"/>
  <c r="V1002" i="34"/>
  <c r="W1002" i="34"/>
  <c r="X1002" i="34"/>
  <c r="Y1002" i="34"/>
  <c r="Z1002" i="34"/>
  <c r="N1003" i="34"/>
  <c r="O1003" i="34"/>
  <c r="P1003" i="34"/>
  <c r="Q1003" i="34"/>
  <c r="R1003" i="34"/>
  <c r="S1003" i="34"/>
  <c r="T1003" i="34"/>
  <c r="U1003" i="34"/>
  <c r="V1003" i="34"/>
  <c r="W1003" i="34"/>
  <c r="X1003" i="34"/>
  <c r="Y1003" i="34"/>
  <c r="Z1003" i="34"/>
  <c r="N1004" i="34"/>
  <c r="O1004" i="34"/>
  <c r="P1004" i="34"/>
  <c r="Q1004" i="34"/>
  <c r="R1004" i="34"/>
  <c r="S1004" i="34"/>
  <c r="T1004" i="34"/>
  <c r="U1004" i="34"/>
  <c r="V1004" i="34"/>
  <c r="W1004" i="34"/>
  <c r="X1004" i="34"/>
  <c r="Y1004" i="34"/>
  <c r="Z1004" i="34"/>
  <c r="N1005" i="34"/>
  <c r="O1005" i="34"/>
  <c r="P1005" i="34"/>
  <c r="Q1005" i="34"/>
  <c r="R1005" i="34"/>
  <c r="S1005" i="34"/>
  <c r="T1005" i="34"/>
  <c r="U1005" i="34"/>
  <c r="V1005" i="34"/>
  <c r="W1005" i="34"/>
  <c r="X1005" i="34"/>
  <c r="Y1005" i="34"/>
  <c r="Z1005" i="34"/>
  <c r="N1006" i="34"/>
  <c r="O1006" i="34"/>
  <c r="P1006" i="34"/>
  <c r="Q1006" i="34"/>
  <c r="R1006" i="34"/>
  <c r="S1006" i="34"/>
  <c r="T1006" i="34"/>
  <c r="U1006" i="34"/>
  <c r="V1006" i="34"/>
  <c r="W1006" i="34"/>
  <c r="X1006" i="34"/>
  <c r="Y1006" i="34"/>
  <c r="Z1006" i="34"/>
  <c r="N1007" i="34"/>
  <c r="O1007" i="34"/>
  <c r="P1007" i="34"/>
  <c r="Q1007" i="34"/>
  <c r="R1007" i="34"/>
  <c r="S1007" i="34"/>
  <c r="T1007" i="34"/>
  <c r="U1007" i="34"/>
  <c r="V1007" i="34"/>
  <c r="W1007" i="34"/>
  <c r="X1007" i="34"/>
  <c r="Y1007" i="34"/>
  <c r="Z1007" i="34"/>
  <c r="N1008" i="34"/>
  <c r="O1008" i="34"/>
  <c r="P1008" i="34"/>
  <c r="Q1008" i="34"/>
  <c r="R1008" i="34"/>
  <c r="S1008" i="34"/>
  <c r="T1008" i="34"/>
  <c r="U1008" i="34"/>
  <c r="V1008" i="34"/>
  <c r="W1008" i="34"/>
  <c r="X1008" i="34"/>
  <c r="Y1008" i="34"/>
  <c r="Z1008" i="34"/>
  <c r="N1009" i="34"/>
  <c r="O1009" i="34"/>
  <c r="P1009" i="34"/>
  <c r="Q1009" i="34"/>
  <c r="R1009" i="34"/>
  <c r="S1009" i="34"/>
  <c r="T1009" i="34"/>
  <c r="U1009" i="34"/>
  <c r="V1009" i="34"/>
  <c r="W1009" i="34"/>
  <c r="X1009" i="34"/>
  <c r="Y1009" i="34"/>
  <c r="Z1009" i="34"/>
  <c r="N1010" i="34"/>
  <c r="O1010" i="34"/>
  <c r="P1010" i="34"/>
  <c r="Q1010" i="34"/>
  <c r="R1010" i="34"/>
  <c r="S1010" i="34"/>
  <c r="T1010" i="34"/>
  <c r="U1010" i="34"/>
  <c r="V1010" i="34"/>
  <c r="W1010" i="34"/>
  <c r="X1010" i="34"/>
  <c r="Y1010" i="34"/>
  <c r="Z1010" i="34"/>
  <c r="N1011" i="34"/>
  <c r="O1011" i="34"/>
  <c r="P1011" i="34"/>
  <c r="Q1011" i="34"/>
  <c r="R1011" i="34"/>
  <c r="S1011" i="34"/>
  <c r="T1011" i="34"/>
  <c r="U1011" i="34"/>
  <c r="V1011" i="34"/>
  <c r="W1011" i="34"/>
  <c r="X1011" i="34"/>
  <c r="Y1011" i="34"/>
  <c r="Z1011" i="34"/>
  <c r="N1012" i="34"/>
  <c r="O1012" i="34"/>
  <c r="P1012" i="34"/>
  <c r="Q1012" i="34"/>
  <c r="R1012" i="34"/>
  <c r="S1012" i="34"/>
  <c r="T1012" i="34"/>
  <c r="U1012" i="34"/>
  <c r="V1012" i="34"/>
  <c r="W1012" i="34"/>
  <c r="X1012" i="34"/>
  <c r="Y1012" i="34"/>
  <c r="Z1012" i="34"/>
  <c r="N1013" i="34"/>
  <c r="O1013" i="34"/>
  <c r="P1013" i="34"/>
  <c r="Q1013" i="34"/>
  <c r="R1013" i="34"/>
  <c r="S1013" i="34"/>
  <c r="T1013" i="34"/>
  <c r="U1013" i="34"/>
  <c r="V1013" i="34"/>
  <c r="W1013" i="34"/>
  <c r="X1013" i="34"/>
  <c r="Y1013" i="34"/>
  <c r="Z1013" i="34"/>
  <c r="N1014" i="34"/>
  <c r="O1014" i="34"/>
  <c r="P1014" i="34"/>
  <c r="Q1014" i="34"/>
  <c r="R1014" i="34"/>
  <c r="S1014" i="34"/>
  <c r="T1014" i="34"/>
  <c r="U1014" i="34"/>
  <c r="V1014" i="34"/>
  <c r="W1014" i="34"/>
  <c r="X1014" i="34"/>
  <c r="Y1014" i="34"/>
  <c r="Z1014" i="34"/>
  <c r="N1015" i="34"/>
  <c r="O1015" i="34"/>
  <c r="P1015" i="34"/>
  <c r="Q1015" i="34"/>
  <c r="R1015" i="34"/>
  <c r="S1015" i="34"/>
  <c r="T1015" i="34"/>
  <c r="U1015" i="34"/>
  <c r="V1015" i="34"/>
  <c r="W1015" i="34"/>
  <c r="X1015" i="34"/>
  <c r="Y1015" i="34"/>
  <c r="Z1015" i="34"/>
  <c r="N1016" i="34"/>
  <c r="O1016" i="34"/>
  <c r="P1016" i="34"/>
  <c r="Q1016" i="34"/>
  <c r="R1016" i="34"/>
  <c r="S1016" i="34"/>
  <c r="T1016" i="34"/>
  <c r="U1016" i="34"/>
  <c r="V1016" i="34"/>
  <c r="W1016" i="34"/>
  <c r="X1016" i="34"/>
  <c r="Y1016" i="34"/>
  <c r="Z1016" i="34"/>
  <c r="N1017" i="34"/>
  <c r="O1017" i="34"/>
  <c r="P1017" i="34"/>
  <c r="Q1017" i="34"/>
  <c r="R1017" i="34"/>
  <c r="S1017" i="34"/>
  <c r="T1017" i="34"/>
  <c r="U1017" i="34"/>
  <c r="V1017" i="34"/>
  <c r="W1017" i="34"/>
  <c r="X1017" i="34"/>
  <c r="Y1017" i="34"/>
  <c r="Z1017" i="34"/>
  <c r="N1018" i="34"/>
  <c r="O1018" i="34"/>
  <c r="P1018" i="34"/>
  <c r="Q1018" i="34"/>
  <c r="R1018" i="34"/>
  <c r="S1018" i="34"/>
  <c r="T1018" i="34"/>
  <c r="U1018" i="34"/>
  <c r="V1018" i="34"/>
  <c r="W1018" i="34"/>
  <c r="X1018" i="34"/>
  <c r="Y1018" i="34"/>
  <c r="Z1018" i="34"/>
  <c r="N1019" i="34"/>
  <c r="O1019" i="34"/>
  <c r="P1019" i="34"/>
  <c r="Q1019" i="34"/>
  <c r="R1019" i="34"/>
  <c r="S1019" i="34"/>
  <c r="T1019" i="34"/>
  <c r="U1019" i="34"/>
  <c r="V1019" i="34"/>
  <c r="W1019" i="34"/>
  <c r="X1019" i="34"/>
  <c r="Y1019" i="34"/>
  <c r="Z1019" i="34"/>
  <c r="N1020" i="34"/>
  <c r="O1020" i="34"/>
  <c r="P1020" i="34"/>
  <c r="Q1020" i="34"/>
  <c r="R1020" i="34"/>
  <c r="S1020" i="34"/>
  <c r="T1020" i="34"/>
  <c r="U1020" i="34"/>
  <c r="V1020" i="34"/>
  <c r="W1020" i="34"/>
  <c r="X1020" i="34"/>
  <c r="Y1020" i="34"/>
  <c r="Z1020" i="34"/>
  <c r="N1021" i="34"/>
  <c r="O1021" i="34"/>
  <c r="P1021" i="34"/>
  <c r="Q1021" i="34"/>
  <c r="R1021" i="34"/>
  <c r="S1021" i="34"/>
  <c r="T1021" i="34"/>
  <c r="U1021" i="34"/>
  <c r="V1021" i="34"/>
  <c r="W1021" i="34"/>
  <c r="X1021" i="34"/>
  <c r="Y1021" i="34"/>
  <c r="Z1021" i="34"/>
  <c r="N1022" i="34"/>
  <c r="O1022" i="34"/>
  <c r="P1022" i="34"/>
  <c r="Q1022" i="34"/>
  <c r="R1022" i="34"/>
  <c r="S1022" i="34"/>
  <c r="T1022" i="34"/>
  <c r="U1022" i="34"/>
  <c r="V1022" i="34"/>
  <c r="W1022" i="34"/>
  <c r="X1022" i="34"/>
  <c r="Y1022" i="34"/>
  <c r="Z1022" i="34"/>
  <c r="N1023" i="34"/>
  <c r="O1023" i="34"/>
  <c r="P1023" i="34"/>
  <c r="Q1023" i="34"/>
  <c r="R1023" i="34"/>
  <c r="S1023" i="34"/>
  <c r="T1023" i="34"/>
  <c r="U1023" i="34"/>
  <c r="V1023" i="34"/>
  <c r="W1023" i="34"/>
  <c r="X1023" i="34"/>
  <c r="Y1023" i="34"/>
  <c r="Z1023" i="34"/>
  <c r="N1024" i="34"/>
  <c r="O1024" i="34"/>
  <c r="P1024" i="34"/>
  <c r="Q1024" i="34"/>
  <c r="R1024" i="34"/>
  <c r="S1024" i="34"/>
  <c r="T1024" i="34"/>
  <c r="U1024" i="34"/>
  <c r="V1024" i="34"/>
  <c r="W1024" i="34"/>
  <c r="X1024" i="34"/>
  <c r="Y1024" i="34"/>
  <c r="Z1024" i="34"/>
  <c r="N1025" i="34"/>
  <c r="O1025" i="34"/>
  <c r="P1025" i="34"/>
  <c r="Q1025" i="34"/>
  <c r="R1025" i="34"/>
  <c r="S1025" i="34"/>
  <c r="T1025" i="34"/>
  <c r="U1025" i="34"/>
  <c r="V1025" i="34"/>
  <c r="W1025" i="34"/>
  <c r="X1025" i="34"/>
  <c r="Y1025" i="34"/>
  <c r="Z1025" i="34"/>
  <c r="N1026" i="34"/>
  <c r="O1026" i="34"/>
  <c r="P1026" i="34"/>
  <c r="Q1026" i="34"/>
  <c r="R1026" i="34"/>
  <c r="S1026" i="34"/>
  <c r="T1026" i="34"/>
  <c r="U1026" i="34"/>
  <c r="V1026" i="34"/>
  <c r="W1026" i="34"/>
  <c r="X1026" i="34"/>
  <c r="Y1026" i="34"/>
  <c r="Z1026" i="34"/>
  <c r="N1027" i="34"/>
  <c r="O1027" i="34"/>
  <c r="P1027" i="34"/>
  <c r="Q1027" i="34"/>
  <c r="R1027" i="34"/>
  <c r="S1027" i="34"/>
  <c r="T1027" i="34"/>
  <c r="U1027" i="34"/>
  <c r="V1027" i="34"/>
  <c r="W1027" i="34"/>
  <c r="X1027" i="34"/>
  <c r="Y1027" i="34"/>
  <c r="Z1027" i="34"/>
  <c r="N1028" i="34"/>
  <c r="O1028" i="34"/>
  <c r="P1028" i="34"/>
  <c r="Q1028" i="34"/>
  <c r="R1028" i="34"/>
  <c r="S1028" i="34"/>
  <c r="T1028" i="34"/>
  <c r="U1028" i="34"/>
  <c r="V1028" i="34"/>
  <c r="W1028" i="34"/>
  <c r="X1028" i="34"/>
  <c r="Y1028" i="34"/>
  <c r="Z1028" i="34"/>
  <c r="N1029" i="34"/>
  <c r="O1029" i="34"/>
  <c r="P1029" i="34"/>
  <c r="Q1029" i="34"/>
  <c r="R1029" i="34"/>
  <c r="S1029" i="34"/>
  <c r="T1029" i="34"/>
  <c r="U1029" i="34"/>
  <c r="V1029" i="34"/>
  <c r="W1029" i="34"/>
  <c r="X1029" i="34"/>
  <c r="Y1029" i="34"/>
  <c r="Z1029" i="34"/>
  <c r="N1030" i="34"/>
  <c r="O1030" i="34"/>
  <c r="P1030" i="34"/>
  <c r="Q1030" i="34"/>
  <c r="R1030" i="34"/>
  <c r="S1030" i="34"/>
  <c r="T1030" i="34"/>
  <c r="U1030" i="34"/>
  <c r="V1030" i="34"/>
  <c r="W1030" i="34"/>
  <c r="X1030" i="34"/>
  <c r="Y1030" i="34"/>
  <c r="Z1030" i="34"/>
  <c r="N1031" i="34"/>
  <c r="O1031" i="34"/>
  <c r="P1031" i="34"/>
  <c r="Q1031" i="34"/>
  <c r="R1031" i="34"/>
  <c r="S1031" i="34"/>
  <c r="T1031" i="34"/>
  <c r="U1031" i="34"/>
  <c r="V1031" i="34"/>
  <c r="W1031" i="34"/>
  <c r="X1031" i="34"/>
  <c r="Y1031" i="34"/>
  <c r="Z1031" i="34"/>
  <c r="N1032" i="34"/>
  <c r="O1032" i="34"/>
  <c r="P1032" i="34"/>
  <c r="Q1032" i="34"/>
  <c r="R1032" i="34"/>
  <c r="S1032" i="34"/>
  <c r="T1032" i="34"/>
  <c r="U1032" i="34"/>
  <c r="V1032" i="34"/>
  <c r="W1032" i="34"/>
  <c r="X1032" i="34"/>
  <c r="Y1032" i="34"/>
  <c r="Z1032" i="34"/>
  <c r="N1033" i="34"/>
  <c r="O1033" i="34"/>
  <c r="P1033" i="34"/>
  <c r="Q1033" i="34"/>
  <c r="R1033" i="34"/>
  <c r="S1033" i="34"/>
  <c r="T1033" i="34"/>
  <c r="U1033" i="34"/>
  <c r="V1033" i="34"/>
  <c r="W1033" i="34"/>
  <c r="X1033" i="34"/>
  <c r="Y1033" i="34"/>
  <c r="Z1033" i="34"/>
  <c r="N1034" i="34"/>
  <c r="O1034" i="34"/>
  <c r="P1034" i="34"/>
  <c r="Q1034" i="34"/>
  <c r="R1034" i="34"/>
  <c r="S1034" i="34"/>
  <c r="T1034" i="34"/>
  <c r="U1034" i="34"/>
  <c r="V1034" i="34"/>
  <c r="W1034" i="34"/>
  <c r="X1034" i="34"/>
  <c r="Y1034" i="34"/>
  <c r="Z1034" i="34"/>
  <c r="N1035" i="34"/>
  <c r="O1035" i="34"/>
  <c r="P1035" i="34"/>
  <c r="Q1035" i="34"/>
  <c r="R1035" i="34"/>
  <c r="S1035" i="34"/>
  <c r="T1035" i="34"/>
  <c r="U1035" i="34"/>
  <c r="V1035" i="34"/>
  <c r="W1035" i="34"/>
  <c r="X1035" i="34"/>
  <c r="Y1035" i="34"/>
  <c r="Z1035" i="34"/>
  <c r="N1036" i="34"/>
  <c r="O1036" i="34"/>
  <c r="P1036" i="34"/>
  <c r="Q1036" i="34"/>
  <c r="R1036" i="34"/>
  <c r="S1036" i="34"/>
  <c r="T1036" i="34"/>
  <c r="U1036" i="34"/>
  <c r="V1036" i="34"/>
  <c r="W1036" i="34"/>
  <c r="X1036" i="34"/>
  <c r="Y1036" i="34"/>
  <c r="Z1036" i="34"/>
  <c r="N1037" i="34"/>
  <c r="O1037" i="34"/>
  <c r="P1037" i="34"/>
  <c r="Q1037" i="34"/>
  <c r="R1037" i="34"/>
  <c r="S1037" i="34"/>
  <c r="T1037" i="34"/>
  <c r="U1037" i="34"/>
  <c r="V1037" i="34"/>
  <c r="W1037" i="34"/>
  <c r="X1037" i="34"/>
  <c r="Y1037" i="34"/>
  <c r="Z1037" i="34"/>
  <c r="N1038" i="34"/>
  <c r="O1038" i="34"/>
  <c r="P1038" i="34"/>
  <c r="Q1038" i="34"/>
  <c r="R1038" i="34"/>
  <c r="S1038" i="34"/>
  <c r="T1038" i="34"/>
  <c r="U1038" i="34"/>
  <c r="V1038" i="34"/>
  <c r="W1038" i="34"/>
  <c r="X1038" i="34"/>
  <c r="Y1038" i="34"/>
  <c r="Z1038" i="34"/>
  <c r="N1039" i="34"/>
  <c r="O1039" i="34"/>
  <c r="P1039" i="34"/>
  <c r="Q1039" i="34"/>
  <c r="R1039" i="34"/>
  <c r="S1039" i="34"/>
  <c r="T1039" i="34"/>
  <c r="U1039" i="34"/>
  <c r="V1039" i="34"/>
  <c r="W1039" i="34"/>
  <c r="X1039" i="34"/>
  <c r="Y1039" i="34"/>
  <c r="Z1039" i="34"/>
  <c r="N1040" i="34"/>
  <c r="O1040" i="34"/>
  <c r="P1040" i="34"/>
  <c r="Q1040" i="34"/>
  <c r="R1040" i="34"/>
  <c r="S1040" i="34"/>
  <c r="T1040" i="34"/>
  <c r="U1040" i="34"/>
  <c r="V1040" i="34"/>
  <c r="W1040" i="34"/>
  <c r="X1040" i="34"/>
  <c r="Y1040" i="34"/>
  <c r="Z1040" i="34"/>
  <c r="N1041" i="34"/>
  <c r="O1041" i="34"/>
  <c r="P1041" i="34"/>
  <c r="Q1041" i="34"/>
  <c r="R1041" i="34"/>
  <c r="S1041" i="34"/>
  <c r="T1041" i="34"/>
  <c r="U1041" i="34"/>
  <c r="V1041" i="34"/>
  <c r="W1041" i="34"/>
  <c r="X1041" i="34"/>
  <c r="Y1041" i="34"/>
  <c r="Z1041" i="34"/>
  <c r="N1042" i="34"/>
  <c r="O1042" i="34"/>
  <c r="P1042" i="34"/>
  <c r="Q1042" i="34"/>
  <c r="R1042" i="34"/>
  <c r="S1042" i="34"/>
  <c r="T1042" i="34"/>
  <c r="U1042" i="34"/>
  <c r="V1042" i="34"/>
  <c r="W1042" i="34"/>
  <c r="X1042" i="34"/>
  <c r="Y1042" i="34"/>
  <c r="Z1042" i="34"/>
  <c r="N1043" i="34"/>
  <c r="O1043" i="34"/>
  <c r="P1043" i="34"/>
  <c r="Q1043" i="34"/>
  <c r="R1043" i="34"/>
  <c r="S1043" i="34"/>
  <c r="T1043" i="34"/>
  <c r="U1043" i="34"/>
  <c r="V1043" i="34"/>
  <c r="W1043" i="34"/>
  <c r="X1043" i="34"/>
  <c r="Y1043" i="34"/>
  <c r="Z1043" i="34"/>
  <c r="N1044" i="34"/>
  <c r="O1044" i="34"/>
  <c r="P1044" i="34"/>
  <c r="Q1044" i="34"/>
  <c r="R1044" i="34"/>
  <c r="S1044" i="34"/>
  <c r="T1044" i="34"/>
  <c r="U1044" i="34"/>
  <c r="V1044" i="34"/>
  <c r="W1044" i="34"/>
  <c r="X1044" i="34"/>
  <c r="Y1044" i="34"/>
  <c r="Z1044" i="34"/>
  <c r="N1045" i="34"/>
  <c r="O1045" i="34"/>
  <c r="P1045" i="34"/>
  <c r="Q1045" i="34"/>
  <c r="R1045" i="34"/>
  <c r="S1045" i="34"/>
  <c r="T1045" i="34"/>
  <c r="U1045" i="34"/>
  <c r="V1045" i="34"/>
  <c r="W1045" i="34"/>
  <c r="X1045" i="34"/>
  <c r="Y1045" i="34"/>
  <c r="Z1045" i="34"/>
  <c r="N1046" i="34"/>
  <c r="O1046" i="34"/>
  <c r="P1046" i="34"/>
  <c r="Q1046" i="34"/>
  <c r="R1046" i="34"/>
  <c r="S1046" i="34"/>
  <c r="T1046" i="34"/>
  <c r="U1046" i="34"/>
  <c r="V1046" i="34"/>
  <c r="W1046" i="34"/>
  <c r="X1046" i="34"/>
  <c r="Y1046" i="34"/>
  <c r="Z1046" i="34"/>
  <c r="N1047" i="34"/>
  <c r="O1047" i="34"/>
  <c r="P1047" i="34"/>
  <c r="Q1047" i="34"/>
  <c r="R1047" i="34"/>
  <c r="S1047" i="34"/>
  <c r="T1047" i="34"/>
  <c r="U1047" i="34"/>
  <c r="V1047" i="34"/>
  <c r="W1047" i="34"/>
  <c r="X1047" i="34"/>
  <c r="Y1047" i="34"/>
  <c r="Z1047" i="34"/>
  <c r="N1048" i="34"/>
  <c r="O1048" i="34"/>
  <c r="P1048" i="34"/>
  <c r="Q1048" i="34"/>
  <c r="R1048" i="34"/>
  <c r="S1048" i="34"/>
  <c r="T1048" i="34"/>
  <c r="U1048" i="34"/>
  <c r="V1048" i="34"/>
  <c r="W1048" i="34"/>
  <c r="X1048" i="34"/>
  <c r="Y1048" i="34"/>
  <c r="Z1048" i="34"/>
  <c r="N1049" i="34"/>
  <c r="O1049" i="34"/>
  <c r="P1049" i="34"/>
  <c r="Q1049" i="34"/>
  <c r="R1049" i="34"/>
  <c r="S1049" i="34"/>
  <c r="T1049" i="34"/>
  <c r="U1049" i="34"/>
  <c r="V1049" i="34"/>
  <c r="W1049" i="34"/>
  <c r="X1049" i="34"/>
  <c r="Y1049" i="34"/>
  <c r="Z1049" i="34"/>
  <c r="N1050" i="34"/>
  <c r="O1050" i="34"/>
  <c r="P1050" i="34"/>
  <c r="Q1050" i="34"/>
  <c r="R1050" i="34"/>
  <c r="S1050" i="34"/>
  <c r="T1050" i="34"/>
  <c r="U1050" i="34"/>
  <c r="V1050" i="34"/>
  <c r="W1050" i="34"/>
  <c r="X1050" i="34"/>
  <c r="Y1050" i="34"/>
  <c r="Z1050" i="34"/>
  <c r="N1051" i="34"/>
  <c r="O1051" i="34"/>
  <c r="P1051" i="34"/>
  <c r="Q1051" i="34"/>
  <c r="R1051" i="34"/>
  <c r="S1051" i="34"/>
  <c r="T1051" i="34"/>
  <c r="U1051" i="34"/>
  <c r="V1051" i="34"/>
  <c r="W1051" i="34"/>
  <c r="X1051" i="34"/>
  <c r="Y1051" i="34"/>
  <c r="Z1051" i="34"/>
  <c r="N1052" i="34"/>
  <c r="O1052" i="34"/>
  <c r="P1052" i="34"/>
  <c r="Q1052" i="34"/>
  <c r="R1052" i="34"/>
  <c r="S1052" i="34"/>
  <c r="T1052" i="34"/>
  <c r="U1052" i="34"/>
  <c r="V1052" i="34"/>
  <c r="W1052" i="34"/>
  <c r="X1052" i="34"/>
  <c r="Y1052" i="34"/>
  <c r="Z1052" i="34"/>
  <c r="N1053" i="34"/>
  <c r="O1053" i="34"/>
  <c r="P1053" i="34"/>
  <c r="Q1053" i="34"/>
  <c r="R1053" i="34"/>
  <c r="S1053" i="34"/>
  <c r="T1053" i="34"/>
  <c r="U1053" i="34"/>
  <c r="V1053" i="34"/>
  <c r="W1053" i="34"/>
  <c r="X1053" i="34"/>
  <c r="Y1053" i="34"/>
  <c r="Z1053" i="34"/>
  <c r="N1054" i="34"/>
  <c r="O1054" i="34"/>
  <c r="P1054" i="34"/>
  <c r="Q1054" i="34"/>
  <c r="R1054" i="34"/>
  <c r="S1054" i="34"/>
  <c r="T1054" i="34"/>
  <c r="U1054" i="34"/>
  <c r="V1054" i="34"/>
  <c r="W1054" i="34"/>
  <c r="X1054" i="34"/>
  <c r="Y1054" i="34"/>
  <c r="Z1054" i="34"/>
  <c r="N1055" i="34"/>
  <c r="O1055" i="34"/>
  <c r="P1055" i="34"/>
  <c r="Q1055" i="34"/>
  <c r="R1055" i="34"/>
  <c r="S1055" i="34"/>
  <c r="T1055" i="34"/>
  <c r="U1055" i="34"/>
  <c r="V1055" i="34"/>
  <c r="W1055" i="34"/>
  <c r="X1055" i="34"/>
  <c r="Y1055" i="34"/>
  <c r="Z1055" i="34"/>
  <c r="N1056" i="34"/>
  <c r="O1056" i="34"/>
  <c r="P1056" i="34"/>
  <c r="Q1056" i="34"/>
  <c r="R1056" i="34"/>
  <c r="S1056" i="34"/>
  <c r="T1056" i="34"/>
  <c r="U1056" i="34"/>
  <c r="V1056" i="34"/>
  <c r="W1056" i="34"/>
  <c r="X1056" i="34"/>
  <c r="Y1056" i="34"/>
  <c r="Z1056" i="34"/>
  <c r="N1057" i="34"/>
  <c r="O1057" i="34"/>
  <c r="P1057" i="34"/>
  <c r="Q1057" i="34"/>
  <c r="R1057" i="34"/>
  <c r="S1057" i="34"/>
  <c r="T1057" i="34"/>
  <c r="U1057" i="34"/>
  <c r="V1057" i="34"/>
  <c r="W1057" i="34"/>
  <c r="X1057" i="34"/>
  <c r="Y1057" i="34"/>
  <c r="Z1057" i="34"/>
  <c r="N1058" i="34"/>
  <c r="O1058" i="34"/>
  <c r="P1058" i="34"/>
  <c r="Q1058" i="34"/>
  <c r="R1058" i="34"/>
  <c r="S1058" i="34"/>
  <c r="T1058" i="34"/>
  <c r="U1058" i="34"/>
  <c r="V1058" i="34"/>
  <c r="W1058" i="34"/>
  <c r="X1058" i="34"/>
  <c r="Y1058" i="34"/>
  <c r="Z1058" i="34"/>
  <c r="N1059" i="34"/>
  <c r="O1059" i="34"/>
  <c r="P1059" i="34"/>
  <c r="Q1059" i="34"/>
  <c r="R1059" i="34"/>
  <c r="S1059" i="34"/>
  <c r="T1059" i="34"/>
  <c r="U1059" i="34"/>
  <c r="V1059" i="34"/>
  <c r="W1059" i="34"/>
  <c r="X1059" i="34"/>
  <c r="Y1059" i="34"/>
  <c r="Z1059" i="34"/>
  <c r="N1060" i="34"/>
  <c r="O1060" i="34"/>
  <c r="P1060" i="34"/>
  <c r="Q1060" i="34"/>
  <c r="R1060" i="34"/>
  <c r="S1060" i="34"/>
  <c r="T1060" i="34"/>
  <c r="U1060" i="34"/>
  <c r="V1060" i="34"/>
  <c r="W1060" i="34"/>
  <c r="X1060" i="34"/>
  <c r="Y1060" i="34"/>
  <c r="Z1060" i="34"/>
  <c r="N1061" i="34"/>
  <c r="O1061" i="34"/>
  <c r="P1061" i="34"/>
  <c r="Q1061" i="34"/>
  <c r="R1061" i="34"/>
  <c r="S1061" i="34"/>
  <c r="T1061" i="34"/>
  <c r="U1061" i="34"/>
  <c r="V1061" i="34"/>
  <c r="W1061" i="34"/>
  <c r="X1061" i="34"/>
  <c r="Y1061" i="34"/>
  <c r="Z1061" i="34"/>
  <c r="N1062" i="34"/>
  <c r="O1062" i="34"/>
  <c r="P1062" i="34"/>
  <c r="Q1062" i="34"/>
  <c r="R1062" i="34"/>
  <c r="S1062" i="34"/>
  <c r="T1062" i="34"/>
  <c r="U1062" i="34"/>
  <c r="V1062" i="34"/>
  <c r="W1062" i="34"/>
  <c r="X1062" i="34"/>
  <c r="Y1062" i="34"/>
  <c r="Z1062" i="34"/>
  <c r="N1063" i="34"/>
  <c r="O1063" i="34"/>
  <c r="P1063" i="34"/>
  <c r="Q1063" i="34"/>
  <c r="R1063" i="34"/>
  <c r="S1063" i="34"/>
  <c r="T1063" i="34"/>
  <c r="U1063" i="34"/>
  <c r="V1063" i="34"/>
  <c r="W1063" i="34"/>
  <c r="X1063" i="34"/>
  <c r="Y1063" i="34"/>
  <c r="Z1063" i="34"/>
  <c r="N1064" i="34"/>
  <c r="O1064" i="34"/>
  <c r="P1064" i="34"/>
  <c r="Q1064" i="34"/>
  <c r="R1064" i="34"/>
  <c r="S1064" i="34"/>
  <c r="T1064" i="34"/>
  <c r="U1064" i="34"/>
  <c r="V1064" i="34"/>
  <c r="W1064" i="34"/>
  <c r="X1064" i="34"/>
  <c r="Y1064" i="34"/>
  <c r="Z1064" i="34"/>
  <c r="N1065" i="34"/>
  <c r="O1065" i="34"/>
  <c r="P1065" i="34"/>
  <c r="Q1065" i="34"/>
  <c r="R1065" i="34"/>
  <c r="S1065" i="34"/>
  <c r="T1065" i="34"/>
  <c r="U1065" i="34"/>
  <c r="V1065" i="34"/>
  <c r="W1065" i="34"/>
  <c r="X1065" i="34"/>
  <c r="Y1065" i="34"/>
  <c r="Z1065" i="34"/>
  <c r="N1066" i="34"/>
  <c r="O1066" i="34"/>
  <c r="P1066" i="34"/>
  <c r="Q1066" i="34"/>
  <c r="R1066" i="34"/>
  <c r="S1066" i="34"/>
  <c r="T1066" i="34"/>
  <c r="U1066" i="34"/>
  <c r="V1066" i="34"/>
  <c r="W1066" i="34"/>
  <c r="X1066" i="34"/>
  <c r="Y1066" i="34"/>
  <c r="Z1066" i="34"/>
  <c r="N1067" i="34"/>
  <c r="O1067" i="34"/>
  <c r="P1067" i="34"/>
  <c r="Q1067" i="34"/>
  <c r="R1067" i="34"/>
  <c r="S1067" i="34"/>
  <c r="T1067" i="34"/>
  <c r="U1067" i="34"/>
  <c r="V1067" i="34"/>
  <c r="W1067" i="34"/>
  <c r="X1067" i="34"/>
  <c r="Y1067" i="34"/>
  <c r="Z1067" i="34"/>
  <c r="N1068" i="34"/>
  <c r="O1068" i="34"/>
  <c r="P1068" i="34"/>
  <c r="Q1068" i="34"/>
  <c r="R1068" i="34"/>
  <c r="S1068" i="34"/>
  <c r="T1068" i="34"/>
  <c r="U1068" i="34"/>
  <c r="V1068" i="34"/>
  <c r="W1068" i="34"/>
  <c r="X1068" i="34"/>
  <c r="Y1068" i="34"/>
  <c r="Z1068" i="34"/>
  <c r="N1069" i="34"/>
  <c r="O1069" i="34"/>
  <c r="P1069" i="34"/>
  <c r="Q1069" i="34"/>
  <c r="R1069" i="34"/>
  <c r="S1069" i="34"/>
  <c r="T1069" i="34"/>
  <c r="U1069" i="34"/>
  <c r="V1069" i="34"/>
  <c r="W1069" i="34"/>
  <c r="X1069" i="34"/>
  <c r="Y1069" i="34"/>
  <c r="Z1069" i="34"/>
  <c r="N1070" i="34"/>
  <c r="O1070" i="34"/>
  <c r="P1070" i="34"/>
  <c r="Q1070" i="34"/>
  <c r="R1070" i="34"/>
  <c r="S1070" i="34"/>
  <c r="T1070" i="34"/>
  <c r="U1070" i="34"/>
  <c r="V1070" i="34"/>
  <c r="W1070" i="34"/>
  <c r="X1070" i="34"/>
  <c r="Y1070" i="34"/>
  <c r="Z1070" i="34"/>
  <c r="N1071" i="34"/>
  <c r="O1071" i="34"/>
  <c r="P1071" i="34"/>
  <c r="Q1071" i="34"/>
  <c r="R1071" i="34"/>
  <c r="S1071" i="34"/>
  <c r="T1071" i="34"/>
  <c r="U1071" i="34"/>
  <c r="V1071" i="34"/>
  <c r="W1071" i="34"/>
  <c r="X1071" i="34"/>
  <c r="Y1071" i="34"/>
  <c r="Z1071" i="34"/>
  <c r="N1072" i="34"/>
  <c r="O1072" i="34"/>
  <c r="P1072" i="34"/>
  <c r="Q1072" i="34"/>
  <c r="R1072" i="34"/>
  <c r="S1072" i="34"/>
  <c r="T1072" i="34"/>
  <c r="U1072" i="34"/>
  <c r="V1072" i="34"/>
  <c r="W1072" i="34"/>
  <c r="X1072" i="34"/>
  <c r="Y1072" i="34"/>
  <c r="Z1072" i="34"/>
  <c r="N1073" i="34"/>
  <c r="O1073" i="34"/>
  <c r="P1073" i="34"/>
  <c r="Q1073" i="34"/>
  <c r="R1073" i="34"/>
  <c r="S1073" i="34"/>
  <c r="T1073" i="34"/>
  <c r="U1073" i="34"/>
  <c r="V1073" i="34"/>
  <c r="W1073" i="34"/>
  <c r="X1073" i="34"/>
  <c r="Y1073" i="34"/>
  <c r="Z1073" i="34"/>
  <c r="N1074" i="34"/>
  <c r="O1074" i="34"/>
  <c r="P1074" i="34"/>
  <c r="Q1074" i="34"/>
  <c r="R1074" i="34"/>
  <c r="S1074" i="34"/>
  <c r="T1074" i="34"/>
  <c r="U1074" i="34"/>
  <c r="V1074" i="34"/>
  <c r="W1074" i="34"/>
  <c r="X1074" i="34"/>
  <c r="Y1074" i="34"/>
  <c r="Z1074" i="34"/>
  <c r="N1075" i="34"/>
  <c r="O1075" i="34"/>
  <c r="P1075" i="34"/>
  <c r="Q1075" i="34"/>
  <c r="R1075" i="34"/>
  <c r="S1075" i="34"/>
  <c r="T1075" i="34"/>
  <c r="U1075" i="34"/>
  <c r="V1075" i="34"/>
  <c r="W1075" i="34"/>
  <c r="X1075" i="34"/>
  <c r="Y1075" i="34"/>
  <c r="Z1075" i="34"/>
  <c r="N1076" i="34"/>
  <c r="O1076" i="34"/>
  <c r="P1076" i="34"/>
  <c r="Q1076" i="34"/>
  <c r="R1076" i="34"/>
  <c r="S1076" i="34"/>
  <c r="T1076" i="34"/>
  <c r="U1076" i="34"/>
  <c r="V1076" i="34"/>
  <c r="W1076" i="34"/>
  <c r="X1076" i="34"/>
  <c r="Y1076" i="34"/>
  <c r="Z1076" i="34"/>
  <c r="N1077" i="34"/>
  <c r="O1077" i="34"/>
  <c r="P1077" i="34"/>
  <c r="Q1077" i="34"/>
  <c r="R1077" i="34"/>
  <c r="S1077" i="34"/>
  <c r="T1077" i="34"/>
  <c r="U1077" i="34"/>
  <c r="V1077" i="34"/>
  <c r="W1077" i="34"/>
  <c r="X1077" i="34"/>
  <c r="Y1077" i="34"/>
  <c r="Z1077" i="34"/>
  <c r="N1078" i="34"/>
  <c r="O1078" i="34"/>
  <c r="P1078" i="34"/>
  <c r="Q1078" i="34"/>
  <c r="R1078" i="34"/>
  <c r="S1078" i="34"/>
  <c r="T1078" i="34"/>
  <c r="U1078" i="34"/>
  <c r="V1078" i="34"/>
  <c r="W1078" i="34"/>
  <c r="X1078" i="34"/>
  <c r="Y1078" i="34"/>
  <c r="Z1078" i="34"/>
  <c r="N1079" i="34"/>
  <c r="O1079" i="34"/>
  <c r="P1079" i="34"/>
  <c r="Q1079" i="34"/>
  <c r="R1079" i="34"/>
  <c r="S1079" i="34"/>
  <c r="T1079" i="34"/>
  <c r="U1079" i="34"/>
  <c r="V1079" i="34"/>
  <c r="W1079" i="34"/>
  <c r="X1079" i="34"/>
  <c r="Y1079" i="34"/>
  <c r="Z1079" i="34"/>
  <c r="N1080" i="34"/>
  <c r="O1080" i="34"/>
  <c r="P1080" i="34"/>
  <c r="Q1080" i="34"/>
  <c r="R1080" i="34"/>
  <c r="S1080" i="34"/>
  <c r="T1080" i="34"/>
  <c r="U1080" i="34"/>
  <c r="V1080" i="34"/>
  <c r="W1080" i="34"/>
  <c r="X1080" i="34"/>
  <c r="Y1080" i="34"/>
  <c r="Z1080" i="34"/>
  <c r="N1081" i="34"/>
  <c r="O1081" i="34"/>
  <c r="P1081" i="34"/>
  <c r="Q1081" i="34"/>
  <c r="R1081" i="34"/>
  <c r="S1081" i="34"/>
  <c r="T1081" i="34"/>
  <c r="U1081" i="34"/>
  <c r="V1081" i="34"/>
  <c r="W1081" i="34"/>
  <c r="X1081" i="34"/>
  <c r="Y1081" i="34"/>
  <c r="Z1081" i="34"/>
  <c r="N1082" i="34"/>
  <c r="O1082" i="34"/>
  <c r="P1082" i="34"/>
  <c r="Q1082" i="34"/>
  <c r="R1082" i="34"/>
  <c r="S1082" i="34"/>
  <c r="T1082" i="34"/>
  <c r="U1082" i="34"/>
  <c r="V1082" i="34"/>
  <c r="W1082" i="34"/>
  <c r="X1082" i="34"/>
  <c r="Y1082" i="34"/>
  <c r="Z1082" i="34"/>
  <c r="N1083" i="34"/>
  <c r="O1083" i="34"/>
  <c r="P1083" i="34"/>
  <c r="Q1083" i="34"/>
  <c r="R1083" i="34"/>
  <c r="S1083" i="34"/>
  <c r="T1083" i="34"/>
  <c r="U1083" i="34"/>
  <c r="V1083" i="34"/>
  <c r="W1083" i="34"/>
  <c r="X1083" i="34"/>
  <c r="Y1083" i="34"/>
  <c r="Z1083" i="34"/>
  <c r="N1084" i="34"/>
  <c r="O1084" i="34"/>
  <c r="P1084" i="34"/>
  <c r="Q1084" i="34"/>
  <c r="R1084" i="34"/>
  <c r="S1084" i="34"/>
  <c r="T1084" i="34"/>
  <c r="U1084" i="34"/>
  <c r="V1084" i="34"/>
  <c r="W1084" i="34"/>
  <c r="X1084" i="34"/>
  <c r="Y1084" i="34"/>
  <c r="Z1084" i="34"/>
  <c r="N1085" i="34"/>
  <c r="O1085" i="34"/>
  <c r="P1085" i="34"/>
  <c r="Q1085" i="34"/>
  <c r="R1085" i="34"/>
  <c r="S1085" i="34"/>
  <c r="T1085" i="34"/>
  <c r="U1085" i="34"/>
  <c r="V1085" i="34"/>
  <c r="W1085" i="34"/>
  <c r="X1085" i="34"/>
  <c r="Y1085" i="34"/>
  <c r="Z1085" i="34"/>
  <c r="N1086" i="34"/>
  <c r="O1086" i="34"/>
  <c r="P1086" i="34"/>
  <c r="Q1086" i="34"/>
  <c r="R1086" i="34"/>
  <c r="S1086" i="34"/>
  <c r="T1086" i="34"/>
  <c r="U1086" i="34"/>
  <c r="V1086" i="34"/>
  <c r="W1086" i="34"/>
  <c r="X1086" i="34"/>
  <c r="Y1086" i="34"/>
  <c r="Z1086" i="34"/>
  <c r="N1087" i="34"/>
  <c r="O1087" i="34"/>
  <c r="P1087" i="34"/>
  <c r="Q1087" i="34"/>
  <c r="R1087" i="34"/>
  <c r="S1087" i="34"/>
  <c r="T1087" i="34"/>
  <c r="U1087" i="34"/>
  <c r="V1087" i="34"/>
  <c r="W1087" i="34"/>
  <c r="X1087" i="34"/>
  <c r="Y1087" i="34"/>
  <c r="Z1087" i="34"/>
  <c r="N1088" i="34"/>
  <c r="O1088" i="34"/>
  <c r="P1088" i="34"/>
  <c r="Q1088" i="34"/>
  <c r="R1088" i="34"/>
  <c r="S1088" i="34"/>
  <c r="T1088" i="34"/>
  <c r="U1088" i="34"/>
  <c r="V1088" i="34"/>
  <c r="W1088" i="34"/>
  <c r="X1088" i="34"/>
  <c r="Y1088" i="34"/>
  <c r="Z1088" i="34"/>
  <c r="N1089" i="34"/>
  <c r="O1089" i="34"/>
  <c r="P1089" i="34"/>
  <c r="Q1089" i="34"/>
  <c r="R1089" i="34"/>
  <c r="S1089" i="34"/>
  <c r="T1089" i="34"/>
  <c r="U1089" i="34"/>
  <c r="V1089" i="34"/>
  <c r="W1089" i="34"/>
  <c r="X1089" i="34"/>
  <c r="Y1089" i="34"/>
  <c r="Z1089" i="34"/>
  <c r="N1090" i="34"/>
  <c r="O1090" i="34"/>
  <c r="P1090" i="34"/>
  <c r="Q1090" i="34"/>
  <c r="R1090" i="34"/>
  <c r="S1090" i="34"/>
  <c r="T1090" i="34"/>
  <c r="U1090" i="34"/>
  <c r="V1090" i="34"/>
  <c r="W1090" i="34"/>
  <c r="X1090" i="34"/>
  <c r="Y1090" i="34"/>
  <c r="Z1090" i="34"/>
  <c r="N1091" i="34"/>
  <c r="O1091" i="34"/>
  <c r="P1091" i="34"/>
  <c r="Q1091" i="34"/>
  <c r="R1091" i="34"/>
  <c r="S1091" i="34"/>
  <c r="T1091" i="34"/>
  <c r="U1091" i="34"/>
  <c r="V1091" i="34"/>
  <c r="W1091" i="34"/>
  <c r="X1091" i="34"/>
  <c r="Y1091" i="34"/>
  <c r="Z1091" i="34"/>
  <c r="N1092" i="34"/>
  <c r="O1092" i="34"/>
  <c r="P1092" i="34"/>
  <c r="Q1092" i="34"/>
  <c r="R1092" i="34"/>
  <c r="S1092" i="34"/>
  <c r="T1092" i="34"/>
  <c r="U1092" i="34"/>
  <c r="V1092" i="34"/>
  <c r="W1092" i="34"/>
  <c r="X1092" i="34"/>
  <c r="Y1092" i="34"/>
  <c r="Z1092" i="34"/>
  <c r="N1093" i="34"/>
  <c r="O1093" i="34"/>
  <c r="P1093" i="34"/>
  <c r="Q1093" i="34"/>
  <c r="R1093" i="34"/>
  <c r="S1093" i="34"/>
  <c r="T1093" i="34"/>
  <c r="U1093" i="34"/>
  <c r="V1093" i="34"/>
  <c r="W1093" i="34"/>
  <c r="X1093" i="34"/>
  <c r="Y1093" i="34"/>
  <c r="Z1093" i="34"/>
  <c r="N1094" i="34"/>
  <c r="O1094" i="34"/>
  <c r="P1094" i="34"/>
  <c r="Q1094" i="34"/>
  <c r="R1094" i="34"/>
  <c r="S1094" i="34"/>
  <c r="T1094" i="34"/>
  <c r="U1094" i="34"/>
  <c r="V1094" i="34"/>
  <c r="W1094" i="34"/>
  <c r="X1094" i="34"/>
  <c r="Y1094" i="34"/>
  <c r="Z1094" i="34"/>
  <c r="N1095" i="34"/>
  <c r="O1095" i="34"/>
  <c r="P1095" i="34"/>
  <c r="Q1095" i="34"/>
  <c r="R1095" i="34"/>
  <c r="S1095" i="34"/>
  <c r="T1095" i="34"/>
  <c r="U1095" i="34"/>
  <c r="V1095" i="34"/>
  <c r="W1095" i="34"/>
  <c r="X1095" i="34"/>
  <c r="Y1095" i="34"/>
  <c r="Z1095" i="34"/>
  <c r="N1096" i="34"/>
  <c r="O1096" i="34"/>
  <c r="P1096" i="34"/>
  <c r="Q1096" i="34"/>
  <c r="R1096" i="34"/>
  <c r="S1096" i="34"/>
  <c r="T1096" i="34"/>
  <c r="U1096" i="34"/>
  <c r="V1096" i="34"/>
  <c r="W1096" i="34"/>
  <c r="X1096" i="34"/>
  <c r="Y1096" i="34"/>
  <c r="Z1096" i="34"/>
  <c r="N1097" i="34"/>
  <c r="O1097" i="34"/>
  <c r="P1097" i="34"/>
  <c r="Q1097" i="34"/>
  <c r="R1097" i="34"/>
  <c r="S1097" i="34"/>
  <c r="T1097" i="34"/>
  <c r="U1097" i="34"/>
  <c r="V1097" i="34"/>
  <c r="W1097" i="34"/>
  <c r="X1097" i="34"/>
  <c r="Y1097" i="34"/>
  <c r="Z1097" i="34"/>
  <c r="N1098" i="34"/>
  <c r="O1098" i="34"/>
  <c r="P1098" i="34"/>
  <c r="Q1098" i="34"/>
  <c r="R1098" i="34"/>
  <c r="S1098" i="34"/>
  <c r="T1098" i="34"/>
  <c r="U1098" i="34"/>
  <c r="V1098" i="34"/>
  <c r="W1098" i="34"/>
  <c r="X1098" i="34"/>
  <c r="Y1098" i="34"/>
  <c r="Z1098" i="34"/>
  <c r="N1099" i="34"/>
  <c r="O1099" i="34"/>
  <c r="P1099" i="34"/>
  <c r="Q1099" i="34"/>
  <c r="R1099" i="34"/>
  <c r="S1099" i="34"/>
  <c r="T1099" i="34"/>
  <c r="U1099" i="34"/>
  <c r="V1099" i="34"/>
  <c r="W1099" i="34"/>
  <c r="X1099" i="34"/>
  <c r="Y1099" i="34"/>
  <c r="Z1099" i="34"/>
  <c r="N1100" i="34"/>
  <c r="O1100" i="34"/>
  <c r="P1100" i="34"/>
  <c r="Q1100" i="34"/>
  <c r="R1100" i="34"/>
  <c r="S1100" i="34"/>
  <c r="T1100" i="34"/>
  <c r="U1100" i="34"/>
  <c r="V1100" i="34"/>
  <c r="W1100" i="34"/>
  <c r="X1100" i="34"/>
  <c r="Y1100" i="34"/>
  <c r="Z1100" i="34"/>
  <c r="N1101" i="34"/>
  <c r="O1101" i="34"/>
  <c r="P1101" i="34"/>
  <c r="Q1101" i="34"/>
  <c r="R1101" i="34"/>
  <c r="S1101" i="34"/>
  <c r="T1101" i="34"/>
  <c r="U1101" i="34"/>
  <c r="V1101" i="34"/>
  <c r="W1101" i="34"/>
  <c r="X1101" i="34"/>
  <c r="Y1101" i="34"/>
  <c r="Z1101" i="34"/>
  <c r="N1102" i="34"/>
  <c r="O1102" i="34"/>
  <c r="P1102" i="34"/>
  <c r="Q1102" i="34"/>
  <c r="R1102" i="34"/>
  <c r="S1102" i="34"/>
  <c r="T1102" i="34"/>
  <c r="U1102" i="34"/>
  <c r="V1102" i="34"/>
  <c r="W1102" i="34"/>
  <c r="X1102" i="34"/>
  <c r="Y1102" i="34"/>
  <c r="Z1102" i="34"/>
  <c r="N1103" i="34"/>
  <c r="O1103" i="34"/>
  <c r="P1103" i="34"/>
  <c r="Q1103" i="34"/>
  <c r="R1103" i="34"/>
  <c r="S1103" i="34"/>
  <c r="T1103" i="34"/>
  <c r="U1103" i="34"/>
  <c r="V1103" i="34"/>
  <c r="W1103" i="34"/>
  <c r="X1103" i="34"/>
  <c r="Y1103" i="34"/>
  <c r="Z1103" i="34"/>
  <c r="N1104" i="34"/>
  <c r="O1104" i="34"/>
  <c r="P1104" i="34"/>
  <c r="Q1104" i="34"/>
  <c r="R1104" i="34"/>
  <c r="S1104" i="34"/>
  <c r="T1104" i="34"/>
  <c r="U1104" i="34"/>
  <c r="V1104" i="34"/>
  <c r="W1104" i="34"/>
  <c r="X1104" i="34"/>
  <c r="Y1104" i="34"/>
  <c r="Z1104" i="34"/>
  <c r="N1105" i="34"/>
  <c r="O1105" i="34"/>
  <c r="P1105" i="34"/>
  <c r="Q1105" i="34"/>
  <c r="R1105" i="34"/>
  <c r="S1105" i="34"/>
  <c r="T1105" i="34"/>
  <c r="U1105" i="34"/>
  <c r="V1105" i="34"/>
  <c r="W1105" i="34"/>
  <c r="X1105" i="34"/>
  <c r="Y1105" i="34"/>
  <c r="Z1105" i="34"/>
  <c r="N1106" i="34"/>
  <c r="O1106" i="34"/>
  <c r="P1106" i="34"/>
  <c r="Q1106" i="34"/>
  <c r="R1106" i="34"/>
  <c r="S1106" i="34"/>
  <c r="T1106" i="34"/>
  <c r="U1106" i="34"/>
  <c r="V1106" i="34"/>
  <c r="W1106" i="34"/>
  <c r="X1106" i="34"/>
  <c r="Y1106" i="34"/>
  <c r="Z1106" i="34"/>
  <c r="N1107" i="34"/>
  <c r="O1107" i="34"/>
  <c r="P1107" i="34"/>
  <c r="Q1107" i="34"/>
  <c r="R1107" i="34"/>
  <c r="S1107" i="34"/>
  <c r="T1107" i="34"/>
  <c r="U1107" i="34"/>
  <c r="V1107" i="34"/>
  <c r="W1107" i="34"/>
  <c r="X1107" i="34"/>
  <c r="Y1107" i="34"/>
  <c r="Z1107" i="34"/>
  <c r="N1108" i="34"/>
  <c r="O1108" i="34"/>
  <c r="P1108" i="34"/>
  <c r="Q1108" i="34"/>
  <c r="R1108" i="34"/>
  <c r="S1108" i="34"/>
  <c r="T1108" i="34"/>
  <c r="U1108" i="34"/>
  <c r="V1108" i="34"/>
  <c r="W1108" i="34"/>
  <c r="X1108" i="34"/>
  <c r="Y1108" i="34"/>
  <c r="Z1108" i="34"/>
  <c r="N1109" i="34"/>
  <c r="O1109" i="34"/>
  <c r="P1109" i="34"/>
  <c r="Q1109" i="34"/>
  <c r="R1109" i="34"/>
  <c r="S1109" i="34"/>
  <c r="T1109" i="34"/>
  <c r="U1109" i="34"/>
  <c r="V1109" i="34"/>
  <c r="W1109" i="34"/>
  <c r="X1109" i="34"/>
  <c r="Y1109" i="34"/>
  <c r="Z1109" i="34"/>
  <c r="N1110" i="34"/>
  <c r="O1110" i="34"/>
  <c r="P1110" i="34"/>
  <c r="Q1110" i="34"/>
  <c r="R1110" i="34"/>
  <c r="S1110" i="34"/>
  <c r="T1110" i="34"/>
  <c r="U1110" i="34"/>
  <c r="V1110" i="34"/>
  <c r="W1110" i="34"/>
  <c r="X1110" i="34"/>
  <c r="Y1110" i="34"/>
  <c r="Z1110" i="34"/>
  <c r="N1111" i="34"/>
  <c r="O1111" i="34"/>
  <c r="P1111" i="34"/>
  <c r="Q1111" i="34"/>
  <c r="R1111" i="34"/>
  <c r="S1111" i="34"/>
  <c r="T1111" i="34"/>
  <c r="U1111" i="34"/>
  <c r="V1111" i="34"/>
  <c r="W1111" i="34"/>
  <c r="X1111" i="34"/>
  <c r="Y1111" i="34"/>
  <c r="Z1111" i="34"/>
  <c r="N1112" i="34"/>
  <c r="O1112" i="34"/>
  <c r="P1112" i="34"/>
  <c r="Q1112" i="34"/>
  <c r="R1112" i="34"/>
  <c r="S1112" i="34"/>
  <c r="T1112" i="34"/>
  <c r="U1112" i="34"/>
  <c r="V1112" i="34"/>
  <c r="W1112" i="34"/>
  <c r="X1112" i="34"/>
  <c r="Y1112" i="34"/>
  <c r="Z1112" i="34"/>
  <c r="N1113" i="34"/>
  <c r="O1113" i="34"/>
  <c r="P1113" i="34"/>
  <c r="Q1113" i="34"/>
  <c r="R1113" i="34"/>
  <c r="S1113" i="34"/>
  <c r="T1113" i="34"/>
  <c r="U1113" i="34"/>
  <c r="V1113" i="34"/>
  <c r="W1113" i="34"/>
  <c r="X1113" i="34"/>
  <c r="Y1113" i="34"/>
  <c r="Z1113" i="34"/>
  <c r="N1114" i="34"/>
  <c r="O1114" i="34"/>
  <c r="P1114" i="34"/>
  <c r="Q1114" i="34"/>
  <c r="R1114" i="34"/>
  <c r="S1114" i="34"/>
  <c r="T1114" i="34"/>
  <c r="U1114" i="34"/>
  <c r="V1114" i="34"/>
  <c r="W1114" i="34"/>
  <c r="X1114" i="34"/>
  <c r="Y1114" i="34"/>
  <c r="Z1114" i="34"/>
  <c r="N1115" i="34"/>
  <c r="O1115" i="34"/>
  <c r="P1115" i="34"/>
  <c r="Q1115" i="34"/>
  <c r="R1115" i="34"/>
  <c r="S1115" i="34"/>
  <c r="T1115" i="34"/>
  <c r="U1115" i="34"/>
  <c r="V1115" i="34"/>
  <c r="W1115" i="34"/>
  <c r="X1115" i="34"/>
  <c r="Y1115" i="34"/>
  <c r="Z1115" i="34"/>
  <c r="N1116" i="34"/>
  <c r="O1116" i="34"/>
  <c r="P1116" i="34"/>
  <c r="Q1116" i="34"/>
  <c r="R1116" i="34"/>
  <c r="S1116" i="34"/>
  <c r="T1116" i="34"/>
  <c r="U1116" i="34"/>
  <c r="V1116" i="34"/>
  <c r="W1116" i="34"/>
  <c r="X1116" i="34"/>
  <c r="Y1116" i="34"/>
  <c r="Z1116" i="34"/>
  <c r="N1117" i="34"/>
  <c r="O1117" i="34"/>
  <c r="P1117" i="34"/>
  <c r="Q1117" i="34"/>
  <c r="R1117" i="34"/>
  <c r="S1117" i="34"/>
  <c r="T1117" i="34"/>
  <c r="U1117" i="34"/>
  <c r="V1117" i="34"/>
  <c r="W1117" i="34"/>
  <c r="X1117" i="34"/>
  <c r="Y1117" i="34"/>
  <c r="Z1117" i="34"/>
  <c r="N1118" i="34"/>
  <c r="O1118" i="34"/>
  <c r="P1118" i="34"/>
  <c r="Q1118" i="34"/>
  <c r="R1118" i="34"/>
  <c r="S1118" i="34"/>
  <c r="T1118" i="34"/>
  <c r="U1118" i="34"/>
  <c r="V1118" i="34"/>
  <c r="W1118" i="34"/>
  <c r="X1118" i="34"/>
  <c r="Y1118" i="34"/>
  <c r="Z1118" i="34"/>
  <c r="N1119" i="34"/>
  <c r="O1119" i="34"/>
  <c r="P1119" i="34"/>
  <c r="Q1119" i="34"/>
  <c r="R1119" i="34"/>
  <c r="S1119" i="34"/>
  <c r="T1119" i="34"/>
  <c r="U1119" i="34"/>
  <c r="V1119" i="34"/>
  <c r="W1119" i="34"/>
  <c r="X1119" i="34"/>
  <c r="Y1119" i="34"/>
  <c r="Z1119" i="34"/>
  <c r="N1120" i="34"/>
  <c r="O1120" i="34"/>
  <c r="P1120" i="34"/>
  <c r="Q1120" i="34"/>
  <c r="R1120" i="34"/>
  <c r="S1120" i="34"/>
  <c r="T1120" i="34"/>
  <c r="U1120" i="34"/>
  <c r="V1120" i="34"/>
  <c r="W1120" i="34"/>
  <c r="X1120" i="34"/>
  <c r="Y1120" i="34"/>
  <c r="Z1120" i="34"/>
  <c r="N1121" i="34"/>
  <c r="O1121" i="34"/>
  <c r="P1121" i="34"/>
  <c r="Q1121" i="34"/>
  <c r="R1121" i="34"/>
  <c r="S1121" i="34"/>
  <c r="T1121" i="34"/>
  <c r="U1121" i="34"/>
  <c r="V1121" i="34"/>
  <c r="W1121" i="34"/>
  <c r="X1121" i="34"/>
  <c r="Y1121" i="34"/>
  <c r="Z1121" i="34"/>
  <c r="N1122" i="34"/>
  <c r="O1122" i="34"/>
  <c r="P1122" i="34"/>
  <c r="Q1122" i="34"/>
  <c r="R1122" i="34"/>
  <c r="S1122" i="34"/>
  <c r="T1122" i="34"/>
  <c r="U1122" i="34"/>
  <c r="V1122" i="34"/>
  <c r="W1122" i="34"/>
  <c r="X1122" i="34"/>
  <c r="Y1122" i="34"/>
  <c r="Z1122" i="34"/>
  <c r="N1123" i="34"/>
  <c r="O1123" i="34"/>
  <c r="P1123" i="34"/>
  <c r="Q1123" i="34"/>
  <c r="R1123" i="34"/>
  <c r="S1123" i="34"/>
  <c r="T1123" i="34"/>
  <c r="U1123" i="34"/>
  <c r="V1123" i="34"/>
  <c r="W1123" i="34"/>
  <c r="X1123" i="34"/>
  <c r="Y1123" i="34"/>
  <c r="Z1123" i="34"/>
  <c r="N1124" i="34"/>
  <c r="O1124" i="34"/>
  <c r="P1124" i="34"/>
  <c r="Q1124" i="34"/>
  <c r="R1124" i="34"/>
  <c r="S1124" i="34"/>
  <c r="T1124" i="34"/>
  <c r="U1124" i="34"/>
  <c r="V1124" i="34"/>
  <c r="W1124" i="34"/>
  <c r="X1124" i="34"/>
  <c r="Y1124" i="34"/>
  <c r="Z1124" i="34"/>
  <c r="N1125" i="34"/>
  <c r="O1125" i="34"/>
  <c r="P1125" i="34"/>
  <c r="Q1125" i="34"/>
  <c r="R1125" i="34"/>
  <c r="S1125" i="34"/>
  <c r="T1125" i="34"/>
  <c r="U1125" i="34"/>
  <c r="V1125" i="34"/>
  <c r="W1125" i="34"/>
  <c r="X1125" i="34"/>
  <c r="Y1125" i="34"/>
  <c r="Z1125" i="34"/>
  <c r="N1126" i="34"/>
  <c r="O1126" i="34"/>
  <c r="P1126" i="34"/>
  <c r="Q1126" i="34"/>
  <c r="R1126" i="34"/>
  <c r="S1126" i="34"/>
  <c r="T1126" i="34"/>
  <c r="U1126" i="34"/>
  <c r="V1126" i="34"/>
  <c r="W1126" i="34"/>
  <c r="X1126" i="34"/>
  <c r="Y1126" i="34"/>
  <c r="Z1126" i="34"/>
  <c r="N1127" i="34"/>
  <c r="O1127" i="34"/>
  <c r="P1127" i="34"/>
  <c r="Q1127" i="34"/>
  <c r="R1127" i="34"/>
  <c r="S1127" i="34"/>
  <c r="T1127" i="34"/>
  <c r="U1127" i="34"/>
  <c r="V1127" i="34"/>
  <c r="W1127" i="34"/>
  <c r="X1127" i="34"/>
  <c r="Y1127" i="34"/>
  <c r="Z1127" i="34"/>
  <c r="N1128" i="34"/>
  <c r="O1128" i="34"/>
  <c r="P1128" i="34"/>
  <c r="Q1128" i="34"/>
  <c r="R1128" i="34"/>
  <c r="S1128" i="34"/>
  <c r="T1128" i="34"/>
  <c r="U1128" i="34"/>
  <c r="V1128" i="34"/>
  <c r="W1128" i="34"/>
  <c r="X1128" i="34"/>
  <c r="Y1128" i="34"/>
  <c r="Z1128" i="34"/>
  <c r="N1129" i="34"/>
  <c r="O1129" i="34"/>
  <c r="P1129" i="34"/>
  <c r="Q1129" i="34"/>
  <c r="R1129" i="34"/>
  <c r="S1129" i="34"/>
  <c r="T1129" i="34"/>
  <c r="U1129" i="34"/>
  <c r="V1129" i="34"/>
  <c r="W1129" i="34"/>
  <c r="X1129" i="34"/>
  <c r="Y1129" i="34"/>
  <c r="Z1129" i="34"/>
  <c r="N1130" i="34"/>
  <c r="O1130" i="34"/>
  <c r="P1130" i="34"/>
  <c r="Q1130" i="34"/>
  <c r="R1130" i="34"/>
  <c r="S1130" i="34"/>
  <c r="T1130" i="34"/>
  <c r="U1130" i="34"/>
  <c r="V1130" i="34"/>
  <c r="W1130" i="34"/>
  <c r="X1130" i="34"/>
  <c r="Y1130" i="34"/>
  <c r="Z1130" i="34"/>
  <c r="N1131" i="34"/>
  <c r="O1131" i="34"/>
  <c r="P1131" i="34"/>
  <c r="Q1131" i="34"/>
  <c r="R1131" i="34"/>
  <c r="S1131" i="34"/>
  <c r="T1131" i="34"/>
  <c r="U1131" i="34"/>
  <c r="V1131" i="34"/>
  <c r="W1131" i="34"/>
  <c r="X1131" i="34"/>
  <c r="Y1131" i="34"/>
  <c r="Z1131" i="34"/>
  <c r="N1132" i="34"/>
  <c r="O1132" i="34"/>
  <c r="P1132" i="34"/>
  <c r="Q1132" i="34"/>
  <c r="R1132" i="34"/>
  <c r="S1132" i="34"/>
  <c r="T1132" i="34"/>
  <c r="U1132" i="34"/>
  <c r="V1132" i="34"/>
  <c r="W1132" i="34"/>
  <c r="X1132" i="34"/>
  <c r="Y1132" i="34"/>
  <c r="Z1132" i="34"/>
  <c r="N1133" i="34"/>
  <c r="O1133" i="34"/>
  <c r="P1133" i="34"/>
  <c r="Q1133" i="34"/>
  <c r="R1133" i="34"/>
  <c r="S1133" i="34"/>
  <c r="T1133" i="34"/>
  <c r="U1133" i="34"/>
  <c r="V1133" i="34"/>
  <c r="W1133" i="34"/>
  <c r="X1133" i="34"/>
  <c r="Y1133" i="34"/>
  <c r="Z1133" i="34"/>
  <c r="N1134" i="34"/>
  <c r="O1134" i="34"/>
  <c r="P1134" i="34"/>
  <c r="Q1134" i="34"/>
  <c r="R1134" i="34"/>
  <c r="S1134" i="34"/>
  <c r="T1134" i="34"/>
  <c r="U1134" i="34"/>
  <c r="V1134" i="34"/>
  <c r="W1134" i="34"/>
  <c r="X1134" i="34"/>
  <c r="Y1134" i="34"/>
  <c r="Z1134" i="34"/>
  <c r="N1135" i="34"/>
  <c r="O1135" i="34"/>
  <c r="P1135" i="34"/>
  <c r="Q1135" i="34"/>
  <c r="R1135" i="34"/>
  <c r="S1135" i="34"/>
  <c r="T1135" i="34"/>
  <c r="U1135" i="34"/>
  <c r="V1135" i="34"/>
  <c r="W1135" i="34"/>
  <c r="X1135" i="34"/>
  <c r="Y1135" i="34"/>
  <c r="Z1135" i="34"/>
  <c r="N1136" i="34"/>
  <c r="O1136" i="34"/>
  <c r="P1136" i="34"/>
  <c r="Q1136" i="34"/>
  <c r="R1136" i="34"/>
  <c r="S1136" i="34"/>
  <c r="T1136" i="34"/>
  <c r="U1136" i="34"/>
  <c r="V1136" i="34"/>
  <c r="W1136" i="34"/>
  <c r="X1136" i="34"/>
  <c r="Y1136" i="34"/>
  <c r="Z1136" i="34"/>
  <c r="N1137" i="34"/>
  <c r="O1137" i="34"/>
  <c r="P1137" i="34"/>
  <c r="Q1137" i="34"/>
  <c r="R1137" i="34"/>
  <c r="S1137" i="34"/>
  <c r="T1137" i="34"/>
  <c r="U1137" i="34"/>
  <c r="V1137" i="34"/>
  <c r="W1137" i="34"/>
  <c r="X1137" i="34"/>
  <c r="Y1137" i="34"/>
  <c r="Z1137" i="34"/>
  <c r="N1138" i="34"/>
  <c r="O1138" i="34"/>
  <c r="P1138" i="34"/>
  <c r="Q1138" i="34"/>
  <c r="R1138" i="34"/>
  <c r="S1138" i="34"/>
  <c r="T1138" i="34"/>
  <c r="U1138" i="34"/>
  <c r="V1138" i="34"/>
  <c r="W1138" i="34"/>
  <c r="X1138" i="34"/>
  <c r="Y1138" i="34"/>
  <c r="Z1138" i="34"/>
  <c r="N1139" i="34"/>
  <c r="O1139" i="34"/>
  <c r="P1139" i="34"/>
  <c r="Q1139" i="34"/>
  <c r="R1139" i="34"/>
  <c r="S1139" i="34"/>
  <c r="T1139" i="34"/>
  <c r="U1139" i="34"/>
  <c r="V1139" i="34"/>
  <c r="W1139" i="34"/>
  <c r="X1139" i="34"/>
  <c r="Y1139" i="34"/>
  <c r="Z1139" i="34"/>
  <c r="N1140" i="34"/>
  <c r="O1140" i="34"/>
  <c r="P1140" i="34"/>
  <c r="Q1140" i="34"/>
  <c r="R1140" i="34"/>
  <c r="S1140" i="34"/>
  <c r="T1140" i="34"/>
  <c r="U1140" i="34"/>
  <c r="V1140" i="34"/>
  <c r="W1140" i="34"/>
  <c r="X1140" i="34"/>
  <c r="Y1140" i="34"/>
  <c r="Z1140" i="34"/>
  <c r="N1141" i="34"/>
  <c r="O1141" i="34"/>
  <c r="P1141" i="34"/>
  <c r="Q1141" i="34"/>
  <c r="R1141" i="34"/>
  <c r="S1141" i="34"/>
  <c r="T1141" i="34"/>
  <c r="U1141" i="34"/>
  <c r="V1141" i="34"/>
  <c r="W1141" i="34"/>
  <c r="X1141" i="34"/>
  <c r="Y1141" i="34"/>
  <c r="Z1141" i="34"/>
  <c r="N1142" i="34"/>
  <c r="O1142" i="34"/>
  <c r="P1142" i="34"/>
  <c r="Q1142" i="34"/>
  <c r="R1142" i="34"/>
  <c r="S1142" i="34"/>
  <c r="T1142" i="34"/>
  <c r="U1142" i="34"/>
  <c r="V1142" i="34"/>
  <c r="W1142" i="34"/>
  <c r="X1142" i="34"/>
  <c r="Y1142" i="34"/>
  <c r="Z1142" i="34"/>
  <c r="N1143" i="34"/>
  <c r="O1143" i="34"/>
  <c r="P1143" i="34"/>
  <c r="Q1143" i="34"/>
  <c r="R1143" i="34"/>
  <c r="S1143" i="34"/>
  <c r="T1143" i="34"/>
  <c r="U1143" i="34"/>
  <c r="V1143" i="34"/>
  <c r="W1143" i="34"/>
  <c r="X1143" i="34"/>
  <c r="Y1143" i="34"/>
  <c r="Z1143" i="34"/>
  <c r="N1144" i="34"/>
  <c r="O1144" i="34"/>
  <c r="P1144" i="34"/>
  <c r="Q1144" i="34"/>
  <c r="R1144" i="34"/>
  <c r="S1144" i="34"/>
  <c r="T1144" i="34"/>
  <c r="U1144" i="34"/>
  <c r="V1144" i="34"/>
  <c r="W1144" i="34"/>
  <c r="X1144" i="34"/>
  <c r="Y1144" i="34"/>
  <c r="Z1144" i="34"/>
  <c r="N1145" i="34"/>
  <c r="O1145" i="34"/>
  <c r="P1145" i="34"/>
  <c r="Q1145" i="34"/>
  <c r="R1145" i="34"/>
  <c r="S1145" i="34"/>
  <c r="T1145" i="34"/>
  <c r="U1145" i="34"/>
  <c r="V1145" i="34"/>
  <c r="W1145" i="34"/>
  <c r="X1145" i="34"/>
  <c r="Y1145" i="34"/>
  <c r="Z1145" i="34"/>
  <c r="N1146" i="34"/>
  <c r="O1146" i="34"/>
  <c r="P1146" i="34"/>
  <c r="Q1146" i="34"/>
  <c r="R1146" i="34"/>
  <c r="S1146" i="34"/>
  <c r="T1146" i="34"/>
  <c r="U1146" i="34"/>
  <c r="V1146" i="34"/>
  <c r="W1146" i="34"/>
  <c r="X1146" i="34"/>
  <c r="Y1146" i="34"/>
  <c r="Z1146" i="34"/>
  <c r="N1147" i="34"/>
  <c r="O1147" i="34"/>
  <c r="P1147" i="34"/>
  <c r="Q1147" i="34"/>
  <c r="R1147" i="34"/>
  <c r="S1147" i="34"/>
  <c r="T1147" i="34"/>
  <c r="U1147" i="34"/>
  <c r="V1147" i="34"/>
  <c r="W1147" i="34"/>
  <c r="X1147" i="34"/>
  <c r="Y1147" i="34"/>
  <c r="Z1147" i="34"/>
  <c r="N1148" i="34"/>
  <c r="O1148" i="34"/>
  <c r="P1148" i="34"/>
  <c r="Q1148" i="34"/>
  <c r="R1148" i="34"/>
  <c r="S1148" i="34"/>
  <c r="T1148" i="34"/>
  <c r="U1148" i="34"/>
  <c r="V1148" i="34"/>
  <c r="W1148" i="34"/>
  <c r="X1148" i="34"/>
  <c r="Y1148" i="34"/>
  <c r="Z1148" i="34"/>
  <c r="N1149" i="34"/>
  <c r="O1149" i="34"/>
  <c r="P1149" i="34"/>
  <c r="Q1149" i="34"/>
  <c r="R1149" i="34"/>
  <c r="S1149" i="34"/>
  <c r="T1149" i="34"/>
  <c r="U1149" i="34"/>
  <c r="V1149" i="34"/>
  <c r="W1149" i="34"/>
  <c r="X1149" i="34"/>
  <c r="Y1149" i="34"/>
  <c r="Z1149" i="34"/>
  <c r="N1150" i="34"/>
  <c r="O1150" i="34"/>
  <c r="P1150" i="34"/>
  <c r="Q1150" i="34"/>
  <c r="R1150" i="34"/>
  <c r="S1150" i="34"/>
  <c r="T1150" i="34"/>
  <c r="U1150" i="34"/>
  <c r="V1150" i="34"/>
  <c r="W1150" i="34"/>
  <c r="X1150" i="34"/>
  <c r="Y1150" i="34"/>
  <c r="Z1150" i="34"/>
  <c r="N1151" i="34"/>
  <c r="O1151" i="34"/>
  <c r="P1151" i="34"/>
  <c r="Q1151" i="34"/>
  <c r="R1151" i="34"/>
  <c r="S1151" i="34"/>
  <c r="T1151" i="34"/>
  <c r="U1151" i="34"/>
  <c r="V1151" i="34"/>
  <c r="W1151" i="34"/>
  <c r="X1151" i="34"/>
  <c r="Y1151" i="34"/>
  <c r="Z1151" i="34"/>
  <c r="N1152" i="34"/>
  <c r="O1152" i="34"/>
  <c r="P1152" i="34"/>
  <c r="Q1152" i="34"/>
  <c r="R1152" i="34"/>
  <c r="S1152" i="34"/>
  <c r="T1152" i="34"/>
  <c r="U1152" i="34"/>
  <c r="V1152" i="34"/>
  <c r="W1152" i="34"/>
  <c r="X1152" i="34"/>
  <c r="Y1152" i="34"/>
  <c r="Z1152" i="34"/>
  <c r="N1153" i="34"/>
  <c r="O1153" i="34"/>
  <c r="P1153" i="34"/>
  <c r="Q1153" i="34"/>
  <c r="R1153" i="34"/>
  <c r="S1153" i="34"/>
  <c r="T1153" i="34"/>
  <c r="U1153" i="34"/>
  <c r="V1153" i="34"/>
  <c r="W1153" i="34"/>
  <c r="X1153" i="34"/>
  <c r="Y1153" i="34"/>
  <c r="Z1153" i="34"/>
  <c r="N1154" i="34"/>
  <c r="O1154" i="34"/>
  <c r="P1154" i="34"/>
  <c r="Q1154" i="34"/>
  <c r="R1154" i="34"/>
  <c r="S1154" i="34"/>
  <c r="T1154" i="34"/>
  <c r="U1154" i="34"/>
  <c r="V1154" i="34"/>
  <c r="W1154" i="34"/>
  <c r="X1154" i="34"/>
  <c r="Y1154" i="34"/>
  <c r="Z1154" i="34"/>
  <c r="N1155" i="34"/>
  <c r="O1155" i="34"/>
  <c r="P1155" i="34"/>
  <c r="Q1155" i="34"/>
  <c r="R1155" i="34"/>
  <c r="S1155" i="34"/>
  <c r="T1155" i="34"/>
  <c r="U1155" i="34"/>
  <c r="V1155" i="34"/>
  <c r="W1155" i="34"/>
  <c r="X1155" i="34"/>
  <c r="Y1155" i="34"/>
  <c r="Z1155" i="34"/>
  <c r="N1156" i="34"/>
  <c r="O1156" i="34"/>
  <c r="P1156" i="34"/>
  <c r="Q1156" i="34"/>
  <c r="R1156" i="34"/>
  <c r="S1156" i="34"/>
  <c r="T1156" i="34"/>
  <c r="U1156" i="34"/>
  <c r="V1156" i="34"/>
  <c r="W1156" i="34"/>
  <c r="X1156" i="34"/>
  <c r="Y1156" i="34"/>
  <c r="Z1156" i="34"/>
  <c r="N1157" i="34"/>
  <c r="O1157" i="34"/>
  <c r="P1157" i="34"/>
  <c r="Q1157" i="34"/>
  <c r="R1157" i="34"/>
  <c r="S1157" i="34"/>
  <c r="T1157" i="34"/>
  <c r="U1157" i="34"/>
  <c r="V1157" i="34"/>
  <c r="W1157" i="34"/>
  <c r="X1157" i="34"/>
  <c r="Y1157" i="34"/>
  <c r="Z1157" i="34"/>
  <c r="N1158" i="34"/>
  <c r="O1158" i="34"/>
  <c r="P1158" i="34"/>
  <c r="Q1158" i="34"/>
  <c r="R1158" i="34"/>
  <c r="S1158" i="34"/>
  <c r="T1158" i="34"/>
  <c r="U1158" i="34"/>
  <c r="V1158" i="34"/>
  <c r="W1158" i="34"/>
  <c r="X1158" i="34"/>
  <c r="Y1158" i="34"/>
  <c r="Z1158" i="34"/>
  <c r="N1159" i="34"/>
  <c r="O1159" i="34"/>
  <c r="P1159" i="34"/>
  <c r="Q1159" i="34"/>
  <c r="R1159" i="34"/>
  <c r="S1159" i="34"/>
  <c r="T1159" i="34"/>
  <c r="U1159" i="34"/>
  <c r="V1159" i="34"/>
  <c r="W1159" i="34"/>
  <c r="X1159" i="34"/>
  <c r="Y1159" i="34"/>
  <c r="Z1159" i="34"/>
  <c r="N1160" i="34"/>
  <c r="O1160" i="34"/>
  <c r="P1160" i="34"/>
  <c r="Q1160" i="34"/>
  <c r="R1160" i="34"/>
  <c r="S1160" i="34"/>
  <c r="T1160" i="34"/>
  <c r="U1160" i="34"/>
  <c r="V1160" i="34"/>
  <c r="W1160" i="34"/>
  <c r="X1160" i="34"/>
  <c r="Y1160" i="34"/>
  <c r="Z1160" i="34"/>
  <c r="N1161" i="34"/>
  <c r="O1161" i="34"/>
  <c r="P1161" i="34"/>
  <c r="Q1161" i="34"/>
  <c r="R1161" i="34"/>
  <c r="S1161" i="34"/>
  <c r="T1161" i="34"/>
  <c r="U1161" i="34"/>
  <c r="V1161" i="34"/>
  <c r="W1161" i="34"/>
  <c r="X1161" i="34"/>
  <c r="Y1161" i="34"/>
  <c r="Z1161" i="34"/>
  <c r="N1162" i="34"/>
  <c r="O1162" i="34"/>
  <c r="P1162" i="34"/>
  <c r="Q1162" i="34"/>
  <c r="R1162" i="34"/>
  <c r="S1162" i="34"/>
  <c r="T1162" i="34"/>
  <c r="U1162" i="34"/>
  <c r="V1162" i="34"/>
  <c r="W1162" i="34"/>
  <c r="X1162" i="34"/>
  <c r="Y1162" i="34"/>
  <c r="Z1162" i="34"/>
  <c r="N1163" i="34"/>
  <c r="O1163" i="34"/>
  <c r="P1163" i="34"/>
  <c r="Q1163" i="34"/>
  <c r="R1163" i="34"/>
  <c r="S1163" i="34"/>
  <c r="T1163" i="34"/>
  <c r="U1163" i="34"/>
  <c r="V1163" i="34"/>
  <c r="W1163" i="34"/>
  <c r="X1163" i="34"/>
  <c r="Y1163" i="34"/>
  <c r="Z1163" i="34"/>
  <c r="N1164" i="34"/>
  <c r="O1164" i="34"/>
  <c r="P1164" i="34"/>
  <c r="Q1164" i="34"/>
  <c r="R1164" i="34"/>
  <c r="S1164" i="34"/>
  <c r="T1164" i="34"/>
  <c r="U1164" i="34"/>
  <c r="V1164" i="34"/>
  <c r="W1164" i="34"/>
  <c r="X1164" i="34"/>
  <c r="Y1164" i="34"/>
  <c r="Z1164" i="34"/>
  <c r="N1165" i="34"/>
  <c r="O1165" i="34"/>
  <c r="P1165" i="34"/>
  <c r="Q1165" i="34"/>
  <c r="R1165" i="34"/>
  <c r="S1165" i="34"/>
  <c r="T1165" i="34"/>
  <c r="U1165" i="34"/>
  <c r="V1165" i="34"/>
  <c r="W1165" i="34"/>
  <c r="X1165" i="34"/>
  <c r="Y1165" i="34"/>
  <c r="Z1165" i="34"/>
  <c r="N1166" i="34"/>
  <c r="O1166" i="34"/>
  <c r="P1166" i="34"/>
  <c r="Q1166" i="34"/>
  <c r="R1166" i="34"/>
  <c r="S1166" i="34"/>
  <c r="T1166" i="34"/>
  <c r="U1166" i="34"/>
  <c r="V1166" i="34"/>
  <c r="W1166" i="34"/>
  <c r="X1166" i="34"/>
  <c r="Y1166" i="34"/>
  <c r="Z1166" i="34"/>
  <c r="N1167" i="34"/>
  <c r="O1167" i="34"/>
  <c r="P1167" i="34"/>
  <c r="Q1167" i="34"/>
  <c r="R1167" i="34"/>
  <c r="S1167" i="34"/>
  <c r="T1167" i="34"/>
  <c r="U1167" i="34"/>
  <c r="V1167" i="34"/>
  <c r="W1167" i="34"/>
  <c r="X1167" i="34"/>
  <c r="Y1167" i="34"/>
  <c r="Z1167" i="34"/>
  <c r="N1168" i="34"/>
  <c r="O1168" i="34"/>
  <c r="P1168" i="34"/>
  <c r="Q1168" i="34"/>
  <c r="R1168" i="34"/>
  <c r="S1168" i="34"/>
  <c r="T1168" i="34"/>
  <c r="U1168" i="34"/>
  <c r="V1168" i="34"/>
  <c r="W1168" i="34"/>
  <c r="X1168" i="34"/>
  <c r="Y1168" i="34"/>
  <c r="Z1168" i="34"/>
  <c r="N1169" i="34"/>
  <c r="O1169" i="34"/>
  <c r="P1169" i="34"/>
  <c r="Q1169" i="34"/>
  <c r="R1169" i="34"/>
  <c r="S1169" i="34"/>
  <c r="T1169" i="34"/>
  <c r="U1169" i="34"/>
  <c r="V1169" i="34"/>
  <c r="W1169" i="34"/>
  <c r="X1169" i="34"/>
  <c r="Y1169" i="34"/>
  <c r="Z1169" i="34"/>
  <c r="N1170" i="34"/>
  <c r="O1170" i="34"/>
  <c r="P1170" i="34"/>
  <c r="Q1170" i="34"/>
  <c r="R1170" i="34"/>
  <c r="S1170" i="34"/>
  <c r="T1170" i="34"/>
  <c r="U1170" i="34"/>
  <c r="V1170" i="34"/>
  <c r="W1170" i="34"/>
  <c r="X1170" i="34"/>
  <c r="Y1170" i="34"/>
  <c r="Z1170" i="34"/>
  <c r="N1171" i="34"/>
  <c r="O1171" i="34"/>
  <c r="P1171" i="34"/>
  <c r="Q1171" i="34"/>
  <c r="R1171" i="34"/>
  <c r="S1171" i="34"/>
  <c r="T1171" i="34"/>
  <c r="U1171" i="34"/>
  <c r="V1171" i="34"/>
  <c r="W1171" i="34"/>
  <c r="X1171" i="34"/>
  <c r="Y1171" i="34"/>
  <c r="Z1171" i="34"/>
  <c r="N1172" i="34"/>
  <c r="O1172" i="34"/>
  <c r="P1172" i="34"/>
  <c r="Q1172" i="34"/>
  <c r="R1172" i="34"/>
  <c r="S1172" i="34"/>
  <c r="T1172" i="34"/>
  <c r="U1172" i="34"/>
  <c r="V1172" i="34"/>
  <c r="W1172" i="34"/>
  <c r="X1172" i="34"/>
  <c r="Y1172" i="34"/>
  <c r="Z1172" i="34"/>
  <c r="N1173" i="34"/>
  <c r="O1173" i="34"/>
  <c r="P1173" i="34"/>
  <c r="Q1173" i="34"/>
  <c r="R1173" i="34"/>
  <c r="S1173" i="34"/>
  <c r="T1173" i="34"/>
  <c r="U1173" i="34"/>
  <c r="V1173" i="34"/>
  <c r="W1173" i="34"/>
  <c r="X1173" i="34"/>
  <c r="Y1173" i="34"/>
  <c r="Z1173" i="34"/>
  <c r="N1174" i="34"/>
  <c r="O1174" i="34"/>
  <c r="P1174" i="34"/>
  <c r="Q1174" i="34"/>
  <c r="R1174" i="34"/>
  <c r="S1174" i="34"/>
  <c r="T1174" i="34"/>
  <c r="U1174" i="34"/>
  <c r="V1174" i="34"/>
  <c r="W1174" i="34"/>
  <c r="X1174" i="34"/>
  <c r="Y1174" i="34"/>
  <c r="Z1174" i="34"/>
  <c r="N1175" i="34"/>
  <c r="O1175" i="34"/>
  <c r="P1175" i="34"/>
  <c r="Q1175" i="34"/>
  <c r="R1175" i="34"/>
  <c r="S1175" i="34"/>
  <c r="T1175" i="34"/>
  <c r="U1175" i="34"/>
  <c r="V1175" i="34"/>
  <c r="W1175" i="34"/>
  <c r="X1175" i="34"/>
  <c r="Y1175" i="34"/>
  <c r="Z1175" i="34"/>
  <c r="N1176" i="34"/>
  <c r="O1176" i="34"/>
  <c r="P1176" i="34"/>
  <c r="Q1176" i="34"/>
  <c r="R1176" i="34"/>
  <c r="S1176" i="34"/>
  <c r="T1176" i="34"/>
  <c r="U1176" i="34"/>
  <c r="V1176" i="34"/>
  <c r="W1176" i="34"/>
  <c r="X1176" i="34"/>
  <c r="Y1176" i="34"/>
  <c r="Z1176" i="34"/>
  <c r="N1177" i="34"/>
  <c r="O1177" i="34"/>
  <c r="P1177" i="34"/>
  <c r="Q1177" i="34"/>
  <c r="R1177" i="34"/>
  <c r="S1177" i="34"/>
  <c r="T1177" i="34"/>
  <c r="U1177" i="34"/>
  <c r="V1177" i="34"/>
  <c r="W1177" i="34"/>
  <c r="X1177" i="34"/>
  <c r="Y1177" i="34"/>
  <c r="Z1177" i="34"/>
  <c r="N1178" i="34"/>
  <c r="O1178" i="34"/>
  <c r="P1178" i="34"/>
  <c r="Q1178" i="34"/>
  <c r="R1178" i="34"/>
  <c r="S1178" i="34"/>
  <c r="T1178" i="34"/>
  <c r="U1178" i="34"/>
  <c r="V1178" i="34"/>
  <c r="W1178" i="34"/>
  <c r="X1178" i="34"/>
  <c r="Y1178" i="34"/>
  <c r="Z1178" i="34"/>
  <c r="N1179" i="34"/>
  <c r="O1179" i="34"/>
  <c r="P1179" i="34"/>
  <c r="Q1179" i="34"/>
  <c r="R1179" i="34"/>
  <c r="S1179" i="34"/>
  <c r="T1179" i="34"/>
  <c r="U1179" i="34"/>
  <c r="V1179" i="34"/>
  <c r="W1179" i="34"/>
  <c r="X1179" i="34"/>
  <c r="Y1179" i="34"/>
  <c r="Z1179" i="34"/>
  <c r="N1180" i="34"/>
  <c r="O1180" i="34"/>
  <c r="P1180" i="34"/>
  <c r="Q1180" i="34"/>
  <c r="R1180" i="34"/>
  <c r="S1180" i="34"/>
  <c r="T1180" i="34"/>
  <c r="U1180" i="34"/>
  <c r="V1180" i="34"/>
  <c r="W1180" i="34"/>
  <c r="X1180" i="34"/>
  <c r="Y1180" i="34"/>
  <c r="Z1180" i="34"/>
  <c r="N1181" i="34"/>
  <c r="O1181" i="34"/>
  <c r="P1181" i="34"/>
  <c r="Q1181" i="34"/>
  <c r="R1181" i="34"/>
  <c r="S1181" i="34"/>
  <c r="T1181" i="34"/>
  <c r="U1181" i="34"/>
  <c r="V1181" i="34"/>
  <c r="W1181" i="34"/>
  <c r="X1181" i="34"/>
  <c r="Y1181" i="34"/>
  <c r="Z1181" i="34"/>
  <c r="N1182" i="34"/>
  <c r="O1182" i="34"/>
  <c r="P1182" i="34"/>
  <c r="Q1182" i="34"/>
  <c r="R1182" i="34"/>
  <c r="S1182" i="34"/>
  <c r="T1182" i="34"/>
  <c r="U1182" i="34"/>
  <c r="V1182" i="34"/>
  <c r="W1182" i="34"/>
  <c r="X1182" i="34"/>
  <c r="Y1182" i="34"/>
  <c r="Z1182" i="34"/>
  <c r="N1183" i="34"/>
  <c r="O1183" i="34"/>
  <c r="P1183" i="34"/>
  <c r="Q1183" i="34"/>
  <c r="R1183" i="34"/>
  <c r="S1183" i="34"/>
  <c r="T1183" i="34"/>
  <c r="U1183" i="34"/>
  <c r="V1183" i="34"/>
  <c r="W1183" i="34"/>
  <c r="X1183" i="34"/>
  <c r="Y1183" i="34"/>
  <c r="Z1183" i="34"/>
  <c r="N1184" i="34"/>
  <c r="O1184" i="34"/>
  <c r="P1184" i="34"/>
  <c r="Q1184" i="34"/>
  <c r="R1184" i="34"/>
  <c r="S1184" i="34"/>
  <c r="T1184" i="34"/>
  <c r="U1184" i="34"/>
  <c r="V1184" i="34"/>
  <c r="W1184" i="34"/>
  <c r="X1184" i="34"/>
  <c r="Y1184" i="34"/>
  <c r="Z1184" i="34"/>
  <c r="N1185" i="34"/>
  <c r="O1185" i="34"/>
  <c r="P1185" i="34"/>
  <c r="Q1185" i="34"/>
  <c r="R1185" i="34"/>
  <c r="S1185" i="34"/>
  <c r="T1185" i="34"/>
  <c r="U1185" i="34"/>
  <c r="V1185" i="34"/>
  <c r="W1185" i="34"/>
  <c r="X1185" i="34"/>
  <c r="Y1185" i="34"/>
  <c r="Z1185" i="34"/>
  <c r="N1186" i="34"/>
  <c r="O1186" i="34"/>
  <c r="P1186" i="34"/>
  <c r="Q1186" i="34"/>
  <c r="R1186" i="34"/>
  <c r="S1186" i="34"/>
  <c r="T1186" i="34"/>
  <c r="U1186" i="34"/>
  <c r="V1186" i="34"/>
  <c r="W1186" i="34"/>
  <c r="X1186" i="34"/>
  <c r="Y1186" i="34"/>
  <c r="Z1186" i="34"/>
  <c r="N1187" i="34"/>
  <c r="O1187" i="34"/>
  <c r="P1187" i="34"/>
  <c r="Q1187" i="34"/>
  <c r="R1187" i="34"/>
  <c r="S1187" i="34"/>
  <c r="T1187" i="34"/>
  <c r="U1187" i="34"/>
  <c r="V1187" i="34"/>
  <c r="W1187" i="34"/>
  <c r="X1187" i="34"/>
  <c r="Y1187" i="34"/>
  <c r="Z1187" i="34"/>
  <c r="N1188" i="34"/>
  <c r="O1188" i="34"/>
  <c r="P1188" i="34"/>
  <c r="Q1188" i="34"/>
  <c r="R1188" i="34"/>
  <c r="S1188" i="34"/>
  <c r="T1188" i="34"/>
  <c r="U1188" i="34"/>
  <c r="V1188" i="34"/>
  <c r="W1188" i="34"/>
  <c r="X1188" i="34"/>
  <c r="Y1188" i="34"/>
  <c r="Z1188" i="34"/>
  <c r="N1189" i="34"/>
  <c r="O1189" i="34"/>
  <c r="P1189" i="34"/>
  <c r="Q1189" i="34"/>
  <c r="R1189" i="34"/>
  <c r="S1189" i="34"/>
  <c r="T1189" i="34"/>
  <c r="U1189" i="34"/>
  <c r="V1189" i="34"/>
  <c r="W1189" i="34"/>
  <c r="X1189" i="34"/>
  <c r="Y1189" i="34"/>
  <c r="Z1189" i="34"/>
  <c r="N1190" i="34"/>
  <c r="O1190" i="34"/>
  <c r="P1190" i="34"/>
  <c r="Q1190" i="34"/>
  <c r="R1190" i="34"/>
  <c r="S1190" i="34"/>
  <c r="T1190" i="34"/>
  <c r="U1190" i="34"/>
  <c r="V1190" i="34"/>
  <c r="W1190" i="34"/>
  <c r="X1190" i="34"/>
  <c r="Y1190" i="34"/>
  <c r="Z1190" i="34"/>
  <c r="N1191" i="34"/>
  <c r="O1191" i="34"/>
  <c r="P1191" i="34"/>
  <c r="Q1191" i="34"/>
  <c r="R1191" i="34"/>
  <c r="S1191" i="34"/>
  <c r="T1191" i="34"/>
  <c r="U1191" i="34"/>
  <c r="V1191" i="34"/>
  <c r="W1191" i="34"/>
  <c r="X1191" i="34"/>
  <c r="Y1191" i="34"/>
  <c r="Z1191" i="34"/>
  <c r="N1192" i="34"/>
  <c r="O1192" i="34"/>
  <c r="P1192" i="34"/>
  <c r="Q1192" i="34"/>
  <c r="R1192" i="34"/>
  <c r="S1192" i="34"/>
  <c r="T1192" i="34"/>
  <c r="U1192" i="34"/>
  <c r="V1192" i="34"/>
  <c r="W1192" i="34"/>
  <c r="X1192" i="34"/>
  <c r="Y1192" i="34"/>
  <c r="Z1192" i="34"/>
  <c r="N1193" i="34"/>
  <c r="O1193" i="34"/>
  <c r="P1193" i="34"/>
  <c r="Q1193" i="34"/>
  <c r="R1193" i="34"/>
  <c r="S1193" i="34"/>
  <c r="T1193" i="34"/>
  <c r="U1193" i="34"/>
  <c r="V1193" i="34"/>
  <c r="W1193" i="34"/>
  <c r="X1193" i="34"/>
  <c r="Y1193" i="34"/>
  <c r="Z1193" i="34"/>
  <c r="N1194" i="34"/>
  <c r="O1194" i="34"/>
  <c r="P1194" i="34"/>
  <c r="Q1194" i="34"/>
  <c r="R1194" i="34"/>
  <c r="S1194" i="34"/>
  <c r="T1194" i="34"/>
  <c r="U1194" i="34"/>
  <c r="V1194" i="34"/>
  <c r="W1194" i="34"/>
  <c r="X1194" i="34"/>
  <c r="Y1194" i="34"/>
  <c r="Z1194" i="34"/>
  <c r="N1195" i="34"/>
  <c r="O1195" i="34"/>
  <c r="P1195" i="34"/>
  <c r="Q1195" i="34"/>
  <c r="R1195" i="34"/>
  <c r="S1195" i="34"/>
  <c r="T1195" i="34"/>
  <c r="U1195" i="34"/>
  <c r="V1195" i="34"/>
  <c r="W1195" i="34"/>
  <c r="X1195" i="34"/>
  <c r="Y1195" i="34"/>
  <c r="Z1195" i="34"/>
  <c r="N1196" i="34"/>
  <c r="O1196" i="34"/>
  <c r="P1196" i="34"/>
  <c r="Q1196" i="34"/>
  <c r="R1196" i="34"/>
  <c r="S1196" i="34"/>
  <c r="T1196" i="34"/>
  <c r="U1196" i="34"/>
  <c r="V1196" i="34"/>
  <c r="W1196" i="34"/>
  <c r="X1196" i="34"/>
  <c r="Y1196" i="34"/>
  <c r="Z1196" i="34"/>
  <c r="N1197" i="34"/>
  <c r="O1197" i="34"/>
  <c r="P1197" i="34"/>
  <c r="Q1197" i="34"/>
  <c r="R1197" i="34"/>
  <c r="S1197" i="34"/>
  <c r="T1197" i="34"/>
  <c r="U1197" i="34"/>
  <c r="V1197" i="34"/>
  <c r="W1197" i="34"/>
  <c r="X1197" i="34"/>
  <c r="Y1197" i="34"/>
  <c r="Z1197" i="34"/>
  <c r="N1198" i="34"/>
  <c r="O1198" i="34"/>
  <c r="P1198" i="34"/>
  <c r="Q1198" i="34"/>
  <c r="R1198" i="34"/>
  <c r="S1198" i="34"/>
  <c r="T1198" i="34"/>
  <c r="U1198" i="34"/>
  <c r="V1198" i="34"/>
  <c r="W1198" i="34"/>
  <c r="X1198" i="34"/>
  <c r="Y1198" i="34"/>
  <c r="Z1198" i="34"/>
  <c r="N1199" i="34"/>
  <c r="O1199" i="34"/>
  <c r="P1199" i="34"/>
  <c r="Q1199" i="34"/>
  <c r="R1199" i="34"/>
  <c r="S1199" i="34"/>
  <c r="T1199" i="34"/>
  <c r="U1199" i="34"/>
  <c r="V1199" i="34"/>
  <c r="W1199" i="34"/>
  <c r="X1199" i="34"/>
  <c r="Y1199" i="34"/>
  <c r="Z1199" i="34"/>
  <c r="N1200" i="34"/>
  <c r="O1200" i="34"/>
  <c r="P1200" i="34"/>
  <c r="Q1200" i="34"/>
  <c r="R1200" i="34"/>
  <c r="S1200" i="34"/>
  <c r="T1200" i="34"/>
  <c r="U1200" i="34"/>
  <c r="V1200" i="34"/>
  <c r="W1200" i="34"/>
  <c r="X1200" i="34"/>
  <c r="Y1200" i="34"/>
  <c r="Z1200" i="34"/>
  <c r="N1201" i="34"/>
  <c r="O1201" i="34"/>
  <c r="P1201" i="34"/>
  <c r="Q1201" i="34"/>
  <c r="R1201" i="34"/>
  <c r="S1201" i="34"/>
  <c r="T1201" i="34"/>
  <c r="U1201" i="34"/>
  <c r="V1201" i="34"/>
  <c r="W1201" i="34"/>
  <c r="X1201" i="34"/>
  <c r="Y1201" i="34"/>
  <c r="Z1201" i="34"/>
  <c r="N1202" i="34"/>
  <c r="O1202" i="34"/>
  <c r="P1202" i="34"/>
  <c r="Q1202" i="34"/>
  <c r="R1202" i="34"/>
  <c r="S1202" i="34"/>
  <c r="T1202" i="34"/>
  <c r="U1202" i="34"/>
  <c r="V1202" i="34"/>
  <c r="W1202" i="34"/>
  <c r="X1202" i="34"/>
  <c r="Y1202" i="34"/>
  <c r="Z1202" i="34"/>
  <c r="N1203" i="34"/>
  <c r="O1203" i="34"/>
  <c r="P1203" i="34"/>
  <c r="Q1203" i="34"/>
  <c r="R1203" i="34"/>
  <c r="S1203" i="34"/>
  <c r="T1203" i="34"/>
  <c r="U1203" i="34"/>
  <c r="V1203" i="34"/>
  <c r="W1203" i="34"/>
  <c r="X1203" i="34"/>
  <c r="Y1203" i="34"/>
  <c r="Z1203" i="34"/>
  <c r="N1204" i="34"/>
  <c r="O1204" i="34"/>
  <c r="P1204" i="34"/>
  <c r="Q1204" i="34"/>
  <c r="R1204" i="34"/>
  <c r="S1204" i="34"/>
  <c r="T1204" i="34"/>
  <c r="U1204" i="34"/>
  <c r="V1204" i="34"/>
  <c r="W1204" i="34"/>
  <c r="X1204" i="34"/>
  <c r="Y1204" i="34"/>
  <c r="Z1204" i="34"/>
  <c r="N1205" i="34"/>
  <c r="O1205" i="34"/>
  <c r="P1205" i="34"/>
  <c r="Q1205" i="34"/>
  <c r="R1205" i="34"/>
  <c r="S1205" i="34"/>
  <c r="T1205" i="34"/>
  <c r="U1205" i="34"/>
  <c r="V1205" i="34"/>
  <c r="W1205" i="34"/>
  <c r="X1205" i="34"/>
  <c r="Y1205" i="34"/>
  <c r="Z1205" i="34"/>
  <c r="N1206" i="34"/>
  <c r="O1206" i="34"/>
  <c r="P1206" i="34"/>
  <c r="Q1206" i="34"/>
  <c r="R1206" i="34"/>
  <c r="S1206" i="34"/>
  <c r="T1206" i="34"/>
  <c r="U1206" i="34"/>
  <c r="V1206" i="34"/>
  <c r="W1206" i="34"/>
  <c r="X1206" i="34"/>
  <c r="Y1206" i="34"/>
  <c r="Z1206" i="34"/>
  <c r="N1207" i="34"/>
  <c r="O1207" i="34"/>
  <c r="P1207" i="34"/>
  <c r="Q1207" i="34"/>
  <c r="R1207" i="34"/>
  <c r="S1207" i="34"/>
  <c r="T1207" i="34"/>
  <c r="U1207" i="34"/>
  <c r="V1207" i="34"/>
  <c r="W1207" i="34"/>
  <c r="X1207" i="34"/>
  <c r="Y1207" i="34"/>
  <c r="Z1207" i="34"/>
  <c r="N1208" i="34"/>
  <c r="O1208" i="34"/>
  <c r="P1208" i="34"/>
  <c r="Q1208" i="34"/>
  <c r="R1208" i="34"/>
  <c r="S1208" i="34"/>
  <c r="T1208" i="34"/>
  <c r="U1208" i="34"/>
  <c r="V1208" i="34"/>
  <c r="W1208" i="34"/>
  <c r="X1208" i="34"/>
  <c r="Y1208" i="34"/>
  <c r="Z1208" i="34"/>
  <c r="N1209" i="34"/>
  <c r="O1209" i="34"/>
  <c r="P1209" i="34"/>
  <c r="Q1209" i="34"/>
  <c r="R1209" i="34"/>
  <c r="S1209" i="34"/>
  <c r="T1209" i="34"/>
  <c r="U1209" i="34"/>
  <c r="V1209" i="34"/>
  <c r="W1209" i="34"/>
  <c r="X1209" i="34"/>
  <c r="Y1209" i="34"/>
  <c r="Z1209" i="34"/>
  <c r="N1210" i="34"/>
  <c r="O1210" i="34"/>
  <c r="P1210" i="34"/>
  <c r="Q1210" i="34"/>
  <c r="R1210" i="34"/>
  <c r="S1210" i="34"/>
  <c r="T1210" i="34"/>
  <c r="U1210" i="34"/>
  <c r="V1210" i="34"/>
  <c r="W1210" i="34"/>
  <c r="X1210" i="34"/>
  <c r="Y1210" i="34"/>
  <c r="Z1210" i="34"/>
  <c r="N1211" i="34"/>
  <c r="O1211" i="34"/>
  <c r="P1211" i="34"/>
  <c r="Q1211" i="34"/>
  <c r="R1211" i="34"/>
  <c r="S1211" i="34"/>
  <c r="T1211" i="34"/>
  <c r="U1211" i="34"/>
  <c r="V1211" i="34"/>
  <c r="W1211" i="34"/>
  <c r="X1211" i="34"/>
  <c r="Y1211" i="34"/>
  <c r="Z1211" i="34"/>
  <c r="N1212" i="34"/>
  <c r="O1212" i="34"/>
  <c r="P1212" i="34"/>
  <c r="Q1212" i="34"/>
  <c r="R1212" i="34"/>
  <c r="S1212" i="34"/>
  <c r="T1212" i="34"/>
  <c r="U1212" i="34"/>
  <c r="V1212" i="34"/>
  <c r="W1212" i="34"/>
  <c r="X1212" i="34"/>
  <c r="Y1212" i="34"/>
  <c r="Z1212" i="34"/>
  <c r="N1213" i="34"/>
  <c r="O1213" i="34"/>
  <c r="P1213" i="34"/>
  <c r="Q1213" i="34"/>
  <c r="R1213" i="34"/>
  <c r="S1213" i="34"/>
  <c r="T1213" i="34"/>
  <c r="U1213" i="34"/>
  <c r="V1213" i="34"/>
  <c r="W1213" i="34"/>
  <c r="X1213" i="34"/>
  <c r="Y1213" i="34"/>
  <c r="Z1213" i="34"/>
  <c r="N1214" i="34"/>
  <c r="O1214" i="34"/>
  <c r="P1214" i="34"/>
  <c r="Q1214" i="34"/>
  <c r="R1214" i="34"/>
  <c r="S1214" i="34"/>
  <c r="T1214" i="34"/>
  <c r="U1214" i="34"/>
  <c r="V1214" i="34"/>
  <c r="W1214" i="34"/>
  <c r="X1214" i="34"/>
  <c r="Y1214" i="34"/>
  <c r="Z1214" i="34"/>
  <c r="N1215" i="34"/>
  <c r="O1215" i="34"/>
  <c r="P1215" i="34"/>
  <c r="Q1215" i="34"/>
  <c r="R1215" i="34"/>
  <c r="S1215" i="34"/>
  <c r="T1215" i="34"/>
  <c r="U1215" i="34"/>
  <c r="V1215" i="34"/>
  <c r="W1215" i="34"/>
  <c r="X1215" i="34"/>
  <c r="Y1215" i="34"/>
  <c r="Z1215" i="34"/>
  <c r="N1216" i="34"/>
  <c r="O1216" i="34"/>
  <c r="P1216" i="34"/>
  <c r="Q1216" i="34"/>
  <c r="R1216" i="34"/>
  <c r="S1216" i="34"/>
  <c r="T1216" i="34"/>
  <c r="U1216" i="34"/>
  <c r="V1216" i="34"/>
  <c r="W1216" i="34"/>
  <c r="X1216" i="34"/>
  <c r="Y1216" i="34"/>
  <c r="Z1216" i="34"/>
  <c r="N1217" i="34"/>
  <c r="O1217" i="34"/>
  <c r="P1217" i="34"/>
  <c r="Q1217" i="34"/>
  <c r="R1217" i="34"/>
  <c r="S1217" i="34"/>
  <c r="T1217" i="34"/>
  <c r="U1217" i="34"/>
  <c r="V1217" i="34"/>
  <c r="W1217" i="34"/>
  <c r="X1217" i="34"/>
  <c r="Y1217" i="34"/>
  <c r="Z1217" i="34"/>
  <c r="N1218" i="34"/>
  <c r="O1218" i="34"/>
  <c r="P1218" i="34"/>
  <c r="Q1218" i="34"/>
  <c r="R1218" i="34"/>
  <c r="S1218" i="34"/>
  <c r="T1218" i="34"/>
  <c r="U1218" i="34"/>
  <c r="V1218" i="34"/>
  <c r="W1218" i="34"/>
  <c r="X1218" i="34"/>
  <c r="Y1218" i="34"/>
  <c r="Z1218" i="34"/>
  <c r="N1219" i="34"/>
  <c r="O1219" i="34"/>
  <c r="P1219" i="34"/>
  <c r="Q1219" i="34"/>
  <c r="R1219" i="34"/>
  <c r="S1219" i="34"/>
  <c r="T1219" i="34"/>
  <c r="U1219" i="34"/>
  <c r="V1219" i="34"/>
  <c r="W1219" i="34"/>
  <c r="X1219" i="34"/>
  <c r="Y1219" i="34"/>
  <c r="Z1219" i="34"/>
  <c r="N1220" i="34"/>
  <c r="O1220" i="34"/>
  <c r="P1220" i="34"/>
  <c r="Q1220" i="34"/>
  <c r="R1220" i="34"/>
  <c r="S1220" i="34"/>
  <c r="T1220" i="34"/>
  <c r="U1220" i="34"/>
  <c r="V1220" i="34"/>
  <c r="W1220" i="34"/>
  <c r="X1220" i="34"/>
  <c r="Y1220" i="34"/>
  <c r="Z1220" i="34"/>
  <c r="N1221" i="34"/>
  <c r="O1221" i="34"/>
  <c r="P1221" i="34"/>
  <c r="Q1221" i="34"/>
  <c r="R1221" i="34"/>
  <c r="S1221" i="34"/>
  <c r="T1221" i="34"/>
  <c r="U1221" i="34"/>
  <c r="V1221" i="34"/>
  <c r="W1221" i="34"/>
  <c r="X1221" i="34"/>
  <c r="Y1221" i="34"/>
  <c r="Z1221" i="34"/>
  <c r="N1222" i="34"/>
  <c r="O1222" i="34"/>
  <c r="P1222" i="34"/>
  <c r="Q1222" i="34"/>
  <c r="R1222" i="34"/>
  <c r="S1222" i="34"/>
  <c r="T1222" i="34"/>
  <c r="U1222" i="34"/>
  <c r="V1222" i="34"/>
  <c r="W1222" i="34"/>
  <c r="X1222" i="34"/>
  <c r="Y1222" i="34"/>
  <c r="Z1222" i="34"/>
  <c r="N1223" i="34"/>
  <c r="O1223" i="34"/>
  <c r="P1223" i="34"/>
  <c r="Q1223" i="34"/>
  <c r="R1223" i="34"/>
  <c r="S1223" i="34"/>
  <c r="T1223" i="34"/>
  <c r="U1223" i="34"/>
  <c r="V1223" i="34"/>
  <c r="W1223" i="34"/>
  <c r="X1223" i="34"/>
  <c r="Y1223" i="34"/>
  <c r="Z1223" i="34"/>
  <c r="N1224" i="34"/>
  <c r="O1224" i="34"/>
  <c r="P1224" i="34"/>
  <c r="Q1224" i="34"/>
  <c r="R1224" i="34"/>
  <c r="S1224" i="34"/>
  <c r="T1224" i="34"/>
  <c r="U1224" i="34"/>
  <c r="V1224" i="34"/>
  <c r="W1224" i="34"/>
  <c r="X1224" i="34"/>
  <c r="Y1224" i="34"/>
  <c r="Z1224" i="34"/>
  <c r="N1225" i="34"/>
  <c r="O1225" i="34"/>
  <c r="P1225" i="34"/>
  <c r="Q1225" i="34"/>
  <c r="R1225" i="34"/>
  <c r="S1225" i="34"/>
  <c r="T1225" i="34"/>
  <c r="U1225" i="34"/>
  <c r="V1225" i="34"/>
  <c r="W1225" i="34"/>
  <c r="X1225" i="34"/>
  <c r="Y1225" i="34"/>
  <c r="Z1225" i="34"/>
  <c r="N1226" i="34"/>
  <c r="O1226" i="34"/>
  <c r="P1226" i="34"/>
  <c r="Q1226" i="34"/>
  <c r="R1226" i="34"/>
  <c r="S1226" i="34"/>
  <c r="T1226" i="34"/>
  <c r="U1226" i="34"/>
  <c r="V1226" i="34"/>
  <c r="W1226" i="34"/>
  <c r="X1226" i="34"/>
  <c r="Y1226" i="34"/>
  <c r="Z1226" i="34"/>
  <c r="N1227" i="34"/>
  <c r="O1227" i="34"/>
  <c r="P1227" i="34"/>
  <c r="Q1227" i="34"/>
  <c r="R1227" i="34"/>
  <c r="S1227" i="34"/>
  <c r="T1227" i="34"/>
  <c r="U1227" i="34"/>
  <c r="V1227" i="34"/>
  <c r="W1227" i="34"/>
  <c r="X1227" i="34"/>
  <c r="Y1227" i="34"/>
  <c r="Z1227" i="34"/>
  <c r="N1228" i="34"/>
  <c r="O1228" i="34"/>
  <c r="P1228" i="34"/>
  <c r="Q1228" i="34"/>
  <c r="R1228" i="34"/>
  <c r="S1228" i="34"/>
  <c r="T1228" i="34"/>
  <c r="U1228" i="34"/>
  <c r="V1228" i="34"/>
  <c r="W1228" i="34"/>
  <c r="X1228" i="34"/>
  <c r="Y1228" i="34"/>
  <c r="Z1228" i="34"/>
  <c r="N1229" i="34"/>
  <c r="O1229" i="34"/>
  <c r="P1229" i="34"/>
  <c r="Q1229" i="34"/>
  <c r="R1229" i="34"/>
  <c r="S1229" i="34"/>
  <c r="T1229" i="34"/>
  <c r="U1229" i="34"/>
  <c r="V1229" i="34"/>
  <c r="W1229" i="34"/>
  <c r="X1229" i="34"/>
  <c r="Y1229" i="34"/>
  <c r="Z1229" i="34"/>
  <c r="N1230" i="34"/>
  <c r="O1230" i="34"/>
  <c r="P1230" i="34"/>
  <c r="Q1230" i="34"/>
  <c r="R1230" i="34"/>
  <c r="S1230" i="34"/>
  <c r="T1230" i="34"/>
  <c r="U1230" i="34"/>
  <c r="V1230" i="34"/>
  <c r="W1230" i="34"/>
  <c r="X1230" i="34"/>
  <c r="Y1230" i="34"/>
  <c r="Z1230" i="34"/>
  <c r="N1231" i="34"/>
  <c r="O1231" i="34"/>
  <c r="P1231" i="34"/>
  <c r="Q1231" i="34"/>
  <c r="R1231" i="34"/>
  <c r="S1231" i="34"/>
  <c r="T1231" i="34"/>
  <c r="U1231" i="34"/>
  <c r="V1231" i="34"/>
  <c r="W1231" i="34"/>
  <c r="X1231" i="34"/>
  <c r="Y1231" i="34"/>
  <c r="Z1231" i="34"/>
  <c r="N1232" i="34"/>
  <c r="O1232" i="34"/>
  <c r="P1232" i="34"/>
  <c r="Q1232" i="34"/>
  <c r="R1232" i="34"/>
  <c r="S1232" i="34"/>
  <c r="T1232" i="34"/>
  <c r="U1232" i="34"/>
  <c r="V1232" i="34"/>
  <c r="W1232" i="34"/>
  <c r="X1232" i="34"/>
  <c r="Y1232" i="34"/>
  <c r="Z1232" i="34"/>
  <c r="N1233" i="34"/>
  <c r="O1233" i="34"/>
  <c r="P1233" i="34"/>
  <c r="Q1233" i="34"/>
  <c r="R1233" i="34"/>
  <c r="S1233" i="34"/>
  <c r="T1233" i="34"/>
  <c r="U1233" i="34"/>
  <c r="V1233" i="34"/>
  <c r="W1233" i="34"/>
  <c r="X1233" i="34"/>
  <c r="Y1233" i="34"/>
  <c r="Z1233" i="34"/>
  <c r="N1234" i="34"/>
  <c r="O1234" i="34"/>
  <c r="P1234" i="34"/>
  <c r="Q1234" i="34"/>
  <c r="R1234" i="34"/>
  <c r="S1234" i="34"/>
  <c r="T1234" i="34"/>
  <c r="U1234" i="34"/>
  <c r="V1234" i="34"/>
  <c r="W1234" i="34"/>
  <c r="X1234" i="34"/>
  <c r="Y1234" i="34"/>
  <c r="Z1234" i="34"/>
  <c r="N1235" i="34"/>
  <c r="O1235" i="34"/>
  <c r="P1235" i="34"/>
  <c r="Q1235" i="34"/>
  <c r="R1235" i="34"/>
  <c r="S1235" i="34"/>
  <c r="T1235" i="34"/>
  <c r="U1235" i="34"/>
  <c r="V1235" i="34"/>
  <c r="W1235" i="34"/>
  <c r="X1235" i="34"/>
  <c r="Y1235" i="34"/>
  <c r="Z1235" i="34"/>
  <c r="N1236" i="34"/>
  <c r="O1236" i="34"/>
  <c r="P1236" i="34"/>
  <c r="Q1236" i="34"/>
  <c r="R1236" i="34"/>
  <c r="S1236" i="34"/>
  <c r="T1236" i="34"/>
  <c r="U1236" i="34"/>
  <c r="V1236" i="34"/>
  <c r="W1236" i="34"/>
  <c r="X1236" i="34"/>
  <c r="Y1236" i="34"/>
  <c r="Z1236" i="34"/>
  <c r="N1237" i="34"/>
  <c r="O1237" i="34"/>
  <c r="P1237" i="34"/>
  <c r="Q1237" i="34"/>
  <c r="R1237" i="34"/>
  <c r="S1237" i="34"/>
  <c r="T1237" i="34"/>
  <c r="U1237" i="34"/>
  <c r="V1237" i="34"/>
  <c r="W1237" i="34"/>
  <c r="X1237" i="34"/>
  <c r="Y1237" i="34"/>
  <c r="Z1237" i="34"/>
  <c r="N1238" i="34"/>
  <c r="O1238" i="34"/>
  <c r="P1238" i="34"/>
  <c r="Q1238" i="34"/>
  <c r="R1238" i="34"/>
  <c r="S1238" i="34"/>
  <c r="T1238" i="34"/>
  <c r="U1238" i="34"/>
  <c r="V1238" i="34"/>
  <c r="W1238" i="34"/>
  <c r="X1238" i="34"/>
  <c r="Y1238" i="34"/>
  <c r="Z1238" i="34"/>
  <c r="N1239" i="34"/>
  <c r="O1239" i="34"/>
  <c r="P1239" i="34"/>
  <c r="Q1239" i="34"/>
  <c r="R1239" i="34"/>
  <c r="S1239" i="34"/>
  <c r="T1239" i="34"/>
  <c r="U1239" i="34"/>
  <c r="V1239" i="34"/>
  <c r="W1239" i="34"/>
  <c r="X1239" i="34"/>
  <c r="Y1239" i="34"/>
  <c r="Z1239" i="34"/>
  <c r="N1240" i="34"/>
  <c r="O1240" i="34"/>
  <c r="P1240" i="34"/>
  <c r="Q1240" i="34"/>
  <c r="R1240" i="34"/>
  <c r="S1240" i="34"/>
  <c r="T1240" i="34"/>
  <c r="U1240" i="34"/>
  <c r="V1240" i="34"/>
  <c r="W1240" i="34"/>
  <c r="X1240" i="34"/>
  <c r="Y1240" i="34"/>
  <c r="Z1240" i="34"/>
  <c r="N1241" i="34"/>
  <c r="O1241" i="34"/>
  <c r="P1241" i="34"/>
  <c r="Q1241" i="34"/>
  <c r="R1241" i="34"/>
  <c r="S1241" i="34"/>
  <c r="T1241" i="34"/>
  <c r="U1241" i="34"/>
  <c r="V1241" i="34"/>
  <c r="W1241" i="34"/>
  <c r="X1241" i="34"/>
  <c r="Y1241" i="34"/>
  <c r="Z1241" i="34"/>
  <c r="N1242" i="34"/>
  <c r="O1242" i="34"/>
  <c r="P1242" i="34"/>
  <c r="Q1242" i="34"/>
  <c r="R1242" i="34"/>
  <c r="S1242" i="34"/>
  <c r="T1242" i="34"/>
  <c r="U1242" i="34"/>
  <c r="V1242" i="34"/>
  <c r="W1242" i="34"/>
  <c r="X1242" i="34"/>
  <c r="Y1242" i="34"/>
  <c r="Z1242" i="34"/>
  <c r="N1243" i="34"/>
  <c r="O1243" i="34"/>
  <c r="P1243" i="34"/>
  <c r="Q1243" i="34"/>
  <c r="R1243" i="34"/>
  <c r="S1243" i="34"/>
  <c r="T1243" i="34"/>
  <c r="U1243" i="34"/>
  <c r="V1243" i="34"/>
  <c r="W1243" i="34"/>
  <c r="X1243" i="34"/>
  <c r="Y1243" i="34"/>
  <c r="Z1243" i="34"/>
  <c r="N1244" i="34"/>
  <c r="O1244" i="34"/>
  <c r="P1244" i="34"/>
  <c r="Q1244" i="34"/>
  <c r="R1244" i="34"/>
  <c r="S1244" i="34"/>
  <c r="T1244" i="34"/>
  <c r="U1244" i="34"/>
  <c r="V1244" i="34"/>
  <c r="W1244" i="34"/>
  <c r="X1244" i="34"/>
  <c r="Y1244" i="34"/>
  <c r="Z1244" i="34"/>
  <c r="N1245" i="34"/>
  <c r="O1245" i="34"/>
  <c r="P1245" i="34"/>
  <c r="Q1245" i="34"/>
  <c r="R1245" i="34"/>
  <c r="S1245" i="34"/>
  <c r="T1245" i="34"/>
  <c r="U1245" i="34"/>
  <c r="V1245" i="34"/>
  <c r="W1245" i="34"/>
  <c r="X1245" i="34"/>
  <c r="Y1245" i="34"/>
  <c r="Z1245" i="34"/>
  <c r="N1246" i="34"/>
  <c r="O1246" i="34"/>
  <c r="P1246" i="34"/>
  <c r="Q1246" i="34"/>
  <c r="R1246" i="34"/>
  <c r="S1246" i="34"/>
  <c r="T1246" i="34"/>
  <c r="U1246" i="34"/>
  <c r="V1246" i="34"/>
  <c r="W1246" i="34"/>
  <c r="X1246" i="34"/>
  <c r="Y1246" i="34"/>
  <c r="Z1246" i="34"/>
  <c r="N1247" i="34"/>
  <c r="O1247" i="34"/>
  <c r="P1247" i="34"/>
  <c r="Q1247" i="34"/>
  <c r="R1247" i="34"/>
  <c r="S1247" i="34"/>
  <c r="T1247" i="34"/>
  <c r="U1247" i="34"/>
  <c r="V1247" i="34"/>
  <c r="W1247" i="34"/>
  <c r="X1247" i="34"/>
  <c r="Y1247" i="34"/>
  <c r="Z1247" i="34"/>
  <c r="N1248" i="34"/>
  <c r="O1248" i="34"/>
  <c r="P1248" i="34"/>
  <c r="Q1248" i="34"/>
  <c r="R1248" i="34"/>
  <c r="S1248" i="34"/>
  <c r="T1248" i="34"/>
  <c r="U1248" i="34"/>
  <c r="V1248" i="34"/>
  <c r="W1248" i="34"/>
  <c r="X1248" i="34"/>
  <c r="Y1248" i="34"/>
  <c r="Z1248" i="34"/>
  <c r="N1249" i="34"/>
  <c r="O1249" i="34"/>
  <c r="P1249" i="34"/>
  <c r="Q1249" i="34"/>
  <c r="R1249" i="34"/>
  <c r="S1249" i="34"/>
  <c r="T1249" i="34"/>
  <c r="U1249" i="34"/>
  <c r="V1249" i="34"/>
  <c r="W1249" i="34"/>
  <c r="X1249" i="34"/>
  <c r="Y1249" i="34"/>
  <c r="Z1249" i="34"/>
  <c r="N1250" i="34"/>
  <c r="O1250" i="34"/>
  <c r="P1250" i="34"/>
  <c r="Q1250" i="34"/>
  <c r="R1250" i="34"/>
  <c r="S1250" i="34"/>
  <c r="T1250" i="34"/>
  <c r="U1250" i="34"/>
  <c r="V1250" i="34"/>
  <c r="W1250" i="34"/>
  <c r="X1250" i="34"/>
  <c r="Y1250" i="34"/>
  <c r="Z1250" i="34"/>
  <c r="N1251" i="34"/>
  <c r="O1251" i="34"/>
  <c r="P1251" i="34"/>
  <c r="Q1251" i="34"/>
  <c r="R1251" i="34"/>
  <c r="S1251" i="34"/>
  <c r="T1251" i="34"/>
  <c r="U1251" i="34"/>
  <c r="V1251" i="34"/>
  <c r="W1251" i="34"/>
  <c r="X1251" i="34"/>
  <c r="Y1251" i="34"/>
  <c r="Z1251" i="34"/>
  <c r="N1252" i="34"/>
  <c r="O1252" i="34"/>
  <c r="P1252" i="34"/>
  <c r="Q1252" i="34"/>
  <c r="R1252" i="34"/>
  <c r="S1252" i="34"/>
  <c r="T1252" i="34"/>
  <c r="U1252" i="34"/>
  <c r="V1252" i="34"/>
  <c r="W1252" i="34"/>
  <c r="X1252" i="34"/>
  <c r="Y1252" i="34"/>
  <c r="Z1252" i="34"/>
  <c r="N1253" i="34"/>
  <c r="O1253" i="34"/>
  <c r="P1253" i="34"/>
  <c r="Q1253" i="34"/>
  <c r="R1253" i="34"/>
  <c r="S1253" i="34"/>
  <c r="T1253" i="34"/>
  <c r="U1253" i="34"/>
  <c r="V1253" i="34"/>
  <c r="W1253" i="34"/>
  <c r="X1253" i="34"/>
  <c r="Y1253" i="34"/>
  <c r="Z1253" i="34"/>
  <c r="N1254" i="34"/>
  <c r="O1254" i="34"/>
  <c r="P1254" i="34"/>
  <c r="Q1254" i="34"/>
  <c r="R1254" i="34"/>
  <c r="S1254" i="34"/>
  <c r="T1254" i="34"/>
  <c r="U1254" i="34"/>
  <c r="V1254" i="34"/>
  <c r="W1254" i="34"/>
  <c r="X1254" i="34"/>
  <c r="Y1254" i="34"/>
  <c r="Z1254" i="34"/>
  <c r="N1255" i="34"/>
  <c r="O1255" i="34"/>
  <c r="P1255" i="34"/>
  <c r="Q1255" i="34"/>
  <c r="R1255" i="34"/>
  <c r="S1255" i="34"/>
  <c r="T1255" i="34"/>
  <c r="U1255" i="34"/>
  <c r="V1255" i="34"/>
  <c r="W1255" i="34"/>
  <c r="X1255" i="34"/>
  <c r="Y1255" i="34"/>
  <c r="Z1255" i="34"/>
  <c r="N1256" i="34"/>
  <c r="O1256" i="34"/>
  <c r="P1256" i="34"/>
  <c r="Q1256" i="34"/>
  <c r="R1256" i="34"/>
  <c r="S1256" i="34"/>
  <c r="T1256" i="34"/>
  <c r="U1256" i="34"/>
  <c r="V1256" i="34"/>
  <c r="W1256" i="34"/>
  <c r="X1256" i="34"/>
  <c r="Y1256" i="34"/>
  <c r="Z1256" i="34"/>
  <c r="N1257" i="34"/>
  <c r="O1257" i="34"/>
  <c r="P1257" i="34"/>
  <c r="Q1257" i="34"/>
  <c r="R1257" i="34"/>
  <c r="S1257" i="34"/>
  <c r="T1257" i="34"/>
  <c r="U1257" i="34"/>
  <c r="V1257" i="34"/>
  <c r="W1257" i="34"/>
  <c r="X1257" i="34"/>
  <c r="Y1257" i="34"/>
  <c r="Z1257" i="34"/>
  <c r="N1258" i="34"/>
  <c r="O1258" i="34"/>
  <c r="P1258" i="34"/>
  <c r="Q1258" i="34"/>
  <c r="R1258" i="34"/>
  <c r="S1258" i="34"/>
  <c r="T1258" i="34"/>
  <c r="U1258" i="34"/>
  <c r="V1258" i="34"/>
  <c r="W1258" i="34"/>
  <c r="X1258" i="34"/>
  <c r="Y1258" i="34"/>
  <c r="Z1258" i="34"/>
  <c r="N1259" i="34"/>
  <c r="O1259" i="34"/>
  <c r="P1259" i="34"/>
  <c r="Q1259" i="34"/>
  <c r="R1259" i="34"/>
  <c r="S1259" i="34"/>
  <c r="T1259" i="34"/>
  <c r="U1259" i="34"/>
  <c r="V1259" i="34"/>
  <c r="W1259" i="34"/>
  <c r="X1259" i="34"/>
  <c r="Y1259" i="34"/>
  <c r="Z1259" i="34"/>
  <c r="N1260" i="34"/>
  <c r="O1260" i="34"/>
  <c r="P1260" i="34"/>
  <c r="Q1260" i="34"/>
  <c r="R1260" i="34"/>
  <c r="S1260" i="34"/>
  <c r="T1260" i="34"/>
  <c r="U1260" i="34"/>
  <c r="V1260" i="34"/>
  <c r="W1260" i="34"/>
  <c r="X1260" i="34"/>
  <c r="Y1260" i="34"/>
  <c r="Z1260" i="34"/>
  <c r="N1261" i="34"/>
  <c r="O1261" i="34"/>
  <c r="P1261" i="34"/>
  <c r="Q1261" i="34"/>
  <c r="R1261" i="34"/>
  <c r="S1261" i="34"/>
  <c r="T1261" i="34"/>
  <c r="U1261" i="34"/>
  <c r="V1261" i="34"/>
  <c r="W1261" i="34"/>
  <c r="X1261" i="34"/>
  <c r="Y1261" i="34"/>
  <c r="Z1261" i="34"/>
  <c r="N1262" i="34"/>
  <c r="O1262" i="34"/>
  <c r="P1262" i="34"/>
  <c r="Q1262" i="34"/>
  <c r="R1262" i="34"/>
  <c r="S1262" i="34"/>
  <c r="T1262" i="34"/>
  <c r="U1262" i="34"/>
  <c r="V1262" i="34"/>
  <c r="W1262" i="34"/>
  <c r="X1262" i="34"/>
  <c r="Y1262" i="34"/>
  <c r="Z1262" i="34"/>
  <c r="N1263" i="34"/>
  <c r="O1263" i="34"/>
  <c r="P1263" i="34"/>
  <c r="Q1263" i="34"/>
  <c r="R1263" i="34"/>
  <c r="S1263" i="34"/>
  <c r="T1263" i="34"/>
  <c r="U1263" i="34"/>
  <c r="V1263" i="34"/>
  <c r="W1263" i="34"/>
  <c r="X1263" i="34"/>
  <c r="Y1263" i="34"/>
  <c r="Z1263" i="34"/>
  <c r="N1264" i="34"/>
  <c r="O1264" i="34"/>
  <c r="P1264" i="34"/>
  <c r="Q1264" i="34"/>
  <c r="R1264" i="34"/>
  <c r="S1264" i="34"/>
  <c r="T1264" i="34"/>
  <c r="U1264" i="34"/>
  <c r="V1264" i="34"/>
  <c r="W1264" i="34"/>
  <c r="X1264" i="34"/>
  <c r="Y1264" i="34"/>
  <c r="Z1264" i="34"/>
  <c r="N1265" i="34"/>
  <c r="O1265" i="34"/>
  <c r="P1265" i="34"/>
  <c r="Q1265" i="34"/>
  <c r="R1265" i="34"/>
  <c r="S1265" i="34"/>
  <c r="T1265" i="34"/>
  <c r="U1265" i="34"/>
  <c r="V1265" i="34"/>
  <c r="W1265" i="34"/>
  <c r="X1265" i="34"/>
  <c r="Y1265" i="34"/>
  <c r="Z1265" i="34"/>
  <c r="N1266" i="34"/>
  <c r="O1266" i="34"/>
  <c r="P1266" i="34"/>
  <c r="Q1266" i="34"/>
  <c r="R1266" i="34"/>
  <c r="S1266" i="34"/>
  <c r="T1266" i="34"/>
  <c r="U1266" i="34"/>
  <c r="V1266" i="34"/>
  <c r="W1266" i="34"/>
  <c r="X1266" i="34"/>
  <c r="Y1266" i="34"/>
  <c r="Z1266" i="34"/>
  <c r="N1267" i="34"/>
  <c r="O1267" i="34"/>
  <c r="P1267" i="34"/>
  <c r="Q1267" i="34"/>
  <c r="R1267" i="34"/>
  <c r="S1267" i="34"/>
  <c r="T1267" i="34"/>
  <c r="U1267" i="34"/>
  <c r="V1267" i="34"/>
  <c r="W1267" i="34"/>
  <c r="X1267" i="34"/>
  <c r="Y1267" i="34"/>
  <c r="Z1267" i="34"/>
  <c r="N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Z1268" i="34"/>
  <c r="N1269" i="34"/>
  <c r="O1269" i="34"/>
  <c r="P1269" i="34"/>
  <c r="Q1269" i="34"/>
  <c r="R1269" i="34"/>
  <c r="S1269" i="34"/>
  <c r="T1269" i="34"/>
  <c r="U1269" i="34"/>
  <c r="V1269" i="34"/>
  <c r="W1269" i="34"/>
  <c r="X1269" i="34"/>
  <c r="Y1269" i="34"/>
  <c r="Z1269" i="34"/>
  <c r="N1270" i="34"/>
  <c r="O1270" i="34"/>
  <c r="P1270" i="34"/>
  <c r="Q1270" i="34"/>
  <c r="R1270" i="34"/>
  <c r="S1270" i="34"/>
  <c r="T1270" i="34"/>
  <c r="U1270" i="34"/>
  <c r="V1270" i="34"/>
  <c r="W1270" i="34"/>
  <c r="X1270" i="34"/>
  <c r="Y1270" i="34"/>
  <c r="Z1270" i="34"/>
  <c r="N1271" i="34"/>
  <c r="O1271" i="34"/>
  <c r="P1271" i="34"/>
  <c r="Q1271" i="34"/>
  <c r="R1271" i="34"/>
  <c r="S1271" i="34"/>
  <c r="T1271" i="34"/>
  <c r="U1271" i="34"/>
  <c r="V1271" i="34"/>
  <c r="W1271" i="34"/>
  <c r="X1271" i="34"/>
  <c r="Y1271" i="34"/>
  <c r="Z1271" i="34"/>
  <c r="N1272" i="34"/>
  <c r="O1272" i="34"/>
  <c r="P1272" i="34"/>
  <c r="Q1272" i="34"/>
  <c r="R1272" i="34"/>
  <c r="S1272" i="34"/>
  <c r="T1272" i="34"/>
  <c r="U1272" i="34"/>
  <c r="V1272" i="34"/>
  <c r="W1272" i="34"/>
  <c r="X1272" i="34"/>
  <c r="Y1272" i="34"/>
  <c r="Z1272" i="34"/>
  <c r="N1273" i="34"/>
  <c r="O1273" i="34"/>
  <c r="P1273" i="34"/>
  <c r="Q1273" i="34"/>
  <c r="R1273" i="34"/>
  <c r="S1273" i="34"/>
  <c r="T1273" i="34"/>
  <c r="U1273" i="34"/>
  <c r="V1273" i="34"/>
  <c r="W1273" i="34"/>
  <c r="X1273" i="34"/>
  <c r="Y1273" i="34"/>
  <c r="Z1273" i="34"/>
  <c r="N1274" i="34"/>
  <c r="O1274" i="34"/>
  <c r="P1274" i="34"/>
  <c r="Q1274" i="34"/>
  <c r="R1274" i="34"/>
  <c r="S1274" i="34"/>
  <c r="T1274" i="34"/>
  <c r="U1274" i="34"/>
  <c r="V1274" i="34"/>
  <c r="W1274" i="34"/>
  <c r="X1274" i="34"/>
  <c r="Y1274" i="34"/>
  <c r="Z1274" i="34"/>
  <c r="N1275" i="34"/>
  <c r="O1275" i="34"/>
  <c r="P1275" i="34"/>
  <c r="Q1275" i="34"/>
  <c r="R1275" i="34"/>
  <c r="S1275" i="34"/>
  <c r="T1275" i="34"/>
  <c r="U1275" i="34"/>
  <c r="V1275" i="34"/>
  <c r="W1275" i="34"/>
  <c r="X1275" i="34"/>
  <c r="Y1275" i="34"/>
  <c r="Z1275" i="34"/>
  <c r="N1276" i="34"/>
  <c r="O1276" i="34"/>
  <c r="P1276" i="34"/>
  <c r="Q1276" i="34"/>
  <c r="R1276" i="34"/>
  <c r="S1276" i="34"/>
  <c r="T1276" i="34"/>
  <c r="U1276" i="34"/>
  <c r="V1276" i="34"/>
  <c r="W1276" i="34"/>
  <c r="X1276" i="34"/>
  <c r="Y1276" i="34"/>
  <c r="Z1276" i="34"/>
  <c r="N1277" i="34"/>
  <c r="O1277" i="34"/>
  <c r="P1277" i="34"/>
  <c r="Q1277" i="34"/>
  <c r="R1277" i="34"/>
  <c r="S1277" i="34"/>
  <c r="T1277" i="34"/>
  <c r="U1277" i="34"/>
  <c r="V1277" i="34"/>
  <c r="W1277" i="34"/>
  <c r="X1277" i="34"/>
  <c r="Y1277" i="34"/>
  <c r="Z1277" i="34"/>
  <c r="N1278" i="34"/>
  <c r="O1278" i="34"/>
  <c r="P1278" i="34"/>
  <c r="Q1278" i="34"/>
  <c r="R1278" i="34"/>
  <c r="S1278" i="34"/>
  <c r="T1278" i="34"/>
  <c r="U1278" i="34"/>
  <c r="V1278" i="34"/>
  <c r="W1278" i="34"/>
  <c r="X1278" i="34"/>
  <c r="Y1278" i="34"/>
  <c r="Z1278" i="34"/>
  <c r="N1279" i="34"/>
  <c r="O1279" i="34"/>
  <c r="P1279" i="34"/>
  <c r="Q1279" i="34"/>
  <c r="R1279" i="34"/>
  <c r="S1279" i="34"/>
  <c r="T1279" i="34"/>
  <c r="U1279" i="34"/>
  <c r="V1279" i="34"/>
  <c r="W1279" i="34"/>
  <c r="X1279" i="34"/>
  <c r="Y1279" i="34"/>
  <c r="Z1279" i="34"/>
  <c r="N1280" i="34"/>
  <c r="O1280" i="34"/>
  <c r="P1280" i="34"/>
  <c r="Q1280" i="34"/>
  <c r="R1280" i="34"/>
  <c r="S1280" i="34"/>
  <c r="T1280" i="34"/>
  <c r="U1280" i="34"/>
  <c r="V1280" i="34"/>
  <c r="W1280" i="34"/>
  <c r="X1280" i="34"/>
  <c r="Y1280" i="34"/>
  <c r="Z1280" i="34"/>
  <c r="N1281" i="34"/>
  <c r="O1281" i="34"/>
  <c r="P1281" i="34"/>
  <c r="Q1281" i="34"/>
  <c r="R1281" i="34"/>
  <c r="S1281" i="34"/>
  <c r="T1281" i="34"/>
  <c r="U1281" i="34"/>
  <c r="V1281" i="34"/>
  <c r="W1281" i="34"/>
  <c r="X1281" i="34"/>
  <c r="Y1281" i="34"/>
  <c r="Z1281" i="34"/>
  <c r="N1282" i="34"/>
  <c r="O1282" i="34"/>
  <c r="P1282" i="34"/>
  <c r="Q1282" i="34"/>
  <c r="R1282" i="34"/>
  <c r="S1282" i="34"/>
  <c r="T1282" i="34"/>
  <c r="U1282" i="34"/>
  <c r="V1282" i="34"/>
  <c r="W1282" i="34"/>
  <c r="X1282" i="34"/>
  <c r="Y1282" i="34"/>
  <c r="Z1282" i="34"/>
  <c r="N1283" i="34"/>
  <c r="O1283" i="34"/>
  <c r="P1283" i="34"/>
  <c r="Q1283" i="34"/>
  <c r="R1283" i="34"/>
  <c r="S1283" i="34"/>
  <c r="T1283" i="34"/>
  <c r="U1283" i="34"/>
  <c r="V1283" i="34"/>
  <c r="W1283" i="34"/>
  <c r="X1283" i="34"/>
  <c r="Y1283" i="34"/>
  <c r="Z1283" i="34"/>
  <c r="N1284" i="34"/>
  <c r="O1284" i="34"/>
  <c r="P1284" i="34"/>
  <c r="Q1284" i="34"/>
  <c r="R1284" i="34"/>
  <c r="S1284" i="34"/>
  <c r="T1284" i="34"/>
  <c r="U1284" i="34"/>
  <c r="V1284" i="34"/>
  <c r="W1284" i="34"/>
  <c r="X1284" i="34"/>
  <c r="Y1284" i="34"/>
  <c r="Z1284" i="34"/>
  <c r="N1285" i="34"/>
  <c r="O1285" i="34"/>
  <c r="P1285" i="34"/>
  <c r="Q1285" i="34"/>
  <c r="R1285" i="34"/>
  <c r="S1285" i="34"/>
  <c r="T1285" i="34"/>
  <c r="U1285" i="34"/>
  <c r="V1285" i="34"/>
  <c r="W1285" i="34"/>
  <c r="X1285" i="34"/>
  <c r="Y1285" i="34"/>
  <c r="Z1285" i="34"/>
  <c r="N1286" i="34"/>
  <c r="O1286" i="34"/>
  <c r="P1286" i="34"/>
  <c r="Q1286" i="34"/>
  <c r="R1286" i="34"/>
  <c r="S1286" i="34"/>
  <c r="T1286" i="34"/>
  <c r="U1286" i="34"/>
  <c r="V1286" i="34"/>
  <c r="W1286" i="34"/>
  <c r="X1286" i="34"/>
  <c r="Y1286" i="34"/>
  <c r="Z1286" i="34"/>
  <c r="N1287" i="34"/>
  <c r="O1287" i="34"/>
  <c r="P1287" i="34"/>
  <c r="Q1287" i="34"/>
  <c r="R1287" i="34"/>
  <c r="S1287" i="34"/>
  <c r="T1287" i="34"/>
  <c r="U1287" i="34"/>
  <c r="V1287" i="34"/>
  <c r="W1287" i="34"/>
  <c r="X1287" i="34"/>
  <c r="Y1287" i="34"/>
  <c r="Z1287" i="34"/>
  <c r="N1288" i="34"/>
  <c r="O1288" i="34"/>
  <c r="P1288" i="34"/>
  <c r="Q1288" i="34"/>
  <c r="R1288" i="34"/>
  <c r="S1288" i="34"/>
  <c r="T1288" i="34"/>
  <c r="U1288" i="34"/>
  <c r="V1288" i="34"/>
  <c r="W1288" i="34"/>
  <c r="X1288" i="34"/>
  <c r="Y1288" i="34"/>
  <c r="Z1288" i="34"/>
  <c r="N1289" i="34"/>
  <c r="O1289" i="34"/>
  <c r="P1289" i="34"/>
  <c r="Q1289" i="34"/>
  <c r="R1289" i="34"/>
  <c r="S1289" i="34"/>
  <c r="T1289" i="34"/>
  <c r="U1289" i="34"/>
  <c r="V1289" i="34"/>
  <c r="W1289" i="34"/>
  <c r="X1289" i="34"/>
  <c r="Y1289" i="34"/>
  <c r="Z1289" i="34"/>
  <c r="N1290" i="34"/>
  <c r="O1290" i="34"/>
  <c r="P1290" i="34"/>
  <c r="Q1290" i="34"/>
  <c r="R1290" i="34"/>
  <c r="S1290" i="34"/>
  <c r="T1290" i="34"/>
  <c r="U1290" i="34"/>
  <c r="V1290" i="34"/>
  <c r="W1290" i="34"/>
  <c r="X1290" i="34"/>
  <c r="Y1290" i="34"/>
  <c r="Z1290" i="34"/>
  <c r="N1291" i="34"/>
  <c r="O1291" i="34"/>
  <c r="P1291" i="34"/>
  <c r="Q1291" i="34"/>
  <c r="R1291" i="34"/>
  <c r="S1291" i="34"/>
  <c r="T1291" i="34"/>
  <c r="U1291" i="34"/>
  <c r="V1291" i="34"/>
  <c r="W1291" i="34"/>
  <c r="X1291" i="34"/>
  <c r="Y1291" i="34"/>
  <c r="Z1291" i="34"/>
  <c r="N1292" i="34"/>
  <c r="O1292" i="34"/>
  <c r="P1292" i="34"/>
  <c r="Q1292" i="34"/>
  <c r="R1292" i="34"/>
  <c r="S1292" i="34"/>
  <c r="T1292" i="34"/>
  <c r="U1292" i="34"/>
  <c r="V1292" i="34"/>
  <c r="W1292" i="34"/>
  <c r="X1292" i="34"/>
  <c r="Y1292" i="34"/>
  <c r="Z1292" i="34"/>
  <c r="N1293" i="34"/>
  <c r="O1293" i="34"/>
  <c r="P1293" i="34"/>
  <c r="Q1293" i="34"/>
  <c r="R1293" i="34"/>
  <c r="S1293" i="34"/>
  <c r="T1293" i="34"/>
  <c r="U1293" i="34"/>
  <c r="V1293" i="34"/>
  <c r="W1293" i="34"/>
  <c r="X1293" i="34"/>
  <c r="Y1293" i="34"/>
  <c r="Z1293" i="34"/>
  <c r="N1294" i="34"/>
  <c r="O1294" i="34"/>
  <c r="P1294" i="34"/>
  <c r="Q1294" i="34"/>
  <c r="R1294" i="34"/>
  <c r="S1294" i="34"/>
  <c r="T1294" i="34"/>
  <c r="U1294" i="34"/>
  <c r="V1294" i="34"/>
  <c r="W1294" i="34"/>
  <c r="X1294" i="34"/>
  <c r="Y1294" i="34"/>
  <c r="Z1294" i="34"/>
  <c r="N1295" i="34"/>
  <c r="O1295" i="34"/>
  <c r="P1295" i="34"/>
  <c r="Q1295" i="34"/>
  <c r="R1295" i="34"/>
  <c r="S1295" i="34"/>
  <c r="T1295" i="34"/>
  <c r="U1295" i="34"/>
  <c r="V1295" i="34"/>
  <c r="W1295" i="34"/>
  <c r="X1295" i="34"/>
  <c r="Y1295" i="34"/>
  <c r="Z1295" i="34"/>
  <c r="N1296" i="34"/>
  <c r="O1296" i="34"/>
  <c r="P1296" i="34"/>
  <c r="Q1296" i="34"/>
  <c r="R1296" i="34"/>
  <c r="S1296" i="34"/>
  <c r="T1296" i="34"/>
  <c r="U1296" i="34"/>
  <c r="V1296" i="34"/>
  <c r="W1296" i="34"/>
  <c r="X1296" i="34"/>
  <c r="Y1296" i="34"/>
  <c r="Z1296" i="34"/>
  <c r="N1297" i="34"/>
  <c r="O1297" i="34"/>
  <c r="P1297" i="34"/>
  <c r="Q1297" i="34"/>
  <c r="R1297" i="34"/>
  <c r="S1297" i="34"/>
  <c r="T1297" i="34"/>
  <c r="U1297" i="34"/>
  <c r="V1297" i="34"/>
  <c r="W1297" i="34"/>
  <c r="X1297" i="34"/>
  <c r="Y1297" i="34"/>
  <c r="Z1297" i="34"/>
  <c r="N1298" i="34"/>
  <c r="O1298" i="34"/>
  <c r="P1298" i="34"/>
  <c r="Q1298" i="34"/>
  <c r="R1298" i="34"/>
  <c r="S1298" i="34"/>
  <c r="T1298" i="34"/>
  <c r="U1298" i="34"/>
  <c r="V1298" i="34"/>
  <c r="W1298" i="34"/>
  <c r="X1298" i="34"/>
  <c r="Y1298" i="34"/>
  <c r="Z1298" i="34"/>
  <c r="N1299" i="34"/>
  <c r="O1299" i="34"/>
  <c r="P1299" i="34"/>
  <c r="Q1299" i="34"/>
  <c r="R1299" i="34"/>
  <c r="S1299" i="34"/>
  <c r="T1299" i="34"/>
  <c r="U1299" i="34"/>
  <c r="V1299" i="34"/>
  <c r="W1299" i="34"/>
  <c r="X1299" i="34"/>
  <c r="Y1299" i="34"/>
  <c r="Z1299" i="34"/>
  <c r="N1300" i="34"/>
  <c r="O1300" i="34"/>
  <c r="P1300" i="34"/>
  <c r="Q1300" i="34"/>
  <c r="R1300" i="34"/>
  <c r="S1300" i="34"/>
  <c r="T1300" i="34"/>
  <c r="U1300" i="34"/>
  <c r="V1300" i="34"/>
  <c r="W1300" i="34"/>
  <c r="X1300" i="34"/>
  <c r="Y1300" i="34"/>
  <c r="Z1300" i="34"/>
  <c r="N1301" i="34"/>
  <c r="O1301" i="34"/>
  <c r="P1301" i="34"/>
  <c r="Q1301" i="34"/>
  <c r="R1301" i="34"/>
  <c r="S1301" i="34"/>
  <c r="T1301" i="34"/>
  <c r="U1301" i="34"/>
  <c r="V1301" i="34"/>
  <c r="W1301" i="34"/>
  <c r="X1301" i="34"/>
  <c r="Y1301" i="34"/>
  <c r="Z1301" i="34"/>
  <c r="N1302" i="34"/>
  <c r="O1302" i="34"/>
  <c r="P1302" i="34"/>
  <c r="Q1302" i="34"/>
  <c r="R1302" i="34"/>
  <c r="S1302" i="34"/>
  <c r="T1302" i="34"/>
  <c r="U1302" i="34"/>
  <c r="V1302" i="34"/>
  <c r="W1302" i="34"/>
  <c r="X1302" i="34"/>
  <c r="Y1302" i="34"/>
  <c r="Z1302" i="34"/>
  <c r="N1303" i="34"/>
  <c r="O1303" i="34"/>
  <c r="P1303" i="34"/>
  <c r="Q1303" i="34"/>
  <c r="R1303" i="34"/>
  <c r="S1303" i="34"/>
  <c r="T1303" i="34"/>
  <c r="U1303" i="34"/>
  <c r="V1303" i="34"/>
  <c r="W1303" i="34"/>
  <c r="X1303" i="34"/>
  <c r="Y1303" i="34"/>
  <c r="Z1303" i="34"/>
  <c r="N1304" i="34"/>
  <c r="O1304" i="34"/>
  <c r="P1304" i="34"/>
  <c r="Q1304" i="34"/>
  <c r="R1304" i="34"/>
  <c r="S1304" i="34"/>
  <c r="T1304" i="34"/>
  <c r="U1304" i="34"/>
  <c r="V1304" i="34"/>
  <c r="W1304" i="34"/>
  <c r="X1304" i="34"/>
  <c r="Y1304" i="34"/>
  <c r="Z1304" i="34"/>
  <c r="N1305" i="34"/>
  <c r="O1305" i="34"/>
  <c r="P1305" i="34"/>
  <c r="Q1305" i="34"/>
  <c r="R1305" i="34"/>
  <c r="S1305" i="34"/>
  <c r="T1305" i="34"/>
  <c r="U1305" i="34"/>
  <c r="V1305" i="34"/>
  <c r="W1305" i="34"/>
  <c r="X1305" i="34"/>
  <c r="Y1305" i="34"/>
  <c r="Z1305" i="34"/>
  <c r="N1306" i="34"/>
  <c r="O1306" i="34"/>
  <c r="P1306" i="34"/>
  <c r="Q1306" i="34"/>
  <c r="R1306" i="34"/>
  <c r="S1306" i="34"/>
  <c r="T1306" i="34"/>
  <c r="U1306" i="34"/>
  <c r="V1306" i="34"/>
  <c r="W1306" i="34"/>
  <c r="X1306" i="34"/>
  <c r="Y1306" i="34"/>
  <c r="Z1306" i="34"/>
  <c r="N1307" i="34"/>
  <c r="O1307" i="34"/>
  <c r="P1307" i="34"/>
  <c r="Q1307" i="34"/>
  <c r="R1307" i="34"/>
  <c r="S1307" i="34"/>
  <c r="T1307" i="34"/>
  <c r="U1307" i="34"/>
  <c r="V1307" i="34"/>
  <c r="W1307" i="34"/>
  <c r="X1307" i="34"/>
  <c r="Y1307" i="34"/>
  <c r="Z1307" i="34"/>
  <c r="N1308" i="34"/>
  <c r="O1308" i="34"/>
  <c r="P1308" i="34"/>
  <c r="Q1308" i="34"/>
  <c r="R1308" i="34"/>
  <c r="S1308" i="34"/>
  <c r="T1308" i="34"/>
  <c r="U1308" i="34"/>
  <c r="V1308" i="34"/>
  <c r="W1308" i="34"/>
  <c r="X1308" i="34"/>
  <c r="Y1308" i="34"/>
  <c r="Z1308" i="34"/>
  <c r="N1309" i="34"/>
  <c r="O1309" i="34"/>
  <c r="P1309" i="34"/>
  <c r="Q1309" i="34"/>
  <c r="R1309" i="34"/>
  <c r="S1309" i="34"/>
  <c r="T1309" i="34"/>
  <c r="U1309" i="34"/>
  <c r="V1309" i="34"/>
  <c r="W1309" i="34"/>
  <c r="X1309" i="34"/>
  <c r="Y1309" i="34"/>
  <c r="Z1309" i="34"/>
  <c r="N1310" i="34"/>
  <c r="O1310" i="34"/>
  <c r="P1310" i="34"/>
  <c r="Q1310" i="34"/>
  <c r="R1310" i="34"/>
  <c r="S1310" i="34"/>
  <c r="T1310" i="34"/>
  <c r="U1310" i="34"/>
  <c r="V1310" i="34"/>
  <c r="W1310" i="34"/>
  <c r="X1310" i="34"/>
  <c r="Y1310" i="34"/>
  <c r="Z1310" i="34"/>
  <c r="N1311" i="34"/>
  <c r="O1311" i="34"/>
  <c r="P1311" i="34"/>
  <c r="Q1311" i="34"/>
  <c r="R1311" i="34"/>
  <c r="S1311" i="34"/>
  <c r="T1311" i="34"/>
  <c r="U1311" i="34"/>
  <c r="V1311" i="34"/>
  <c r="W1311" i="34"/>
  <c r="X1311" i="34"/>
  <c r="Y1311" i="34"/>
  <c r="Z1311" i="34"/>
  <c r="N1312" i="34"/>
  <c r="O1312" i="34"/>
  <c r="P1312" i="34"/>
  <c r="Q1312" i="34"/>
  <c r="R1312" i="34"/>
  <c r="S1312" i="34"/>
  <c r="T1312" i="34"/>
  <c r="U1312" i="34"/>
  <c r="V1312" i="34"/>
  <c r="W1312" i="34"/>
  <c r="X1312" i="34"/>
  <c r="Y1312" i="34"/>
  <c r="Z1312" i="34"/>
  <c r="N1313" i="34"/>
  <c r="O1313" i="34"/>
  <c r="P1313" i="34"/>
  <c r="Q1313" i="34"/>
  <c r="R1313" i="34"/>
  <c r="S1313" i="34"/>
  <c r="T1313" i="34"/>
  <c r="U1313" i="34"/>
  <c r="V1313" i="34"/>
  <c r="W1313" i="34"/>
  <c r="X1313" i="34"/>
  <c r="Y1313" i="34"/>
  <c r="Z1313" i="34"/>
  <c r="N1314" i="34"/>
  <c r="O1314" i="34"/>
  <c r="P1314" i="34"/>
  <c r="Q1314" i="34"/>
  <c r="R1314" i="34"/>
  <c r="S1314" i="34"/>
  <c r="T1314" i="34"/>
  <c r="U1314" i="34"/>
  <c r="V1314" i="34"/>
  <c r="W1314" i="34"/>
  <c r="X1314" i="34"/>
  <c r="Y1314" i="34"/>
  <c r="Z1314" i="34"/>
  <c r="N1315" i="34"/>
  <c r="O1315" i="34"/>
  <c r="P1315" i="34"/>
  <c r="Q1315" i="34"/>
  <c r="R1315" i="34"/>
  <c r="S1315" i="34"/>
  <c r="T1315" i="34"/>
  <c r="U1315" i="34"/>
  <c r="V1315" i="34"/>
  <c r="W1315" i="34"/>
  <c r="X1315" i="34"/>
  <c r="Y1315" i="34"/>
  <c r="Z1315" i="34"/>
  <c r="N1316" i="34"/>
  <c r="O1316" i="34"/>
  <c r="P1316" i="34"/>
  <c r="Q1316" i="34"/>
  <c r="R1316" i="34"/>
  <c r="S1316" i="34"/>
  <c r="T1316" i="34"/>
  <c r="U1316" i="34"/>
  <c r="V1316" i="34"/>
  <c r="W1316" i="34"/>
  <c r="X1316" i="34"/>
  <c r="Y1316" i="34"/>
  <c r="Z1316" i="34"/>
  <c r="N1317" i="34"/>
  <c r="O1317" i="34"/>
  <c r="P1317" i="34"/>
  <c r="Q1317" i="34"/>
  <c r="R1317" i="34"/>
  <c r="S1317" i="34"/>
  <c r="T1317" i="34"/>
  <c r="U1317" i="34"/>
  <c r="V1317" i="34"/>
  <c r="W1317" i="34"/>
  <c r="X1317" i="34"/>
  <c r="Y1317" i="34"/>
  <c r="Z1317" i="34"/>
  <c r="N1318" i="34"/>
  <c r="O1318" i="34"/>
  <c r="P1318" i="34"/>
  <c r="Q1318" i="34"/>
  <c r="R1318" i="34"/>
  <c r="S1318" i="34"/>
  <c r="T1318" i="34"/>
  <c r="U1318" i="34"/>
  <c r="V1318" i="34"/>
  <c r="W1318" i="34"/>
  <c r="X1318" i="34"/>
  <c r="Y1318" i="34"/>
  <c r="Z1318" i="34"/>
  <c r="N1319" i="34"/>
  <c r="O1319" i="34"/>
  <c r="P1319" i="34"/>
  <c r="Q1319" i="34"/>
  <c r="R1319" i="34"/>
  <c r="S1319" i="34"/>
  <c r="T1319" i="34"/>
  <c r="U1319" i="34"/>
  <c r="V1319" i="34"/>
  <c r="W1319" i="34"/>
  <c r="X1319" i="34"/>
  <c r="Y1319" i="34"/>
  <c r="Z1319" i="34"/>
  <c r="N1320" i="34"/>
  <c r="O1320" i="34"/>
  <c r="P1320" i="34"/>
  <c r="Q1320" i="34"/>
  <c r="R1320" i="34"/>
  <c r="S1320" i="34"/>
  <c r="T1320" i="34"/>
  <c r="U1320" i="34"/>
  <c r="V1320" i="34"/>
  <c r="W1320" i="34"/>
  <c r="X1320" i="34"/>
  <c r="Y1320" i="34"/>
  <c r="Z1320" i="34"/>
  <c r="N1321" i="34"/>
  <c r="O1321" i="34"/>
  <c r="P1321" i="34"/>
  <c r="Q1321" i="34"/>
  <c r="R1321" i="34"/>
  <c r="S1321" i="34"/>
  <c r="T1321" i="34"/>
  <c r="U1321" i="34"/>
  <c r="V1321" i="34"/>
  <c r="W1321" i="34"/>
  <c r="X1321" i="34"/>
  <c r="Y1321" i="34"/>
  <c r="Z1321" i="34"/>
  <c r="N1322" i="34"/>
  <c r="O1322" i="34"/>
  <c r="P1322" i="34"/>
  <c r="Q1322" i="34"/>
  <c r="R1322" i="34"/>
  <c r="S1322" i="34"/>
  <c r="T1322" i="34"/>
  <c r="U1322" i="34"/>
  <c r="V1322" i="34"/>
  <c r="W1322" i="34"/>
  <c r="X1322" i="34"/>
  <c r="Y1322" i="34"/>
  <c r="Z1322" i="34"/>
  <c r="N1323" i="34"/>
  <c r="O1323" i="34"/>
  <c r="P1323" i="34"/>
  <c r="Q1323" i="34"/>
  <c r="R1323" i="34"/>
  <c r="S1323" i="34"/>
  <c r="T1323" i="34"/>
  <c r="U1323" i="34"/>
  <c r="V1323" i="34"/>
  <c r="W1323" i="34"/>
  <c r="X1323" i="34"/>
  <c r="Y1323" i="34"/>
  <c r="Z1323" i="34"/>
  <c r="N1324" i="34"/>
  <c r="O1324" i="34"/>
  <c r="P1324" i="34"/>
  <c r="Q1324" i="34"/>
  <c r="R1324" i="34"/>
  <c r="S1324" i="34"/>
  <c r="T1324" i="34"/>
  <c r="U1324" i="34"/>
  <c r="V1324" i="34"/>
  <c r="W1324" i="34"/>
  <c r="X1324" i="34"/>
  <c r="Y1324" i="34"/>
  <c r="Z1324" i="34"/>
  <c r="N1325" i="34"/>
  <c r="O1325" i="34"/>
  <c r="P1325" i="34"/>
  <c r="Q1325" i="34"/>
  <c r="R1325" i="34"/>
  <c r="S1325" i="34"/>
  <c r="T1325" i="34"/>
  <c r="U1325" i="34"/>
  <c r="V1325" i="34"/>
  <c r="W1325" i="34"/>
  <c r="X1325" i="34"/>
  <c r="Y1325" i="34"/>
  <c r="Z1325" i="34"/>
  <c r="N1326" i="34"/>
  <c r="O1326" i="34"/>
  <c r="P1326" i="34"/>
  <c r="Q1326" i="34"/>
  <c r="R1326" i="34"/>
  <c r="S1326" i="34"/>
  <c r="T1326" i="34"/>
  <c r="U1326" i="34"/>
  <c r="V1326" i="34"/>
  <c r="W1326" i="34"/>
  <c r="X1326" i="34"/>
  <c r="Y1326" i="34"/>
  <c r="Z1326" i="34"/>
  <c r="N1327" i="34"/>
  <c r="O1327" i="34"/>
  <c r="P1327" i="34"/>
  <c r="Q1327" i="34"/>
  <c r="R1327" i="34"/>
  <c r="S1327" i="34"/>
  <c r="T1327" i="34"/>
  <c r="U1327" i="34"/>
  <c r="V1327" i="34"/>
  <c r="W1327" i="34"/>
  <c r="X1327" i="34"/>
  <c r="Y1327" i="34"/>
  <c r="Z1327" i="34"/>
  <c r="N1328" i="34"/>
  <c r="O1328" i="34"/>
  <c r="P1328" i="34"/>
  <c r="Q1328" i="34"/>
  <c r="R1328" i="34"/>
  <c r="S1328" i="34"/>
  <c r="T1328" i="34"/>
  <c r="U1328" i="34"/>
  <c r="V1328" i="34"/>
  <c r="W1328" i="34"/>
  <c r="X1328" i="34"/>
  <c r="Y1328" i="34"/>
  <c r="Z1328" i="34"/>
  <c r="N1329" i="34"/>
  <c r="O1329" i="34"/>
  <c r="P1329" i="34"/>
  <c r="Q1329" i="34"/>
  <c r="R1329" i="34"/>
  <c r="S1329" i="34"/>
  <c r="T1329" i="34"/>
  <c r="U1329" i="34"/>
  <c r="V1329" i="34"/>
  <c r="W1329" i="34"/>
  <c r="X1329" i="34"/>
  <c r="Y1329" i="34"/>
  <c r="Z1329" i="34"/>
  <c r="N1330" i="34"/>
  <c r="O1330" i="34"/>
  <c r="P1330" i="34"/>
  <c r="Q1330" i="34"/>
  <c r="R1330" i="34"/>
  <c r="S1330" i="34"/>
  <c r="T1330" i="34"/>
  <c r="U1330" i="34"/>
  <c r="V1330" i="34"/>
  <c r="W1330" i="34"/>
  <c r="X1330" i="34"/>
  <c r="Y1330" i="34"/>
  <c r="Z1330" i="34"/>
  <c r="N1331" i="34"/>
  <c r="O1331" i="34"/>
  <c r="P1331" i="34"/>
  <c r="Q1331" i="34"/>
  <c r="R1331" i="34"/>
  <c r="S1331" i="34"/>
  <c r="T1331" i="34"/>
  <c r="U1331" i="34"/>
  <c r="V1331" i="34"/>
  <c r="W1331" i="34"/>
  <c r="X1331" i="34"/>
  <c r="Y1331" i="34"/>
  <c r="Z1331" i="34"/>
  <c r="N1332" i="34"/>
  <c r="O1332" i="34"/>
  <c r="P1332" i="34"/>
  <c r="Q1332" i="34"/>
  <c r="R1332" i="34"/>
  <c r="S1332" i="34"/>
  <c r="T1332" i="34"/>
  <c r="U1332" i="34"/>
  <c r="V1332" i="34"/>
  <c r="W1332" i="34"/>
  <c r="X1332" i="34"/>
  <c r="Y1332" i="34"/>
  <c r="Z1332" i="34"/>
  <c r="N1333" i="34"/>
  <c r="O1333" i="34"/>
  <c r="P1333" i="34"/>
  <c r="Q1333" i="34"/>
  <c r="R1333" i="34"/>
  <c r="S1333" i="34"/>
  <c r="T1333" i="34"/>
  <c r="U1333" i="34"/>
  <c r="V1333" i="34"/>
  <c r="W1333" i="34"/>
  <c r="X1333" i="34"/>
  <c r="Y1333" i="34"/>
  <c r="Z1333" i="34"/>
  <c r="N1334" i="34"/>
  <c r="O1334" i="34"/>
  <c r="P1334" i="34"/>
  <c r="Q1334" i="34"/>
  <c r="R1334" i="34"/>
  <c r="S1334" i="34"/>
  <c r="T1334" i="34"/>
  <c r="U1334" i="34"/>
  <c r="V1334" i="34"/>
  <c r="W1334" i="34"/>
  <c r="X1334" i="34"/>
  <c r="Y1334" i="34"/>
  <c r="Z1334" i="34"/>
  <c r="N1335" i="34"/>
  <c r="O1335" i="34"/>
  <c r="P1335" i="34"/>
  <c r="Q1335" i="34"/>
  <c r="R1335" i="34"/>
  <c r="S1335" i="34"/>
  <c r="T1335" i="34"/>
  <c r="U1335" i="34"/>
  <c r="V1335" i="34"/>
  <c r="W1335" i="34"/>
  <c r="X1335" i="34"/>
  <c r="Y1335" i="34"/>
  <c r="Z1335" i="34"/>
  <c r="N1336" i="34"/>
  <c r="O1336" i="34"/>
  <c r="P1336" i="34"/>
  <c r="Q1336" i="34"/>
  <c r="R1336" i="34"/>
  <c r="S1336" i="34"/>
  <c r="T1336" i="34"/>
  <c r="U1336" i="34"/>
  <c r="V1336" i="34"/>
  <c r="W1336" i="34"/>
  <c r="X1336" i="34"/>
  <c r="Y1336" i="34"/>
  <c r="Z1336" i="34"/>
  <c r="N1337" i="34"/>
  <c r="O1337" i="34"/>
  <c r="P1337" i="34"/>
  <c r="Q1337" i="34"/>
  <c r="R1337" i="34"/>
  <c r="S1337" i="34"/>
  <c r="T1337" i="34"/>
  <c r="U1337" i="34"/>
  <c r="V1337" i="34"/>
  <c r="W1337" i="34"/>
  <c r="X1337" i="34"/>
  <c r="Y1337" i="34"/>
  <c r="Z1337" i="34"/>
  <c r="N1338" i="34"/>
  <c r="O1338" i="34"/>
  <c r="P1338" i="34"/>
  <c r="Q1338" i="34"/>
  <c r="R1338" i="34"/>
  <c r="S1338" i="34"/>
  <c r="T1338" i="34"/>
  <c r="U1338" i="34"/>
  <c r="V1338" i="34"/>
  <c r="W1338" i="34"/>
  <c r="X1338" i="34"/>
  <c r="Y1338" i="34"/>
  <c r="Z1338" i="34"/>
  <c r="N1339" i="34"/>
  <c r="O1339" i="34"/>
  <c r="P1339" i="34"/>
  <c r="Q1339" i="34"/>
  <c r="R1339" i="34"/>
  <c r="S1339" i="34"/>
  <c r="T1339" i="34"/>
  <c r="U1339" i="34"/>
  <c r="V1339" i="34"/>
  <c r="W1339" i="34"/>
  <c r="X1339" i="34"/>
  <c r="Y1339" i="34"/>
  <c r="Z1339" i="34"/>
  <c r="N1340" i="34"/>
  <c r="O1340" i="34"/>
  <c r="P1340" i="34"/>
  <c r="Q1340" i="34"/>
  <c r="R1340" i="34"/>
  <c r="S1340" i="34"/>
  <c r="T1340" i="34"/>
  <c r="U1340" i="34"/>
  <c r="V1340" i="34"/>
  <c r="W1340" i="34"/>
  <c r="X1340" i="34"/>
  <c r="Y1340" i="34"/>
  <c r="Z1340" i="34"/>
  <c r="N1341" i="34"/>
  <c r="O1341" i="34"/>
  <c r="P1341" i="34"/>
  <c r="Q1341" i="34"/>
  <c r="R1341" i="34"/>
  <c r="S1341" i="34"/>
  <c r="T1341" i="34"/>
  <c r="U1341" i="34"/>
  <c r="V1341" i="34"/>
  <c r="W1341" i="34"/>
  <c r="X1341" i="34"/>
  <c r="Y1341" i="34"/>
  <c r="Z1341" i="34"/>
  <c r="N1342" i="34"/>
  <c r="O1342" i="34"/>
  <c r="P1342" i="34"/>
  <c r="Q1342" i="34"/>
  <c r="R1342" i="34"/>
  <c r="S1342" i="34"/>
  <c r="T1342" i="34"/>
  <c r="U1342" i="34"/>
  <c r="V1342" i="34"/>
  <c r="W1342" i="34"/>
  <c r="X1342" i="34"/>
  <c r="Y1342" i="34"/>
  <c r="Z1342" i="34"/>
  <c r="N1343" i="34"/>
  <c r="O1343" i="34"/>
  <c r="P1343" i="34"/>
  <c r="Q1343" i="34"/>
  <c r="R1343" i="34"/>
  <c r="S1343" i="34"/>
  <c r="T1343" i="34"/>
  <c r="U1343" i="34"/>
  <c r="V1343" i="34"/>
  <c r="W1343" i="34"/>
  <c r="X1343" i="34"/>
  <c r="Y1343" i="34"/>
  <c r="Z1343" i="34"/>
  <c r="N1344" i="34"/>
  <c r="O1344" i="34"/>
  <c r="P1344" i="34"/>
  <c r="Q1344" i="34"/>
  <c r="R1344" i="34"/>
  <c r="S1344" i="34"/>
  <c r="T1344" i="34"/>
  <c r="U1344" i="34"/>
  <c r="V1344" i="34"/>
  <c r="W1344" i="34"/>
  <c r="X1344" i="34"/>
  <c r="Y1344" i="34"/>
  <c r="Z1344" i="34"/>
  <c r="N1345" i="34"/>
  <c r="O1345" i="34"/>
  <c r="P1345" i="34"/>
  <c r="Q1345" i="34"/>
  <c r="R1345" i="34"/>
  <c r="S1345" i="34"/>
  <c r="T1345" i="34"/>
  <c r="U1345" i="34"/>
  <c r="V1345" i="34"/>
  <c r="W1345" i="34"/>
  <c r="X1345" i="34"/>
  <c r="Y1345" i="34"/>
  <c r="Z1345" i="34"/>
  <c r="N1346" i="34"/>
  <c r="O1346" i="34"/>
  <c r="P1346" i="34"/>
  <c r="Q1346" i="34"/>
  <c r="R1346" i="34"/>
  <c r="S1346" i="34"/>
  <c r="T1346" i="34"/>
  <c r="U1346" i="34"/>
  <c r="V1346" i="34"/>
  <c r="W1346" i="34"/>
  <c r="X1346" i="34"/>
  <c r="Y1346" i="34"/>
  <c r="Z1346" i="34"/>
  <c r="N1347" i="34"/>
  <c r="O1347" i="34"/>
  <c r="P1347" i="34"/>
  <c r="Q1347" i="34"/>
  <c r="R1347" i="34"/>
  <c r="S1347" i="34"/>
  <c r="T1347" i="34"/>
  <c r="U1347" i="34"/>
  <c r="V1347" i="34"/>
  <c r="W1347" i="34"/>
  <c r="X1347" i="34"/>
  <c r="Y1347" i="34"/>
  <c r="Z1347" i="34"/>
  <c r="N1348" i="34"/>
  <c r="O1348" i="34"/>
  <c r="P1348" i="34"/>
  <c r="Q1348" i="34"/>
  <c r="R1348" i="34"/>
  <c r="S1348" i="34"/>
  <c r="T1348" i="34"/>
  <c r="U1348" i="34"/>
  <c r="V1348" i="34"/>
  <c r="W1348" i="34"/>
  <c r="X1348" i="34"/>
  <c r="Y1348" i="34"/>
  <c r="Z1348" i="34"/>
  <c r="N1349" i="34"/>
  <c r="O1349" i="34"/>
  <c r="P1349" i="34"/>
  <c r="Q1349" i="34"/>
  <c r="R1349" i="34"/>
  <c r="S1349" i="34"/>
  <c r="T1349" i="34"/>
  <c r="U1349" i="34"/>
  <c r="V1349" i="34"/>
  <c r="W1349" i="34"/>
  <c r="X1349" i="34"/>
  <c r="Y1349" i="34"/>
  <c r="Z1349" i="34"/>
  <c r="N1350" i="34"/>
  <c r="O1350" i="34"/>
  <c r="P1350" i="34"/>
  <c r="Q1350" i="34"/>
  <c r="R1350" i="34"/>
  <c r="S1350" i="34"/>
  <c r="T1350" i="34"/>
  <c r="U1350" i="34"/>
  <c r="V1350" i="34"/>
  <c r="W1350" i="34"/>
  <c r="X1350" i="34"/>
  <c r="Y1350" i="34"/>
  <c r="Z1350" i="34"/>
  <c r="N1351" i="34"/>
  <c r="O1351" i="34"/>
  <c r="P1351" i="34"/>
  <c r="Q1351" i="34"/>
  <c r="R1351" i="34"/>
  <c r="S1351" i="34"/>
  <c r="T1351" i="34"/>
  <c r="U1351" i="34"/>
  <c r="V1351" i="34"/>
  <c r="W1351" i="34"/>
  <c r="X1351" i="34"/>
  <c r="Y1351" i="34"/>
  <c r="Z1351" i="34"/>
  <c r="N1352" i="34"/>
  <c r="O1352" i="34"/>
  <c r="P1352" i="34"/>
  <c r="Q1352" i="34"/>
  <c r="R1352" i="34"/>
  <c r="S1352" i="34"/>
  <c r="T1352" i="34"/>
  <c r="U1352" i="34"/>
  <c r="V1352" i="34"/>
  <c r="W1352" i="34"/>
  <c r="X1352" i="34"/>
  <c r="Y1352" i="34"/>
  <c r="Z1352" i="34"/>
  <c r="N1353" i="34"/>
  <c r="O1353" i="34"/>
  <c r="P1353" i="34"/>
  <c r="Q1353" i="34"/>
  <c r="R1353" i="34"/>
  <c r="S1353" i="34"/>
  <c r="T1353" i="34"/>
  <c r="U1353" i="34"/>
  <c r="V1353" i="34"/>
  <c r="W1353" i="34"/>
  <c r="X1353" i="34"/>
  <c r="Y1353" i="34"/>
  <c r="Z1353" i="34"/>
  <c r="N1354" i="34"/>
  <c r="O1354" i="34"/>
  <c r="P1354" i="34"/>
  <c r="Q1354" i="34"/>
  <c r="R1354" i="34"/>
  <c r="S1354" i="34"/>
  <c r="T1354" i="34"/>
  <c r="U1354" i="34"/>
  <c r="V1354" i="34"/>
  <c r="W1354" i="34"/>
  <c r="X1354" i="34"/>
  <c r="Y1354" i="34"/>
  <c r="Z1354" i="34"/>
  <c r="N1355" i="34"/>
  <c r="O1355" i="34"/>
  <c r="P1355" i="34"/>
  <c r="Q1355" i="34"/>
  <c r="R1355" i="34"/>
  <c r="S1355" i="34"/>
  <c r="T1355" i="34"/>
  <c r="U1355" i="34"/>
  <c r="V1355" i="34"/>
  <c r="W1355" i="34"/>
  <c r="X1355" i="34"/>
  <c r="Y1355" i="34"/>
  <c r="Z1355" i="34"/>
  <c r="N1356" i="34"/>
  <c r="O1356" i="34"/>
  <c r="P1356" i="34"/>
  <c r="Q1356" i="34"/>
  <c r="R1356" i="34"/>
  <c r="S1356" i="34"/>
  <c r="T1356" i="34"/>
  <c r="U1356" i="34"/>
  <c r="V1356" i="34"/>
  <c r="W1356" i="34"/>
  <c r="X1356" i="34"/>
  <c r="Y1356" i="34"/>
  <c r="Z1356" i="34"/>
  <c r="N1357" i="34"/>
  <c r="O1357" i="34"/>
  <c r="P1357" i="34"/>
  <c r="Q1357" i="34"/>
  <c r="R1357" i="34"/>
  <c r="S1357" i="34"/>
  <c r="T1357" i="34"/>
  <c r="U1357" i="34"/>
  <c r="V1357" i="34"/>
  <c r="W1357" i="34"/>
  <c r="X1357" i="34"/>
  <c r="Y1357" i="34"/>
  <c r="Z1357" i="34"/>
  <c r="N1358" i="34"/>
  <c r="O1358" i="34"/>
  <c r="P1358" i="34"/>
  <c r="Q1358" i="34"/>
  <c r="R1358" i="34"/>
  <c r="S1358" i="34"/>
  <c r="T1358" i="34"/>
  <c r="U1358" i="34"/>
  <c r="V1358" i="34"/>
  <c r="W1358" i="34"/>
  <c r="X1358" i="34"/>
  <c r="Y1358" i="34"/>
  <c r="Z1358" i="34"/>
  <c r="N1359" i="34"/>
  <c r="O1359" i="34"/>
  <c r="P1359" i="34"/>
  <c r="Q1359" i="34"/>
  <c r="R1359" i="34"/>
  <c r="S1359" i="34"/>
  <c r="T1359" i="34"/>
  <c r="U1359" i="34"/>
  <c r="V1359" i="34"/>
  <c r="W1359" i="34"/>
  <c r="X1359" i="34"/>
  <c r="Y1359" i="34"/>
  <c r="Z1359" i="34"/>
  <c r="N1360" i="34"/>
  <c r="O1360" i="34"/>
  <c r="P1360" i="34"/>
  <c r="Q1360" i="34"/>
  <c r="R1360" i="34"/>
  <c r="S1360" i="34"/>
  <c r="T1360" i="34"/>
  <c r="U1360" i="34"/>
  <c r="V1360" i="34"/>
  <c r="W1360" i="34"/>
  <c r="X1360" i="34"/>
  <c r="Y1360" i="34"/>
  <c r="Z1360" i="34"/>
  <c r="N1361" i="34"/>
  <c r="O1361" i="34"/>
  <c r="P1361" i="34"/>
  <c r="Q1361" i="34"/>
  <c r="R1361" i="34"/>
  <c r="S1361" i="34"/>
  <c r="T1361" i="34"/>
  <c r="U1361" i="34"/>
  <c r="V1361" i="34"/>
  <c r="W1361" i="34"/>
  <c r="X1361" i="34"/>
  <c r="Y1361" i="34"/>
  <c r="Z1361" i="34"/>
  <c r="N1362" i="34"/>
  <c r="O1362" i="34"/>
  <c r="P1362" i="34"/>
  <c r="Q1362" i="34"/>
  <c r="R1362" i="34"/>
  <c r="S1362" i="34"/>
  <c r="T1362" i="34"/>
  <c r="U1362" i="34"/>
  <c r="V1362" i="34"/>
  <c r="W1362" i="34"/>
  <c r="X1362" i="34"/>
  <c r="Y1362" i="34"/>
  <c r="Z1362" i="34"/>
  <c r="N1363" i="34"/>
  <c r="O1363" i="34"/>
  <c r="P1363" i="34"/>
  <c r="Q1363" i="34"/>
  <c r="R1363" i="34"/>
  <c r="S1363" i="34"/>
  <c r="T1363" i="34"/>
  <c r="U1363" i="34"/>
  <c r="V1363" i="34"/>
  <c r="W1363" i="34"/>
  <c r="X1363" i="34"/>
  <c r="Y1363" i="34"/>
  <c r="Z1363" i="34"/>
  <c r="N1364" i="34"/>
  <c r="O1364" i="34"/>
  <c r="P1364" i="34"/>
  <c r="Q1364" i="34"/>
  <c r="R1364" i="34"/>
  <c r="S1364" i="34"/>
  <c r="T1364" i="34"/>
  <c r="U1364" i="34"/>
  <c r="V1364" i="34"/>
  <c r="W1364" i="34"/>
  <c r="X1364" i="34"/>
  <c r="Y1364" i="34"/>
  <c r="Z1364" i="34"/>
  <c r="N1365" i="34"/>
  <c r="O1365" i="34"/>
  <c r="P1365" i="34"/>
  <c r="Q1365" i="34"/>
  <c r="R1365" i="34"/>
  <c r="S1365" i="34"/>
  <c r="T1365" i="34"/>
  <c r="U1365" i="34"/>
  <c r="V1365" i="34"/>
  <c r="W1365" i="34"/>
  <c r="X1365" i="34"/>
  <c r="Y1365" i="34"/>
  <c r="Z1365" i="34"/>
  <c r="N1366" i="34"/>
  <c r="O1366" i="34"/>
  <c r="P1366" i="34"/>
  <c r="Q1366" i="34"/>
  <c r="R1366" i="34"/>
  <c r="S1366" i="34"/>
  <c r="T1366" i="34"/>
  <c r="U1366" i="34"/>
  <c r="V1366" i="34"/>
  <c r="W1366" i="34"/>
  <c r="X1366" i="34"/>
  <c r="Y1366" i="34"/>
  <c r="Z1366" i="34"/>
  <c r="N1367" i="34"/>
  <c r="O1367" i="34"/>
  <c r="P1367" i="34"/>
  <c r="Q1367" i="34"/>
  <c r="R1367" i="34"/>
  <c r="S1367" i="34"/>
  <c r="T1367" i="34"/>
  <c r="U1367" i="34"/>
  <c r="V1367" i="34"/>
  <c r="W1367" i="34"/>
  <c r="X1367" i="34"/>
  <c r="Y1367" i="34"/>
  <c r="Z1367" i="34"/>
  <c r="N1368" i="34"/>
  <c r="O1368" i="34"/>
  <c r="P1368" i="34"/>
  <c r="Q1368" i="34"/>
  <c r="R1368" i="34"/>
  <c r="S1368" i="34"/>
  <c r="T1368" i="34"/>
  <c r="U1368" i="34"/>
  <c r="V1368" i="34"/>
  <c r="W1368" i="34"/>
  <c r="X1368" i="34"/>
  <c r="Y1368" i="34"/>
  <c r="Z1368" i="34"/>
  <c r="N1369" i="34"/>
  <c r="O1369" i="34"/>
  <c r="P1369" i="34"/>
  <c r="Q1369" i="34"/>
  <c r="R1369" i="34"/>
  <c r="S1369" i="34"/>
  <c r="T1369" i="34"/>
  <c r="U1369" i="34"/>
  <c r="V1369" i="34"/>
  <c r="W1369" i="34"/>
  <c r="X1369" i="34"/>
  <c r="Y1369" i="34"/>
  <c r="Z1369" i="34"/>
  <c r="N1370" i="34"/>
  <c r="O1370" i="34"/>
  <c r="P1370" i="34"/>
  <c r="Q1370" i="34"/>
  <c r="R1370" i="34"/>
  <c r="S1370" i="34"/>
  <c r="T1370" i="34"/>
  <c r="U1370" i="34"/>
  <c r="V1370" i="34"/>
  <c r="W1370" i="34"/>
  <c r="X1370" i="34"/>
  <c r="Y1370" i="34"/>
  <c r="Z1370" i="34"/>
  <c r="N1371" i="34"/>
  <c r="O1371" i="34"/>
  <c r="P1371" i="34"/>
  <c r="Q1371" i="34"/>
  <c r="R1371" i="34"/>
  <c r="S1371" i="34"/>
  <c r="T1371" i="34"/>
  <c r="U1371" i="34"/>
  <c r="V1371" i="34"/>
  <c r="W1371" i="34"/>
  <c r="X1371" i="34"/>
  <c r="Y1371" i="34"/>
  <c r="Z1371" i="34"/>
  <c r="N1372" i="34"/>
  <c r="O1372" i="34"/>
  <c r="P1372" i="34"/>
  <c r="Q1372" i="34"/>
  <c r="R1372" i="34"/>
  <c r="S1372" i="34"/>
  <c r="T1372" i="34"/>
  <c r="U1372" i="34"/>
  <c r="V1372" i="34"/>
  <c r="W1372" i="34"/>
  <c r="X1372" i="34"/>
  <c r="Y1372" i="34"/>
  <c r="Z1372" i="34"/>
  <c r="N1373" i="34"/>
  <c r="O1373" i="34"/>
  <c r="P1373" i="34"/>
  <c r="Q1373" i="34"/>
  <c r="R1373" i="34"/>
  <c r="S1373" i="34"/>
  <c r="T1373" i="34"/>
  <c r="U1373" i="34"/>
  <c r="V1373" i="34"/>
  <c r="W1373" i="34"/>
  <c r="X1373" i="34"/>
  <c r="Y1373" i="34"/>
  <c r="Z1373" i="34"/>
  <c r="N1374" i="34"/>
  <c r="O1374" i="34"/>
  <c r="P1374" i="34"/>
  <c r="Q1374" i="34"/>
  <c r="R1374" i="34"/>
  <c r="S1374" i="34"/>
  <c r="T1374" i="34"/>
  <c r="U1374" i="34"/>
  <c r="V1374" i="34"/>
  <c r="W1374" i="34"/>
  <c r="X1374" i="34"/>
  <c r="Y1374" i="34"/>
  <c r="Z1374" i="34"/>
  <c r="N1375" i="34"/>
  <c r="O1375" i="34"/>
  <c r="P1375" i="34"/>
  <c r="Q1375" i="34"/>
  <c r="R1375" i="34"/>
  <c r="S1375" i="34"/>
  <c r="T1375" i="34"/>
  <c r="U1375" i="34"/>
  <c r="V1375" i="34"/>
  <c r="W1375" i="34"/>
  <c r="X1375" i="34"/>
  <c r="Y1375" i="34"/>
  <c r="Z1375" i="34"/>
  <c r="N1376" i="34"/>
  <c r="O1376" i="34"/>
  <c r="P1376" i="34"/>
  <c r="Q1376" i="34"/>
  <c r="R1376" i="34"/>
  <c r="S1376" i="34"/>
  <c r="T1376" i="34"/>
  <c r="U1376" i="34"/>
  <c r="V1376" i="34"/>
  <c r="W1376" i="34"/>
  <c r="X1376" i="34"/>
  <c r="Y1376" i="34"/>
  <c r="Z1376" i="34"/>
  <c r="N1377" i="34"/>
  <c r="O1377" i="34"/>
  <c r="P1377" i="34"/>
  <c r="Q1377" i="34"/>
  <c r="R1377" i="34"/>
  <c r="S1377" i="34"/>
  <c r="T1377" i="34"/>
  <c r="U1377" i="34"/>
  <c r="V1377" i="34"/>
  <c r="W1377" i="34"/>
  <c r="X1377" i="34"/>
  <c r="Y1377" i="34"/>
  <c r="Z1377" i="34"/>
  <c r="N1378" i="34"/>
  <c r="O1378" i="34"/>
  <c r="P1378" i="34"/>
  <c r="Q1378" i="34"/>
  <c r="R1378" i="34"/>
  <c r="S1378" i="34"/>
  <c r="T1378" i="34"/>
  <c r="U1378" i="34"/>
  <c r="V1378" i="34"/>
  <c r="W1378" i="34"/>
  <c r="X1378" i="34"/>
  <c r="Y1378" i="34"/>
  <c r="Z1378" i="34"/>
  <c r="N1379" i="34"/>
  <c r="O1379" i="34"/>
  <c r="P1379" i="34"/>
  <c r="Q1379" i="34"/>
  <c r="R1379" i="34"/>
  <c r="S1379" i="34"/>
  <c r="T1379" i="34"/>
  <c r="U1379" i="34"/>
  <c r="V1379" i="34"/>
  <c r="W1379" i="34"/>
  <c r="X1379" i="34"/>
  <c r="Y1379" i="34"/>
  <c r="Z1379" i="34"/>
  <c r="N1380" i="34"/>
  <c r="O1380" i="34"/>
  <c r="P1380" i="34"/>
  <c r="Q1380" i="34"/>
  <c r="R1380" i="34"/>
  <c r="S1380" i="34"/>
  <c r="T1380" i="34"/>
  <c r="U1380" i="34"/>
  <c r="V1380" i="34"/>
  <c r="W1380" i="34"/>
  <c r="X1380" i="34"/>
  <c r="Y1380" i="34"/>
  <c r="Z1380" i="34"/>
  <c r="N1381" i="34"/>
  <c r="O1381" i="34"/>
  <c r="P1381" i="34"/>
  <c r="Q1381" i="34"/>
  <c r="R1381" i="34"/>
  <c r="S1381" i="34"/>
  <c r="T1381" i="34"/>
  <c r="U1381" i="34"/>
  <c r="V1381" i="34"/>
  <c r="W1381" i="34"/>
  <c r="X1381" i="34"/>
  <c r="Y1381" i="34"/>
  <c r="Z1381" i="34"/>
  <c r="N1382" i="34"/>
  <c r="O1382" i="34"/>
  <c r="P1382" i="34"/>
  <c r="Q1382" i="34"/>
  <c r="R1382" i="34"/>
  <c r="S1382" i="34"/>
  <c r="T1382" i="34"/>
  <c r="U1382" i="34"/>
  <c r="V1382" i="34"/>
  <c r="W1382" i="34"/>
  <c r="X1382" i="34"/>
  <c r="Y1382" i="34"/>
  <c r="Z1382" i="34"/>
  <c r="N1383" i="34"/>
  <c r="O1383" i="34"/>
  <c r="P1383" i="34"/>
  <c r="Q1383" i="34"/>
  <c r="R1383" i="34"/>
  <c r="S1383" i="34"/>
  <c r="T1383" i="34"/>
  <c r="U1383" i="34"/>
  <c r="V1383" i="34"/>
  <c r="W1383" i="34"/>
  <c r="X1383" i="34"/>
  <c r="Y1383" i="34"/>
  <c r="Z1383" i="34"/>
  <c r="N1384" i="34"/>
  <c r="O1384" i="34"/>
  <c r="P1384" i="34"/>
  <c r="Q1384" i="34"/>
  <c r="R1384" i="34"/>
  <c r="S1384" i="34"/>
  <c r="T1384" i="34"/>
  <c r="U1384" i="34"/>
  <c r="V1384" i="34"/>
  <c r="W1384" i="34"/>
  <c r="X1384" i="34"/>
  <c r="Y1384" i="34"/>
  <c r="Z1384" i="34"/>
  <c r="N1385" i="34"/>
  <c r="O1385" i="34"/>
  <c r="P1385" i="34"/>
  <c r="Q1385" i="34"/>
  <c r="R1385" i="34"/>
  <c r="S1385" i="34"/>
  <c r="T1385" i="34"/>
  <c r="U1385" i="34"/>
  <c r="V1385" i="34"/>
  <c r="W1385" i="34"/>
  <c r="X1385" i="34"/>
  <c r="Y1385" i="34"/>
  <c r="Z1385" i="34"/>
  <c r="N1386" i="34"/>
  <c r="O1386" i="34"/>
  <c r="P1386" i="34"/>
  <c r="Q1386" i="34"/>
  <c r="R1386" i="34"/>
  <c r="S1386" i="34"/>
  <c r="T1386" i="34"/>
  <c r="U1386" i="34"/>
  <c r="V1386" i="34"/>
  <c r="W1386" i="34"/>
  <c r="X1386" i="34"/>
  <c r="Y1386" i="34"/>
  <c r="Z1386" i="34"/>
  <c r="N1387" i="34"/>
  <c r="O1387" i="34"/>
  <c r="P1387" i="34"/>
  <c r="Q1387" i="34"/>
  <c r="R1387" i="34"/>
  <c r="S1387" i="34"/>
  <c r="T1387" i="34"/>
  <c r="U1387" i="34"/>
  <c r="V1387" i="34"/>
  <c r="W1387" i="34"/>
  <c r="X1387" i="34"/>
  <c r="Y1387" i="34"/>
  <c r="Z1387" i="34"/>
  <c r="N1388" i="34"/>
  <c r="O1388" i="34"/>
  <c r="P1388" i="34"/>
  <c r="Q1388" i="34"/>
  <c r="R1388" i="34"/>
  <c r="S1388" i="34"/>
  <c r="T1388" i="34"/>
  <c r="U1388" i="34"/>
  <c r="V1388" i="34"/>
  <c r="W1388" i="34"/>
  <c r="X1388" i="34"/>
  <c r="Y1388" i="34"/>
  <c r="Z1388" i="34"/>
  <c r="N1389" i="34"/>
  <c r="O1389" i="34"/>
  <c r="P1389" i="34"/>
  <c r="Q1389" i="34"/>
  <c r="R1389" i="34"/>
  <c r="S1389" i="34"/>
  <c r="T1389" i="34"/>
  <c r="U1389" i="34"/>
  <c r="V1389" i="34"/>
  <c r="W1389" i="34"/>
  <c r="X1389" i="34"/>
  <c r="Y1389" i="34"/>
  <c r="Z1389" i="34"/>
  <c r="N1390" i="34"/>
  <c r="O1390" i="34"/>
  <c r="P1390" i="34"/>
  <c r="Q1390" i="34"/>
  <c r="R1390" i="34"/>
  <c r="S1390" i="34"/>
  <c r="T1390" i="34"/>
  <c r="U1390" i="34"/>
  <c r="V1390" i="34"/>
  <c r="W1390" i="34"/>
  <c r="X1390" i="34"/>
  <c r="Y1390" i="34"/>
  <c r="Z1390" i="34"/>
  <c r="N1391" i="34"/>
  <c r="O1391" i="34"/>
  <c r="P1391" i="34"/>
  <c r="Q1391" i="34"/>
  <c r="R1391" i="34"/>
  <c r="S1391" i="34"/>
  <c r="T1391" i="34"/>
  <c r="U1391" i="34"/>
  <c r="V1391" i="34"/>
  <c r="W1391" i="34"/>
  <c r="X1391" i="34"/>
  <c r="Y1391" i="34"/>
  <c r="Z1391" i="34"/>
  <c r="N1392" i="34"/>
  <c r="O1392" i="34"/>
  <c r="P1392" i="34"/>
  <c r="Q1392" i="34"/>
  <c r="R1392" i="34"/>
  <c r="S1392" i="34"/>
  <c r="T1392" i="34"/>
  <c r="U1392" i="34"/>
  <c r="V1392" i="34"/>
  <c r="W1392" i="34"/>
  <c r="X1392" i="34"/>
  <c r="Y1392" i="34"/>
  <c r="Z1392" i="34"/>
  <c r="N1393" i="34"/>
  <c r="O1393" i="34"/>
  <c r="P1393" i="34"/>
  <c r="Q1393" i="34"/>
  <c r="R1393" i="34"/>
  <c r="S1393" i="34"/>
  <c r="T1393" i="34"/>
  <c r="U1393" i="34"/>
  <c r="V1393" i="34"/>
  <c r="W1393" i="34"/>
  <c r="X1393" i="34"/>
  <c r="Y1393" i="34"/>
  <c r="Z1393" i="34"/>
  <c r="N1394" i="34"/>
  <c r="O1394" i="34"/>
  <c r="P1394" i="34"/>
  <c r="Q1394" i="34"/>
  <c r="R1394" i="34"/>
  <c r="S1394" i="34"/>
  <c r="T1394" i="34"/>
  <c r="U1394" i="34"/>
  <c r="V1394" i="34"/>
  <c r="W1394" i="34"/>
  <c r="X1394" i="34"/>
  <c r="Y1394" i="34"/>
  <c r="Z1394" i="34"/>
  <c r="N1395" i="34"/>
  <c r="O1395" i="34"/>
  <c r="P1395" i="34"/>
  <c r="Q1395" i="34"/>
  <c r="R1395" i="34"/>
  <c r="S1395" i="34"/>
  <c r="T1395" i="34"/>
  <c r="U1395" i="34"/>
  <c r="V1395" i="34"/>
  <c r="W1395" i="34"/>
  <c r="X1395" i="34"/>
  <c r="Y1395" i="34"/>
  <c r="Z1395" i="34"/>
  <c r="N1396" i="34"/>
  <c r="O1396" i="34"/>
  <c r="P1396" i="34"/>
  <c r="Q1396" i="34"/>
  <c r="R1396" i="34"/>
  <c r="S1396" i="34"/>
  <c r="T1396" i="34"/>
  <c r="U1396" i="34"/>
  <c r="V1396" i="34"/>
  <c r="W1396" i="34"/>
  <c r="X1396" i="34"/>
  <c r="Y1396" i="34"/>
  <c r="Z1396" i="34"/>
  <c r="N1397" i="34"/>
  <c r="O1397" i="34"/>
  <c r="P1397" i="34"/>
  <c r="Q1397" i="34"/>
  <c r="R1397" i="34"/>
  <c r="S1397" i="34"/>
  <c r="T1397" i="34"/>
  <c r="U1397" i="34"/>
  <c r="V1397" i="34"/>
  <c r="W1397" i="34"/>
  <c r="X1397" i="34"/>
  <c r="Y1397" i="34"/>
  <c r="Z1397" i="34"/>
  <c r="N1398" i="34"/>
  <c r="O1398" i="34"/>
  <c r="P1398" i="34"/>
  <c r="Q1398" i="34"/>
  <c r="R1398" i="34"/>
  <c r="S1398" i="34"/>
  <c r="T1398" i="34"/>
  <c r="U1398" i="34"/>
  <c r="V1398" i="34"/>
  <c r="W1398" i="34"/>
  <c r="X1398" i="34"/>
  <c r="Y1398" i="34"/>
  <c r="Z1398" i="34"/>
  <c r="N1399" i="34"/>
  <c r="O1399" i="34"/>
  <c r="P1399" i="34"/>
  <c r="Q1399" i="34"/>
  <c r="R1399" i="34"/>
  <c r="S1399" i="34"/>
  <c r="T1399" i="34"/>
  <c r="U1399" i="34"/>
  <c r="V1399" i="34"/>
  <c r="W1399" i="34"/>
  <c r="X1399" i="34"/>
  <c r="Y1399" i="34"/>
  <c r="Z1399" i="34"/>
  <c r="N1400" i="34"/>
  <c r="O1400" i="34"/>
  <c r="P1400" i="34"/>
  <c r="Q1400" i="34"/>
  <c r="R1400" i="34"/>
  <c r="S1400" i="34"/>
  <c r="T1400" i="34"/>
  <c r="U1400" i="34"/>
  <c r="V1400" i="34"/>
  <c r="W1400" i="34"/>
  <c r="X1400" i="34"/>
  <c r="Y1400" i="34"/>
  <c r="Z1400" i="34"/>
  <c r="N1401" i="34"/>
  <c r="O1401" i="34"/>
  <c r="P1401" i="34"/>
  <c r="Q1401" i="34"/>
  <c r="R1401" i="34"/>
  <c r="S1401" i="34"/>
  <c r="T1401" i="34"/>
  <c r="U1401" i="34"/>
  <c r="V1401" i="34"/>
  <c r="W1401" i="34"/>
  <c r="X1401" i="34"/>
  <c r="Y1401" i="34"/>
  <c r="Z1401" i="34"/>
  <c r="N1402" i="34"/>
  <c r="O1402" i="34"/>
  <c r="P1402" i="34"/>
  <c r="Q1402" i="34"/>
  <c r="R1402" i="34"/>
  <c r="S1402" i="34"/>
  <c r="T1402" i="34"/>
  <c r="U1402" i="34"/>
  <c r="V1402" i="34"/>
  <c r="W1402" i="34"/>
  <c r="X1402" i="34"/>
  <c r="Y1402" i="34"/>
  <c r="Z1402" i="34"/>
  <c r="N1403" i="34"/>
  <c r="O1403" i="34"/>
  <c r="P1403" i="34"/>
  <c r="Q1403" i="34"/>
  <c r="R1403" i="34"/>
  <c r="S1403" i="34"/>
  <c r="T1403" i="34"/>
  <c r="U1403" i="34"/>
  <c r="V1403" i="34"/>
  <c r="W1403" i="34"/>
  <c r="X1403" i="34"/>
  <c r="Y1403" i="34"/>
  <c r="Z1403" i="34"/>
  <c r="N1404" i="34"/>
  <c r="O1404" i="34"/>
  <c r="P1404" i="34"/>
  <c r="Q1404" i="34"/>
  <c r="R1404" i="34"/>
  <c r="S1404" i="34"/>
  <c r="T1404" i="34"/>
  <c r="U1404" i="34"/>
  <c r="V1404" i="34"/>
  <c r="W1404" i="34"/>
  <c r="X1404" i="34"/>
  <c r="Y1404" i="34"/>
  <c r="Z1404" i="34"/>
  <c r="N1405" i="34"/>
  <c r="O1405" i="34"/>
  <c r="P1405" i="34"/>
  <c r="Q1405" i="34"/>
  <c r="R1405" i="34"/>
  <c r="S1405" i="34"/>
  <c r="T1405" i="34"/>
  <c r="U1405" i="34"/>
  <c r="V1405" i="34"/>
  <c r="W1405" i="34"/>
  <c r="X1405" i="34"/>
  <c r="Y1405" i="34"/>
  <c r="Z1405" i="34"/>
  <c r="N1406" i="34"/>
  <c r="O1406" i="34"/>
  <c r="P1406" i="34"/>
  <c r="Q1406" i="34"/>
  <c r="R1406" i="34"/>
  <c r="S1406" i="34"/>
  <c r="T1406" i="34"/>
  <c r="U1406" i="34"/>
  <c r="V1406" i="34"/>
  <c r="W1406" i="34"/>
  <c r="X1406" i="34"/>
  <c r="Y1406" i="34"/>
  <c r="Z1406" i="34"/>
  <c r="N1407" i="34"/>
  <c r="O1407" i="34"/>
  <c r="P1407" i="34"/>
  <c r="Q1407" i="34"/>
  <c r="R1407" i="34"/>
  <c r="S1407" i="34"/>
  <c r="T1407" i="34"/>
  <c r="U1407" i="34"/>
  <c r="V1407" i="34"/>
  <c r="W1407" i="34"/>
  <c r="X1407" i="34"/>
  <c r="Y1407" i="34"/>
  <c r="Z1407" i="34"/>
  <c r="N1408" i="34"/>
  <c r="O1408" i="34"/>
  <c r="P1408" i="34"/>
  <c r="Q1408" i="34"/>
  <c r="R1408" i="34"/>
  <c r="S1408" i="34"/>
  <c r="T1408" i="34"/>
  <c r="U1408" i="34"/>
  <c r="V1408" i="34"/>
  <c r="W1408" i="34"/>
  <c r="X1408" i="34"/>
  <c r="Y1408" i="34"/>
  <c r="Z1408" i="34"/>
  <c r="N1409" i="34"/>
  <c r="O1409" i="34"/>
  <c r="P1409" i="34"/>
  <c r="Q1409" i="34"/>
  <c r="R1409" i="34"/>
  <c r="S1409" i="34"/>
  <c r="T1409" i="34"/>
  <c r="U1409" i="34"/>
  <c r="V1409" i="34"/>
  <c r="W1409" i="34"/>
  <c r="X1409" i="34"/>
  <c r="Y1409" i="34"/>
  <c r="Z1409" i="34"/>
  <c r="N1410" i="34"/>
  <c r="O1410" i="34"/>
  <c r="P1410" i="34"/>
  <c r="Q1410" i="34"/>
  <c r="R1410" i="34"/>
  <c r="S1410" i="34"/>
  <c r="T1410" i="34"/>
  <c r="U1410" i="34"/>
  <c r="V1410" i="34"/>
  <c r="W1410" i="34"/>
  <c r="X1410" i="34"/>
  <c r="Y1410" i="34"/>
  <c r="Z1410" i="34"/>
  <c r="N1411" i="34"/>
  <c r="O1411" i="34"/>
  <c r="P1411" i="34"/>
  <c r="Q1411" i="34"/>
  <c r="R1411" i="34"/>
  <c r="S1411" i="34"/>
  <c r="T1411" i="34"/>
  <c r="U1411" i="34"/>
  <c r="V1411" i="34"/>
  <c r="W1411" i="34"/>
  <c r="X1411" i="34"/>
  <c r="Y1411" i="34"/>
  <c r="Z1411" i="34"/>
  <c r="N1412" i="34"/>
  <c r="O1412" i="34"/>
  <c r="P1412" i="34"/>
  <c r="Q1412" i="34"/>
  <c r="R1412" i="34"/>
  <c r="S1412" i="34"/>
  <c r="T1412" i="34"/>
  <c r="U1412" i="34"/>
  <c r="V1412" i="34"/>
  <c r="W1412" i="34"/>
  <c r="X1412" i="34"/>
  <c r="Y1412" i="34"/>
  <c r="Z1412" i="34"/>
  <c r="N1413" i="34"/>
  <c r="O1413" i="34"/>
  <c r="P1413" i="34"/>
  <c r="Q1413" i="34"/>
  <c r="R1413" i="34"/>
  <c r="S1413" i="34"/>
  <c r="T1413" i="34"/>
  <c r="U1413" i="34"/>
  <c r="V1413" i="34"/>
  <c r="W1413" i="34"/>
  <c r="X1413" i="34"/>
  <c r="Y1413" i="34"/>
  <c r="Z1413" i="34"/>
  <c r="N1414" i="34"/>
  <c r="O1414" i="34"/>
  <c r="P1414" i="34"/>
  <c r="Q1414" i="34"/>
  <c r="R1414" i="34"/>
  <c r="S1414" i="34"/>
  <c r="T1414" i="34"/>
  <c r="U1414" i="34"/>
  <c r="V1414" i="34"/>
  <c r="W1414" i="34"/>
  <c r="X1414" i="34"/>
  <c r="Y1414" i="34"/>
  <c r="Z1414" i="34"/>
  <c r="N1415" i="34"/>
  <c r="O1415" i="34"/>
  <c r="P1415" i="34"/>
  <c r="Q1415" i="34"/>
  <c r="R1415" i="34"/>
  <c r="S1415" i="34"/>
  <c r="T1415" i="34"/>
  <c r="U1415" i="34"/>
  <c r="V1415" i="34"/>
  <c r="W1415" i="34"/>
  <c r="X1415" i="34"/>
  <c r="Y1415" i="34"/>
  <c r="Z1415" i="34"/>
  <c r="N1416" i="34"/>
  <c r="O1416" i="34"/>
  <c r="P1416" i="34"/>
  <c r="Q1416" i="34"/>
  <c r="R1416" i="34"/>
  <c r="S1416" i="34"/>
  <c r="T1416" i="34"/>
  <c r="U1416" i="34"/>
  <c r="V1416" i="34"/>
  <c r="W1416" i="34"/>
  <c r="X1416" i="34"/>
  <c r="Y1416" i="34"/>
  <c r="Z1416" i="34"/>
  <c r="N1417" i="34"/>
  <c r="O1417" i="34"/>
  <c r="P1417" i="34"/>
  <c r="Q1417" i="34"/>
  <c r="R1417" i="34"/>
  <c r="S1417" i="34"/>
  <c r="T1417" i="34"/>
  <c r="U1417" i="34"/>
  <c r="V1417" i="34"/>
  <c r="W1417" i="34"/>
  <c r="X1417" i="34"/>
  <c r="Y1417" i="34"/>
  <c r="Z1417" i="34"/>
  <c r="N1418" i="34"/>
  <c r="O1418" i="34"/>
  <c r="P1418" i="34"/>
  <c r="Q1418" i="34"/>
  <c r="R1418" i="34"/>
  <c r="S1418" i="34"/>
  <c r="T1418" i="34"/>
  <c r="U1418" i="34"/>
  <c r="V1418" i="34"/>
  <c r="W1418" i="34"/>
  <c r="X1418" i="34"/>
  <c r="Y1418" i="34"/>
  <c r="Z1418" i="34"/>
  <c r="N1419" i="34"/>
  <c r="O1419" i="34"/>
  <c r="P1419" i="34"/>
  <c r="Q1419" i="34"/>
  <c r="R1419" i="34"/>
  <c r="S1419" i="34"/>
  <c r="T1419" i="34"/>
  <c r="U1419" i="34"/>
  <c r="V1419" i="34"/>
  <c r="W1419" i="34"/>
  <c r="X1419" i="34"/>
  <c r="Y1419" i="34"/>
  <c r="Z1419" i="34"/>
  <c r="N1420" i="34"/>
  <c r="O1420" i="34"/>
  <c r="P1420" i="34"/>
  <c r="Q1420" i="34"/>
  <c r="R1420" i="34"/>
  <c r="S1420" i="34"/>
  <c r="T1420" i="34"/>
  <c r="U1420" i="34"/>
  <c r="V1420" i="34"/>
  <c r="W1420" i="34"/>
  <c r="X1420" i="34"/>
  <c r="Y1420" i="34"/>
  <c r="Z1420" i="34"/>
  <c r="N1421" i="34"/>
  <c r="O1421" i="34"/>
  <c r="P1421" i="34"/>
  <c r="Q1421" i="34"/>
  <c r="R1421" i="34"/>
  <c r="S1421" i="34"/>
  <c r="T1421" i="34"/>
  <c r="U1421" i="34"/>
  <c r="V1421" i="34"/>
  <c r="W1421" i="34"/>
  <c r="X1421" i="34"/>
  <c r="Y1421" i="34"/>
  <c r="Z1421" i="34"/>
  <c r="N1422" i="34"/>
  <c r="O1422" i="34"/>
  <c r="P1422" i="34"/>
  <c r="Q1422" i="34"/>
  <c r="R1422" i="34"/>
  <c r="S1422" i="34"/>
  <c r="T1422" i="34"/>
  <c r="U1422" i="34"/>
  <c r="V1422" i="34"/>
  <c r="W1422" i="34"/>
  <c r="X1422" i="34"/>
  <c r="Y1422" i="34"/>
  <c r="Z1422" i="34"/>
  <c r="N1423" i="34"/>
  <c r="O1423" i="34"/>
  <c r="P1423" i="34"/>
  <c r="Q1423" i="34"/>
  <c r="R1423" i="34"/>
  <c r="S1423" i="34"/>
  <c r="T1423" i="34"/>
  <c r="U1423" i="34"/>
  <c r="V1423" i="34"/>
  <c r="W1423" i="34"/>
  <c r="X1423" i="34"/>
  <c r="Y1423" i="34"/>
  <c r="Z1423" i="34"/>
  <c r="N1424" i="34"/>
  <c r="O1424" i="34"/>
  <c r="P1424" i="34"/>
  <c r="Q1424" i="34"/>
  <c r="R1424" i="34"/>
  <c r="S1424" i="34"/>
  <c r="T1424" i="34"/>
  <c r="U1424" i="34"/>
  <c r="V1424" i="34"/>
  <c r="W1424" i="34"/>
  <c r="X1424" i="34"/>
  <c r="Y1424" i="34"/>
  <c r="Z1424" i="34"/>
  <c r="N1425" i="34"/>
  <c r="O1425" i="34"/>
  <c r="P1425" i="34"/>
  <c r="Q1425" i="34"/>
  <c r="R1425" i="34"/>
  <c r="S1425" i="34"/>
  <c r="T1425" i="34"/>
  <c r="U1425" i="34"/>
  <c r="V1425" i="34"/>
  <c r="W1425" i="34"/>
  <c r="X1425" i="34"/>
  <c r="Y1425" i="34"/>
  <c r="Z1425" i="34"/>
  <c r="N1426" i="34"/>
  <c r="O1426" i="34"/>
  <c r="P1426" i="34"/>
  <c r="Q1426" i="34"/>
  <c r="R1426" i="34"/>
  <c r="S1426" i="34"/>
  <c r="T1426" i="34"/>
  <c r="U1426" i="34"/>
  <c r="V1426" i="34"/>
  <c r="W1426" i="34"/>
  <c r="X1426" i="34"/>
  <c r="Y1426" i="34"/>
  <c r="Z1426" i="34"/>
  <c r="N1427" i="34"/>
  <c r="O1427" i="34"/>
  <c r="P1427" i="34"/>
  <c r="Q1427" i="34"/>
  <c r="R1427" i="34"/>
  <c r="S1427" i="34"/>
  <c r="T1427" i="34"/>
  <c r="U1427" i="34"/>
  <c r="V1427" i="34"/>
  <c r="W1427" i="34"/>
  <c r="X1427" i="34"/>
  <c r="Y1427" i="34"/>
  <c r="Z1427" i="34"/>
  <c r="N1428" i="34"/>
  <c r="O1428" i="34"/>
  <c r="P1428" i="34"/>
  <c r="Q1428" i="34"/>
  <c r="R1428" i="34"/>
  <c r="S1428" i="34"/>
  <c r="T1428" i="34"/>
  <c r="U1428" i="34"/>
  <c r="V1428" i="34"/>
  <c r="W1428" i="34"/>
  <c r="X1428" i="34"/>
  <c r="Y1428" i="34"/>
  <c r="Z1428" i="34"/>
  <c r="N1429" i="34"/>
  <c r="O1429" i="34"/>
  <c r="P1429" i="34"/>
  <c r="Q1429" i="34"/>
  <c r="R1429" i="34"/>
  <c r="S1429" i="34"/>
  <c r="T1429" i="34"/>
  <c r="U1429" i="34"/>
  <c r="V1429" i="34"/>
  <c r="W1429" i="34"/>
  <c r="X1429" i="34"/>
  <c r="Y1429" i="34"/>
  <c r="Z1429" i="34"/>
  <c r="N1430" i="34"/>
  <c r="O1430" i="34"/>
  <c r="P1430" i="34"/>
  <c r="Q1430" i="34"/>
  <c r="R1430" i="34"/>
  <c r="S1430" i="34"/>
  <c r="T1430" i="34"/>
  <c r="U1430" i="34"/>
  <c r="V1430" i="34"/>
  <c r="W1430" i="34"/>
  <c r="X1430" i="34"/>
  <c r="Y1430" i="34"/>
  <c r="Z1430" i="34"/>
  <c r="N1431" i="34"/>
  <c r="O1431" i="34"/>
  <c r="P1431" i="34"/>
  <c r="Q1431" i="34"/>
  <c r="R1431" i="34"/>
  <c r="S1431" i="34"/>
  <c r="T1431" i="34"/>
  <c r="U1431" i="34"/>
  <c r="V1431" i="34"/>
  <c r="W1431" i="34"/>
  <c r="X1431" i="34"/>
  <c r="Y1431" i="34"/>
  <c r="Z1431" i="34"/>
  <c r="N1432" i="34"/>
  <c r="O1432" i="34"/>
  <c r="P1432" i="34"/>
  <c r="Q1432" i="34"/>
  <c r="R1432" i="34"/>
  <c r="S1432" i="34"/>
  <c r="T1432" i="34"/>
  <c r="U1432" i="34"/>
  <c r="V1432" i="34"/>
  <c r="W1432" i="34"/>
  <c r="X1432" i="34"/>
  <c r="Y1432" i="34"/>
  <c r="Z1432" i="34"/>
  <c r="N1433" i="34"/>
  <c r="O1433" i="34"/>
  <c r="P1433" i="34"/>
  <c r="Q1433" i="34"/>
  <c r="R1433" i="34"/>
  <c r="S1433" i="34"/>
  <c r="T1433" i="34"/>
  <c r="U1433" i="34"/>
  <c r="V1433" i="34"/>
  <c r="W1433" i="34"/>
  <c r="X1433" i="34"/>
  <c r="Y1433" i="34"/>
  <c r="Z1433" i="34"/>
  <c r="N1434" i="34"/>
  <c r="O1434" i="34"/>
  <c r="P1434" i="34"/>
  <c r="Q1434" i="34"/>
  <c r="R1434" i="34"/>
  <c r="S1434" i="34"/>
  <c r="T1434" i="34"/>
  <c r="U1434" i="34"/>
  <c r="V1434" i="34"/>
  <c r="W1434" i="34"/>
  <c r="X1434" i="34"/>
  <c r="Y1434" i="34"/>
  <c r="Z1434" i="34"/>
  <c r="N1435" i="34"/>
  <c r="O1435" i="34"/>
  <c r="P1435" i="34"/>
  <c r="Q1435" i="34"/>
  <c r="R1435" i="34"/>
  <c r="S1435" i="34"/>
  <c r="T1435" i="34"/>
  <c r="U1435" i="34"/>
  <c r="V1435" i="34"/>
  <c r="W1435" i="34"/>
  <c r="X1435" i="34"/>
  <c r="Y1435" i="34"/>
  <c r="Z1435" i="34"/>
  <c r="N1436" i="34"/>
  <c r="O1436" i="34"/>
  <c r="P1436" i="34"/>
  <c r="Q1436" i="34"/>
  <c r="R1436" i="34"/>
  <c r="S1436" i="34"/>
  <c r="T1436" i="34"/>
  <c r="U1436" i="34"/>
  <c r="V1436" i="34"/>
  <c r="W1436" i="34"/>
  <c r="X1436" i="34"/>
  <c r="Y1436" i="34"/>
  <c r="Z1436" i="34"/>
  <c r="N1437" i="34"/>
  <c r="O1437" i="34"/>
  <c r="P1437" i="34"/>
  <c r="Q1437" i="34"/>
  <c r="R1437" i="34"/>
  <c r="S1437" i="34"/>
  <c r="T1437" i="34"/>
  <c r="U1437" i="34"/>
  <c r="V1437" i="34"/>
  <c r="W1437" i="34"/>
  <c r="X1437" i="34"/>
  <c r="Y1437" i="34"/>
  <c r="Z1437" i="34"/>
  <c r="N1438" i="34"/>
  <c r="O1438" i="34"/>
  <c r="P1438" i="34"/>
  <c r="Q1438" i="34"/>
  <c r="R1438" i="34"/>
  <c r="S1438" i="34"/>
  <c r="T1438" i="34"/>
  <c r="U1438" i="34"/>
  <c r="V1438" i="34"/>
  <c r="W1438" i="34"/>
  <c r="X1438" i="34"/>
  <c r="Y1438" i="34"/>
  <c r="Z1438" i="34"/>
  <c r="N1439" i="34"/>
  <c r="O1439" i="34"/>
  <c r="P1439" i="34"/>
  <c r="Q1439" i="34"/>
  <c r="R1439" i="34"/>
  <c r="S1439" i="34"/>
  <c r="T1439" i="34"/>
  <c r="U1439" i="34"/>
  <c r="V1439" i="34"/>
  <c r="W1439" i="34"/>
  <c r="X1439" i="34"/>
  <c r="Y1439" i="34"/>
  <c r="Z1439" i="34"/>
  <c r="N1440" i="34"/>
  <c r="O1440" i="34"/>
  <c r="P1440" i="34"/>
  <c r="Q1440" i="34"/>
  <c r="R1440" i="34"/>
  <c r="S1440" i="34"/>
  <c r="T1440" i="34"/>
  <c r="U1440" i="34"/>
  <c r="V1440" i="34"/>
  <c r="W1440" i="34"/>
  <c r="X1440" i="34"/>
  <c r="Y1440" i="34"/>
  <c r="Z1440" i="34"/>
  <c r="N1441" i="34"/>
  <c r="O1441" i="34"/>
  <c r="P1441" i="34"/>
  <c r="Q1441" i="34"/>
  <c r="R1441" i="34"/>
  <c r="S1441" i="34"/>
  <c r="T1441" i="34"/>
  <c r="U1441" i="34"/>
  <c r="V1441" i="34"/>
  <c r="W1441" i="34"/>
  <c r="X1441" i="34"/>
  <c r="Y1441" i="34"/>
  <c r="Z1441" i="34"/>
  <c r="N1442" i="34"/>
  <c r="O1442" i="34"/>
  <c r="P1442" i="34"/>
  <c r="Q1442" i="34"/>
  <c r="R1442" i="34"/>
  <c r="S1442" i="34"/>
  <c r="T1442" i="34"/>
  <c r="U1442" i="34"/>
  <c r="V1442" i="34"/>
  <c r="W1442" i="34"/>
  <c r="X1442" i="34"/>
  <c r="Y1442" i="34"/>
  <c r="Z1442" i="34"/>
  <c r="N1443" i="34"/>
  <c r="O1443" i="34"/>
  <c r="P1443" i="34"/>
  <c r="Q1443" i="34"/>
  <c r="R1443" i="34"/>
  <c r="S1443" i="34"/>
  <c r="T1443" i="34"/>
  <c r="U1443" i="34"/>
  <c r="V1443" i="34"/>
  <c r="W1443" i="34"/>
  <c r="X1443" i="34"/>
  <c r="Y1443" i="34"/>
  <c r="Z1443" i="34"/>
  <c r="N1444" i="34"/>
  <c r="O1444" i="34"/>
  <c r="P1444" i="34"/>
  <c r="Q1444" i="34"/>
  <c r="R1444" i="34"/>
  <c r="S1444" i="34"/>
  <c r="T1444" i="34"/>
  <c r="U1444" i="34"/>
  <c r="V1444" i="34"/>
  <c r="W1444" i="34"/>
  <c r="X1444" i="34"/>
  <c r="Y1444" i="34"/>
  <c r="Z1444" i="34"/>
  <c r="N1445" i="34"/>
  <c r="O1445" i="34"/>
  <c r="P1445" i="34"/>
  <c r="Q1445" i="34"/>
  <c r="R1445" i="34"/>
  <c r="S1445" i="34"/>
  <c r="T1445" i="34"/>
  <c r="U1445" i="34"/>
  <c r="V1445" i="34"/>
  <c r="W1445" i="34"/>
  <c r="X1445" i="34"/>
  <c r="Y1445" i="34"/>
  <c r="Z1445" i="34"/>
  <c r="N1446" i="34"/>
  <c r="O1446" i="34"/>
  <c r="P1446" i="34"/>
  <c r="Q1446" i="34"/>
  <c r="R1446" i="34"/>
  <c r="S1446" i="34"/>
  <c r="T1446" i="34"/>
  <c r="U1446" i="34"/>
  <c r="V1446" i="34"/>
  <c r="W1446" i="34"/>
  <c r="X1446" i="34"/>
  <c r="Y1446" i="34"/>
  <c r="Z1446" i="34"/>
  <c r="N1447" i="34"/>
  <c r="O1447" i="34"/>
  <c r="P1447" i="34"/>
  <c r="Q1447" i="34"/>
  <c r="R1447" i="34"/>
  <c r="S1447" i="34"/>
  <c r="T1447" i="34"/>
  <c r="U1447" i="34"/>
  <c r="V1447" i="34"/>
  <c r="W1447" i="34"/>
  <c r="X1447" i="34"/>
  <c r="Y1447" i="34"/>
  <c r="Z1447" i="34"/>
  <c r="N1448" i="34"/>
  <c r="O1448" i="34"/>
  <c r="P1448" i="34"/>
  <c r="Q1448" i="34"/>
  <c r="R1448" i="34"/>
  <c r="S1448" i="34"/>
  <c r="T1448" i="34"/>
  <c r="U1448" i="34"/>
  <c r="V1448" i="34"/>
  <c r="W1448" i="34"/>
  <c r="X1448" i="34"/>
  <c r="Y1448" i="34"/>
  <c r="Z1448" i="34"/>
  <c r="N1449" i="34"/>
  <c r="O1449" i="34"/>
  <c r="P1449" i="34"/>
  <c r="Q1449" i="34"/>
  <c r="R1449" i="34"/>
  <c r="S1449" i="34"/>
  <c r="T1449" i="34"/>
  <c r="U1449" i="34"/>
  <c r="V1449" i="34"/>
  <c r="W1449" i="34"/>
  <c r="X1449" i="34"/>
  <c r="Y1449" i="34"/>
  <c r="Z1449" i="34"/>
  <c r="N1450" i="34"/>
  <c r="O1450" i="34"/>
  <c r="P1450" i="34"/>
  <c r="Q1450" i="34"/>
  <c r="R1450" i="34"/>
  <c r="S1450" i="34"/>
  <c r="T1450" i="34"/>
  <c r="U1450" i="34"/>
  <c r="V1450" i="34"/>
  <c r="W1450" i="34"/>
  <c r="X1450" i="34"/>
  <c r="Y1450" i="34"/>
  <c r="Z1450" i="34"/>
  <c r="N1451" i="34"/>
  <c r="O1451" i="34"/>
  <c r="P1451" i="34"/>
  <c r="Q1451" i="34"/>
  <c r="R1451" i="34"/>
  <c r="S1451" i="34"/>
  <c r="T1451" i="34"/>
  <c r="U1451" i="34"/>
  <c r="V1451" i="34"/>
  <c r="W1451" i="34"/>
  <c r="X1451" i="34"/>
  <c r="Y1451" i="34"/>
  <c r="Z1451" i="34"/>
  <c r="N1452" i="34"/>
  <c r="O1452" i="34"/>
  <c r="P1452" i="34"/>
  <c r="Q1452" i="34"/>
  <c r="R1452" i="34"/>
  <c r="S1452" i="34"/>
  <c r="T1452" i="34"/>
  <c r="U1452" i="34"/>
  <c r="V1452" i="34"/>
  <c r="W1452" i="34"/>
  <c r="X1452" i="34"/>
  <c r="Y1452" i="34"/>
  <c r="Z1452" i="34"/>
  <c r="N1453" i="34"/>
  <c r="O1453" i="34"/>
  <c r="P1453" i="34"/>
  <c r="Q1453" i="34"/>
  <c r="R1453" i="34"/>
  <c r="S1453" i="34"/>
  <c r="T1453" i="34"/>
  <c r="U1453" i="34"/>
  <c r="V1453" i="34"/>
  <c r="W1453" i="34"/>
  <c r="X1453" i="34"/>
  <c r="Y1453" i="34"/>
  <c r="Z1453" i="34"/>
  <c r="N1454" i="34"/>
  <c r="O1454" i="34"/>
  <c r="P1454" i="34"/>
  <c r="Q1454" i="34"/>
  <c r="R1454" i="34"/>
  <c r="S1454" i="34"/>
  <c r="T1454" i="34"/>
  <c r="U1454" i="34"/>
  <c r="V1454" i="34"/>
  <c r="W1454" i="34"/>
  <c r="X1454" i="34"/>
  <c r="Y1454" i="34"/>
  <c r="Z1454" i="34"/>
  <c r="N1455" i="34"/>
  <c r="O1455" i="34"/>
  <c r="P1455" i="34"/>
  <c r="Q1455" i="34"/>
  <c r="R1455" i="34"/>
  <c r="S1455" i="34"/>
  <c r="T1455" i="34"/>
  <c r="U1455" i="34"/>
  <c r="V1455" i="34"/>
  <c r="W1455" i="34"/>
  <c r="X1455" i="34"/>
  <c r="Y1455" i="34"/>
  <c r="Z1455" i="34"/>
  <c r="N1456" i="34"/>
  <c r="O1456" i="34"/>
  <c r="P1456" i="34"/>
  <c r="Q1456" i="34"/>
  <c r="R1456" i="34"/>
  <c r="S1456" i="34"/>
  <c r="T1456" i="34"/>
  <c r="U1456" i="34"/>
  <c r="V1456" i="34"/>
  <c r="W1456" i="34"/>
  <c r="X1456" i="34"/>
  <c r="Y1456" i="34"/>
  <c r="Z1456" i="34"/>
  <c r="N1457" i="34"/>
  <c r="O1457" i="34"/>
  <c r="P1457" i="34"/>
  <c r="Q1457" i="34"/>
  <c r="R1457" i="34"/>
  <c r="S1457" i="34"/>
  <c r="T1457" i="34"/>
  <c r="U1457" i="34"/>
  <c r="V1457" i="34"/>
  <c r="W1457" i="34"/>
  <c r="X1457" i="34"/>
  <c r="Y1457" i="34"/>
  <c r="Z1457" i="34"/>
  <c r="N1458" i="34"/>
  <c r="O1458" i="34"/>
  <c r="P1458" i="34"/>
  <c r="Q1458" i="34"/>
  <c r="R1458" i="34"/>
  <c r="S1458" i="34"/>
  <c r="T1458" i="34"/>
  <c r="U1458" i="34"/>
  <c r="V1458" i="34"/>
  <c r="W1458" i="34"/>
  <c r="X1458" i="34"/>
  <c r="Y1458" i="34"/>
  <c r="Z1458" i="34"/>
  <c r="N1459" i="34"/>
  <c r="O1459" i="34"/>
  <c r="P1459" i="34"/>
  <c r="Q1459" i="34"/>
  <c r="R1459" i="34"/>
  <c r="S1459" i="34"/>
  <c r="T1459" i="34"/>
  <c r="U1459" i="34"/>
  <c r="V1459" i="34"/>
  <c r="W1459" i="34"/>
  <c r="X1459" i="34"/>
  <c r="Y1459" i="34"/>
  <c r="Z1459" i="34"/>
  <c r="N1460" i="34"/>
  <c r="O1460" i="34"/>
  <c r="P1460" i="34"/>
  <c r="Q1460" i="34"/>
  <c r="R1460" i="34"/>
  <c r="S1460" i="34"/>
  <c r="T1460" i="34"/>
  <c r="U1460" i="34"/>
  <c r="V1460" i="34"/>
  <c r="W1460" i="34"/>
  <c r="X1460" i="34"/>
  <c r="Y1460" i="34"/>
  <c r="Z1460" i="34"/>
  <c r="N1461" i="34"/>
  <c r="O1461" i="34"/>
  <c r="P1461" i="34"/>
  <c r="Q1461" i="34"/>
  <c r="R1461" i="34"/>
  <c r="S1461" i="34"/>
  <c r="T1461" i="34"/>
  <c r="U1461" i="34"/>
  <c r="V1461" i="34"/>
  <c r="W1461" i="34"/>
  <c r="X1461" i="34"/>
  <c r="Y1461" i="34"/>
  <c r="Z1461" i="34"/>
  <c r="N1462" i="34"/>
  <c r="O1462" i="34"/>
  <c r="P1462" i="34"/>
  <c r="Q1462" i="34"/>
  <c r="R1462" i="34"/>
  <c r="S1462" i="34"/>
  <c r="T1462" i="34"/>
  <c r="U1462" i="34"/>
  <c r="V1462" i="34"/>
  <c r="W1462" i="34"/>
  <c r="X1462" i="34"/>
  <c r="Y1462" i="34"/>
  <c r="Z1462" i="34"/>
  <c r="N1463" i="34"/>
  <c r="O1463" i="34"/>
  <c r="P1463" i="34"/>
  <c r="Q1463" i="34"/>
  <c r="R1463" i="34"/>
  <c r="S1463" i="34"/>
  <c r="T1463" i="34"/>
  <c r="U1463" i="34"/>
  <c r="V1463" i="34"/>
  <c r="W1463" i="34"/>
  <c r="X1463" i="34"/>
  <c r="Y1463" i="34"/>
  <c r="Z1463" i="34"/>
  <c r="N1464" i="34"/>
  <c r="O1464" i="34"/>
  <c r="P1464" i="34"/>
  <c r="Q1464" i="34"/>
  <c r="R1464" i="34"/>
  <c r="S1464" i="34"/>
  <c r="T1464" i="34"/>
  <c r="U1464" i="34"/>
  <c r="V1464" i="34"/>
  <c r="W1464" i="34"/>
  <c r="X1464" i="34"/>
  <c r="Y1464" i="34"/>
  <c r="Z1464" i="34"/>
  <c r="N1465" i="34"/>
  <c r="O1465" i="34"/>
  <c r="P1465" i="34"/>
  <c r="Q1465" i="34"/>
  <c r="R1465" i="34"/>
  <c r="S1465" i="34"/>
  <c r="T1465" i="34"/>
  <c r="U1465" i="34"/>
  <c r="V1465" i="34"/>
  <c r="W1465" i="34"/>
  <c r="X1465" i="34"/>
  <c r="Y1465" i="34"/>
  <c r="Z1465" i="34"/>
  <c r="N1466" i="34"/>
  <c r="O1466" i="34"/>
  <c r="P1466" i="34"/>
  <c r="Q1466" i="34"/>
  <c r="R1466" i="34"/>
  <c r="S1466" i="34"/>
  <c r="T1466" i="34"/>
  <c r="U1466" i="34"/>
  <c r="V1466" i="34"/>
  <c r="W1466" i="34"/>
  <c r="X1466" i="34"/>
  <c r="Y1466" i="34"/>
  <c r="Z1466" i="34"/>
  <c r="N1467" i="34"/>
  <c r="O1467" i="34"/>
  <c r="P1467" i="34"/>
  <c r="Q1467" i="34"/>
  <c r="R1467" i="34"/>
  <c r="S1467" i="34"/>
  <c r="T1467" i="34"/>
  <c r="U1467" i="34"/>
  <c r="V1467" i="34"/>
  <c r="W1467" i="34"/>
  <c r="X1467" i="34"/>
  <c r="Y1467" i="34"/>
  <c r="Z1467" i="34"/>
  <c r="N1468" i="34"/>
  <c r="O1468" i="34"/>
  <c r="P1468" i="34"/>
  <c r="Q1468" i="34"/>
  <c r="R1468" i="34"/>
  <c r="S1468" i="34"/>
  <c r="T1468" i="34"/>
  <c r="U1468" i="34"/>
  <c r="V1468" i="34"/>
  <c r="W1468" i="34"/>
  <c r="X1468" i="34"/>
  <c r="Y1468" i="34"/>
  <c r="Z1468" i="34"/>
  <c r="N1469" i="34"/>
  <c r="O1469" i="34"/>
  <c r="P1469" i="34"/>
  <c r="Q1469" i="34"/>
  <c r="R1469" i="34"/>
  <c r="S1469" i="34"/>
  <c r="T1469" i="34"/>
  <c r="U1469" i="34"/>
  <c r="V1469" i="34"/>
  <c r="W1469" i="34"/>
  <c r="X1469" i="34"/>
  <c r="Y1469" i="34"/>
  <c r="Z1469" i="34"/>
  <c r="N1470" i="34"/>
  <c r="O1470" i="34"/>
  <c r="P1470" i="34"/>
  <c r="Q1470" i="34"/>
  <c r="R1470" i="34"/>
  <c r="S1470" i="34"/>
  <c r="T1470" i="34"/>
  <c r="U1470" i="34"/>
  <c r="V1470" i="34"/>
  <c r="W1470" i="34"/>
  <c r="X1470" i="34"/>
  <c r="Y1470" i="34"/>
  <c r="Z1470" i="34"/>
  <c r="N1471" i="34"/>
  <c r="O1471" i="34"/>
  <c r="P1471" i="34"/>
  <c r="Q1471" i="34"/>
  <c r="R1471" i="34"/>
  <c r="S1471" i="34"/>
  <c r="T1471" i="34"/>
  <c r="U1471" i="34"/>
  <c r="V1471" i="34"/>
  <c r="W1471" i="34"/>
  <c r="X1471" i="34"/>
  <c r="Y1471" i="34"/>
  <c r="Z1471" i="34"/>
  <c r="N1472" i="34"/>
  <c r="O1472" i="34"/>
  <c r="P1472" i="34"/>
  <c r="Q1472" i="34"/>
  <c r="R1472" i="34"/>
  <c r="S1472" i="34"/>
  <c r="T1472" i="34"/>
  <c r="U1472" i="34"/>
  <c r="V1472" i="34"/>
  <c r="W1472" i="34"/>
  <c r="X1472" i="34"/>
  <c r="Y1472" i="34"/>
  <c r="Z1472" i="34"/>
  <c r="N1473" i="34"/>
  <c r="O1473" i="34"/>
  <c r="P1473" i="34"/>
  <c r="Q1473" i="34"/>
  <c r="R1473" i="34"/>
  <c r="S1473" i="34"/>
  <c r="T1473" i="34"/>
  <c r="U1473" i="34"/>
  <c r="V1473" i="34"/>
  <c r="W1473" i="34"/>
  <c r="X1473" i="34"/>
  <c r="Y1473" i="34"/>
  <c r="Z1473" i="34"/>
  <c r="N1474" i="34"/>
  <c r="O1474" i="34"/>
  <c r="P1474" i="34"/>
  <c r="Q1474" i="34"/>
  <c r="R1474" i="34"/>
  <c r="S1474" i="34"/>
  <c r="T1474" i="34"/>
  <c r="U1474" i="34"/>
  <c r="V1474" i="34"/>
  <c r="W1474" i="34"/>
  <c r="X1474" i="34"/>
  <c r="Y1474" i="34"/>
  <c r="Z1474" i="34"/>
  <c r="N1475" i="34"/>
  <c r="O1475" i="34"/>
  <c r="P1475" i="34"/>
  <c r="Q1475" i="34"/>
  <c r="R1475" i="34"/>
  <c r="S1475" i="34"/>
  <c r="T1475" i="34"/>
  <c r="U1475" i="34"/>
  <c r="V1475" i="34"/>
  <c r="W1475" i="34"/>
  <c r="X1475" i="34"/>
  <c r="Y1475" i="34"/>
  <c r="Z1475" i="34"/>
  <c r="N1476" i="34"/>
  <c r="O1476" i="34"/>
  <c r="P1476" i="34"/>
  <c r="Q1476" i="34"/>
  <c r="R1476" i="34"/>
  <c r="S1476" i="34"/>
  <c r="T1476" i="34"/>
  <c r="U1476" i="34"/>
  <c r="V1476" i="34"/>
  <c r="W1476" i="34"/>
  <c r="X1476" i="34"/>
  <c r="Y1476" i="34"/>
  <c r="Z1476" i="34"/>
  <c r="N1477" i="34"/>
  <c r="O1477" i="34"/>
  <c r="P1477" i="34"/>
  <c r="Q1477" i="34"/>
  <c r="R1477" i="34"/>
  <c r="S1477" i="34"/>
  <c r="T1477" i="34"/>
  <c r="U1477" i="34"/>
  <c r="V1477" i="34"/>
  <c r="W1477" i="34"/>
  <c r="X1477" i="34"/>
  <c r="Y1477" i="34"/>
  <c r="Z1477" i="34"/>
  <c r="N1478" i="34"/>
  <c r="O1478" i="34"/>
  <c r="P1478" i="34"/>
  <c r="Q1478" i="34"/>
  <c r="R1478" i="34"/>
  <c r="S1478" i="34"/>
  <c r="T1478" i="34"/>
  <c r="U1478" i="34"/>
  <c r="V1478" i="34"/>
  <c r="W1478" i="34"/>
  <c r="X1478" i="34"/>
  <c r="Y1478" i="34"/>
  <c r="Z1478" i="34"/>
  <c r="N1479" i="34"/>
  <c r="O1479" i="34"/>
  <c r="P1479" i="34"/>
  <c r="Q1479" i="34"/>
  <c r="R1479" i="34"/>
  <c r="S1479" i="34"/>
  <c r="T1479" i="34"/>
  <c r="U1479" i="34"/>
  <c r="V1479" i="34"/>
  <c r="W1479" i="34"/>
  <c r="X1479" i="34"/>
  <c r="Y1479" i="34"/>
  <c r="Z1479" i="34"/>
  <c r="N1480" i="34"/>
  <c r="O1480" i="34"/>
  <c r="P1480" i="34"/>
  <c r="Q1480" i="34"/>
  <c r="R1480" i="34"/>
  <c r="S1480" i="34"/>
  <c r="T1480" i="34"/>
  <c r="U1480" i="34"/>
  <c r="V1480" i="34"/>
  <c r="W1480" i="34"/>
  <c r="X1480" i="34"/>
  <c r="Y1480" i="34"/>
  <c r="Z1480" i="34"/>
  <c r="N1481" i="34"/>
  <c r="O1481" i="34"/>
  <c r="P1481" i="34"/>
  <c r="Q1481" i="34"/>
  <c r="R1481" i="34"/>
  <c r="S1481" i="34"/>
  <c r="T1481" i="34"/>
  <c r="U1481" i="34"/>
  <c r="V1481" i="34"/>
  <c r="W1481" i="34"/>
  <c r="X1481" i="34"/>
  <c r="Y1481" i="34"/>
  <c r="Z1481" i="34"/>
  <c r="N1482" i="34"/>
  <c r="O1482" i="34"/>
  <c r="P1482" i="34"/>
  <c r="Q1482" i="34"/>
  <c r="R1482" i="34"/>
  <c r="S1482" i="34"/>
  <c r="T1482" i="34"/>
  <c r="U1482" i="34"/>
  <c r="V1482" i="34"/>
  <c r="W1482" i="34"/>
  <c r="X1482" i="34"/>
  <c r="Y1482" i="34"/>
  <c r="Z1482" i="34"/>
  <c r="N1483" i="34"/>
  <c r="O1483" i="34"/>
  <c r="P1483" i="34"/>
  <c r="Q1483" i="34"/>
  <c r="R1483" i="34"/>
  <c r="S1483" i="34"/>
  <c r="T1483" i="34"/>
  <c r="U1483" i="34"/>
  <c r="V1483" i="34"/>
  <c r="W1483" i="34"/>
  <c r="X1483" i="34"/>
  <c r="Y1483" i="34"/>
  <c r="Z1483" i="34"/>
  <c r="N1484" i="34"/>
  <c r="O1484" i="34"/>
  <c r="P1484" i="34"/>
  <c r="Q1484" i="34"/>
  <c r="R1484" i="34"/>
  <c r="S1484" i="34"/>
  <c r="T1484" i="34"/>
  <c r="U1484" i="34"/>
  <c r="V1484" i="34"/>
  <c r="W1484" i="34"/>
  <c r="X1484" i="34"/>
  <c r="Y1484" i="34"/>
  <c r="Z1484" i="34"/>
  <c r="N1485" i="34"/>
  <c r="O1485" i="34"/>
  <c r="P1485" i="34"/>
  <c r="Q1485" i="34"/>
  <c r="R1485" i="34"/>
  <c r="S1485" i="34"/>
  <c r="T1485" i="34"/>
  <c r="U1485" i="34"/>
  <c r="V1485" i="34"/>
  <c r="W1485" i="34"/>
  <c r="X1485" i="34"/>
  <c r="Y1485" i="34"/>
  <c r="Z1485" i="34"/>
  <c r="N1486" i="34"/>
  <c r="O1486" i="34"/>
  <c r="P1486" i="34"/>
  <c r="Q1486" i="34"/>
  <c r="R1486" i="34"/>
  <c r="S1486" i="34"/>
  <c r="T1486" i="34"/>
  <c r="U1486" i="34"/>
  <c r="V1486" i="34"/>
  <c r="W1486" i="34"/>
  <c r="X1486" i="34"/>
  <c r="Y1486" i="34"/>
  <c r="Z1486" i="34"/>
  <c r="N1487" i="34"/>
  <c r="O1487" i="34"/>
  <c r="P1487" i="34"/>
  <c r="Q1487" i="34"/>
  <c r="R1487" i="34"/>
  <c r="S1487" i="34"/>
  <c r="T1487" i="34"/>
  <c r="U1487" i="34"/>
  <c r="V1487" i="34"/>
  <c r="W1487" i="34"/>
  <c r="X1487" i="34"/>
  <c r="Y1487" i="34"/>
  <c r="Z1487" i="34"/>
  <c r="N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Z1488" i="34"/>
  <c r="N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Z1489" i="34"/>
  <c r="N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Z1490" i="34"/>
  <c r="N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Z1491" i="34"/>
  <c r="N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Z1492" i="34"/>
  <c r="N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Z1493" i="34"/>
  <c r="N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Z1494" i="34"/>
  <c r="N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Z1495" i="34"/>
  <c r="N1496" i="34"/>
  <c r="O1496" i="34"/>
  <c r="P1496" i="34"/>
  <c r="Q1496" i="34"/>
  <c r="R1496" i="34"/>
  <c r="S1496" i="34"/>
  <c r="T1496" i="34"/>
  <c r="U1496" i="34"/>
  <c r="V1496" i="34"/>
  <c r="W1496" i="34"/>
  <c r="X1496" i="34"/>
  <c r="Y1496" i="34"/>
  <c r="Z1496" i="34"/>
  <c r="N1497" i="34"/>
  <c r="O1497" i="34"/>
  <c r="P1497" i="34"/>
  <c r="Q1497" i="34"/>
  <c r="R1497" i="34"/>
  <c r="S1497" i="34"/>
  <c r="T1497" i="34"/>
  <c r="U1497" i="34"/>
  <c r="V1497" i="34"/>
  <c r="W1497" i="34"/>
  <c r="X1497" i="34"/>
  <c r="Y1497" i="34"/>
  <c r="Z1497" i="34"/>
  <c r="N1498" i="34"/>
  <c r="O1498" i="34"/>
  <c r="P1498" i="34"/>
  <c r="Q1498" i="34"/>
  <c r="R1498" i="34"/>
  <c r="S1498" i="34"/>
  <c r="T1498" i="34"/>
  <c r="U1498" i="34"/>
  <c r="V1498" i="34"/>
  <c r="W1498" i="34"/>
  <c r="X1498" i="34"/>
  <c r="Y1498" i="34"/>
  <c r="Z1498" i="34"/>
  <c r="N1499" i="34"/>
  <c r="O1499" i="34"/>
  <c r="P1499" i="34"/>
  <c r="Q1499" i="34"/>
  <c r="R1499" i="34"/>
  <c r="S1499" i="34"/>
  <c r="T1499" i="34"/>
  <c r="U1499" i="34"/>
  <c r="V1499" i="34"/>
  <c r="W1499" i="34"/>
  <c r="X1499" i="34"/>
  <c r="Y1499" i="34"/>
  <c r="Z1499" i="34"/>
  <c r="N1500" i="34"/>
  <c r="O1500" i="34"/>
  <c r="P1500" i="34"/>
  <c r="Q1500" i="34"/>
  <c r="R1500" i="34"/>
  <c r="S1500" i="34"/>
  <c r="T1500" i="34"/>
  <c r="U1500" i="34"/>
  <c r="V1500" i="34"/>
  <c r="W1500" i="34"/>
  <c r="X1500" i="34"/>
  <c r="Y1500" i="34"/>
  <c r="Z1500" i="34"/>
  <c r="N1501" i="34"/>
  <c r="O1501" i="34"/>
  <c r="P1501" i="34"/>
  <c r="Q1501" i="34"/>
  <c r="R1501" i="34"/>
  <c r="S1501" i="34"/>
  <c r="T1501" i="34"/>
  <c r="U1501" i="34"/>
  <c r="V1501" i="34"/>
  <c r="W1501" i="34"/>
  <c r="X1501" i="34"/>
  <c r="Y1501" i="34"/>
  <c r="Z1501" i="34"/>
  <c r="N1502" i="34"/>
  <c r="O1502" i="34"/>
  <c r="P1502" i="34"/>
  <c r="Q1502" i="34"/>
  <c r="R1502" i="34"/>
  <c r="S1502" i="34"/>
  <c r="T1502" i="34"/>
  <c r="U1502" i="34"/>
  <c r="V1502" i="34"/>
  <c r="W1502" i="34"/>
  <c r="X1502" i="34"/>
  <c r="Y1502" i="34"/>
  <c r="Z1502" i="34"/>
  <c r="N1503" i="34"/>
  <c r="O1503" i="34"/>
  <c r="P1503" i="34"/>
  <c r="Q1503" i="34"/>
  <c r="R1503" i="34"/>
  <c r="S1503" i="34"/>
  <c r="T1503" i="34"/>
  <c r="U1503" i="34"/>
  <c r="V1503" i="34"/>
  <c r="W1503" i="34"/>
  <c r="X1503" i="34"/>
  <c r="Y1503" i="34"/>
  <c r="Z1503" i="34"/>
  <c r="N1504" i="34"/>
  <c r="O1504" i="34"/>
  <c r="P1504" i="34"/>
  <c r="Q1504" i="34"/>
  <c r="R1504" i="34"/>
  <c r="S1504" i="34"/>
  <c r="T1504" i="34"/>
  <c r="U1504" i="34"/>
  <c r="V1504" i="34"/>
  <c r="W1504" i="34"/>
  <c r="X1504" i="34"/>
  <c r="Y1504" i="34"/>
  <c r="Z1504" i="34"/>
  <c r="N1505" i="34"/>
  <c r="O1505" i="34"/>
  <c r="P1505" i="34"/>
  <c r="Q1505" i="34"/>
  <c r="R1505" i="34"/>
  <c r="S1505" i="34"/>
  <c r="T1505" i="34"/>
  <c r="U1505" i="34"/>
  <c r="V1505" i="34"/>
  <c r="W1505" i="34"/>
  <c r="X1505" i="34"/>
  <c r="Y1505" i="34"/>
  <c r="Z1505" i="34"/>
  <c r="N1506" i="34"/>
  <c r="O1506" i="34"/>
  <c r="P1506" i="34"/>
  <c r="Q1506" i="34"/>
  <c r="R1506" i="34"/>
  <c r="S1506" i="34"/>
  <c r="T1506" i="34"/>
  <c r="U1506" i="34"/>
  <c r="V1506" i="34"/>
  <c r="W1506" i="34"/>
  <c r="X1506" i="34"/>
  <c r="Y1506" i="34"/>
  <c r="Z1506" i="34"/>
  <c r="N1507" i="34"/>
  <c r="O1507" i="34"/>
  <c r="P1507" i="34"/>
  <c r="Q1507" i="34"/>
  <c r="R1507" i="34"/>
  <c r="S1507" i="34"/>
  <c r="T1507" i="34"/>
  <c r="U1507" i="34"/>
  <c r="V1507" i="34"/>
  <c r="W1507" i="34"/>
  <c r="X1507" i="34"/>
  <c r="Y1507" i="34"/>
  <c r="Z1507" i="34"/>
  <c r="N1508" i="34"/>
  <c r="O1508" i="34"/>
  <c r="P1508" i="34"/>
  <c r="Q1508" i="34"/>
  <c r="R1508" i="34"/>
  <c r="S1508" i="34"/>
  <c r="T1508" i="34"/>
  <c r="U1508" i="34"/>
  <c r="V1508" i="34"/>
  <c r="W1508" i="34"/>
  <c r="X1508" i="34"/>
  <c r="Y1508" i="34"/>
  <c r="Z1508" i="34"/>
  <c r="N1509" i="34"/>
  <c r="O1509" i="34"/>
  <c r="P1509" i="34"/>
  <c r="Q1509" i="34"/>
  <c r="R1509" i="34"/>
  <c r="S1509" i="34"/>
  <c r="T1509" i="34"/>
  <c r="U1509" i="34"/>
  <c r="V1509" i="34"/>
  <c r="W1509" i="34"/>
  <c r="X1509" i="34"/>
  <c r="Y1509" i="34"/>
  <c r="Z1509" i="34"/>
  <c r="N1510" i="34"/>
  <c r="O1510" i="34"/>
  <c r="P1510" i="34"/>
  <c r="Q1510" i="34"/>
  <c r="R1510" i="34"/>
  <c r="S1510" i="34"/>
  <c r="T1510" i="34"/>
  <c r="U1510" i="34"/>
  <c r="V1510" i="34"/>
  <c r="W1510" i="34"/>
  <c r="X1510" i="34"/>
  <c r="Y1510" i="34"/>
  <c r="Z1510" i="34"/>
  <c r="N1511" i="34"/>
  <c r="O1511" i="34"/>
  <c r="P1511" i="34"/>
  <c r="Q1511" i="34"/>
  <c r="R1511" i="34"/>
  <c r="S1511" i="34"/>
  <c r="T1511" i="34"/>
  <c r="U1511" i="34"/>
  <c r="V1511" i="34"/>
  <c r="W1511" i="34"/>
  <c r="X1511" i="34"/>
  <c r="Y1511" i="34"/>
  <c r="Z1511" i="34"/>
  <c r="N1512" i="34"/>
  <c r="O1512" i="34"/>
  <c r="P1512" i="34"/>
  <c r="Q1512" i="34"/>
  <c r="R1512" i="34"/>
  <c r="S1512" i="34"/>
  <c r="T1512" i="34"/>
  <c r="U1512" i="34"/>
  <c r="V1512" i="34"/>
  <c r="W1512" i="34"/>
  <c r="X1512" i="34"/>
  <c r="Y1512" i="34"/>
  <c r="Z1512" i="34"/>
  <c r="N1513" i="34"/>
  <c r="O1513" i="34"/>
  <c r="P1513" i="34"/>
  <c r="Q1513" i="34"/>
  <c r="R1513" i="34"/>
  <c r="S1513" i="34"/>
  <c r="T1513" i="34"/>
  <c r="U1513" i="34"/>
  <c r="V1513" i="34"/>
  <c r="W1513" i="34"/>
  <c r="X1513" i="34"/>
  <c r="Y1513" i="34"/>
  <c r="Z1513" i="34"/>
  <c r="N1514" i="34"/>
  <c r="O1514" i="34"/>
  <c r="P1514" i="34"/>
  <c r="Q1514" i="34"/>
  <c r="R1514" i="34"/>
  <c r="S1514" i="34"/>
  <c r="T1514" i="34"/>
  <c r="U1514" i="34"/>
  <c r="V1514" i="34"/>
  <c r="W1514" i="34"/>
  <c r="X1514" i="34"/>
  <c r="Y1514" i="34"/>
  <c r="Z1514" i="34"/>
  <c r="N1515" i="34"/>
  <c r="O1515" i="34"/>
  <c r="P1515" i="34"/>
  <c r="Q1515" i="34"/>
  <c r="R1515" i="34"/>
  <c r="S1515" i="34"/>
  <c r="T1515" i="34"/>
  <c r="U1515" i="34"/>
  <c r="V1515" i="34"/>
  <c r="W1515" i="34"/>
  <c r="X1515" i="34"/>
  <c r="Y1515" i="34"/>
  <c r="Z1515" i="34"/>
  <c r="N1516" i="34"/>
  <c r="O1516" i="34"/>
  <c r="P1516" i="34"/>
  <c r="Q1516" i="34"/>
  <c r="R1516" i="34"/>
  <c r="S1516" i="34"/>
  <c r="T1516" i="34"/>
  <c r="U1516" i="34"/>
  <c r="V1516" i="34"/>
  <c r="W1516" i="34"/>
  <c r="X1516" i="34"/>
  <c r="Y1516" i="34"/>
  <c r="Z1516" i="34"/>
  <c r="N1517" i="34"/>
  <c r="O1517" i="34"/>
  <c r="P1517" i="34"/>
  <c r="Q1517" i="34"/>
  <c r="R1517" i="34"/>
  <c r="S1517" i="34"/>
  <c r="T1517" i="34"/>
  <c r="U1517" i="34"/>
  <c r="V1517" i="34"/>
  <c r="W1517" i="34"/>
  <c r="X1517" i="34"/>
  <c r="Y1517" i="34"/>
  <c r="Z1517" i="34"/>
  <c r="N1518" i="34"/>
  <c r="O1518" i="34"/>
  <c r="P1518" i="34"/>
  <c r="Q1518" i="34"/>
  <c r="R1518" i="34"/>
  <c r="S1518" i="34"/>
  <c r="T1518" i="34"/>
  <c r="U1518" i="34"/>
  <c r="V1518" i="34"/>
  <c r="W1518" i="34"/>
  <c r="X1518" i="34"/>
  <c r="Y1518" i="34"/>
  <c r="Z1518" i="34"/>
  <c r="N1519" i="34"/>
  <c r="O1519" i="34"/>
  <c r="P1519" i="34"/>
  <c r="Q1519" i="34"/>
  <c r="R1519" i="34"/>
  <c r="S1519" i="34"/>
  <c r="T1519" i="34"/>
  <c r="U1519" i="34"/>
  <c r="V1519" i="34"/>
  <c r="W1519" i="34"/>
  <c r="X1519" i="34"/>
  <c r="Y1519" i="34"/>
  <c r="Z1519" i="34"/>
  <c r="N1520" i="34"/>
  <c r="O1520" i="34"/>
  <c r="P1520" i="34"/>
  <c r="Q1520" i="34"/>
  <c r="R1520" i="34"/>
  <c r="S1520" i="34"/>
  <c r="T1520" i="34"/>
  <c r="U1520" i="34"/>
  <c r="V1520" i="34"/>
  <c r="W1520" i="34"/>
  <c r="X1520" i="34"/>
  <c r="Y1520" i="34"/>
  <c r="Z1520" i="34"/>
  <c r="N1521" i="34"/>
  <c r="O1521" i="34"/>
  <c r="P1521" i="34"/>
  <c r="Q1521" i="34"/>
  <c r="R1521" i="34"/>
  <c r="S1521" i="34"/>
  <c r="T1521" i="34"/>
  <c r="U1521" i="34"/>
  <c r="V1521" i="34"/>
  <c r="W1521" i="34"/>
  <c r="X1521" i="34"/>
  <c r="Y1521" i="34"/>
  <c r="Z1521" i="34"/>
  <c r="N1522" i="34"/>
  <c r="O1522" i="34"/>
  <c r="P1522" i="34"/>
  <c r="Q1522" i="34"/>
  <c r="R1522" i="34"/>
  <c r="S1522" i="34"/>
  <c r="T1522" i="34"/>
  <c r="U1522" i="34"/>
  <c r="V1522" i="34"/>
  <c r="W1522" i="34"/>
  <c r="X1522" i="34"/>
  <c r="Y1522" i="34"/>
  <c r="Z1522" i="34"/>
  <c r="N1523" i="34"/>
  <c r="O1523" i="34"/>
  <c r="P1523" i="34"/>
  <c r="Q1523" i="34"/>
  <c r="R1523" i="34"/>
  <c r="S1523" i="34"/>
  <c r="T1523" i="34"/>
  <c r="U1523" i="34"/>
  <c r="V1523" i="34"/>
  <c r="W1523" i="34"/>
  <c r="X1523" i="34"/>
  <c r="Y1523" i="34"/>
  <c r="Z1523" i="34"/>
  <c r="N1524" i="34"/>
  <c r="O1524" i="34"/>
  <c r="P1524" i="34"/>
  <c r="Q1524" i="34"/>
  <c r="R1524" i="34"/>
  <c r="S1524" i="34"/>
  <c r="T1524" i="34"/>
  <c r="U1524" i="34"/>
  <c r="V1524" i="34"/>
  <c r="W1524" i="34"/>
  <c r="X1524" i="34"/>
  <c r="Y1524" i="34"/>
  <c r="Z1524" i="34"/>
  <c r="N1525" i="34"/>
  <c r="O1525" i="34"/>
  <c r="P1525" i="34"/>
  <c r="Q1525" i="34"/>
  <c r="R1525" i="34"/>
  <c r="S1525" i="34"/>
  <c r="T1525" i="34"/>
  <c r="U1525" i="34"/>
  <c r="V1525" i="34"/>
  <c r="W1525" i="34"/>
  <c r="X1525" i="34"/>
  <c r="Y1525" i="34"/>
  <c r="Z1525" i="34"/>
  <c r="N1526" i="34"/>
  <c r="O1526" i="34"/>
  <c r="P1526" i="34"/>
  <c r="Q1526" i="34"/>
  <c r="R1526" i="34"/>
  <c r="S1526" i="34"/>
  <c r="T1526" i="34"/>
  <c r="U1526" i="34"/>
  <c r="V1526" i="34"/>
  <c r="W1526" i="34"/>
  <c r="X1526" i="34"/>
  <c r="Y1526" i="34"/>
  <c r="Z1526" i="34"/>
  <c r="N1527" i="34"/>
  <c r="O1527" i="34"/>
  <c r="P1527" i="34"/>
  <c r="Q1527" i="34"/>
  <c r="R1527" i="34"/>
  <c r="S1527" i="34"/>
  <c r="T1527" i="34"/>
  <c r="U1527" i="34"/>
  <c r="V1527" i="34"/>
  <c r="W1527" i="34"/>
  <c r="X1527" i="34"/>
  <c r="Y1527" i="34"/>
  <c r="Z1527" i="34"/>
  <c r="N1528" i="34"/>
  <c r="O1528" i="34"/>
  <c r="P1528" i="34"/>
  <c r="Q1528" i="34"/>
  <c r="R1528" i="34"/>
  <c r="S1528" i="34"/>
  <c r="T1528" i="34"/>
  <c r="U1528" i="34"/>
  <c r="V1528" i="34"/>
  <c r="W1528" i="34"/>
  <c r="X1528" i="34"/>
  <c r="Y1528" i="34"/>
  <c r="Z1528" i="34"/>
  <c r="N1529" i="34"/>
  <c r="O1529" i="34"/>
  <c r="P1529" i="34"/>
  <c r="Q1529" i="34"/>
  <c r="R1529" i="34"/>
  <c r="S1529" i="34"/>
  <c r="T1529" i="34"/>
  <c r="U1529" i="34"/>
  <c r="V1529" i="34"/>
  <c r="W1529" i="34"/>
  <c r="X1529" i="34"/>
  <c r="Y1529" i="34"/>
  <c r="Z1529" i="34"/>
  <c r="N1530" i="34"/>
  <c r="O1530" i="34"/>
  <c r="P1530" i="34"/>
  <c r="Q1530" i="34"/>
  <c r="R1530" i="34"/>
  <c r="S1530" i="34"/>
  <c r="T1530" i="34"/>
  <c r="U1530" i="34"/>
  <c r="V1530" i="34"/>
  <c r="W1530" i="34"/>
  <c r="X1530" i="34"/>
  <c r="Y1530" i="34"/>
  <c r="Z1530" i="34"/>
  <c r="N1531" i="34"/>
  <c r="O1531" i="34"/>
  <c r="P1531" i="34"/>
  <c r="Q1531" i="34"/>
  <c r="R1531" i="34"/>
  <c r="S1531" i="34"/>
  <c r="T1531" i="34"/>
  <c r="U1531" i="34"/>
  <c r="V1531" i="34"/>
  <c r="W1531" i="34"/>
  <c r="X1531" i="34"/>
  <c r="Y1531" i="34"/>
  <c r="Z1531" i="34"/>
  <c r="N1532" i="34"/>
  <c r="O1532" i="34"/>
  <c r="P1532" i="34"/>
  <c r="Q1532" i="34"/>
  <c r="R1532" i="34"/>
  <c r="S1532" i="34"/>
  <c r="T1532" i="34"/>
  <c r="U1532" i="34"/>
  <c r="V1532" i="34"/>
  <c r="W1532" i="34"/>
  <c r="X1532" i="34"/>
  <c r="Y1532" i="34"/>
  <c r="Z1532" i="34"/>
  <c r="N1533" i="34"/>
  <c r="O1533" i="34"/>
  <c r="P1533" i="34"/>
  <c r="Q1533" i="34"/>
  <c r="R1533" i="34"/>
  <c r="S1533" i="34"/>
  <c r="T1533" i="34"/>
  <c r="U1533" i="34"/>
  <c r="V1533" i="34"/>
  <c r="W1533" i="34"/>
  <c r="X1533" i="34"/>
  <c r="Y1533" i="34"/>
  <c r="Z1533" i="34"/>
  <c r="N1534" i="34"/>
  <c r="O1534" i="34"/>
  <c r="P1534" i="34"/>
  <c r="Q1534" i="34"/>
  <c r="R1534" i="34"/>
  <c r="S1534" i="34"/>
  <c r="T1534" i="34"/>
  <c r="U1534" i="34"/>
  <c r="V1534" i="34"/>
  <c r="W1534" i="34"/>
  <c r="X1534" i="34"/>
  <c r="Y1534" i="34"/>
  <c r="Z1534" i="34"/>
  <c r="N1535" i="34"/>
  <c r="O1535" i="34"/>
  <c r="P1535" i="34"/>
  <c r="Q1535" i="34"/>
  <c r="R1535" i="34"/>
  <c r="S1535" i="34"/>
  <c r="T1535" i="34"/>
  <c r="U1535" i="34"/>
  <c r="V1535" i="34"/>
  <c r="W1535" i="34"/>
  <c r="X1535" i="34"/>
  <c r="Y1535" i="34"/>
  <c r="Z1535" i="34"/>
  <c r="N1536" i="34"/>
  <c r="O1536" i="34"/>
  <c r="P1536" i="34"/>
  <c r="Q1536" i="34"/>
  <c r="R1536" i="34"/>
  <c r="S1536" i="34"/>
  <c r="T1536" i="34"/>
  <c r="U1536" i="34"/>
  <c r="V1536" i="34"/>
  <c r="W1536" i="34"/>
  <c r="X1536" i="34"/>
  <c r="Y1536" i="34"/>
  <c r="Z1536" i="34"/>
  <c r="N1537" i="34"/>
  <c r="O1537" i="34"/>
  <c r="P1537" i="34"/>
  <c r="Q1537" i="34"/>
  <c r="R1537" i="34"/>
  <c r="S1537" i="34"/>
  <c r="T1537" i="34"/>
  <c r="U1537" i="34"/>
  <c r="V1537" i="34"/>
  <c r="W1537" i="34"/>
  <c r="X1537" i="34"/>
  <c r="Y1537" i="34"/>
  <c r="Z1537" i="34"/>
  <c r="N1538" i="34"/>
  <c r="O1538" i="34"/>
  <c r="P1538" i="34"/>
  <c r="Q1538" i="34"/>
  <c r="R1538" i="34"/>
  <c r="S1538" i="34"/>
  <c r="T1538" i="34"/>
  <c r="U1538" i="34"/>
  <c r="V1538" i="34"/>
  <c r="W1538" i="34"/>
  <c r="X1538" i="34"/>
  <c r="Y1538" i="34"/>
  <c r="Z1538" i="34"/>
  <c r="N1539" i="34"/>
  <c r="O1539" i="34"/>
  <c r="P1539" i="34"/>
  <c r="Q1539" i="34"/>
  <c r="R1539" i="34"/>
  <c r="S1539" i="34"/>
  <c r="T1539" i="34"/>
  <c r="U1539" i="34"/>
  <c r="V1539" i="34"/>
  <c r="W1539" i="34"/>
  <c r="X1539" i="34"/>
  <c r="Y1539" i="34"/>
  <c r="Z1539" i="34"/>
  <c r="N1540" i="34"/>
  <c r="O1540" i="34"/>
  <c r="P1540" i="34"/>
  <c r="Q1540" i="34"/>
  <c r="R1540" i="34"/>
  <c r="S1540" i="34"/>
  <c r="T1540" i="34"/>
  <c r="U1540" i="34"/>
  <c r="V1540" i="34"/>
  <c r="W1540" i="34"/>
  <c r="X1540" i="34"/>
  <c r="Y1540" i="34"/>
  <c r="Z1540" i="34"/>
  <c r="N1541" i="34"/>
  <c r="O1541" i="34"/>
  <c r="P1541" i="34"/>
  <c r="Q1541" i="34"/>
  <c r="R1541" i="34"/>
  <c r="S1541" i="34"/>
  <c r="T1541" i="34"/>
  <c r="U1541" i="34"/>
  <c r="V1541" i="34"/>
  <c r="W1541" i="34"/>
  <c r="X1541" i="34"/>
  <c r="Y1541" i="34"/>
  <c r="Z1541" i="34"/>
  <c r="N1542" i="34"/>
  <c r="O1542" i="34"/>
  <c r="P1542" i="34"/>
  <c r="Q1542" i="34"/>
  <c r="R1542" i="34"/>
  <c r="S1542" i="34"/>
  <c r="T1542" i="34"/>
  <c r="U1542" i="34"/>
  <c r="V1542" i="34"/>
  <c r="W1542" i="34"/>
  <c r="X1542" i="34"/>
  <c r="Y1542" i="34"/>
  <c r="Z1542" i="34"/>
  <c r="N1543" i="34"/>
  <c r="O1543" i="34"/>
  <c r="P1543" i="34"/>
  <c r="Q1543" i="34"/>
  <c r="R1543" i="34"/>
  <c r="S1543" i="34"/>
  <c r="T1543" i="34"/>
  <c r="U1543" i="34"/>
  <c r="V1543" i="34"/>
  <c r="W1543" i="34"/>
  <c r="X1543" i="34"/>
  <c r="Y1543" i="34"/>
  <c r="Z1543" i="34"/>
  <c r="N1544" i="34"/>
  <c r="O1544" i="34"/>
  <c r="P1544" i="34"/>
  <c r="Q1544" i="34"/>
  <c r="R1544" i="34"/>
  <c r="S1544" i="34"/>
  <c r="T1544" i="34"/>
  <c r="U1544" i="34"/>
  <c r="V1544" i="34"/>
  <c r="W1544" i="34"/>
  <c r="X1544" i="34"/>
  <c r="Y1544" i="34"/>
  <c r="Z1544" i="34"/>
  <c r="N1545" i="34"/>
  <c r="O1545" i="34"/>
  <c r="P1545" i="34"/>
  <c r="Q1545" i="34"/>
  <c r="R1545" i="34"/>
  <c r="S1545" i="34"/>
  <c r="T1545" i="34"/>
  <c r="U1545" i="34"/>
  <c r="V1545" i="34"/>
  <c r="W1545" i="34"/>
  <c r="X1545" i="34"/>
  <c r="Y1545" i="34"/>
  <c r="Z1545" i="34"/>
  <c r="N1546" i="34"/>
  <c r="O1546" i="34"/>
  <c r="P1546" i="34"/>
  <c r="Q1546" i="34"/>
  <c r="R1546" i="34"/>
  <c r="S1546" i="34"/>
  <c r="T1546" i="34"/>
  <c r="U1546" i="34"/>
  <c r="V1546" i="34"/>
  <c r="W1546" i="34"/>
  <c r="X1546" i="34"/>
  <c r="Y1546" i="34"/>
  <c r="Z1546" i="34"/>
  <c r="N1547" i="34"/>
  <c r="O1547" i="34"/>
  <c r="P1547" i="34"/>
  <c r="Q1547" i="34"/>
  <c r="R1547" i="34"/>
  <c r="S1547" i="34"/>
  <c r="T1547" i="34"/>
  <c r="U1547" i="34"/>
  <c r="V1547" i="34"/>
  <c r="W1547" i="34"/>
  <c r="X1547" i="34"/>
  <c r="Y1547" i="34"/>
  <c r="Z1547" i="34"/>
  <c r="N1548" i="34"/>
  <c r="O1548" i="34"/>
  <c r="P1548" i="34"/>
  <c r="Q1548" i="34"/>
  <c r="R1548" i="34"/>
  <c r="S1548" i="34"/>
  <c r="T1548" i="34"/>
  <c r="U1548" i="34"/>
  <c r="V1548" i="34"/>
  <c r="W1548" i="34"/>
  <c r="X1548" i="34"/>
  <c r="Y1548" i="34"/>
  <c r="Z1548" i="34"/>
  <c r="N1549" i="34"/>
  <c r="O1549" i="34"/>
  <c r="P1549" i="34"/>
  <c r="Q1549" i="34"/>
  <c r="R1549" i="34"/>
  <c r="S1549" i="34"/>
  <c r="T1549" i="34"/>
  <c r="U1549" i="34"/>
  <c r="V1549" i="34"/>
  <c r="W1549" i="34"/>
  <c r="X1549" i="34"/>
  <c r="Y1549" i="34"/>
  <c r="Z1549" i="34"/>
  <c r="N1550" i="34"/>
  <c r="O1550" i="34"/>
  <c r="P1550" i="34"/>
  <c r="Q1550" i="34"/>
  <c r="R1550" i="34"/>
  <c r="S1550" i="34"/>
  <c r="T1550" i="34"/>
  <c r="U1550" i="34"/>
  <c r="V1550" i="34"/>
  <c r="W1550" i="34"/>
  <c r="X1550" i="34"/>
  <c r="Y1550" i="34"/>
  <c r="Z1550" i="34"/>
  <c r="N1551" i="34"/>
  <c r="O1551" i="34"/>
  <c r="P1551" i="34"/>
  <c r="Q1551" i="34"/>
  <c r="R1551" i="34"/>
  <c r="S1551" i="34"/>
  <c r="T1551" i="34"/>
  <c r="U1551" i="34"/>
  <c r="V1551" i="34"/>
  <c r="W1551" i="34"/>
  <c r="X1551" i="34"/>
  <c r="Y1551" i="34"/>
  <c r="Z1551" i="34"/>
  <c r="N1552" i="34"/>
  <c r="O1552" i="34"/>
  <c r="P1552" i="34"/>
  <c r="Q1552" i="34"/>
  <c r="R1552" i="34"/>
  <c r="S1552" i="34"/>
  <c r="T1552" i="34"/>
  <c r="U1552" i="34"/>
  <c r="V1552" i="34"/>
  <c r="W1552" i="34"/>
  <c r="X1552" i="34"/>
  <c r="Y1552" i="34"/>
  <c r="Z1552" i="34"/>
  <c r="N1553" i="34"/>
  <c r="O1553" i="34"/>
  <c r="P1553" i="34"/>
  <c r="Q1553" i="34"/>
  <c r="R1553" i="34"/>
  <c r="S1553" i="34"/>
  <c r="T1553" i="34"/>
  <c r="U1553" i="34"/>
  <c r="V1553" i="34"/>
  <c r="W1553" i="34"/>
  <c r="X1553" i="34"/>
  <c r="Y1553" i="34"/>
  <c r="Z1553" i="34"/>
  <c r="N1554" i="34"/>
  <c r="O1554" i="34"/>
  <c r="P1554" i="34"/>
  <c r="Q1554" i="34"/>
  <c r="R1554" i="34"/>
  <c r="S1554" i="34"/>
  <c r="T1554" i="34"/>
  <c r="U1554" i="34"/>
  <c r="V1554" i="34"/>
  <c r="W1554" i="34"/>
  <c r="X1554" i="34"/>
  <c r="Y1554" i="34"/>
  <c r="Z1554" i="34"/>
  <c r="N1555" i="34"/>
  <c r="O1555" i="34"/>
  <c r="P1555" i="34"/>
  <c r="Q1555" i="34"/>
  <c r="R1555" i="34"/>
  <c r="S1555" i="34"/>
  <c r="T1555" i="34"/>
  <c r="U1555" i="34"/>
  <c r="V1555" i="34"/>
  <c r="W1555" i="34"/>
  <c r="X1555" i="34"/>
  <c r="Y1555" i="34"/>
  <c r="Z1555" i="34"/>
  <c r="N1556" i="34"/>
  <c r="O1556" i="34"/>
  <c r="P1556" i="34"/>
  <c r="Q1556" i="34"/>
  <c r="R1556" i="34"/>
  <c r="S1556" i="34"/>
  <c r="T1556" i="34"/>
  <c r="U1556" i="34"/>
  <c r="V1556" i="34"/>
  <c r="W1556" i="34"/>
  <c r="X1556" i="34"/>
  <c r="Y1556" i="34"/>
  <c r="Z1556" i="34"/>
  <c r="N1557" i="34"/>
  <c r="O1557" i="34"/>
  <c r="P1557" i="34"/>
  <c r="Q1557" i="34"/>
  <c r="R1557" i="34"/>
  <c r="S1557" i="34"/>
  <c r="T1557" i="34"/>
  <c r="U1557" i="34"/>
  <c r="V1557" i="34"/>
  <c r="W1557" i="34"/>
  <c r="X1557" i="34"/>
  <c r="Y1557" i="34"/>
  <c r="Z1557" i="34"/>
  <c r="N1558" i="34"/>
  <c r="O1558" i="34"/>
  <c r="P1558" i="34"/>
  <c r="Q1558" i="34"/>
  <c r="R1558" i="34"/>
  <c r="S1558" i="34"/>
  <c r="T1558" i="34"/>
  <c r="U1558" i="34"/>
  <c r="V1558" i="34"/>
  <c r="W1558" i="34"/>
  <c r="X1558" i="34"/>
  <c r="Y1558" i="34"/>
  <c r="Z1558" i="34"/>
  <c r="N1559" i="34"/>
  <c r="O1559" i="34"/>
  <c r="P1559" i="34"/>
  <c r="Q1559" i="34"/>
  <c r="R1559" i="34"/>
  <c r="S1559" i="34"/>
  <c r="T1559" i="34"/>
  <c r="U1559" i="34"/>
  <c r="V1559" i="34"/>
  <c r="W1559" i="34"/>
  <c r="X1559" i="34"/>
  <c r="Y1559" i="34"/>
  <c r="Z1559" i="34"/>
  <c r="N1560" i="34"/>
  <c r="O1560" i="34"/>
  <c r="P1560" i="34"/>
  <c r="Q1560" i="34"/>
  <c r="R1560" i="34"/>
  <c r="S1560" i="34"/>
  <c r="T1560" i="34"/>
  <c r="U1560" i="34"/>
  <c r="V1560" i="34"/>
  <c r="W1560" i="34"/>
  <c r="X1560" i="34"/>
  <c r="Y1560" i="34"/>
  <c r="Z1560" i="34"/>
  <c r="N1561" i="34"/>
  <c r="O1561" i="34"/>
  <c r="P1561" i="34"/>
  <c r="Q1561" i="34"/>
  <c r="R1561" i="34"/>
  <c r="S1561" i="34"/>
  <c r="T1561" i="34"/>
  <c r="U1561" i="34"/>
  <c r="V1561" i="34"/>
  <c r="W1561" i="34"/>
  <c r="X1561" i="34"/>
  <c r="Y1561" i="34"/>
  <c r="Z1561" i="34"/>
  <c r="N1562" i="34"/>
  <c r="O1562" i="34"/>
  <c r="P1562" i="34"/>
  <c r="Q1562" i="34"/>
  <c r="R1562" i="34"/>
  <c r="S1562" i="34"/>
  <c r="T1562" i="34"/>
  <c r="U1562" i="34"/>
  <c r="V1562" i="34"/>
  <c r="W1562" i="34"/>
  <c r="X1562" i="34"/>
  <c r="Y1562" i="34"/>
  <c r="Z1562" i="34"/>
  <c r="N1563" i="34"/>
  <c r="O1563" i="34"/>
  <c r="P1563" i="34"/>
  <c r="Q1563" i="34"/>
  <c r="R1563" i="34"/>
  <c r="S1563" i="34"/>
  <c r="T1563" i="34"/>
  <c r="U1563" i="34"/>
  <c r="V1563" i="34"/>
  <c r="W1563" i="34"/>
  <c r="X1563" i="34"/>
  <c r="Y1563" i="34"/>
  <c r="Z1563" i="34"/>
  <c r="N1564" i="34"/>
  <c r="O1564" i="34"/>
  <c r="P1564" i="34"/>
  <c r="Q1564" i="34"/>
  <c r="R1564" i="34"/>
  <c r="S1564" i="34"/>
  <c r="T1564" i="34"/>
  <c r="U1564" i="34"/>
  <c r="V1564" i="34"/>
  <c r="W1564" i="34"/>
  <c r="X1564" i="34"/>
  <c r="Y1564" i="34"/>
  <c r="Z1564" i="34"/>
  <c r="N1565" i="34"/>
  <c r="O1565" i="34"/>
  <c r="P1565" i="34"/>
  <c r="Q1565" i="34"/>
  <c r="R1565" i="34"/>
  <c r="S1565" i="34"/>
  <c r="T1565" i="34"/>
  <c r="U1565" i="34"/>
  <c r="V1565" i="34"/>
  <c r="W1565" i="34"/>
  <c r="X1565" i="34"/>
  <c r="Y1565" i="34"/>
  <c r="Z1565" i="34"/>
  <c r="N1566" i="34"/>
  <c r="O1566" i="34"/>
  <c r="P1566" i="34"/>
  <c r="Q1566" i="34"/>
  <c r="R1566" i="34"/>
  <c r="S1566" i="34"/>
  <c r="T1566" i="34"/>
  <c r="U1566" i="34"/>
  <c r="V1566" i="34"/>
  <c r="W1566" i="34"/>
  <c r="X1566" i="34"/>
  <c r="Y1566" i="34"/>
  <c r="Z1566" i="34"/>
  <c r="N1567" i="34"/>
  <c r="O1567" i="34"/>
  <c r="P1567" i="34"/>
  <c r="Q1567" i="34"/>
  <c r="R1567" i="34"/>
  <c r="S1567" i="34"/>
  <c r="T1567" i="34"/>
  <c r="U1567" i="34"/>
  <c r="V1567" i="34"/>
  <c r="W1567" i="34"/>
  <c r="X1567" i="34"/>
  <c r="Y1567" i="34"/>
  <c r="Z1567" i="34"/>
  <c r="N1568" i="34"/>
  <c r="O1568" i="34"/>
  <c r="P1568" i="34"/>
  <c r="Q1568" i="34"/>
  <c r="R1568" i="34"/>
  <c r="S1568" i="34"/>
  <c r="T1568" i="34"/>
  <c r="U1568" i="34"/>
  <c r="V1568" i="34"/>
  <c r="W1568" i="34"/>
  <c r="X1568" i="34"/>
  <c r="Y1568" i="34"/>
  <c r="Z1568" i="34"/>
  <c r="N1569" i="34"/>
  <c r="O1569" i="34"/>
  <c r="P1569" i="34"/>
  <c r="Q1569" i="34"/>
  <c r="R1569" i="34"/>
  <c r="S1569" i="34"/>
  <c r="T1569" i="34"/>
  <c r="U1569" i="34"/>
  <c r="V1569" i="34"/>
  <c r="W1569" i="34"/>
  <c r="X1569" i="34"/>
  <c r="Y1569" i="34"/>
  <c r="Z1569" i="34"/>
  <c r="N1570" i="34"/>
  <c r="O1570" i="34"/>
  <c r="P1570" i="34"/>
  <c r="Q1570" i="34"/>
  <c r="R1570" i="34"/>
  <c r="S1570" i="34"/>
  <c r="T1570" i="34"/>
  <c r="U1570" i="34"/>
  <c r="V1570" i="34"/>
  <c r="W1570" i="34"/>
  <c r="X1570" i="34"/>
  <c r="Y1570" i="34"/>
  <c r="Z1570" i="34"/>
  <c r="N1571" i="34"/>
  <c r="O1571" i="34"/>
  <c r="P1571" i="34"/>
  <c r="Q1571" i="34"/>
  <c r="R1571" i="34"/>
  <c r="S1571" i="34"/>
  <c r="T1571" i="34"/>
  <c r="U1571" i="34"/>
  <c r="V1571" i="34"/>
  <c r="W1571" i="34"/>
  <c r="X1571" i="34"/>
  <c r="Y1571" i="34"/>
  <c r="Z1571" i="34"/>
  <c r="N1572" i="34"/>
  <c r="O1572" i="34"/>
  <c r="P1572" i="34"/>
  <c r="Q1572" i="34"/>
  <c r="R1572" i="34"/>
  <c r="S1572" i="34"/>
  <c r="T1572" i="34"/>
  <c r="U1572" i="34"/>
  <c r="V1572" i="34"/>
  <c r="W1572" i="34"/>
  <c r="X1572" i="34"/>
  <c r="Y1572" i="34"/>
  <c r="Z1572" i="34"/>
  <c r="N1573" i="34"/>
  <c r="O1573" i="34"/>
  <c r="P1573" i="34"/>
  <c r="Q1573" i="34"/>
  <c r="R1573" i="34"/>
  <c r="S1573" i="34"/>
  <c r="T1573" i="34"/>
  <c r="U1573" i="34"/>
  <c r="V1573" i="34"/>
  <c r="W1573" i="34"/>
  <c r="X1573" i="34"/>
  <c r="Y1573" i="34"/>
  <c r="Z1573" i="34"/>
  <c r="N1574" i="34"/>
  <c r="O1574" i="34"/>
  <c r="P1574" i="34"/>
  <c r="Q1574" i="34"/>
  <c r="R1574" i="34"/>
  <c r="S1574" i="34"/>
  <c r="T1574" i="34"/>
  <c r="U1574" i="34"/>
  <c r="V1574" i="34"/>
  <c r="W1574" i="34"/>
  <c r="X1574" i="34"/>
  <c r="Y1574" i="34"/>
  <c r="Z1574" i="34"/>
  <c r="N1575" i="34"/>
  <c r="O1575" i="34"/>
  <c r="P1575" i="34"/>
  <c r="Q1575" i="34"/>
  <c r="R1575" i="34"/>
  <c r="S1575" i="34"/>
  <c r="T1575" i="34"/>
  <c r="U1575" i="34"/>
  <c r="V1575" i="34"/>
  <c r="W1575" i="34"/>
  <c r="X1575" i="34"/>
  <c r="Y1575" i="34"/>
  <c r="Z1575" i="34"/>
  <c r="N1576" i="34"/>
  <c r="O1576" i="34"/>
  <c r="P1576" i="34"/>
  <c r="Q1576" i="34"/>
  <c r="R1576" i="34"/>
  <c r="S1576" i="34"/>
  <c r="T1576" i="34"/>
  <c r="U1576" i="34"/>
  <c r="V1576" i="34"/>
  <c r="W1576" i="34"/>
  <c r="X1576" i="34"/>
  <c r="Y1576" i="34"/>
  <c r="Z1576" i="34"/>
  <c r="N1577" i="34"/>
  <c r="O1577" i="34"/>
  <c r="P1577" i="34"/>
  <c r="Q1577" i="34"/>
  <c r="R1577" i="34"/>
  <c r="S1577" i="34"/>
  <c r="T1577" i="34"/>
  <c r="U1577" i="34"/>
  <c r="V1577" i="34"/>
  <c r="W1577" i="34"/>
  <c r="X1577" i="34"/>
  <c r="Y1577" i="34"/>
  <c r="Z1577" i="34"/>
  <c r="N1578" i="34"/>
  <c r="O1578" i="34"/>
  <c r="P1578" i="34"/>
  <c r="Q1578" i="34"/>
  <c r="R1578" i="34"/>
  <c r="S1578" i="34"/>
  <c r="T1578" i="34"/>
  <c r="U1578" i="34"/>
  <c r="V1578" i="34"/>
  <c r="W1578" i="34"/>
  <c r="X1578" i="34"/>
  <c r="Y1578" i="34"/>
  <c r="Z1578" i="34"/>
  <c r="N1579" i="34"/>
  <c r="O1579" i="34"/>
  <c r="P1579" i="34"/>
  <c r="Q1579" i="34"/>
  <c r="R1579" i="34"/>
  <c r="S1579" i="34"/>
  <c r="T1579" i="34"/>
  <c r="U1579" i="34"/>
  <c r="V1579" i="34"/>
  <c r="W1579" i="34"/>
  <c r="X1579" i="34"/>
  <c r="Y1579" i="34"/>
  <c r="Z1579" i="34"/>
  <c r="N1580" i="34"/>
  <c r="O1580" i="34"/>
  <c r="P1580" i="34"/>
  <c r="Q1580" i="34"/>
  <c r="R1580" i="34"/>
  <c r="S1580" i="34"/>
  <c r="T1580" i="34"/>
  <c r="U1580" i="34"/>
  <c r="V1580" i="34"/>
  <c r="W1580" i="34"/>
  <c r="X1580" i="34"/>
  <c r="Y1580" i="34"/>
  <c r="Z1580" i="34"/>
  <c r="N1581" i="34"/>
  <c r="O1581" i="34"/>
  <c r="P1581" i="34"/>
  <c r="Q1581" i="34"/>
  <c r="R1581" i="34"/>
  <c r="S1581" i="34"/>
  <c r="T1581" i="34"/>
  <c r="U1581" i="34"/>
  <c r="V1581" i="34"/>
  <c r="W1581" i="34"/>
  <c r="X1581" i="34"/>
  <c r="Y1581" i="34"/>
  <c r="Z1581" i="34"/>
  <c r="N1582" i="34"/>
  <c r="O1582" i="34"/>
  <c r="P1582" i="34"/>
  <c r="Q1582" i="34"/>
  <c r="R1582" i="34"/>
  <c r="S1582" i="34"/>
  <c r="T1582" i="34"/>
  <c r="U1582" i="34"/>
  <c r="V1582" i="34"/>
  <c r="W1582" i="34"/>
  <c r="X1582" i="34"/>
  <c r="Y1582" i="34"/>
  <c r="Z1582" i="34"/>
  <c r="N1583" i="34"/>
  <c r="O1583" i="34"/>
  <c r="P1583" i="34"/>
  <c r="Q1583" i="34"/>
  <c r="R1583" i="34"/>
  <c r="S1583" i="34"/>
  <c r="T1583" i="34"/>
  <c r="U1583" i="34"/>
  <c r="V1583" i="34"/>
  <c r="W1583" i="34"/>
  <c r="X1583" i="34"/>
  <c r="Y1583" i="34"/>
  <c r="Z1583" i="34"/>
  <c r="N1584" i="34"/>
  <c r="O1584" i="34"/>
  <c r="P1584" i="34"/>
  <c r="Q1584" i="34"/>
  <c r="R1584" i="34"/>
  <c r="S1584" i="34"/>
  <c r="T1584" i="34"/>
  <c r="U1584" i="34"/>
  <c r="V1584" i="34"/>
  <c r="W1584" i="34"/>
  <c r="X1584" i="34"/>
  <c r="Y1584" i="34"/>
  <c r="Z1584" i="34"/>
  <c r="N1585" i="34"/>
  <c r="O1585" i="34"/>
  <c r="P1585" i="34"/>
  <c r="Q1585" i="34"/>
  <c r="R1585" i="34"/>
  <c r="S1585" i="34"/>
  <c r="T1585" i="34"/>
  <c r="U1585" i="34"/>
  <c r="V1585" i="34"/>
  <c r="W1585" i="34"/>
  <c r="X1585" i="34"/>
  <c r="Y1585" i="34"/>
  <c r="Z1585" i="34"/>
  <c r="N1586" i="34"/>
  <c r="O1586" i="34"/>
  <c r="P1586" i="34"/>
  <c r="Q1586" i="34"/>
  <c r="R1586" i="34"/>
  <c r="S1586" i="34"/>
  <c r="T1586" i="34"/>
  <c r="U1586" i="34"/>
  <c r="V1586" i="34"/>
  <c r="W1586" i="34"/>
  <c r="X1586" i="34"/>
  <c r="Y1586" i="34"/>
  <c r="Z1586" i="34"/>
  <c r="N1587" i="34"/>
  <c r="O1587" i="34"/>
  <c r="P1587" i="34"/>
  <c r="Q1587" i="34"/>
  <c r="R1587" i="34"/>
  <c r="S1587" i="34"/>
  <c r="T1587" i="34"/>
  <c r="U1587" i="34"/>
  <c r="V1587" i="34"/>
  <c r="W1587" i="34"/>
  <c r="X1587" i="34"/>
  <c r="Y1587" i="34"/>
  <c r="Z1587" i="34"/>
  <c r="N1588" i="34"/>
  <c r="O1588" i="34"/>
  <c r="P1588" i="34"/>
  <c r="Q1588" i="34"/>
  <c r="R1588" i="34"/>
  <c r="S1588" i="34"/>
  <c r="T1588" i="34"/>
  <c r="U1588" i="34"/>
  <c r="V1588" i="34"/>
  <c r="W1588" i="34"/>
  <c r="X1588" i="34"/>
  <c r="Y1588" i="34"/>
  <c r="Z1588" i="34"/>
  <c r="N1589" i="34"/>
  <c r="O1589" i="34"/>
  <c r="P1589" i="34"/>
  <c r="Q1589" i="34"/>
  <c r="R1589" i="34"/>
  <c r="S1589" i="34"/>
  <c r="T1589" i="34"/>
  <c r="U1589" i="34"/>
  <c r="V1589" i="34"/>
  <c r="W1589" i="34"/>
  <c r="X1589" i="34"/>
  <c r="Y1589" i="34"/>
  <c r="Z1589" i="34"/>
  <c r="N1590" i="34"/>
  <c r="O1590" i="34"/>
  <c r="P1590" i="34"/>
  <c r="Q1590" i="34"/>
  <c r="R1590" i="34"/>
  <c r="S1590" i="34"/>
  <c r="T1590" i="34"/>
  <c r="U1590" i="34"/>
  <c r="V1590" i="34"/>
  <c r="W1590" i="34"/>
  <c r="X1590" i="34"/>
  <c r="Y1590" i="34"/>
  <c r="Z1590" i="34"/>
  <c r="N1591" i="34"/>
  <c r="O1591" i="34"/>
  <c r="P1591" i="34"/>
  <c r="Q1591" i="34"/>
  <c r="R1591" i="34"/>
  <c r="S1591" i="34"/>
  <c r="T1591" i="34"/>
  <c r="U1591" i="34"/>
  <c r="V1591" i="34"/>
  <c r="W1591" i="34"/>
  <c r="X1591" i="34"/>
  <c r="Y1591" i="34"/>
  <c r="Z1591" i="34"/>
  <c r="N1592" i="34"/>
  <c r="O1592" i="34"/>
  <c r="P1592" i="34"/>
  <c r="Q1592" i="34"/>
  <c r="R1592" i="34"/>
  <c r="S1592" i="34"/>
  <c r="T1592" i="34"/>
  <c r="U1592" i="34"/>
  <c r="V1592" i="34"/>
  <c r="W1592" i="34"/>
  <c r="X1592" i="34"/>
  <c r="Y1592" i="34"/>
  <c r="Z1592" i="34"/>
  <c r="N1593" i="34"/>
  <c r="O1593" i="34"/>
  <c r="P1593" i="34"/>
  <c r="Q1593" i="34"/>
  <c r="R1593" i="34"/>
  <c r="S1593" i="34"/>
  <c r="T1593" i="34"/>
  <c r="U1593" i="34"/>
  <c r="V1593" i="34"/>
  <c r="W1593" i="34"/>
  <c r="X1593" i="34"/>
  <c r="Y1593" i="34"/>
  <c r="Z1593" i="34"/>
  <c r="N1594" i="34"/>
  <c r="O1594" i="34"/>
  <c r="P1594" i="34"/>
  <c r="Q1594" i="34"/>
  <c r="R1594" i="34"/>
  <c r="S1594" i="34"/>
  <c r="T1594" i="34"/>
  <c r="U1594" i="34"/>
  <c r="V1594" i="34"/>
  <c r="W1594" i="34"/>
  <c r="X1594" i="34"/>
  <c r="Y1594" i="34"/>
  <c r="Z1594" i="34"/>
  <c r="N1595" i="34"/>
  <c r="O1595" i="34"/>
  <c r="P1595" i="34"/>
  <c r="Q1595" i="34"/>
  <c r="R1595" i="34"/>
  <c r="S1595" i="34"/>
  <c r="T1595" i="34"/>
  <c r="U1595" i="34"/>
  <c r="V1595" i="34"/>
  <c r="W1595" i="34"/>
  <c r="X1595" i="34"/>
  <c r="Y1595" i="34"/>
  <c r="Z1595" i="34"/>
  <c r="N1596" i="34"/>
  <c r="O1596" i="34"/>
  <c r="P1596" i="34"/>
  <c r="Q1596" i="34"/>
  <c r="R1596" i="34"/>
  <c r="S1596" i="34"/>
  <c r="T1596" i="34"/>
  <c r="U1596" i="34"/>
  <c r="V1596" i="34"/>
  <c r="W1596" i="34"/>
  <c r="X1596" i="34"/>
  <c r="Y1596" i="34"/>
  <c r="Z1596" i="34"/>
  <c r="N1597" i="34"/>
  <c r="O1597" i="34"/>
  <c r="P1597" i="34"/>
  <c r="Q1597" i="34"/>
  <c r="R1597" i="34"/>
  <c r="S1597" i="34"/>
  <c r="T1597" i="34"/>
  <c r="U1597" i="34"/>
  <c r="V1597" i="34"/>
  <c r="W1597" i="34"/>
  <c r="X1597" i="34"/>
  <c r="Y1597" i="34"/>
  <c r="Z1597" i="34"/>
  <c r="N1598" i="34"/>
  <c r="O1598" i="34"/>
  <c r="P1598" i="34"/>
  <c r="Q1598" i="34"/>
  <c r="R1598" i="34"/>
  <c r="S1598" i="34"/>
  <c r="T1598" i="34"/>
  <c r="U1598" i="34"/>
  <c r="V1598" i="34"/>
  <c r="W1598" i="34"/>
  <c r="X1598" i="34"/>
  <c r="Y1598" i="34"/>
  <c r="Z1598" i="34"/>
  <c r="N1599" i="34"/>
  <c r="O1599" i="34"/>
  <c r="P1599" i="34"/>
  <c r="Q1599" i="34"/>
  <c r="R1599" i="34"/>
  <c r="S1599" i="34"/>
  <c r="T1599" i="34"/>
  <c r="U1599" i="34"/>
  <c r="V1599" i="34"/>
  <c r="W1599" i="34"/>
  <c r="X1599" i="34"/>
  <c r="Y1599" i="34"/>
  <c r="Z1599" i="34"/>
  <c r="N1600" i="34"/>
  <c r="O1600" i="34"/>
  <c r="P1600" i="34"/>
  <c r="Q1600" i="34"/>
  <c r="R1600" i="34"/>
  <c r="S1600" i="34"/>
  <c r="T1600" i="34"/>
  <c r="U1600" i="34"/>
  <c r="V1600" i="34"/>
  <c r="W1600" i="34"/>
  <c r="X1600" i="34"/>
  <c r="Y1600" i="34"/>
  <c r="Z1600" i="34"/>
  <c r="N1601" i="34"/>
  <c r="O1601" i="34"/>
  <c r="P1601" i="34"/>
  <c r="Q1601" i="34"/>
  <c r="R1601" i="34"/>
  <c r="S1601" i="34"/>
  <c r="T1601" i="34"/>
  <c r="U1601" i="34"/>
  <c r="V1601" i="34"/>
  <c r="W1601" i="34"/>
  <c r="X1601" i="34"/>
  <c r="Y1601" i="34"/>
  <c r="Z1601" i="34"/>
  <c r="N1602" i="34"/>
  <c r="O1602" i="34"/>
  <c r="P1602" i="34"/>
  <c r="Q1602" i="34"/>
  <c r="R1602" i="34"/>
  <c r="S1602" i="34"/>
  <c r="T1602" i="34"/>
  <c r="U1602" i="34"/>
  <c r="V1602" i="34"/>
  <c r="W1602" i="34"/>
  <c r="X1602" i="34"/>
  <c r="Y1602" i="34"/>
  <c r="Z1602" i="34"/>
  <c r="N1603" i="34"/>
  <c r="O1603" i="34"/>
  <c r="P1603" i="34"/>
  <c r="Q1603" i="34"/>
  <c r="R1603" i="34"/>
  <c r="S1603" i="34"/>
  <c r="T1603" i="34"/>
  <c r="U1603" i="34"/>
  <c r="V1603" i="34"/>
  <c r="W1603" i="34"/>
  <c r="X1603" i="34"/>
  <c r="Y1603" i="34"/>
  <c r="Z1603" i="34"/>
  <c r="N1604" i="34"/>
  <c r="O1604" i="34"/>
  <c r="P1604" i="34"/>
  <c r="Q1604" i="34"/>
  <c r="R1604" i="34"/>
  <c r="S1604" i="34"/>
  <c r="T1604" i="34"/>
  <c r="U1604" i="34"/>
  <c r="V1604" i="34"/>
  <c r="W1604" i="34"/>
  <c r="X1604" i="34"/>
  <c r="Y1604" i="34"/>
  <c r="Z1604" i="34"/>
  <c r="N1605" i="34"/>
  <c r="O1605" i="34"/>
  <c r="P1605" i="34"/>
  <c r="Q1605" i="34"/>
  <c r="R1605" i="34"/>
  <c r="S1605" i="34"/>
  <c r="T1605" i="34"/>
  <c r="U1605" i="34"/>
  <c r="V1605" i="34"/>
  <c r="W1605" i="34"/>
  <c r="X1605" i="34"/>
  <c r="Y1605" i="34"/>
  <c r="Z1605" i="34"/>
  <c r="N1606" i="34"/>
  <c r="O1606" i="34"/>
  <c r="P1606" i="34"/>
  <c r="Q1606" i="34"/>
  <c r="R1606" i="34"/>
  <c r="S1606" i="34"/>
  <c r="T1606" i="34"/>
  <c r="U1606" i="34"/>
  <c r="V1606" i="34"/>
  <c r="W1606" i="34"/>
  <c r="X1606" i="34"/>
  <c r="Y1606" i="34"/>
  <c r="Z1606" i="34"/>
  <c r="N1607" i="34"/>
  <c r="O1607" i="34"/>
  <c r="P1607" i="34"/>
  <c r="Q1607" i="34"/>
  <c r="R1607" i="34"/>
  <c r="S1607" i="34"/>
  <c r="T1607" i="34"/>
  <c r="U1607" i="34"/>
  <c r="V1607" i="34"/>
  <c r="W1607" i="34"/>
  <c r="X1607" i="34"/>
  <c r="Y1607" i="34"/>
  <c r="Z1607" i="34"/>
  <c r="N1608" i="34"/>
  <c r="O1608" i="34"/>
  <c r="P1608" i="34"/>
  <c r="Q1608" i="34"/>
  <c r="R1608" i="34"/>
  <c r="S1608" i="34"/>
  <c r="T1608" i="34"/>
  <c r="U1608" i="34"/>
  <c r="V1608" i="34"/>
  <c r="W1608" i="34"/>
  <c r="X1608" i="34"/>
  <c r="Y1608" i="34"/>
  <c r="Z1608" i="34"/>
  <c r="N1609" i="34"/>
  <c r="O1609" i="34"/>
  <c r="P1609" i="34"/>
  <c r="Q1609" i="34"/>
  <c r="R1609" i="34"/>
  <c r="S1609" i="34"/>
  <c r="T1609" i="34"/>
  <c r="U1609" i="34"/>
  <c r="V1609" i="34"/>
  <c r="W1609" i="34"/>
  <c r="X1609" i="34"/>
  <c r="Y1609" i="34"/>
  <c r="Z1609" i="34"/>
  <c r="N1610" i="34"/>
  <c r="O1610" i="34"/>
  <c r="P1610" i="34"/>
  <c r="Q1610" i="34"/>
  <c r="R1610" i="34"/>
  <c r="S1610" i="34"/>
  <c r="T1610" i="34"/>
  <c r="U1610" i="34"/>
  <c r="V1610" i="34"/>
  <c r="W1610" i="34"/>
  <c r="X1610" i="34"/>
  <c r="Y1610" i="34"/>
  <c r="Z1610" i="34"/>
  <c r="N1611" i="34"/>
  <c r="O1611" i="34"/>
  <c r="P1611" i="34"/>
  <c r="Q1611" i="34"/>
  <c r="R1611" i="34"/>
  <c r="S1611" i="34"/>
  <c r="T1611" i="34"/>
  <c r="U1611" i="34"/>
  <c r="V1611" i="34"/>
  <c r="W1611" i="34"/>
  <c r="X1611" i="34"/>
  <c r="Y1611" i="34"/>
  <c r="Z1611" i="34"/>
  <c r="N1612" i="34"/>
  <c r="O1612" i="34"/>
  <c r="P1612" i="34"/>
  <c r="Q1612" i="34"/>
  <c r="R1612" i="34"/>
  <c r="S1612" i="34"/>
  <c r="T1612" i="34"/>
  <c r="U1612" i="34"/>
  <c r="V1612" i="34"/>
  <c r="W1612" i="34"/>
  <c r="X1612" i="34"/>
  <c r="Y1612" i="34"/>
  <c r="Z1612" i="34"/>
  <c r="N1613" i="34"/>
  <c r="O1613" i="34"/>
  <c r="P1613" i="34"/>
  <c r="Q1613" i="34"/>
  <c r="R1613" i="34"/>
  <c r="S1613" i="34"/>
  <c r="T1613" i="34"/>
  <c r="U1613" i="34"/>
  <c r="V1613" i="34"/>
  <c r="W1613" i="34"/>
  <c r="X1613" i="34"/>
  <c r="Y1613" i="34"/>
  <c r="Z1613" i="34"/>
  <c r="N1614" i="34"/>
  <c r="O1614" i="34"/>
  <c r="P1614" i="34"/>
  <c r="Q1614" i="34"/>
  <c r="R1614" i="34"/>
  <c r="S1614" i="34"/>
  <c r="T1614" i="34"/>
  <c r="U1614" i="34"/>
  <c r="V1614" i="34"/>
  <c r="W1614" i="34"/>
  <c r="X1614" i="34"/>
  <c r="Y1614" i="34"/>
  <c r="Z1614" i="34"/>
  <c r="N1615" i="34"/>
  <c r="O1615" i="34"/>
  <c r="P1615" i="34"/>
  <c r="Q1615" i="34"/>
  <c r="R1615" i="34"/>
  <c r="S1615" i="34"/>
  <c r="T1615" i="34"/>
  <c r="U1615" i="34"/>
  <c r="V1615" i="34"/>
  <c r="W1615" i="34"/>
  <c r="X1615" i="34"/>
  <c r="Y1615" i="34"/>
  <c r="Z1615" i="34"/>
  <c r="N1616" i="34"/>
  <c r="O1616" i="34"/>
  <c r="P1616" i="34"/>
  <c r="Q1616" i="34"/>
  <c r="R1616" i="34"/>
  <c r="S1616" i="34"/>
  <c r="T1616" i="34"/>
  <c r="U1616" i="34"/>
  <c r="V1616" i="34"/>
  <c r="W1616" i="34"/>
  <c r="X1616" i="34"/>
  <c r="Y1616" i="34"/>
  <c r="Z1616" i="34"/>
  <c r="N1617" i="34"/>
  <c r="O1617" i="34"/>
  <c r="P1617" i="34"/>
  <c r="Q1617" i="34"/>
  <c r="R1617" i="34"/>
  <c r="S1617" i="34"/>
  <c r="T1617" i="34"/>
  <c r="U1617" i="34"/>
  <c r="V1617" i="34"/>
  <c r="W1617" i="34"/>
  <c r="X1617" i="34"/>
  <c r="Y1617" i="34"/>
  <c r="Z1617" i="34"/>
  <c r="N1618" i="34"/>
  <c r="O1618" i="34"/>
  <c r="P1618" i="34"/>
  <c r="Q1618" i="34"/>
  <c r="R1618" i="34"/>
  <c r="S1618" i="34"/>
  <c r="T1618" i="34"/>
  <c r="U1618" i="34"/>
  <c r="V1618" i="34"/>
  <c r="W1618" i="34"/>
  <c r="X1618" i="34"/>
  <c r="Y1618" i="34"/>
  <c r="Z1618" i="34"/>
  <c r="N1619" i="34"/>
  <c r="O1619" i="34"/>
  <c r="P1619" i="34"/>
  <c r="Q1619" i="34"/>
  <c r="R1619" i="34"/>
  <c r="S1619" i="34"/>
  <c r="T1619" i="34"/>
  <c r="U1619" i="34"/>
  <c r="V1619" i="34"/>
  <c r="W1619" i="34"/>
  <c r="X1619" i="34"/>
  <c r="Y1619" i="34"/>
  <c r="Z1619" i="34"/>
  <c r="N1620" i="34"/>
  <c r="O1620" i="34"/>
  <c r="P1620" i="34"/>
  <c r="Q1620" i="34"/>
  <c r="R1620" i="34"/>
  <c r="S1620" i="34"/>
  <c r="T1620" i="34"/>
  <c r="U1620" i="34"/>
  <c r="V1620" i="34"/>
  <c r="W1620" i="34"/>
  <c r="X1620" i="34"/>
  <c r="Y1620" i="34"/>
  <c r="Z1620" i="34"/>
  <c r="N1621" i="34"/>
  <c r="O1621" i="34"/>
  <c r="P1621" i="34"/>
  <c r="Q1621" i="34"/>
  <c r="R1621" i="34"/>
  <c r="S1621" i="34"/>
  <c r="T1621" i="34"/>
  <c r="U1621" i="34"/>
  <c r="V1621" i="34"/>
  <c r="W1621" i="34"/>
  <c r="X1621" i="34"/>
  <c r="Y1621" i="34"/>
  <c r="Z1621" i="34"/>
  <c r="N1622" i="34"/>
  <c r="O1622" i="34"/>
  <c r="P1622" i="34"/>
  <c r="Q1622" i="34"/>
  <c r="R1622" i="34"/>
  <c r="S1622" i="34"/>
  <c r="T1622" i="34"/>
  <c r="U1622" i="34"/>
  <c r="V1622" i="34"/>
  <c r="W1622" i="34"/>
  <c r="X1622" i="34"/>
  <c r="Y1622" i="34"/>
  <c r="Z1622" i="34"/>
  <c r="N1623" i="34"/>
  <c r="O1623" i="34"/>
  <c r="P1623" i="34"/>
  <c r="Q1623" i="34"/>
  <c r="R1623" i="34"/>
  <c r="S1623" i="34"/>
  <c r="T1623" i="34"/>
  <c r="U1623" i="34"/>
  <c r="V1623" i="34"/>
  <c r="W1623" i="34"/>
  <c r="X1623" i="34"/>
  <c r="Y1623" i="34"/>
  <c r="Z1623" i="34"/>
  <c r="N1624" i="34"/>
  <c r="O1624" i="34"/>
  <c r="P1624" i="34"/>
  <c r="Q1624" i="34"/>
  <c r="R1624" i="34"/>
  <c r="S1624" i="34"/>
  <c r="T1624" i="34"/>
  <c r="U1624" i="34"/>
  <c r="V1624" i="34"/>
  <c r="W1624" i="34"/>
  <c r="X1624" i="34"/>
  <c r="Y1624" i="34"/>
  <c r="Z1624" i="34"/>
  <c r="N1625" i="34"/>
  <c r="O1625" i="34"/>
  <c r="P1625" i="34"/>
  <c r="Q1625" i="34"/>
  <c r="R1625" i="34"/>
  <c r="S1625" i="34"/>
  <c r="T1625" i="34"/>
  <c r="U1625" i="34"/>
  <c r="V1625" i="34"/>
  <c r="W1625" i="34"/>
  <c r="X1625" i="34"/>
  <c r="Y1625" i="34"/>
  <c r="Z1625" i="34"/>
  <c r="N1626" i="34"/>
  <c r="O1626" i="34"/>
  <c r="P1626" i="34"/>
  <c r="Q1626" i="34"/>
  <c r="R1626" i="34"/>
  <c r="S1626" i="34"/>
  <c r="T1626" i="34"/>
  <c r="U1626" i="34"/>
  <c r="V1626" i="34"/>
  <c r="W1626" i="34"/>
  <c r="X1626" i="34"/>
  <c r="Y1626" i="34"/>
  <c r="Z1626" i="34"/>
  <c r="N1627" i="34"/>
  <c r="O1627" i="34"/>
  <c r="P1627" i="34"/>
  <c r="Q1627" i="34"/>
  <c r="R1627" i="34"/>
  <c r="S1627" i="34"/>
  <c r="T1627" i="34"/>
  <c r="U1627" i="34"/>
  <c r="V1627" i="34"/>
  <c r="W1627" i="34"/>
  <c r="X1627" i="34"/>
  <c r="Y1627" i="34"/>
  <c r="Z1627" i="34"/>
  <c r="N1628" i="34"/>
  <c r="O1628" i="34"/>
  <c r="P1628" i="34"/>
  <c r="Q1628" i="34"/>
  <c r="R1628" i="34"/>
  <c r="S1628" i="34"/>
  <c r="T1628" i="34"/>
  <c r="U1628" i="34"/>
  <c r="V1628" i="34"/>
  <c r="W1628" i="34"/>
  <c r="X1628" i="34"/>
  <c r="Y1628" i="34"/>
  <c r="Z1628" i="34"/>
  <c r="N1629" i="34"/>
  <c r="O1629" i="34"/>
  <c r="P1629" i="34"/>
  <c r="Q1629" i="34"/>
  <c r="R1629" i="34"/>
  <c r="S1629" i="34"/>
  <c r="T1629" i="34"/>
  <c r="U1629" i="34"/>
  <c r="V1629" i="34"/>
  <c r="W1629" i="34"/>
  <c r="X1629" i="34"/>
  <c r="Y1629" i="34"/>
  <c r="Z1629" i="34"/>
  <c r="N1630" i="34"/>
  <c r="O1630" i="34"/>
  <c r="P1630" i="34"/>
  <c r="Q1630" i="34"/>
  <c r="R1630" i="34"/>
  <c r="S1630" i="34"/>
  <c r="T1630" i="34"/>
  <c r="U1630" i="34"/>
  <c r="V1630" i="34"/>
  <c r="W1630" i="34"/>
  <c r="X1630" i="34"/>
  <c r="Y1630" i="34"/>
  <c r="Z1630" i="34"/>
  <c r="N1631" i="34"/>
  <c r="O1631" i="34"/>
  <c r="P1631" i="34"/>
  <c r="Q1631" i="34"/>
  <c r="R1631" i="34"/>
  <c r="S1631" i="34"/>
  <c r="T1631" i="34"/>
  <c r="U1631" i="34"/>
  <c r="V1631" i="34"/>
  <c r="W1631" i="34"/>
  <c r="X1631" i="34"/>
  <c r="Y1631" i="34"/>
  <c r="Z1631" i="34"/>
  <c r="N1632" i="34"/>
  <c r="O1632" i="34"/>
  <c r="P1632" i="34"/>
  <c r="Q1632" i="34"/>
  <c r="R1632" i="34"/>
  <c r="S1632" i="34"/>
  <c r="T1632" i="34"/>
  <c r="U1632" i="34"/>
  <c r="V1632" i="34"/>
  <c r="W1632" i="34"/>
  <c r="X1632" i="34"/>
  <c r="Y1632" i="34"/>
  <c r="Z1632" i="34"/>
  <c r="N1633" i="34"/>
  <c r="O1633" i="34"/>
  <c r="P1633" i="34"/>
  <c r="Q1633" i="34"/>
  <c r="R1633" i="34"/>
  <c r="S1633" i="34"/>
  <c r="T1633" i="34"/>
  <c r="U1633" i="34"/>
  <c r="V1633" i="34"/>
  <c r="W1633" i="34"/>
  <c r="X1633" i="34"/>
  <c r="Y1633" i="34"/>
  <c r="Z1633" i="34"/>
  <c r="N1634" i="34"/>
  <c r="O1634" i="34"/>
  <c r="P1634" i="34"/>
  <c r="Q1634" i="34"/>
  <c r="R1634" i="34"/>
  <c r="S1634" i="34"/>
  <c r="T1634" i="34"/>
  <c r="U1634" i="34"/>
  <c r="V1634" i="34"/>
  <c r="W1634" i="34"/>
  <c r="X1634" i="34"/>
  <c r="Y1634" i="34"/>
  <c r="Z1634" i="34"/>
  <c r="N1635" i="34"/>
  <c r="O1635" i="34"/>
  <c r="P1635" i="34"/>
  <c r="Q1635" i="34"/>
  <c r="R1635" i="34"/>
  <c r="S1635" i="34"/>
  <c r="T1635" i="34"/>
  <c r="U1635" i="34"/>
  <c r="V1635" i="34"/>
  <c r="W1635" i="34"/>
  <c r="X1635" i="34"/>
  <c r="Y1635" i="34"/>
  <c r="Z1635" i="34"/>
  <c r="N1636" i="34"/>
  <c r="O1636" i="34"/>
  <c r="P1636" i="34"/>
  <c r="Q1636" i="34"/>
  <c r="R1636" i="34"/>
  <c r="S1636" i="34"/>
  <c r="T1636" i="34"/>
  <c r="U1636" i="34"/>
  <c r="V1636" i="34"/>
  <c r="W1636" i="34"/>
  <c r="X1636" i="34"/>
  <c r="Y1636" i="34"/>
  <c r="Z1636" i="34"/>
  <c r="N1637" i="34"/>
  <c r="O1637" i="34"/>
  <c r="P1637" i="34"/>
  <c r="Q1637" i="34"/>
  <c r="R1637" i="34"/>
  <c r="S1637" i="34"/>
  <c r="T1637" i="34"/>
  <c r="U1637" i="34"/>
  <c r="V1637" i="34"/>
  <c r="W1637" i="34"/>
  <c r="X1637" i="34"/>
  <c r="Y1637" i="34"/>
  <c r="Z1637" i="34"/>
  <c r="N1638" i="34"/>
  <c r="O1638" i="34"/>
  <c r="P1638" i="34"/>
  <c r="Q1638" i="34"/>
  <c r="R1638" i="34"/>
  <c r="S1638" i="34"/>
  <c r="T1638" i="34"/>
  <c r="U1638" i="34"/>
  <c r="V1638" i="34"/>
  <c r="W1638" i="34"/>
  <c r="X1638" i="34"/>
  <c r="Y1638" i="34"/>
  <c r="Z1638" i="34"/>
  <c r="N1639" i="34"/>
  <c r="O1639" i="34"/>
  <c r="P1639" i="34"/>
  <c r="Q1639" i="34"/>
  <c r="R1639" i="34"/>
  <c r="S1639" i="34"/>
  <c r="T1639" i="34"/>
  <c r="U1639" i="34"/>
  <c r="V1639" i="34"/>
  <c r="W1639" i="34"/>
  <c r="X1639" i="34"/>
  <c r="Y1639" i="34"/>
  <c r="Z1639" i="34"/>
  <c r="N1640" i="34"/>
  <c r="O1640" i="34"/>
  <c r="P1640" i="34"/>
  <c r="Q1640" i="34"/>
  <c r="R1640" i="34"/>
  <c r="S1640" i="34"/>
  <c r="T1640" i="34"/>
  <c r="U1640" i="34"/>
  <c r="V1640" i="34"/>
  <c r="W1640" i="34"/>
  <c r="X1640" i="34"/>
  <c r="Y1640" i="34"/>
  <c r="Z1640" i="34"/>
  <c r="N1641" i="34"/>
  <c r="O1641" i="34"/>
  <c r="P1641" i="34"/>
  <c r="Q1641" i="34"/>
  <c r="R1641" i="34"/>
  <c r="S1641" i="34"/>
  <c r="T1641" i="34"/>
  <c r="U1641" i="34"/>
  <c r="V1641" i="34"/>
  <c r="W1641" i="34"/>
  <c r="X1641" i="34"/>
  <c r="Y1641" i="34"/>
  <c r="Z1641" i="34"/>
  <c r="N1642" i="34"/>
  <c r="O1642" i="34"/>
  <c r="P1642" i="34"/>
  <c r="Q1642" i="34"/>
  <c r="R1642" i="34"/>
  <c r="S1642" i="34"/>
  <c r="T1642" i="34"/>
  <c r="U1642" i="34"/>
  <c r="V1642" i="34"/>
  <c r="W1642" i="34"/>
  <c r="X1642" i="34"/>
  <c r="Y1642" i="34"/>
  <c r="Z1642" i="34"/>
  <c r="N1643" i="34"/>
  <c r="O1643" i="34"/>
  <c r="P1643" i="34"/>
  <c r="Q1643" i="34"/>
  <c r="R1643" i="34"/>
  <c r="S1643" i="34"/>
  <c r="T1643" i="34"/>
  <c r="U1643" i="34"/>
  <c r="V1643" i="34"/>
  <c r="W1643" i="34"/>
  <c r="X1643" i="34"/>
  <c r="Y1643" i="34"/>
  <c r="Z1643" i="34"/>
  <c r="N1644" i="34"/>
  <c r="O1644" i="34"/>
  <c r="P1644" i="34"/>
  <c r="Q1644" i="34"/>
  <c r="R1644" i="34"/>
  <c r="S1644" i="34"/>
  <c r="T1644" i="34"/>
  <c r="U1644" i="34"/>
  <c r="V1644" i="34"/>
  <c r="W1644" i="34"/>
  <c r="X1644" i="34"/>
  <c r="Y1644" i="34"/>
  <c r="Z1644" i="34"/>
  <c r="N1645" i="34"/>
  <c r="O1645" i="34"/>
  <c r="P1645" i="34"/>
  <c r="Q1645" i="34"/>
  <c r="R1645" i="34"/>
  <c r="S1645" i="34"/>
  <c r="T1645" i="34"/>
  <c r="U1645" i="34"/>
  <c r="V1645" i="34"/>
  <c r="W1645" i="34"/>
  <c r="X1645" i="34"/>
  <c r="Y1645" i="34"/>
  <c r="Z1645" i="34"/>
  <c r="N1646" i="34"/>
  <c r="O1646" i="34"/>
  <c r="P1646" i="34"/>
  <c r="Q1646" i="34"/>
  <c r="R1646" i="34"/>
  <c r="S1646" i="34"/>
  <c r="T1646" i="34"/>
  <c r="U1646" i="34"/>
  <c r="V1646" i="34"/>
  <c r="W1646" i="34"/>
  <c r="X1646" i="34"/>
  <c r="Y1646" i="34"/>
  <c r="Z1646" i="34"/>
  <c r="N1647" i="34"/>
  <c r="O1647" i="34"/>
  <c r="P1647" i="34"/>
  <c r="Q1647" i="34"/>
  <c r="R1647" i="34"/>
  <c r="S1647" i="34"/>
  <c r="T1647" i="34"/>
  <c r="U1647" i="34"/>
  <c r="V1647" i="34"/>
  <c r="W1647" i="34"/>
  <c r="X1647" i="34"/>
  <c r="Y1647" i="34"/>
  <c r="Z1647" i="34"/>
  <c r="N1648" i="34"/>
  <c r="O1648" i="34"/>
  <c r="P1648" i="34"/>
  <c r="Q1648" i="34"/>
  <c r="R1648" i="34"/>
  <c r="S1648" i="34"/>
  <c r="T1648" i="34"/>
  <c r="U1648" i="34"/>
  <c r="V1648" i="34"/>
  <c r="W1648" i="34"/>
  <c r="X1648" i="34"/>
  <c r="Y1648" i="34"/>
  <c r="Z1648" i="34"/>
  <c r="N1649" i="34"/>
  <c r="O1649" i="34"/>
  <c r="P1649" i="34"/>
  <c r="Q1649" i="34"/>
  <c r="R1649" i="34"/>
  <c r="S1649" i="34"/>
  <c r="T1649" i="34"/>
  <c r="U1649" i="34"/>
  <c r="V1649" i="34"/>
  <c r="W1649" i="34"/>
  <c r="X1649" i="34"/>
  <c r="Y1649" i="34"/>
  <c r="Z1649" i="34"/>
  <c r="N1650" i="34"/>
  <c r="O1650" i="34"/>
  <c r="P1650" i="34"/>
  <c r="Q1650" i="34"/>
  <c r="R1650" i="34"/>
  <c r="S1650" i="34"/>
  <c r="T1650" i="34"/>
  <c r="U1650" i="34"/>
  <c r="V1650" i="34"/>
  <c r="W1650" i="34"/>
  <c r="X1650" i="34"/>
  <c r="Y1650" i="34"/>
  <c r="Z1650" i="34"/>
  <c r="N1651" i="34"/>
  <c r="O1651" i="34"/>
  <c r="P1651" i="34"/>
  <c r="Q1651" i="34"/>
  <c r="R1651" i="34"/>
  <c r="S1651" i="34"/>
  <c r="T1651" i="34"/>
  <c r="U1651" i="34"/>
  <c r="V1651" i="34"/>
  <c r="W1651" i="34"/>
  <c r="X1651" i="34"/>
  <c r="Y1651" i="34"/>
  <c r="Z1651" i="34"/>
  <c r="N1652" i="34"/>
  <c r="O1652" i="34"/>
  <c r="P1652" i="34"/>
  <c r="Q1652" i="34"/>
  <c r="R1652" i="34"/>
  <c r="S1652" i="34"/>
  <c r="T1652" i="34"/>
  <c r="U1652" i="34"/>
  <c r="V1652" i="34"/>
  <c r="W1652" i="34"/>
  <c r="X1652" i="34"/>
  <c r="Y1652" i="34"/>
  <c r="Z1652" i="34"/>
  <c r="N1653" i="34"/>
  <c r="O1653" i="34"/>
  <c r="P1653" i="34"/>
  <c r="Q1653" i="34"/>
  <c r="R1653" i="34"/>
  <c r="S1653" i="34"/>
  <c r="T1653" i="34"/>
  <c r="U1653" i="34"/>
  <c r="V1653" i="34"/>
  <c r="W1653" i="34"/>
  <c r="X1653" i="34"/>
  <c r="Y1653" i="34"/>
  <c r="Z1653" i="34"/>
  <c r="N1654" i="34"/>
  <c r="O1654" i="34"/>
  <c r="P1654" i="34"/>
  <c r="Q1654" i="34"/>
  <c r="R1654" i="34"/>
  <c r="S1654" i="34"/>
  <c r="T1654" i="34"/>
  <c r="U1654" i="34"/>
  <c r="V1654" i="34"/>
  <c r="W1654" i="34"/>
  <c r="X1654" i="34"/>
  <c r="Y1654" i="34"/>
  <c r="Z1654" i="34"/>
  <c r="N1655" i="34"/>
  <c r="O1655" i="34"/>
  <c r="P1655" i="34"/>
  <c r="Q1655" i="34"/>
  <c r="R1655" i="34"/>
  <c r="S1655" i="34"/>
  <c r="T1655" i="34"/>
  <c r="U1655" i="34"/>
  <c r="V1655" i="34"/>
  <c r="W1655" i="34"/>
  <c r="X1655" i="34"/>
  <c r="Y1655" i="34"/>
  <c r="Z1655" i="34"/>
  <c r="N1656" i="34"/>
  <c r="O1656" i="34"/>
  <c r="P1656" i="34"/>
  <c r="Q1656" i="34"/>
  <c r="R1656" i="34"/>
  <c r="S1656" i="34"/>
  <c r="T1656" i="34"/>
  <c r="U1656" i="34"/>
  <c r="V1656" i="34"/>
  <c r="W1656" i="34"/>
  <c r="X1656" i="34"/>
  <c r="Y1656" i="34"/>
  <c r="Z1656" i="34"/>
  <c r="N1657" i="34"/>
  <c r="O1657" i="34"/>
  <c r="P1657" i="34"/>
  <c r="Q1657" i="34"/>
  <c r="R1657" i="34"/>
  <c r="S1657" i="34"/>
  <c r="T1657" i="34"/>
  <c r="U1657" i="34"/>
  <c r="V1657" i="34"/>
  <c r="W1657" i="34"/>
  <c r="X1657" i="34"/>
  <c r="Y1657" i="34"/>
  <c r="Z1657" i="34"/>
  <c r="N1658" i="34"/>
  <c r="O1658" i="34"/>
  <c r="P1658" i="34"/>
  <c r="Q1658" i="34"/>
  <c r="R1658" i="34"/>
  <c r="S1658" i="34"/>
  <c r="T1658" i="34"/>
  <c r="U1658" i="34"/>
  <c r="V1658" i="34"/>
  <c r="W1658" i="34"/>
  <c r="X1658" i="34"/>
  <c r="Y1658" i="34"/>
  <c r="Z1658" i="34"/>
  <c r="N1659" i="34"/>
  <c r="O1659" i="34"/>
  <c r="P1659" i="34"/>
  <c r="Q1659" i="34"/>
  <c r="R1659" i="34"/>
  <c r="S1659" i="34"/>
  <c r="T1659" i="34"/>
  <c r="U1659" i="34"/>
  <c r="V1659" i="34"/>
  <c r="W1659" i="34"/>
  <c r="X1659" i="34"/>
  <c r="Y1659" i="34"/>
  <c r="Z1659" i="34"/>
  <c r="N1660" i="34"/>
  <c r="O1660" i="34"/>
  <c r="P1660" i="34"/>
  <c r="Q1660" i="34"/>
  <c r="R1660" i="34"/>
  <c r="S1660" i="34"/>
  <c r="T1660" i="34"/>
  <c r="U1660" i="34"/>
  <c r="V1660" i="34"/>
  <c r="W1660" i="34"/>
  <c r="X1660" i="34"/>
  <c r="Y1660" i="34"/>
  <c r="Z1660" i="34"/>
  <c r="N1661" i="34"/>
  <c r="O1661" i="34"/>
  <c r="P1661" i="34"/>
  <c r="Q1661" i="34"/>
  <c r="R1661" i="34"/>
  <c r="S1661" i="34"/>
  <c r="T1661" i="34"/>
  <c r="U1661" i="34"/>
  <c r="V1661" i="34"/>
  <c r="W1661" i="34"/>
  <c r="X1661" i="34"/>
  <c r="Y1661" i="34"/>
  <c r="Z1661" i="34"/>
  <c r="N1662" i="34"/>
  <c r="O1662" i="34"/>
  <c r="P1662" i="34"/>
  <c r="Q1662" i="34"/>
  <c r="R1662" i="34"/>
  <c r="S1662" i="34"/>
  <c r="T1662" i="34"/>
  <c r="U1662" i="34"/>
  <c r="V1662" i="34"/>
  <c r="W1662" i="34"/>
  <c r="X1662" i="34"/>
  <c r="Y1662" i="34"/>
  <c r="Z1662" i="34"/>
  <c r="N1663" i="34"/>
  <c r="O1663" i="34"/>
  <c r="P1663" i="34"/>
  <c r="Q1663" i="34"/>
  <c r="R1663" i="34"/>
  <c r="S1663" i="34"/>
  <c r="T1663" i="34"/>
  <c r="U1663" i="34"/>
  <c r="V1663" i="34"/>
  <c r="W1663" i="34"/>
  <c r="X1663" i="34"/>
  <c r="Y1663" i="34"/>
  <c r="Z1663" i="34"/>
  <c r="N1664" i="34"/>
  <c r="O1664" i="34"/>
  <c r="P1664" i="34"/>
  <c r="Q1664" i="34"/>
  <c r="R1664" i="34"/>
  <c r="S1664" i="34"/>
  <c r="T1664" i="34"/>
  <c r="U1664" i="34"/>
  <c r="V1664" i="34"/>
  <c r="W1664" i="34"/>
  <c r="X1664" i="34"/>
  <c r="Y1664" i="34"/>
  <c r="Z1664" i="34"/>
  <c r="N1665" i="34"/>
  <c r="O1665" i="34"/>
  <c r="P1665" i="34"/>
  <c r="Q1665" i="34"/>
  <c r="R1665" i="34"/>
  <c r="S1665" i="34"/>
  <c r="T1665" i="34"/>
  <c r="U1665" i="34"/>
  <c r="V1665" i="34"/>
  <c r="W1665" i="34"/>
  <c r="X1665" i="34"/>
  <c r="Y1665" i="34"/>
  <c r="Z1665" i="34"/>
  <c r="N1666" i="34"/>
  <c r="O1666" i="34"/>
  <c r="P1666" i="34"/>
  <c r="Q1666" i="34"/>
  <c r="R1666" i="34"/>
  <c r="S1666" i="34"/>
  <c r="T1666" i="34"/>
  <c r="U1666" i="34"/>
  <c r="V1666" i="34"/>
  <c r="W1666" i="34"/>
  <c r="X1666" i="34"/>
  <c r="Y1666" i="34"/>
  <c r="Z1666" i="34"/>
  <c r="N1667" i="34"/>
  <c r="O1667" i="34"/>
  <c r="P1667" i="34"/>
  <c r="Q1667" i="34"/>
  <c r="R1667" i="34"/>
  <c r="S1667" i="34"/>
  <c r="T1667" i="34"/>
  <c r="U1667" i="34"/>
  <c r="V1667" i="34"/>
  <c r="W1667" i="34"/>
  <c r="X1667" i="34"/>
  <c r="Y1667" i="34"/>
  <c r="Z1667" i="34"/>
  <c r="N1668" i="34"/>
  <c r="O1668" i="34"/>
  <c r="P1668" i="34"/>
  <c r="Q1668" i="34"/>
  <c r="R1668" i="34"/>
  <c r="S1668" i="34"/>
  <c r="T1668" i="34"/>
  <c r="U1668" i="34"/>
  <c r="V1668" i="34"/>
  <c r="W1668" i="34"/>
  <c r="X1668" i="34"/>
  <c r="Y1668" i="34"/>
  <c r="Z1668" i="34"/>
  <c r="N1669" i="34"/>
  <c r="O1669" i="34"/>
  <c r="P1669" i="34"/>
  <c r="Q1669" i="34"/>
  <c r="R1669" i="34"/>
  <c r="S1669" i="34"/>
  <c r="T1669" i="34"/>
  <c r="U1669" i="34"/>
  <c r="V1669" i="34"/>
  <c r="W1669" i="34"/>
  <c r="X1669" i="34"/>
  <c r="Y1669" i="34"/>
  <c r="Z1669" i="34"/>
  <c r="N1670" i="34"/>
  <c r="O1670" i="34"/>
  <c r="P1670" i="34"/>
  <c r="Q1670" i="34"/>
  <c r="R1670" i="34"/>
  <c r="S1670" i="34"/>
  <c r="T1670" i="34"/>
  <c r="U1670" i="34"/>
  <c r="V1670" i="34"/>
  <c r="W1670" i="34"/>
  <c r="X1670" i="34"/>
  <c r="Y1670" i="34"/>
  <c r="Z1670" i="34"/>
  <c r="N1671" i="34"/>
  <c r="O1671" i="34"/>
  <c r="P1671" i="34"/>
  <c r="Q1671" i="34"/>
  <c r="R1671" i="34"/>
  <c r="S1671" i="34"/>
  <c r="T1671" i="34"/>
  <c r="U1671" i="34"/>
  <c r="V1671" i="34"/>
  <c r="W1671" i="34"/>
  <c r="X1671" i="34"/>
  <c r="Y1671" i="34"/>
  <c r="Z1671" i="34"/>
  <c r="N1672" i="34"/>
  <c r="O1672" i="34"/>
  <c r="P1672" i="34"/>
  <c r="Q1672" i="34"/>
  <c r="R1672" i="34"/>
  <c r="S1672" i="34"/>
  <c r="T1672" i="34"/>
  <c r="U1672" i="34"/>
  <c r="V1672" i="34"/>
  <c r="W1672" i="34"/>
  <c r="X1672" i="34"/>
  <c r="Y1672" i="34"/>
  <c r="Z1672" i="34"/>
  <c r="N1673" i="34"/>
  <c r="O1673" i="34"/>
  <c r="P1673" i="34"/>
  <c r="Q1673" i="34"/>
  <c r="R1673" i="34"/>
  <c r="S1673" i="34"/>
  <c r="T1673" i="34"/>
  <c r="U1673" i="34"/>
  <c r="V1673" i="34"/>
  <c r="W1673" i="34"/>
  <c r="X1673" i="34"/>
  <c r="Y1673" i="34"/>
  <c r="Z1673" i="34"/>
  <c r="N1674" i="34"/>
  <c r="O1674" i="34"/>
  <c r="P1674" i="34"/>
  <c r="Q1674" i="34"/>
  <c r="R1674" i="34"/>
  <c r="S1674" i="34"/>
  <c r="T1674" i="34"/>
  <c r="U1674" i="34"/>
  <c r="V1674" i="34"/>
  <c r="W1674" i="34"/>
  <c r="X1674" i="34"/>
  <c r="Y1674" i="34"/>
  <c r="Z1674" i="34"/>
  <c r="N1675" i="34"/>
  <c r="O1675" i="34"/>
  <c r="P1675" i="34"/>
  <c r="Q1675" i="34"/>
  <c r="R1675" i="34"/>
  <c r="S1675" i="34"/>
  <c r="T1675" i="34"/>
  <c r="U1675" i="34"/>
  <c r="V1675" i="34"/>
  <c r="W1675" i="34"/>
  <c r="X1675" i="34"/>
  <c r="Y1675" i="34"/>
  <c r="Z1675" i="34"/>
  <c r="N1676" i="34"/>
  <c r="O1676" i="34"/>
  <c r="P1676" i="34"/>
  <c r="Q1676" i="34"/>
  <c r="R1676" i="34"/>
  <c r="S1676" i="34"/>
  <c r="T1676" i="34"/>
  <c r="U1676" i="34"/>
  <c r="V1676" i="34"/>
  <c r="W1676" i="34"/>
  <c r="X1676" i="34"/>
  <c r="Y1676" i="34"/>
  <c r="Z1676" i="34"/>
  <c r="N1677" i="34"/>
  <c r="O1677" i="34"/>
  <c r="P1677" i="34"/>
  <c r="Q1677" i="34"/>
  <c r="R1677" i="34"/>
  <c r="S1677" i="34"/>
  <c r="T1677" i="34"/>
  <c r="U1677" i="34"/>
  <c r="V1677" i="34"/>
  <c r="W1677" i="34"/>
  <c r="X1677" i="34"/>
  <c r="Y1677" i="34"/>
  <c r="Z1677" i="34"/>
  <c r="N1678" i="34"/>
  <c r="O1678" i="34"/>
  <c r="P1678" i="34"/>
  <c r="Q1678" i="34"/>
  <c r="R1678" i="34"/>
  <c r="S1678" i="34"/>
  <c r="T1678" i="34"/>
  <c r="U1678" i="34"/>
  <c r="V1678" i="34"/>
  <c r="W1678" i="34"/>
  <c r="X1678" i="34"/>
  <c r="Y1678" i="34"/>
  <c r="Z1678" i="34"/>
  <c r="N1679" i="34"/>
  <c r="O1679" i="34"/>
  <c r="P1679" i="34"/>
  <c r="Q1679" i="34"/>
  <c r="R1679" i="34"/>
  <c r="S1679" i="34"/>
  <c r="T1679" i="34"/>
  <c r="U1679" i="34"/>
  <c r="V1679" i="34"/>
  <c r="W1679" i="34"/>
  <c r="X1679" i="34"/>
  <c r="Y1679" i="34"/>
  <c r="Z1679" i="34"/>
  <c r="N1680" i="34"/>
  <c r="O1680" i="34"/>
  <c r="P1680" i="34"/>
  <c r="Q1680" i="34"/>
  <c r="R1680" i="34"/>
  <c r="S1680" i="34"/>
  <c r="T1680" i="34"/>
  <c r="U1680" i="34"/>
  <c r="V1680" i="34"/>
  <c r="W1680" i="34"/>
  <c r="X1680" i="34"/>
  <c r="Y1680" i="34"/>
  <c r="Z1680" i="34"/>
  <c r="N1681" i="34"/>
  <c r="O1681" i="34"/>
  <c r="P1681" i="34"/>
  <c r="Q1681" i="34"/>
  <c r="R1681" i="34"/>
  <c r="S1681" i="34"/>
  <c r="T1681" i="34"/>
  <c r="U1681" i="34"/>
  <c r="V1681" i="34"/>
  <c r="W1681" i="34"/>
  <c r="X1681" i="34"/>
  <c r="Y1681" i="34"/>
  <c r="Z1681" i="34"/>
  <c r="N1682" i="34"/>
  <c r="O1682" i="34"/>
  <c r="P1682" i="34"/>
  <c r="Q1682" i="34"/>
  <c r="R1682" i="34"/>
  <c r="S1682" i="34"/>
  <c r="T1682" i="34"/>
  <c r="U1682" i="34"/>
  <c r="V1682" i="34"/>
  <c r="W1682" i="34"/>
  <c r="X1682" i="34"/>
  <c r="Y1682" i="34"/>
  <c r="Z1682" i="34"/>
  <c r="N1683" i="34"/>
  <c r="O1683" i="34"/>
  <c r="P1683" i="34"/>
  <c r="Q1683" i="34"/>
  <c r="R1683" i="34"/>
  <c r="S1683" i="34"/>
  <c r="T1683" i="34"/>
  <c r="U1683" i="34"/>
  <c r="V1683" i="34"/>
  <c r="W1683" i="34"/>
  <c r="X1683" i="34"/>
  <c r="Y1683" i="34"/>
  <c r="Z1683" i="34"/>
  <c r="N1684" i="34"/>
  <c r="O1684" i="34"/>
  <c r="P1684" i="34"/>
  <c r="Q1684" i="34"/>
  <c r="R1684" i="34"/>
  <c r="S1684" i="34"/>
  <c r="T1684" i="34"/>
  <c r="U1684" i="34"/>
  <c r="V1684" i="34"/>
  <c r="W1684" i="34"/>
  <c r="X1684" i="34"/>
  <c r="Y1684" i="34"/>
  <c r="Z1684" i="34"/>
  <c r="N1685" i="34"/>
  <c r="O1685" i="34"/>
  <c r="P1685" i="34"/>
  <c r="Q1685" i="34"/>
  <c r="R1685" i="34"/>
  <c r="S1685" i="34"/>
  <c r="T1685" i="34"/>
  <c r="U1685" i="34"/>
  <c r="V1685" i="34"/>
  <c r="W1685" i="34"/>
  <c r="X1685" i="34"/>
  <c r="Y1685" i="34"/>
  <c r="Z1685" i="34"/>
  <c r="N1686" i="34"/>
  <c r="O1686" i="34"/>
  <c r="P1686" i="34"/>
  <c r="Q1686" i="34"/>
  <c r="R1686" i="34"/>
  <c r="S1686" i="34"/>
  <c r="T1686" i="34"/>
  <c r="U1686" i="34"/>
  <c r="V1686" i="34"/>
  <c r="W1686" i="34"/>
  <c r="X1686" i="34"/>
  <c r="Y1686" i="34"/>
  <c r="Z1686" i="34"/>
  <c r="N1687" i="34"/>
  <c r="O1687" i="34"/>
  <c r="P1687" i="34"/>
  <c r="Q1687" i="34"/>
  <c r="R1687" i="34"/>
  <c r="S1687" i="34"/>
  <c r="T1687" i="34"/>
  <c r="U1687" i="34"/>
  <c r="V1687" i="34"/>
  <c r="W1687" i="34"/>
  <c r="X1687" i="34"/>
  <c r="Y1687" i="34"/>
  <c r="Z1687" i="34"/>
  <c r="N1688" i="34"/>
  <c r="O1688" i="34"/>
  <c r="P1688" i="34"/>
  <c r="Q1688" i="34"/>
  <c r="R1688" i="34"/>
  <c r="S1688" i="34"/>
  <c r="T1688" i="34"/>
  <c r="U1688" i="34"/>
  <c r="V1688" i="34"/>
  <c r="W1688" i="34"/>
  <c r="X1688" i="34"/>
  <c r="Y1688" i="34"/>
  <c r="Z1688" i="34"/>
  <c r="N1689" i="34"/>
  <c r="O1689" i="34"/>
  <c r="P1689" i="34"/>
  <c r="Q1689" i="34"/>
  <c r="R1689" i="34"/>
  <c r="S1689" i="34"/>
  <c r="T1689" i="34"/>
  <c r="U1689" i="34"/>
  <c r="V1689" i="34"/>
  <c r="W1689" i="34"/>
  <c r="X1689" i="34"/>
  <c r="Y1689" i="34"/>
  <c r="Z1689" i="34"/>
  <c r="N1690" i="34"/>
  <c r="O1690" i="34"/>
  <c r="P1690" i="34"/>
  <c r="Q1690" i="34"/>
  <c r="R1690" i="34"/>
  <c r="S1690" i="34"/>
  <c r="T1690" i="34"/>
  <c r="U1690" i="34"/>
  <c r="V1690" i="34"/>
  <c r="W1690" i="34"/>
  <c r="X1690" i="34"/>
  <c r="Y1690" i="34"/>
  <c r="Z1690" i="34"/>
  <c r="N1691" i="34"/>
  <c r="O1691" i="34"/>
  <c r="P1691" i="34"/>
  <c r="Q1691" i="34"/>
  <c r="R1691" i="34"/>
  <c r="S1691" i="34"/>
  <c r="T1691" i="34"/>
  <c r="U1691" i="34"/>
  <c r="V1691" i="34"/>
  <c r="W1691" i="34"/>
  <c r="X1691" i="34"/>
  <c r="Y1691" i="34"/>
  <c r="Z1691" i="34"/>
  <c r="N1692" i="34"/>
  <c r="O1692" i="34"/>
  <c r="P1692" i="34"/>
  <c r="Q1692" i="34"/>
  <c r="R1692" i="34"/>
  <c r="S1692" i="34"/>
  <c r="T1692" i="34"/>
  <c r="U1692" i="34"/>
  <c r="V1692" i="34"/>
  <c r="W1692" i="34"/>
  <c r="X1692" i="34"/>
  <c r="Y1692" i="34"/>
  <c r="Z1692" i="34"/>
  <c r="N1693" i="34"/>
  <c r="O1693" i="34"/>
  <c r="P1693" i="34"/>
  <c r="Q1693" i="34"/>
  <c r="R1693" i="34"/>
  <c r="S1693" i="34"/>
  <c r="T1693" i="34"/>
  <c r="U1693" i="34"/>
  <c r="V1693" i="34"/>
  <c r="W1693" i="34"/>
  <c r="X1693" i="34"/>
  <c r="Y1693" i="34"/>
  <c r="Z1693" i="34"/>
  <c r="N1694" i="34"/>
  <c r="O1694" i="34"/>
  <c r="P1694" i="34"/>
  <c r="Q1694" i="34"/>
  <c r="R1694" i="34"/>
  <c r="S1694" i="34"/>
  <c r="T1694" i="34"/>
  <c r="U1694" i="34"/>
  <c r="V1694" i="34"/>
  <c r="W1694" i="34"/>
  <c r="X1694" i="34"/>
  <c r="Y1694" i="34"/>
  <c r="Z1694" i="34"/>
  <c r="N1695" i="34"/>
  <c r="O1695" i="34"/>
  <c r="P1695" i="34"/>
  <c r="Q1695" i="34"/>
  <c r="R1695" i="34"/>
  <c r="S1695" i="34"/>
  <c r="T1695" i="34"/>
  <c r="U1695" i="34"/>
  <c r="V1695" i="34"/>
  <c r="W1695" i="34"/>
  <c r="X1695" i="34"/>
  <c r="Y1695" i="34"/>
  <c r="Z1695" i="34"/>
  <c r="N1696" i="34"/>
  <c r="O1696" i="34"/>
  <c r="P1696" i="34"/>
  <c r="Q1696" i="34"/>
  <c r="R1696" i="34"/>
  <c r="S1696" i="34"/>
  <c r="T1696" i="34"/>
  <c r="U1696" i="34"/>
  <c r="V1696" i="34"/>
  <c r="W1696" i="34"/>
  <c r="X1696" i="34"/>
  <c r="Y1696" i="34"/>
  <c r="Z1696" i="34"/>
  <c r="N1697" i="34"/>
  <c r="O1697" i="34"/>
  <c r="P1697" i="34"/>
  <c r="Q1697" i="34"/>
  <c r="R1697" i="34"/>
  <c r="S1697" i="34"/>
  <c r="T1697" i="34"/>
  <c r="U1697" i="34"/>
  <c r="V1697" i="34"/>
  <c r="W1697" i="34"/>
  <c r="X1697" i="34"/>
  <c r="Y1697" i="34"/>
  <c r="Z1697" i="34"/>
  <c r="N1698" i="34"/>
  <c r="O1698" i="34"/>
  <c r="P1698" i="34"/>
  <c r="Q1698" i="34"/>
  <c r="R1698" i="34"/>
  <c r="S1698" i="34"/>
  <c r="T1698" i="34"/>
  <c r="U1698" i="34"/>
  <c r="V1698" i="34"/>
  <c r="W1698" i="34"/>
  <c r="X1698" i="34"/>
  <c r="Y1698" i="34"/>
  <c r="Z1698" i="34"/>
  <c r="N1699" i="34"/>
  <c r="O1699" i="34"/>
  <c r="P1699" i="34"/>
  <c r="Q1699" i="34"/>
  <c r="R1699" i="34"/>
  <c r="S1699" i="34"/>
  <c r="T1699" i="34"/>
  <c r="U1699" i="34"/>
  <c r="V1699" i="34"/>
  <c r="W1699" i="34"/>
  <c r="X1699" i="34"/>
  <c r="Y1699" i="34"/>
  <c r="Z1699" i="34"/>
  <c r="N1700" i="34"/>
  <c r="O1700" i="34"/>
  <c r="P1700" i="34"/>
  <c r="Q1700" i="34"/>
  <c r="R1700" i="34"/>
  <c r="S1700" i="34"/>
  <c r="T1700" i="34"/>
  <c r="U1700" i="34"/>
  <c r="V1700" i="34"/>
  <c r="W1700" i="34"/>
  <c r="X1700" i="34"/>
  <c r="Y1700" i="34"/>
  <c r="Z1700" i="34"/>
  <c r="N1701" i="34"/>
  <c r="O1701" i="34"/>
  <c r="P1701" i="34"/>
  <c r="Q1701" i="34"/>
  <c r="R1701" i="34"/>
  <c r="S1701" i="34"/>
  <c r="T1701" i="34"/>
  <c r="U1701" i="34"/>
  <c r="V1701" i="34"/>
  <c r="W1701" i="34"/>
  <c r="X1701" i="34"/>
  <c r="Y1701" i="34"/>
  <c r="Z1701" i="34"/>
  <c r="N1702" i="34"/>
  <c r="O1702" i="34"/>
  <c r="P1702" i="34"/>
  <c r="Q1702" i="34"/>
  <c r="R1702" i="34"/>
  <c r="S1702" i="34"/>
  <c r="T1702" i="34"/>
  <c r="U1702" i="34"/>
  <c r="V1702" i="34"/>
  <c r="W1702" i="34"/>
  <c r="X1702" i="34"/>
  <c r="Y1702" i="34"/>
  <c r="Z1702" i="34"/>
  <c r="N1703" i="34"/>
  <c r="O1703" i="34"/>
  <c r="P1703" i="34"/>
  <c r="Q1703" i="34"/>
  <c r="R1703" i="34"/>
  <c r="S1703" i="34"/>
  <c r="T1703" i="34"/>
  <c r="U1703" i="34"/>
  <c r="V1703" i="34"/>
  <c r="W1703" i="34"/>
  <c r="X1703" i="34"/>
  <c r="Y1703" i="34"/>
  <c r="Z1703" i="34"/>
  <c r="N1704" i="34"/>
  <c r="O1704" i="34"/>
  <c r="P1704" i="34"/>
  <c r="Q1704" i="34"/>
  <c r="R1704" i="34"/>
  <c r="S1704" i="34"/>
  <c r="T1704" i="34"/>
  <c r="U1704" i="34"/>
  <c r="V1704" i="34"/>
  <c r="W1704" i="34"/>
  <c r="X1704" i="34"/>
  <c r="Y1704" i="34"/>
  <c r="Z1704" i="34"/>
  <c r="N1705" i="34"/>
  <c r="O1705" i="34"/>
  <c r="P1705" i="34"/>
  <c r="Q1705" i="34"/>
  <c r="R1705" i="34"/>
  <c r="S1705" i="34"/>
  <c r="T1705" i="34"/>
  <c r="U1705" i="34"/>
  <c r="V1705" i="34"/>
  <c r="W1705" i="34"/>
  <c r="X1705" i="34"/>
  <c r="Y1705" i="34"/>
  <c r="Z1705" i="34"/>
  <c r="N1706" i="34"/>
  <c r="O1706" i="34"/>
  <c r="P1706" i="34"/>
  <c r="Q1706" i="34"/>
  <c r="R1706" i="34"/>
  <c r="S1706" i="34"/>
  <c r="T1706" i="34"/>
  <c r="U1706" i="34"/>
  <c r="V1706" i="34"/>
  <c r="W1706" i="34"/>
  <c r="X1706" i="34"/>
  <c r="Y1706" i="34"/>
  <c r="Z1706" i="34"/>
  <c r="N1707" i="34"/>
  <c r="O1707" i="34"/>
  <c r="P1707" i="34"/>
  <c r="Q1707" i="34"/>
  <c r="R1707" i="34"/>
  <c r="S1707" i="34"/>
  <c r="T1707" i="34"/>
  <c r="U1707" i="34"/>
  <c r="V1707" i="34"/>
  <c r="W1707" i="34"/>
  <c r="X1707" i="34"/>
  <c r="Y1707" i="34"/>
  <c r="Z1707" i="34"/>
  <c r="N1708" i="34"/>
  <c r="O1708" i="34"/>
  <c r="P1708" i="34"/>
  <c r="Q1708" i="34"/>
  <c r="R1708" i="34"/>
  <c r="S1708" i="34"/>
  <c r="T1708" i="34"/>
  <c r="U1708" i="34"/>
  <c r="V1708" i="34"/>
  <c r="W1708" i="34"/>
  <c r="X1708" i="34"/>
  <c r="Y1708" i="34"/>
  <c r="Z1708" i="34"/>
  <c r="N1709" i="34"/>
  <c r="O1709" i="34"/>
  <c r="P1709" i="34"/>
  <c r="Q1709" i="34"/>
  <c r="R1709" i="34"/>
  <c r="S1709" i="34"/>
  <c r="T1709" i="34"/>
  <c r="U1709" i="34"/>
  <c r="V1709" i="34"/>
  <c r="W1709" i="34"/>
  <c r="X1709" i="34"/>
  <c r="Y1709" i="34"/>
  <c r="Z1709" i="34"/>
  <c r="N1710" i="34"/>
  <c r="O1710" i="34"/>
  <c r="P1710" i="34"/>
  <c r="Q1710" i="34"/>
  <c r="R1710" i="34"/>
  <c r="S1710" i="34"/>
  <c r="T1710" i="34"/>
  <c r="U1710" i="34"/>
  <c r="V1710" i="34"/>
  <c r="W1710" i="34"/>
  <c r="X1710" i="34"/>
  <c r="Y1710" i="34"/>
  <c r="Z1710" i="34"/>
  <c r="N1711" i="34"/>
  <c r="O1711" i="34"/>
  <c r="P1711" i="34"/>
  <c r="Q1711" i="34"/>
  <c r="R1711" i="34"/>
  <c r="S1711" i="34"/>
  <c r="T1711" i="34"/>
  <c r="U1711" i="34"/>
  <c r="V1711" i="34"/>
  <c r="W1711" i="34"/>
  <c r="X1711" i="34"/>
  <c r="Y1711" i="34"/>
  <c r="Z1711" i="34"/>
  <c r="N1712" i="34"/>
  <c r="O1712" i="34"/>
  <c r="P1712" i="34"/>
  <c r="Q1712" i="34"/>
  <c r="R1712" i="34"/>
  <c r="S1712" i="34"/>
  <c r="T1712" i="34"/>
  <c r="U1712" i="34"/>
  <c r="V1712" i="34"/>
  <c r="W1712" i="34"/>
  <c r="X1712" i="34"/>
  <c r="Y1712" i="34"/>
  <c r="Z1712" i="34"/>
  <c r="N1713" i="34"/>
  <c r="O1713" i="34"/>
  <c r="P1713" i="34"/>
  <c r="Q1713" i="34"/>
  <c r="R1713" i="34"/>
  <c r="S1713" i="34"/>
  <c r="T1713" i="34"/>
  <c r="U1713" i="34"/>
  <c r="V1713" i="34"/>
  <c r="W1713" i="34"/>
  <c r="X1713" i="34"/>
  <c r="Y1713" i="34"/>
  <c r="Z1713" i="34"/>
  <c r="N1714" i="34"/>
  <c r="O1714" i="34"/>
  <c r="P1714" i="34"/>
  <c r="Q1714" i="34"/>
  <c r="R1714" i="34"/>
  <c r="S1714" i="34"/>
  <c r="T1714" i="34"/>
  <c r="U1714" i="34"/>
  <c r="V1714" i="34"/>
  <c r="W1714" i="34"/>
  <c r="X1714" i="34"/>
  <c r="Y1714" i="34"/>
  <c r="Z1714" i="34"/>
  <c r="N1715" i="34"/>
  <c r="O1715" i="34"/>
  <c r="P1715" i="34"/>
  <c r="Q1715" i="34"/>
  <c r="R1715" i="34"/>
  <c r="S1715" i="34"/>
  <c r="T1715" i="34"/>
  <c r="U1715" i="34"/>
  <c r="V1715" i="34"/>
  <c r="W1715" i="34"/>
  <c r="X1715" i="34"/>
  <c r="Y1715" i="34"/>
  <c r="Z1715" i="34"/>
  <c r="N1716" i="34"/>
  <c r="O1716" i="34"/>
  <c r="P1716" i="34"/>
  <c r="Q1716" i="34"/>
  <c r="R1716" i="34"/>
  <c r="S1716" i="34"/>
  <c r="T1716" i="34"/>
  <c r="U1716" i="34"/>
  <c r="V1716" i="34"/>
  <c r="W1716" i="34"/>
  <c r="X1716" i="34"/>
  <c r="Y1716" i="34"/>
  <c r="Z1716" i="34"/>
  <c r="N1717" i="34"/>
  <c r="O1717" i="34"/>
  <c r="P1717" i="34"/>
  <c r="Q1717" i="34"/>
  <c r="R1717" i="34"/>
  <c r="S1717" i="34"/>
  <c r="T1717" i="34"/>
  <c r="U1717" i="34"/>
  <c r="V1717" i="34"/>
  <c r="W1717" i="34"/>
  <c r="X1717" i="34"/>
  <c r="Y1717" i="34"/>
  <c r="Z1717" i="34"/>
  <c r="N1718" i="34"/>
  <c r="O1718" i="34"/>
  <c r="P1718" i="34"/>
  <c r="Q1718" i="34"/>
  <c r="R1718" i="34"/>
  <c r="S1718" i="34"/>
  <c r="T1718" i="34"/>
  <c r="U1718" i="34"/>
  <c r="V1718" i="34"/>
  <c r="W1718" i="34"/>
  <c r="X1718" i="34"/>
  <c r="Y1718" i="34"/>
  <c r="Z1718" i="34"/>
  <c r="N1719" i="34"/>
  <c r="O1719" i="34"/>
  <c r="P1719" i="34"/>
  <c r="Q1719" i="34"/>
  <c r="R1719" i="34"/>
  <c r="S1719" i="34"/>
  <c r="T1719" i="34"/>
  <c r="U1719" i="34"/>
  <c r="V1719" i="34"/>
  <c r="W1719" i="34"/>
  <c r="X1719" i="34"/>
  <c r="Y1719" i="34"/>
  <c r="Z1719" i="34"/>
  <c r="N1720" i="34"/>
  <c r="O1720" i="34"/>
  <c r="P1720" i="34"/>
  <c r="Q1720" i="34"/>
  <c r="R1720" i="34"/>
  <c r="S1720" i="34"/>
  <c r="T1720" i="34"/>
  <c r="U1720" i="34"/>
  <c r="V1720" i="34"/>
  <c r="W1720" i="34"/>
  <c r="X1720" i="34"/>
  <c r="Y1720" i="34"/>
  <c r="Z1720" i="34"/>
  <c r="N1721" i="34"/>
  <c r="O1721" i="34"/>
  <c r="P1721" i="34"/>
  <c r="Q1721" i="34"/>
  <c r="R1721" i="34"/>
  <c r="S1721" i="34"/>
  <c r="T1721" i="34"/>
  <c r="U1721" i="34"/>
  <c r="V1721" i="34"/>
  <c r="W1721" i="34"/>
  <c r="X1721" i="34"/>
  <c r="Y1721" i="34"/>
  <c r="Z1721" i="34"/>
  <c r="N1722" i="34"/>
  <c r="O1722" i="34"/>
  <c r="P1722" i="34"/>
  <c r="Q1722" i="34"/>
  <c r="R1722" i="34"/>
  <c r="S1722" i="34"/>
  <c r="T1722" i="34"/>
  <c r="U1722" i="34"/>
  <c r="V1722" i="34"/>
  <c r="W1722" i="34"/>
  <c r="X1722" i="34"/>
  <c r="Y1722" i="34"/>
  <c r="Z1722" i="34"/>
  <c r="N1723" i="34"/>
  <c r="O1723" i="34"/>
  <c r="P1723" i="34"/>
  <c r="Q1723" i="34"/>
  <c r="R1723" i="34"/>
  <c r="S1723" i="34"/>
  <c r="T1723" i="34"/>
  <c r="U1723" i="34"/>
  <c r="V1723" i="34"/>
  <c r="W1723" i="34"/>
  <c r="X1723" i="34"/>
  <c r="Y1723" i="34"/>
  <c r="Z1723" i="34"/>
  <c r="N1724" i="34"/>
  <c r="O1724" i="34"/>
  <c r="P1724" i="34"/>
  <c r="Q1724" i="34"/>
  <c r="R1724" i="34"/>
  <c r="S1724" i="34"/>
  <c r="T1724" i="34"/>
  <c r="U1724" i="34"/>
  <c r="V1724" i="34"/>
  <c r="W1724" i="34"/>
  <c r="X1724" i="34"/>
  <c r="Y1724" i="34"/>
  <c r="Z1724" i="34"/>
  <c r="N1725" i="34"/>
  <c r="O1725" i="34"/>
  <c r="P1725" i="34"/>
  <c r="Q1725" i="34"/>
  <c r="R1725" i="34"/>
  <c r="S1725" i="34"/>
  <c r="T1725" i="34"/>
  <c r="U1725" i="34"/>
  <c r="V1725" i="34"/>
  <c r="W1725" i="34"/>
  <c r="X1725" i="34"/>
  <c r="Y1725" i="34"/>
  <c r="Z1725" i="34"/>
  <c r="N1726" i="34"/>
  <c r="O1726" i="34"/>
  <c r="P1726" i="34"/>
  <c r="Q1726" i="34"/>
  <c r="R1726" i="34"/>
  <c r="S1726" i="34"/>
  <c r="T1726" i="34"/>
  <c r="U1726" i="34"/>
  <c r="V1726" i="34"/>
  <c r="W1726" i="34"/>
  <c r="X1726" i="34"/>
  <c r="Y1726" i="34"/>
  <c r="Z1726" i="34"/>
  <c r="N1727" i="34"/>
  <c r="O1727" i="34"/>
  <c r="P1727" i="34"/>
  <c r="Q1727" i="34"/>
  <c r="R1727" i="34"/>
  <c r="S1727" i="34"/>
  <c r="T1727" i="34"/>
  <c r="U1727" i="34"/>
  <c r="V1727" i="34"/>
  <c r="W1727" i="34"/>
  <c r="X1727" i="34"/>
  <c r="Y1727" i="34"/>
  <c r="Z1727" i="34"/>
  <c r="N1728" i="34"/>
  <c r="O1728" i="34"/>
  <c r="P1728" i="34"/>
  <c r="Q1728" i="34"/>
  <c r="R1728" i="34"/>
  <c r="S1728" i="34"/>
  <c r="T1728" i="34"/>
  <c r="U1728" i="34"/>
  <c r="V1728" i="34"/>
  <c r="W1728" i="34"/>
  <c r="X1728" i="34"/>
  <c r="Y1728" i="34"/>
  <c r="Z1728" i="34"/>
  <c r="N1729" i="34"/>
  <c r="O1729" i="34"/>
  <c r="P1729" i="34"/>
  <c r="Q1729" i="34"/>
  <c r="R1729" i="34"/>
  <c r="S1729" i="34"/>
  <c r="T1729" i="34"/>
  <c r="U1729" i="34"/>
  <c r="V1729" i="34"/>
  <c r="W1729" i="34"/>
  <c r="X1729" i="34"/>
  <c r="Y1729" i="34"/>
  <c r="Z1729" i="34"/>
  <c r="N1730" i="34"/>
  <c r="O1730" i="34"/>
  <c r="P1730" i="34"/>
  <c r="Q1730" i="34"/>
  <c r="R1730" i="34"/>
  <c r="S1730" i="34"/>
  <c r="T1730" i="34"/>
  <c r="U1730" i="34"/>
  <c r="V1730" i="34"/>
  <c r="W1730" i="34"/>
  <c r="X1730" i="34"/>
  <c r="Y1730" i="34"/>
  <c r="Z1730" i="34"/>
  <c r="N1731" i="34"/>
  <c r="O1731" i="34"/>
  <c r="P1731" i="34"/>
  <c r="Q1731" i="34"/>
  <c r="R1731" i="34"/>
  <c r="S1731" i="34"/>
  <c r="T1731" i="34"/>
  <c r="U1731" i="34"/>
  <c r="V1731" i="34"/>
  <c r="W1731" i="34"/>
  <c r="X1731" i="34"/>
  <c r="Y1731" i="34"/>
  <c r="Z1731" i="34"/>
  <c r="N1732" i="34"/>
  <c r="O1732" i="34"/>
  <c r="P1732" i="34"/>
  <c r="Q1732" i="34"/>
  <c r="R1732" i="34"/>
  <c r="S1732" i="34"/>
  <c r="T1732" i="34"/>
  <c r="U1732" i="34"/>
  <c r="V1732" i="34"/>
  <c r="W1732" i="34"/>
  <c r="X1732" i="34"/>
  <c r="Y1732" i="34"/>
  <c r="Z1732" i="34"/>
  <c r="N1733" i="34"/>
  <c r="O1733" i="34"/>
  <c r="P1733" i="34"/>
  <c r="Q1733" i="34"/>
  <c r="R1733" i="34"/>
  <c r="S1733" i="34"/>
  <c r="T1733" i="34"/>
  <c r="U1733" i="34"/>
  <c r="V1733" i="34"/>
  <c r="W1733" i="34"/>
  <c r="X1733" i="34"/>
  <c r="Y1733" i="34"/>
  <c r="Z1733" i="34"/>
  <c r="N1734" i="34"/>
  <c r="O1734" i="34"/>
  <c r="P1734" i="34"/>
  <c r="Q1734" i="34"/>
  <c r="R1734" i="34"/>
  <c r="S1734" i="34"/>
  <c r="T1734" i="34"/>
  <c r="U1734" i="34"/>
  <c r="V1734" i="34"/>
  <c r="W1734" i="34"/>
  <c r="X1734" i="34"/>
  <c r="Y1734" i="34"/>
  <c r="Z1734" i="34"/>
  <c r="N1735" i="34"/>
  <c r="O1735" i="34"/>
  <c r="P1735" i="34"/>
  <c r="Q1735" i="34"/>
  <c r="R1735" i="34"/>
  <c r="S1735" i="34"/>
  <c r="T1735" i="34"/>
  <c r="U1735" i="34"/>
  <c r="V1735" i="34"/>
  <c r="W1735" i="34"/>
  <c r="X1735" i="34"/>
  <c r="Y1735" i="34"/>
  <c r="Z1735" i="34"/>
  <c r="N1736" i="34"/>
  <c r="O1736" i="34"/>
  <c r="P1736" i="34"/>
  <c r="Q1736" i="34"/>
  <c r="R1736" i="34"/>
  <c r="S1736" i="34"/>
  <c r="T1736" i="34"/>
  <c r="U1736" i="34"/>
  <c r="V1736" i="34"/>
  <c r="W1736" i="34"/>
  <c r="X1736" i="34"/>
  <c r="Y1736" i="34"/>
  <c r="Z1736" i="34"/>
  <c r="N1737" i="34"/>
  <c r="O1737" i="34"/>
  <c r="P1737" i="34"/>
  <c r="Q1737" i="34"/>
  <c r="R1737" i="34"/>
  <c r="S1737" i="34"/>
  <c r="T1737" i="34"/>
  <c r="U1737" i="34"/>
  <c r="V1737" i="34"/>
  <c r="W1737" i="34"/>
  <c r="X1737" i="34"/>
  <c r="Y1737" i="34"/>
  <c r="Z1737" i="34"/>
  <c r="N1738" i="34"/>
  <c r="O1738" i="34"/>
  <c r="P1738" i="34"/>
  <c r="Q1738" i="34"/>
  <c r="R1738" i="34"/>
  <c r="S1738" i="34"/>
  <c r="T1738" i="34"/>
  <c r="U1738" i="34"/>
  <c r="V1738" i="34"/>
  <c r="W1738" i="34"/>
  <c r="X1738" i="34"/>
  <c r="Y1738" i="34"/>
  <c r="Z1738" i="34"/>
  <c r="N1739" i="34"/>
  <c r="O1739" i="34"/>
  <c r="P1739" i="34"/>
  <c r="Q1739" i="34"/>
  <c r="R1739" i="34"/>
  <c r="S1739" i="34"/>
  <c r="T1739" i="34"/>
  <c r="U1739" i="34"/>
  <c r="V1739" i="34"/>
  <c r="W1739" i="34"/>
  <c r="X1739" i="34"/>
  <c r="Y1739" i="34"/>
  <c r="Z1739" i="34"/>
  <c r="N1740" i="34"/>
  <c r="O1740" i="34"/>
  <c r="P1740" i="34"/>
  <c r="Q1740" i="34"/>
  <c r="R1740" i="34"/>
  <c r="S1740" i="34"/>
  <c r="T1740" i="34"/>
  <c r="U1740" i="34"/>
  <c r="V1740" i="34"/>
  <c r="W1740" i="34"/>
  <c r="X1740" i="34"/>
  <c r="Y1740" i="34"/>
  <c r="Z1740" i="34"/>
  <c r="N1741" i="34"/>
  <c r="O1741" i="34"/>
  <c r="P1741" i="34"/>
  <c r="Q1741" i="34"/>
  <c r="R1741" i="34"/>
  <c r="S1741" i="34"/>
  <c r="T1741" i="34"/>
  <c r="U1741" i="34"/>
  <c r="V1741" i="34"/>
  <c r="W1741" i="34"/>
  <c r="X1741" i="34"/>
  <c r="Y1741" i="34"/>
  <c r="Z1741" i="34"/>
  <c r="N1742" i="34"/>
  <c r="O1742" i="34"/>
  <c r="P1742" i="34"/>
  <c r="Q1742" i="34"/>
  <c r="R1742" i="34"/>
  <c r="S1742" i="34"/>
  <c r="T1742" i="34"/>
  <c r="U1742" i="34"/>
  <c r="V1742" i="34"/>
  <c r="W1742" i="34"/>
  <c r="X1742" i="34"/>
  <c r="Y1742" i="34"/>
  <c r="Z1742" i="34"/>
  <c r="N1743" i="34"/>
  <c r="O1743" i="34"/>
  <c r="P1743" i="34"/>
  <c r="Q1743" i="34"/>
  <c r="R1743" i="34"/>
  <c r="S1743" i="34"/>
  <c r="T1743" i="34"/>
  <c r="U1743" i="34"/>
  <c r="V1743" i="34"/>
  <c r="W1743" i="34"/>
  <c r="X1743" i="34"/>
  <c r="Y1743" i="34"/>
  <c r="Z1743" i="34"/>
  <c r="N1744" i="34"/>
  <c r="O1744" i="34"/>
  <c r="P1744" i="34"/>
  <c r="Q1744" i="34"/>
  <c r="R1744" i="34"/>
  <c r="S1744" i="34"/>
  <c r="T1744" i="34"/>
  <c r="U1744" i="34"/>
  <c r="V1744" i="34"/>
  <c r="W1744" i="34"/>
  <c r="X1744" i="34"/>
  <c r="Y1744" i="34"/>
  <c r="Z1744" i="34"/>
  <c r="N1745" i="34"/>
  <c r="O1745" i="34"/>
  <c r="P1745" i="34"/>
  <c r="Q1745" i="34"/>
  <c r="R1745" i="34"/>
  <c r="S1745" i="34"/>
  <c r="T1745" i="34"/>
  <c r="U1745" i="34"/>
  <c r="V1745" i="34"/>
  <c r="W1745" i="34"/>
  <c r="X1745" i="34"/>
  <c r="Y1745" i="34"/>
  <c r="Z1745" i="34"/>
  <c r="N1746" i="34"/>
  <c r="O1746" i="34"/>
  <c r="P1746" i="34"/>
  <c r="Q1746" i="34"/>
  <c r="R1746" i="34"/>
  <c r="S1746" i="34"/>
  <c r="T1746" i="34"/>
  <c r="U1746" i="34"/>
  <c r="V1746" i="34"/>
  <c r="W1746" i="34"/>
  <c r="X1746" i="34"/>
  <c r="Y1746" i="34"/>
  <c r="Z1746" i="34"/>
  <c r="N1747" i="34"/>
  <c r="O1747" i="34"/>
  <c r="P1747" i="34"/>
  <c r="Q1747" i="34"/>
  <c r="R1747" i="34"/>
  <c r="S1747" i="34"/>
  <c r="T1747" i="34"/>
  <c r="U1747" i="34"/>
  <c r="V1747" i="34"/>
  <c r="W1747" i="34"/>
  <c r="X1747" i="34"/>
  <c r="Y1747" i="34"/>
  <c r="Z1747" i="34"/>
  <c r="N1748" i="34"/>
  <c r="O1748" i="34"/>
  <c r="P1748" i="34"/>
  <c r="Q1748" i="34"/>
  <c r="R1748" i="34"/>
  <c r="S1748" i="34"/>
  <c r="T1748" i="34"/>
  <c r="U1748" i="34"/>
  <c r="V1748" i="34"/>
  <c r="W1748" i="34"/>
  <c r="X1748" i="34"/>
  <c r="Y1748" i="34"/>
  <c r="Z1748" i="34"/>
  <c r="N1749" i="34"/>
  <c r="O1749" i="34"/>
  <c r="P1749" i="34"/>
  <c r="Q1749" i="34"/>
  <c r="R1749" i="34"/>
  <c r="S1749" i="34"/>
  <c r="T1749" i="34"/>
  <c r="U1749" i="34"/>
  <c r="V1749" i="34"/>
  <c r="W1749" i="34"/>
  <c r="X1749" i="34"/>
  <c r="Y1749" i="34"/>
  <c r="Z1749" i="34"/>
  <c r="N1750" i="34"/>
  <c r="O1750" i="34"/>
  <c r="P1750" i="34"/>
  <c r="Q1750" i="34"/>
  <c r="R1750" i="34"/>
  <c r="S1750" i="34"/>
  <c r="T1750" i="34"/>
  <c r="U1750" i="34"/>
  <c r="V1750" i="34"/>
  <c r="W1750" i="34"/>
  <c r="X1750" i="34"/>
  <c r="Y1750" i="34"/>
  <c r="Z1750" i="34"/>
  <c r="N1751" i="34"/>
  <c r="O1751" i="34"/>
  <c r="P1751" i="34"/>
  <c r="Q1751" i="34"/>
  <c r="R1751" i="34"/>
  <c r="S1751" i="34"/>
  <c r="T1751" i="34"/>
  <c r="U1751" i="34"/>
  <c r="V1751" i="34"/>
  <c r="W1751" i="34"/>
  <c r="X1751" i="34"/>
  <c r="Y1751" i="34"/>
  <c r="Z1751" i="34"/>
  <c r="N1752" i="34"/>
  <c r="O1752" i="34"/>
  <c r="P1752" i="34"/>
  <c r="Q1752" i="34"/>
  <c r="R1752" i="34"/>
  <c r="S1752" i="34"/>
  <c r="T1752" i="34"/>
  <c r="U1752" i="34"/>
  <c r="V1752" i="34"/>
  <c r="W1752" i="34"/>
  <c r="X1752" i="34"/>
  <c r="Y1752" i="34"/>
  <c r="Z1752" i="34"/>
  <c r="N1753" i="34"/>
  <c r="O1753" i="34"/>
  <c r="P1753" i="34"/>
  <c r="Q1753" i="34"/>
  <c r="R1753" i="34"/>
  <c r="S1753" i="34"/>
  <c r="T1753" i="34"/>
  <c r="U1753" i="34"/>
  <c r="V1753" i="34"/>
  <c r="W1753" i="34"/>
  <c r="X1753" i="34"/>
  <c r="Y1753" i="34"/>
  <c r="Z1753" i="34"/>
  <c r="N1754" i="34"/>
  <c r="O1754" i="34"/>
  <c r="P1754" i="34"/>
  <c r="Q1754" i="34"/>
  <c r="R1754" i="34"/>
  <c r="S1754" i="34"/>
  <c r="T1754" i="34"/>
  <c r="U1754" i="34"/>
  <c r="V1754" i="34"/>
  <c r="W1754" i="34"/>
  <c r="X1754" i="34"/>
  <c r="Y1754" i="34"/>
  <c r="Z1754" i="34"/>
  <c r="N1755" i="34"/>
  <c r="O1755" i="34"/>
  <c r="P1755" i="34"/>
  <c r="Q1755" i="34"/>
  <c r="R1755" i="34"/>
  <c r="S1755" i="34"/>
  <c r="T1755" i="34"/>
  <c r="U1755" i="34"/>
  <c r="V1755" i="34"/>
  <c r="W1755" i="34"/>
  <c r="X1755" i="34"/>
  <c r="Y1755" i="34"/>
  <c r="Z1755" i="34"/>
  <c r="N1756" i="34"/>
  <c r="O1756" i="34"/>
  <c r="P1756" i="34"/>
  <c r="Q1756" i="34"/>
  <c r="R1756" i="34"/>
  <c r="S1756" i="34"/>
  <c r="T1756" i="34"/>
  <c r="U1756" i="34"/>
  <c r="V1756" i="34"/>
  <c r="W1756" i="34"/>
  <c r="X1756" i="34"/>
  <c r="Y1756" i="34"/>
  <c r="Z1756" i="34"/>
  <c r="N1757" i="34"/>
  <c r="O1757" i="34"/>
  <c r="P1757" i="34"/>
  <c r="Q1757" i="34"/>
  <c r="R1757" i="34"/>
  <c r="S1757" i="34"/>
  <c r="T1757" i="34"/>
  <c r="U1757" i="34"/>
  <c r="V1757" i="34"/>
  <c r="W1757" i="34"/>
  <c r="X1757" i="34"/>
  <c r="Y1757" i="34"/>
  <c r="Z1757" i="34"/>
  <c r="N1758" i="34"/>
  <c r="O1758" i="34"/>
  <c r="P1758" i="34"/>
  <c r="Q1758" i="34"/>
  <c r="R1758" i="34"/>
  <c r="S1758" i="34"/>
  <c r="T1758" i="34"/>
  <c r="U1758" i="34"/>
  <c r="V1758" i="34"/>
  <c r="W1758" i="34"/>
  <c r="X1758" i="34"/>
  <c r="Y1758" i="34"/>
  <c r="Z1758" i="34"/>
  <c r="N1759" i="34"/>
  <c r="O1759" i="34"/>
  <c r="P1759" i="34"/>
  <c r="Q1759" i="34"/>
  <c r="R1759" i="34"/>
  <c r="S1759" i="34"/>
  <c r="T1759" i="34"/>
  <c r="U1759" i="34"/>
  <c r="V1759" i="34"/>
  <c r="W1759" i="34"/>
  <c r="X1759" i="34"/>
  <c r="Y1759" i="34"/>
  <c r="Z1759" i="34"/>
  <c r="N1760" i="34"/>
  <c r="O1760" i="34"/>
  <c r="P1760" i="34"/>
  <c r="Q1760" i="34"/>
  <c r="R1760" i="34"/>
  <c r="S1760" i="34"/>
  <c r="T1760" i="34"/>
  <c r="U1760" i="34"/>
  <c r="V1760" i="34"/>
  <c r="W1760" i="34"/>
  <c r="X1760" i="34"/>
  <c r="Y1760" i="34"/>
  <c r="Z1760" i="34"/>
  <c r="N1761" i="34"/>
  <c r="O1761" i="34"/>
  <c r="P1761" i="34"/>
  <c r="Q1761" i="34"/>
  <c r="R1761" i="34"/>
  <c r="S1761" i="34"/>
  <c r="T1761" i="34"/>
  <c r="U1761" i="34"/>
  <c r="V1761" i="34"/>
  <c r="W1761" i="34"/>
  <c r="X1761" i="34"/>
  <c r="Y1761" i="34"/>
  <c r="Z1761" i="34"/>
  <c r="N1762" i="34"/>
  <c r="O1762" i="34"/>
  <c r="P1762" i="34"/>
  <c r="Q1762" i="34"/>
  <c r="R1762" i="34"/>
  <c r="S1762" i="34"/>
  <c r="T1762" i="34"/>
  <c r="U1762" i="34"/>
  <c r="V1762" i="34"/>
  <c r="W1762" i="34"/>
  <c r="X1762" i="34"/>
  <c r="Y1762" i="34"/>
  <c r="Z1762" i="34"/>
  <c r="N1763" i="34"/>
  <c r="O1763" i="34"/>
  <c r="P1763" i="34"/>
  <c r="Q1763" i="34"/>
  <c r="R1763" i="34"/>
  <c r="S1763" i="34"/>
  <c r="T1763" i="34"/>
  <c r="U1763" i="34"/>
  <c r="V1763" i="34"/>
  <c r="W1763" i="34"/>
  <c r="X1763" i="34"/>
  <c r="Y1763" i="34"/>
  <c r="Z1763" i="34"/>
  <c r="N1764" i="34"/>
  <c r="O1764" i="34"/>
  <c r="P1764" i="34"/>
  <c r="Q1764" i="34"/>
  <c r="R1764" i="34"/>
  <c r="S1764" i="34"/>
  <c r="T1764" i="34"/>
  <c r="U1764" i="34"/>
  <c r="V1764" i="34"/>
  <c r="W1764" i="34"/>
  <c r="X1764" i="34"/>
  <c r="Y1764" i="34"/>
  <c r="Z1764" i="34"/>
  <c r="N1765" i="34"/>
  <c r="O1765" i="34"/>
  <c r="P1765" i="34"/>
  <c r="Q1765" i="34"/>
  <c r="R1765" i="34"/>
  <c r="S1765" i="34"/>
  <c r="T1765" i="34"/>
  <c r="U1765" i="34"/>
  <c r="V1765" i="34"/>
  <c r="W1765" i="34"/>
  <c r="X1765" i="34"/>
  <c r="Y1765" i="34"/>
  <c r="Z1765" i="34"/>
  <c r="N1766" i="34"/>
  <c r="O1766" i="34"/>
  <c r="P1766" i="34"/>
  <c r="Q1766" i="34"/>
  <c r="R1766" i="34"/>
  <c r="S1766" i="34"/>
  <c r="T1766" i="34"/>
  <c r="U1766" i="34"/>
  <c r="V1766" i="34"/>
  <c r="W1766" i="34"/>
  <c r="X1766" i="34"/>
  <c r="Y1766" i="34"/>
  <c r="Z1766" i="34"/>
  <c r="N1767" i="34"/>
  <c r="O1767" i="34"/>
  <c r="P1767" i="34"/>
  <c r="Q1767" i="34"/>
  <c r="R1767" i="34"/>
  <c r="S1767" i="34"/>
  <c r="T1767" i="34"/>
  <c r="U1767" i="34"/>
  <c r="V1767" i="34"/>
  <c r="W1767" i="34"/>
  <c r="X1767" i="34"/>
  <c r="Y1767" i="34"/>
  <c r="Z1767" i="34"/>
  <c r="N1768" i="34"/>
  <c r="O1768" i="34"/>
  <c r="P1768" i="34"/>
  <c r="Q1768" i="34"/>
  <c r="R1768" i="34"/>
  <c r="S1768" i="34"/>
  <c r="T1768" i="34"/>
  <c r="U1768" i="34"/>
  <c r="V1768" i="34"/>
  <c r="W1768" i="34"/>
  <c r="X1768" i="34"/>
  <c r="Y1768" i="34"/>
  <c r="Z1768" i="34"/>
  <c r="N1769" i="34"/>
  <c r="O1769" i="34"/>
  <c r="P1769" i="34"/>
  <c r="Q1769" i="34"/>
  <c r="R1769" i="34"/>
  <c r="S1769" i="34"/>
  <c r="T1769" i="34"/>
  <c r="U1769" i="34"/>
  <c r="V1769" i="34"/>
  <c r="W1769" i="34"/>
  <c r="X1769" i="34"/>
  <c r="Y1769" i="34"/>
  <c r="Z1769" i="34"/>
  <c r="N1770" i="34"/>
  <c r="O1770" i="34"/>
  <c r="P1770" i="34"/>
  <c r="Q1770" i="34"/>
  <c r="R1770" i="34"/>
  <c r="S1770" i="34"/>
  <c r="T1770" i="34"/>
  <c r="U1770" i="34"/>
  <c r="V1770" i="34"/>
  <c r="W1770" i="34"/>
  <c r="X1770" i="34"/>
  <c r="Y1770" i="34"/>
  <c r="Z1770" i="34"/>
  <c r="N1771" i="34"/>
  <c r="O1771" i="34"/>
  <c r="P1771" i="34"/>
  <c r="Q1771" i="34"/>
  <c r="R1771" i="34"/>
  <c r="S1771" i="34"/>
  <c r="T1771" i="34"/>
  <c r="U1771" i="34"/>
  <c r="V1771" i="34"/>
  <c r="W1771" i="34"/>
  <c r="X1771" i="34"/>
  <c r="Y1771" i="34"/>
  <c r="Z1771" i="34"/>
  <c r="N1772" i="34"/>
  <c r="O1772" i="34"/>
  <c r="P1772" i="34"/>
  <c r="Q1772" i="34"/>
  <c r="R1772" i="34"/>
  <c r="S1772" i="34"/>
  <c r="T1772" i="34"/>
  <c r="U1772" i="34"/>
  <c r="V1772" i="34"/>
  <c r="W1772" i="34"/>
  <c r="X1772" i="34"/>
  <c r="Y1772" i="34"/>
  <c r="Z1772" i="34"/>
  <c r="N1773" i="34"/>
  <c r="O1773" i="34"/>
  <c r="P1773" i="34"/>
  <c r="Q1773" i="34"/>
  <c r="R1773" i="34"/>
  <c r="S1773" i="34"/>
  <c r="T1773" i="34"/>
  <c r="U1773" i="34"/>
  <c r="V1773" i="34"/>
  <c r="W1773" i="34"/>
  <c r="X1773" i="34"/>
  <c r="Y1773" i="34"/>
  <c r="Z1773" i="34"/>
  <c r="N1774" i="34"/>
  <c r="O1774" i="34"/>
  <c r="P1774" i="34"/>
  <c r="Q1774" i="34"/>
  <c r="R1774" i="34"/>
  <c r="S1774" i="34"/>
  <c r="T1774" i="34"/>
  <c r="U1774" i="34"/>
  <c r="V1774" i="34"/>
  <c r="W1774" i="34"/>
  <c r="X1774" i="34"/>
  <c r="Y1774" i="34"/>
  <c r="Z1774" i="34"/>
  <c r="N1775" i="34"/>
  <c r="O1775" i="34"/>
  <c r="P1775" i="34"/>
  <c r="Q1775" i="34"/>
  <c r="R1775" i="34"/>
  <c r="S1775" i="34"/>
  <c r="T1775" i="34"/>
  <c r="U1775" i="34"/>
  <c r="V1775" i="34"/>
  <c r="W1775" i="34"/>
  <c r="X1775" i="34"/>
  <c r="Y1775" i="34"/>
  <c r="Z1775" i="34"/>
  <c r="N1776" i="34"/>
  <c r="O1776" i="34"/>
  <c r="P1776" i="34"/>
  <c r="Q1776" i="34"/>
  <c r="R1776" i="34"/>
  <c r="S1776" i="34"/>
  <c r="T1776" i="34"/>
  <c r="U1776" i="34"/>
  <c r="V1776" i="34"/>
  <c r="W1776" i="34"/>
  <c r="X1776" i="34"/>
  <c r="Y1776" i="34"/>
  <c r="Z1776" i="34"/>
  <c r="N1777" i="34"/>
  <c r="O1777" i="34"/>
  <c r="P1777" i="34"/>
  <c r="Q1777" i="34"/>
  <c r="R1777" i="34"/>
  <c r="S1777" i="34"/>
  <c r="T1777" i="34"/>
  <c r="U1777" i="34"/>
  <c r="V1777" i="34"/>
  <c r="W1777" i="34"/>
  <c r="X1777" i="34"/>
  <c r="Y1777" i="34"/>
  <c r="Z1777" i="34"/>
  <c r="N1778" i="34"/>
  <c r="O1778" i="34"/>
  <c r="P1778" i="34"/>
  <c r="Q1778" i="34"/>
  <c r="R1778" i="34"/>
  <c r="S1778" i="34"/>
  <c r="T1778" i="34"/>
  <c r="U1778" i="34"/>
  <c r="V1778" i="34"/>
  <c r="W1778" i="34"/>
  <c r="X1778" i="34"/>
  <c r="Y1778" i="34"/>
  <c r="Z1778" i="34"/>
  <c r="N1779" i="34"/>
  <c r="O1779" i="34"/>
  <c r="P1779" i="34"/>
  <c r="Q1779" i="34"/>
  <c r="R1779" i="34"/>
  <c r="S1779" i="34"/>
  <c r="T1779" i="34"/>
  <c r="U1779" i="34"/>
  <c r="V1779" i="34"/>
  <c r="W1779" i="34"/>
  <c r="X1779" i="34"/>
  <c r="Y1779" i="34"/>
  <c r="Z1779" i="34"/>
  <c r="N1780" i="34"/>
  <c r="O1780" i="34"/>
  <c r="P1780" i="34"/>
  <c r="Q1780" i="34"/>
  <c r="R1780" i="34"/>
  <c r="S1780" i="34"/>
  <c r="T1780" i="34"/>
  <c r="U1780" i="34"/>
  <c r="V1780" i="34"/>
  <c r="W1780" i="34"/>
  <c r="X1780" i="34"/>
  <c r="Y1780" i="34"/>
  <c r="Z1780" i="34"/>
  <c r="N1781" i="34"/>
  <c r="O1781" i="34"/>
  <c r="P1781" i="34"/>
  <c r="Q1781" i="34"/>
  <c r="R1781" i="34"/>
  <c r="S1781" i="34"/>
  <c r="T1781" i="34"/>
  <c r="U1781" i="34"/>
  <c r="V1781" i="34"/>
  <c r="W1781" i="34"/>
  <c r="X1781" i="34"/>
  <c r="Y1781" i="34"/>
  <c r="Z1781" i="34"/>
  <c r="N1782" i="34"/>
  <c r="O1782" i="34"/>
  <c r="P1782" i="34"/>
  <c r="Q1782" i="34"/>
  <c r="R1782" i="34"/>
  <c r="S1782" i="34"/>
  <c r="T1782" i="34"/>
  <c r="U1782" i="34"/>
  <c r="V1782" i="34"/>
  <c r="W1782" i="34"/>
  <c r="X1782" i="34"/>
  <c r="Y1782" i="34"/>
  <c r="Z1782" i="34"/>
  <c r="N1783" i="34"/>
  <c r="O1783" i="34"/>
  <c r="P1783" i="34"/>
  <c r="Q1783" i="34"/>
  <c r="R1783" i="34"/>
  <c r="S1783" i="34"/>
  <c r="T1783" i="34"/>
  <c r="U1783" i="34"/>
  <c r="V1783" i="34"/>
  <c r="W1783" i="34"/>
  <c r="X1783" i="34"/>
  <c r="Y1783" i="34"/>
  <c r="Z1783" i="34"/>
  <c r="N1784" i="34"/>
  <c r="O1784" i="34"/>
  <c r="P1784" i="34"/>
  <c r="Q1784" i="34"/>
  <c r="R1784" i="34"/>
  <c r="S1784" i="34"/>
  <c r="T1784" i="34"/>
  <c r="U1784" i="34"/>
  <c r="V1784" i="34"/>
  <c r="W1784" i="34"/>
  <c r="X1784" i="34"/>
  <c r="Y1784" i="34"/>
  <c r="Z1784" i="34"/>
  <c r="N1785" i="34"/>
  <c r="O1785" i="34"/>
  <c r="P1785" i="34"/>
  <c r="Q1785" i="34"/>
  <c r="R1785" i="34"/>
  <c r="S1785" i="34"/>
  <c r="T1785" i="34"/>
  <c r="U1785" i="34"/>
  <c r="V1785" i="34"/>
  <c r="W1785" i="34"/>
  <c r="X1785" i="34"/>
  <c r="Y1785" i="34"/>
  <c r="Z1785" i="34"/>
  <c r="N1786" i="34"/>
  <c r="O1786" i="34"/>
  <c r="P1786" i="34"/>
  <c r="Q1786" i="34"/>
  <c r="R1786" i="34"/>
  <c r="S1786" i="34"/>
  <c r="T1786" i="34"/>
  <c r="U1786" i="34"/>
  <c r="V1786" i="34"/>
  <c r="W1786" i="34"/>
  <c r="X1786" i="34"/>
  <c r="Y1786" i="34"/>
  <c r="Z1786" i="34"/>
  <c r="N1787" i="34"/>
  <c r="O1787" i="34"/>
  <c r="P1787" i="34"/>
  <c r="Q1787" i="34"/>
  <c r="R1787" i="34"/>
  <c r="S1787" i="34"/>
  <c r="T1787" i="34"/>
  <c r="U1787" i="34"/>
  <c r="V1787" i="34"/>
  <c r="W1787" i="34"/>
  <c r="X1787" i="34"/>
  <c r="Y1787" i="34"/>
  <c r="Z1787" i="34"/>
  <c r="N1788" i="34"/>
  <c r="O1788" i="34"/>
  <c r="P1788" i="34"/>
  <c r="Q1788" i="34"/>
  <c r="R1788" i="34"/>
  <c r="S1788" i="34"/>
  <c r="T1788" i="34"/>
  <c r="U1788" i="34"/>
  <c r="V1788" i="34"/>
  <c r="W1788" i="34"/>
  <c r="X1788" i="34"/>
  <c r="Y1788" i="34"/>
  <c r="Z1788" i="34"/>
  <c r="N1789" i="34"/>
  <c r="O1789" i="34"/>
  <c r="P1789" i="34"/>
  <c r="Q1789" i="34"/>
  <c r="R1789" i="34"/>
  <c r="S1789" i="34"/>
  <c r="T1789" i="34"/>
  <c r="U1789" i="34"/>
  <c r="V1789" i="34"/>
  <c r="W1789" i="34"/>
  <c r="X1789" i="34"/>
  <c r="Y1789" i="34"/>
  <c r="Z1789" i="34"/>
  <c r="N1790" i="34"/>
  <c r="O1790" i="34"/>
  <c r="P1790" i="34"/>
  <c r="Q1790" i="34"/>
  <c r="R1790" i="34"/>
  <c r="S1790" i="34"/>
  <c r="T1790" i="34"/>
  <c r="U1790" i="34"/>
  <c r="V1790" i="34"/>
  <c r="W1790" i="34"/>
  <c r="X1790" i="34"/>
  <c r="Y1790" i="34"/>
  <c r="Z1790" i="34"/>
  <c r="N1791" i="34"/>
  <c r="O1791" i="34"/>
  <c r="P1791" i="34"/>
  <c r="Q1791" i="34"/>
  <c r="R1791" i="34"/>
  <c r="S1791" i="34"/>
  <c r="T1791" i="34"/>
  <c r="U1791" i="34"/>
  <c r="V1791" i="34"/>
  <c r="W1791" i="34"/>
  <c r="X1791" i="34"/>
  <c r="Y1791" i="34"/>
  <c r="Z1791" i="34"/>
  <c r="N1792" i="34"/>
  <c r="O1792" i="34"/>
  <c r="P1792" i="34"/>
  <c r="Q1792" i="34"/>
  <c r="R1792" i="34"/>
  <c r="S1792" i="34"/>
  <c r="T1792" i="34"/>
  <c r="U1792" i="34"/>
  <c r="V1792" i="34"/>
  <c r="W1792" i="34"/>
  <c r="X1792" i="34"/>
  <c r="Y1792" i="34"/>
  <c r="Z1792" i="34"/>
  <c r="N1793" i="34"/>
  <c r="O1793" i="34"/>
  <c r="P1793" i="34"/>
  <c r="Q1793" i="34"/>
  <c r="R1793" i="34"/>
  <c r="S1793" i="34"/>
  <c r="T1793" i="34"/>
  <c r="U1793" i="34"/>
  <c r="V1793" i="34"/>
  <c r="W1793" i="34"/>
  <c r="X1793" i="34"/>
  <c r="Y1793" i="34"/>
  <c r="Z1793" i="34"/>
  <c r="N1794" i="34"/>
  <c r="O1794" i="34"/>
  <c r="P1794" i="34"/>
  <c r="Q1794" i="34"/>
  <c r="R1794" i="34"/>
  <c r="S1794" i="34"/>
  <c r="T1794" i="34"/>
  <c r="U1794" i="34"/>
  <c r="V1794" i="34"/>
  <c r="W1794" i="34"/>
  <c r="X1794" i="34"/>
  <c r="Y1794" i="34"/>
  <c r="Z1794" i="34"/>
  <c r="N1795" i="34"/>
  <c r="O1795" i="34"/>
  <c r="P1795" i="34"/>
  <c r="Q1795" i="34"/>
  <c r="R1795" i="34"/>
  <c r="S1795" i="34"/>
  <c r="T1795" i="34"/>
  <c r="U1795" i="34"/>
  <c r="V1795" i="34"/>
  <c r="W1795" i="34"/>
  <c r="X1795" i="34"/>
  <c r="Y1795" i="34"/>
  <c r="Z1795" i="34"/>
  <c r="N1796" i="34"/>
  <c r="O1796" i="34"/>
  <c r="P1796" i="34"/>
  <c r="Q1796" i="34"/>
  <c r="R1796" i="34"/>
  <c r="S1796" i="34"/>
  <c r="T1796" i="34"/>
  <c r="U1796" i="34"/>
  <c r="V1796" i="34"/>
  <c r="W1796" i="34"/>
  <c r="X1796" i="34"/>
  <c r="Y1796" i="34"/>
  <c r="Z1796" i="34"/>
  <c r="N1797" i="34"/>
  <c r="O1797" i="34"/>
  <c r="P1797" i="34"/>
  <c r="Q1797" i="34"/>
  <c r="R1797" i="34"/>
  <c r="S1797" i="34"/>
  <c r="T1797" i="34"/>
  <c r="U1797" i="34"/>
  <c r="V1797" i="34"/>
  <c r="W1797" i="34"/>
  <c r="X1797" i="34"/>
  <c r="Y1797" i="34"/>
  <c r="Z1797" i="34"/>
  <c r="N1798" i="34"/>
  <c r="O1798" i="34"/>
  <c r="P1798" i="34"/>
  <c r="Q1798" i="34"/>
  <c r="R1798" i="34"/>
  <c r="S1798" i="34"/>
  <c r="T1798" i="34"/>
  <c r="U1798" i="34"/>
  <c r="V1798" i="34"/>
  <c r="W1798" i="34"/>
  <c r="X1798" i="34"/>
  <c r="Y1798" i="34"/>
  <c r="Z1798" i="34"/>
  <c r="N1799" i="34"/>
  <c r="O1799" i="34"/>
  <c r="P1799" i="34"/>
  <c r="Q1799" i="34"/>
  <c r="R1799" i="34"/>
  <c r="S1799" i="34"/>
  <c r="T1799" i="34"/>
  <c r="U1799" i="34"/>
  <c r="V1799" i="34"/>
  <c r="W1799" i="34"/>
  <c r="X1799" i="34"/>
  <c r="Y1799" i="34"/>
  <c r="Z1799" i="34"/>
  <c r="N1800" i="34"/>
  <c r="O1800" i="34"/>
  <c r="P1800" i="34"/>
  <c r="Q1800" i="34"/>
  <c r="R1800" i="34"/>
  <c r="S1800" i="34"/>
  <c r="T1800" i="34"/>
  <c r="U1800" i="34"/>
  <c r="V1800" i="34"/>
  <c r="W1800" i="34"/>
  <c r="X1800" i="34"/>
  <c r="Y1800" i="34"/>
  <c r="Z1800" i="34"/>
  <c r="N1801" i="34"/>
  <c r="O1801" i="34"/>
  <c r="P1801" i="34"/>
  <c r="Q1801" i="34"/>
  <c r="R1801" i="34"/>
  <c r="S1801" i="34"/>
  <c r="T1801" i="34"/>
  <c r="U1801" i="34"/>
  <c r="V1801" i="34"/>
  <c r="W1801" i="34"/>
  <c r="X1801" i="34"/>
  <c r="Y1801" i="34"/>
  <c r="Z1801" i="34"/>
  <c r="N1802" i="34"/>
  <c r="O1802" i="34"/>
  <c r="P1802" i="34"/>
  <c r="Q1802" i="34"/>
  <c r="R1802" i="34"/>
  <c r="S1802" i="34"/>
  <c r="T1802" i="34"/>
  <c r="U1802" i="34"/>
  <c r="V1802" i="34"/>
  <c r="W1802" i="34"/>
  <c r="X1802" i="34"/>
  <c r="Y1802" i="34"/>
  <c r="Z1802" i="34"/>
  <c r="N1803" i="34"/>
  <c r="O1803" i="34"/>
  <c r="P1803" i="34"/>
  <c r="Q1803" i="34"/>
  <c r="R1803" i="34"/>
  <c r="S1803" i="34"/>
  <c r="T1803" i="34"/>
  <c r="U1803" i="34"/>
  <c r="V1803" i="34"/>
  <c r="W1803" i="34"/>
  <c r="X1803" i="34"/>
  <c r="Y1803" i="34"/>
  <c r="Z1803" i="34"/>
  <c r="N1804" i="34"/>
  <c r="O1804" i="34"/>
  <c r="P1804" i="34"/>
  <c r="Q1804" i="34"/>
  <c r="R1804" i="34"/>
  <c r="S1804" i="34"/>
  <c r="T1804" i="34"/>
  <c r="U1804" i="34"/>
  <c r="V1804" i="34"/>
  <c r="W1804" i="34"/>
  <c r="X1804" i="34"/>
  <c r="Y1804" i="34"/>
  <c r="Z1804" i="34"/>
  <c r="N1805" i="34"/>
  <c r="O1805" i="34"/>
  <c r="P1805" i="34"/>
  <c r="Q1805" i="34"/>
  <c r="R1805" i="34"/>
  <c r="S1805" i="34"/>
  <c r="T1805" i="34"/>
  <c r="U1805" i="34"/>
  <c r="V1805" i="34"/>
  <c r="W1805" i="34"/>
  <c r="X1805" i="34"/>
  <c r="Y1805" i="34"/>
  <c r="Z1805" i="34"/>
  <c r="N1806" i="34"/>
  <c r="O1806" i="34"/>
  <c r="P1806" i="34"/>
  <c r="Q1806" i="34"/>
  <c r="R1806" i="34"/>
  <c r="S1806" i="34"/>
  <c r="T1806" i="34"/>
  <c r="U1806" i="34"/>
  <c r="V1806" i="34"/>
  <c r="W1806" i="34"/>
  <c r="X1806" i="34"/>
  <c r="Y1806" i="34"/>
  <c r="Z1806" i="34"/>
  <c r="N1807" i="34"/>
  <c r="O1807" i="34"/>
  <c r="P1807" i="34"/>
  <c r="Q1807" i="34"/>
  <c r="R1807" i="34"/>
  <c r="S1807" i="34"/>
  <c r="T1807" i="34"/>
  <c r="U1807" i="34"/>
  <c r="V1807" i="34"/>
  <c r="W1807" i="34"/>
  <c r="X1807" i="34"/>
  <c r="Y1807" i="34"/>
  <c r="Z1807" i="34"/>
  <c r="N1808" i="34"/>
  <c r="O1808" i="34"/>
  <c r="P1808" i="34"/>
  <c r="Q1808" i="34"/>
  <c r="R1808" i="34"/>
  <c r="S1808" i="34"/>
  <c r="T1808" i="34"/>
  <c r="U1808" i="34"/>
  <c r="V1808" i="34"/>
  <c r="W1808" i="34"/>
  <c r="X1808" i="34"/>
  <c r="Y1808" i="34"/>
  <c r="Z1808" i="34"/>
  <c r="N1809" i="34"/>
  <c r="O1809" i="34"/>
  <c r="P1809" i="34"/>
  <c r="Q1809" i="34"/>
  <c r="R1809" i="34"/>
  <c r="S1809" i="34"/>
  <c r="T1809" i="34"/>
  <c r="U1809" i="34"/>
  <c r="V1809" i="34"/>
  <c r="W1809" i="34"/>
  <c r="X1809" i="34"/>
  <c r="Y1809" i="34"/>
  <c r="Z1809" i="34"/>
  <c r="N1810" i="34"/>
  <c r="O1810" i="34"/>
  <c r="P1810" i="34"/>
  <c r="Q1810" i="34"/>
  <c r="R1810" i="34"/>
  <c r="S1810" i="34"/>
  <c r="T1810" i="34"/>
  <c r="U1810" i="34"/>
  <c r="V1810" i="34"/>
  <c r="W1810" i="34"/>
  <c r="X1810" i="34"/>
  <c r="Y1810" i="34"/>
  <c r="Z1810" i="34"/>
  <c r="N1811" i="34"/>
  <c r="O1811" i="34"/>
  <c r="P1811" i="34"/>
  <c r="Q1811" i="34"/>
  <c r="R1811" i="34"/>
  <c r="S1811" i="34"/>
  <c r="T1811" i="34"/>
  <c r="U1811" i="34"/>
  <c r="V1811" i="34"/>
  <c r="W1811" i="34"/>
  <c r="X1811" i="34"/>
  <c r="Y1811" i="34"/>
  <c r="Z1811" i="34"/>
  <c r="N1812" i="34"/>
  <c r="O1812" i="34"/>
  <c r="P1812" i="34"/>
  <c r="Q1812" i="34"/>
  <c r="R1812" i="34"/>
  <c r="S1812" i="34"/>
  <c r="T1812" i="34"/>
  <c r="U1812" i="34"/>
  <c r="V1812" i="34"/>
  <c r="W1812" i="34"/>
  <c r="X1812" i="34"/>
  <c r="Y1812" i="34"/>
  <c r="Z1812" i="34"/>
  <c r="N1813" i="34"/>
  <c r="O1813" i="34"/>
  <c r="P1813" i="34"/>
  <c r="Q1813" i="34"/>
  <c r="R1813" i="34"/>
  <c r="S1813" i="34"/>
  <c r="T1813" i="34"/>
  <c r="U1813" i="34"/>
  <c r="V1813" i="34"/>
  <c r="W1813" i="34"/>
  <c r="X1813" i="34"/>
  <c r="Y1813" i="34"/>
  <c r="Z1813" i="34"/>
  <c r="N1814" i="34"/>
  <c r="O1814" i="34"/>
  <c r="P1814" i="34"/>
  <c r="Q1814" i="34"/>
  <c r="R1814" i="34"/>
  <c r="S1814" i="34"/>
  <c r="T1814" i="34"/>
  <c r="U1814" i="34"/>
  <c r="V1814" i="34"/>
  <c r="W1814" i="34"/>
  <c r="X1814" i="34"/>
  <c r="Y1814" i="34"/>
  <c r="Z1814" i="34"/>
  <c r="N1815" i="34"/>
  <c r="O1815" i="34"/>
  <c r="P1815" i="34"/>
  <c r="Q1815" i="34"/>
  <c r="R1815" i="34"/>
  <c r="S1815" i="34"/>
  <c r="T1815" i="34"/>
  <c r="U1815" i="34"/>
  <c r="V1815" i="34"/>
  <c r="W1815" i="34"/>
  <c r="X1815" i="34"/>
  <c r="Y1815" i="34"/>
  <c r="Z1815" i="34"/>
  <c r="N1816" i="34"/>
  <c r="O1816" i="34"/>
  <c r="P1816" i="34"/>
  <c r="Q1816" i="34"/>
  <c r="R1816" i="34"/>
  <c r="S1816" i="34"/>
  <c r="T1816" i="34"/>
  <c r="U1816" i="34"/>
  <c r="V1816" i="34"/>
  <c r="W1816" i="34"/>
  <c r="X1816" i="34"/>
  <c r="Y1816" i="34"/>
  <c r="Z1816" i="34"/>
  <c r="N1817" i="34"/>
  <c r="O1817" i="34"/>
  <c r="P1817" i="34"/>
  <c r="Q1817" i="34"/>
  <c r="R1817" i="34"/>
  <c r="S1817" i="34"/>
  <c r="T1817" i="34"/>
  <c r="U1817" i="34"/>
  <c r="V1817" i="34"/>
  <c r="W1817" i="34"/>
  <c r="X1817" i="34"/>
  <c r="Y1817" i="34"/>
  <c r="Z1817" i="34"/>
  <c r="N1818" i="34"/>
  <c r="O1818" i="34"/>
  <c r="P1818" i="34"/>
  <c r="Q1818" i="34"/>
  <c r="R1818" i="34"/>
  <c r="S1818" i="34"/>
  <c r="T1818" i="34"/>
  <c r="U1818" i="34"/>
  <c r="V1818" i="34"/>
  <c r="W1818" i="34"/>
  <c r="X1818" i="34"/>
  <c r="Y1818" i="34"/>
  <c r="Z1818" i="34"/>
  <c r="N1819" i="34"/>
  <c r="O1819" i="34"/>
  <c r="P1819" i="34"/>
  <c r="Q1819" i="34"/>
  <c r="R1819" i="34"/>
  <c r="S1819" i="34"/>
  <c r="T1819" i="34"/>
  <c r="U1819" i="34"/>
  <c r="V1819" i="34"/>
  <c r="W1819" i="34"/>
  <c r="X1819" i="34"/>
  <c r="Y1819" i="34"/>
  <c r="Z1819" i="34"/>
  <c r="N1820" i="34"/>
  <c r="O1820" i="34"/>
  <c r="P1820" i="34"/>
  <c r="Q1820" i="34"/>
  <c r="R1820" i="34"/>
  <c r="S1820" i="34"/>
  <c r="T1820" i="34"/>
  <c r="U1820" i="34"/>
  <c r="V1820" i="34"/>
  <c r="W1820" i="34"/>
  <c r="X1820" i="34"/>
  <c r="Y1820" i="34"/>
  <c r="Z1820" i="34"/>
  <c r="N1821" i="34"/>
  <c r="O1821" i="34"/>
  <c r="P1821" i="34"/>
  <c r="Q1821" i="34"/>
  <c r="R1821" i="34"/>
  <c r="S1821" i="34"/>
  <c r="T1821" i="34"/>
  <c r="U1821" i="34"/>
  <c r="V1821" i="34"/>
  <c r="W1821" i="34"/>
  <c r="X1821" i="34"/>
  <c r="Y1821" i="34"/>
  <c r="Z1821" i="34"/>
  <c r="N1822" i="34"/>
  <c r="O1822" i="34"/>
  <c r="P1822" i="34"/>
  <c r="Q1822" i="34"/>
  <c r="R1822" i="34"/>
  <c r="S1822" i="34"/>
  <c r="T1822" i="34"/>
  <c r="U1822" i="34"/>
  <c r="V1822" i="34"/>
  <c r="W1822" i="34"/>
  <c r="X1822" i="34"/>
  <c r="Y1822" i="34"/>
  <c r="Z1822" i="34"/>
  <c r="N1823" i="34"/>
  <c r="O1823" i="34"/>
  <c r="P1823" i="34"/>
  <c r="Q1823" i="34"/>
  <c r="R1823" i="34"/>
  <c r="S1823" i="34"/>
  <c r="T1823" i="34"/>
  <c r="U1823" i="34"/>
  <c r="V1823" i="34"/>
  <c r="W1823" i="34"/>
  <c r="X1823" i="34"/>
  <c r="Y1823" i="34"/>
  <c r="Z1823" i="34"/>
  <c r="N1824" i="34"/>
  <c r="O1824" i="34"/>
  <c r="P1824" i="34"/>
  <c r="Q1824" i="34"/>
  <c r="R1824" i="34"/>
  <c r="S1824" i="34"/>
  <c r="T1824" i="34"/>
  <c r="U1824" i="34"/>
  <c r="V1824" i="34"/>
  <c r="W1824" i="34"/>
  <c r="X1824" i="34"/>
  <c r="Y1824" i="34"/>
  <c r="Z1824" i="34"/>
  <c r="N1825" i="34"/>
  <c r="O1825" i="34"/>
  <c r="P1825" i="34"/>
  <c r="Q1825" i="34"/>
  <c r="R1825" i="34"/>
  <c r="S1825" i="34"/>
  <c r="T1825" i="34"/>
  <c r="U1825" i="34"/>
  <c r="V1825" i="34"/>
  <c r="W1825" i="34"/>
  <c r="X1825" i="34"/>
  <c r="Y1825" i="34"/>
  <c r="Z1825" i="34"/>
  <c r="N1826" i="34"/>
  <c r="O1826" i="34"/>
  <c r="P1826" i="34"/>
  <c r="Q1826" i="34"/>
  <c r="R1826" i="34"/>
  <c r="S1826" i="34"/>
  <c r="T1826" i="34"/>
  <c r="U1826" i="34"/>
  <c r="V1826" i="34"/>
  <c r="W1826" i="34"/>
  <c r="X1826" i="34"/>
  <c r="Y1826" i="34"/>
  <c r="Z1826" i="34"/>
  <c r="N1827" i="34"/>
  <c r="O1827" i="34"/>
  <c r="P1827" i="34"/>
  <c r="Q1827" i="34"/>
  <c r="R1827" i="34"/>
  <c r="S1827" i="34"/>
  <c r="T1827" i="34"/>
  <c r="U1827" i="34"/>
  <c r="V1827" i="34"/>
  <c r="W1827" i="34"/>
  <c r="X1827" i="34"/>
  <c r="Y1827" i="34"/>
  <c r="Z1827" i="34"/>
  <c r="N1828" i="34"/>
  <c r="O1828" i="34"/>
  <c r="P1828" i="34"/>
  <c r="Q1828" i="34"/>
  <c r="R1828" i="34"/>
  <c r="S1828" i="34"/>
  <c r="T1828" i="34"/>
  <c r="U1828" i="34"/>
  <c r="V1828" i="34"/>
  <c r="W1828" i="34"/>
  <c r="X1828" i="34"/>
  <c r="Y1828" i="34"/>
  <c r="Z1828" i="34"/>
  <c r="N1829" i="34"/>
  <c r="O1829" i="34"/>
  <c r="P1829" i="34"/>
  <c r="Q1829" i="34"/>
  <c r="R1829" i="34"/>
  <c r="S1829" i="34"/>
  <c r="T1829" i="34"/>
  <c r="U1829" i="34"/>
  <c r="V1829" i="34"/>
  <c r="W1829" i="34"/>
  <c r="X1829" i="34"/>
  <c r="Y1829" i="34"/>
  <c r="Z1829" i="34"/>
  <c r="N1830" i="34"/>
  <c r="O1830" i="34"/>
  <c r="P1830" i="34"/>
  <c r="Q1830" i="34"/>
  <c r="R1830" i="34"/>
  <c r="S1830" i="34"/>
  <c r="T1830" i="34"/>
  <c r="U1830" i="34"/>
  <c r="V1830" i="34"/>
  <c r="W1830" i="34"/>
  <c r="X1830" i="34"/>
  <c r="Y1830" i="34"/>
  <c r="Z1830" i="34"/>
  <c r="N1831" i="34"/>
  <c r="O1831" i="34"/>
  <c r="P1831" i="34"/>
  <c r="Q1831" i="34"/>
  <c r="R1831" i="34"/>
  <c r="S1831" i="34"/>
  <c r="T1831" i="34"/>
  <c r="U1831" i="34"/>
  <c r="V1831" i="34"/>
  <c r="W1831" i="34"/>
  <c r="X1831" i="34"/>
  <c r="Y1831" i="34"/>
  <c r="Z1831" i="34"/>
  <c r="N1832" i="34"/>
  <c r="O1832" i="34"/>
  <c r="P1832" i="34"/>
  <c r="Q1832" i="34"/>
  <c r="R1832" i="34"/>
  <c r="S1832" i="34"/>
  <c r="T1832" i="34"/>
  <c r="U1832" i="34"/>
  <c r="V1832" i="34"/>
  <c r="W1832" i="34"/>
  <c r="X1832" i="34"/>
  <c r="Y1832" i="34"/>
  <c r="Z1832" i="34"/>
  <c r="N1833" i="34"/>
  <c r="O1833" i="34"/>
  <c r="P1833" i="34"/>
  <c r="Q1833" i="34"/>
  <c r="R1833" i="34"/>
  <c r="S1833" i="34"/>
  <c r="T1833" i="34"/>
  <c r="U1833" i="34"/>
  <c r="V1833" i="34"/>
  <c r="W1833" i="34"/>
  <c r="X1833" i="34"/>
  <c r="Y1833" i="34"/>
  <c r="Z1833" i="34"/>
  <c r="N1834" i="34"/>
  <c r="O1834" i="34"/>
  <c r="P1834" i="34"/>
  <c r="Q1834" i="34"/>
  <c r="R1834" i="34"/>
  <c r="S1834" i="34"/>
  <c r="T1834" i="34"/>
  <c r="U1834" i="34"/>
  <c r="V1834" i="34"/>
  <c r="W1834" i="34"/>
  <c r="X1834" i="34"/>
  <c r="Y1834" i="34"/>
  <c r="Z1834" i="34"/>
  <c r="N1835" i="34"/>
  <c r="O1835" i="34"/>
  <c r="P1835" i="34"/>
  <c r="Q1835" i="34"/>
  <c r="R1835" i="34"/>
  <c r="S1835" i="34"/>
  <c r="T1835" i="34"/>
  <c r="U1835" i="34"/>
  <c r="V1835" i="34"/>
  <c r="W1835" i="34"/>
  <c r="X1835" i="34"/>
  <c r="Y1835" i="34"/>
  <c r="Z1835" i="34"/>
  <c r="N1836" i="34"/>
  <c r="O1836" i="34"/>
  <c r="P1836" i="34"/>
  <c r="Q1836" i="34"/>
  <c r="R1836" i="34"/>
  <c r="S1836" i="34"/>
  <c r="T1836" i="34"/>
  <c r="U1836" i="34"/>
  <c r="V1836" i="34"/>
  <c r="W1836" i="34"/>
  <c r="X1836" i="34"/>
  <c r="Y1836" i="34"/>
  <c r="Z1836" i="34"/>
  <c r="N1837" i="34"/>
  <c r="O1837" i="34"/>
  <c r="P1837" i="34"/>
  <c r="Q1837" i="34"/>
  <c r="R1837" i="34"/>
  <c r="S1837" i="34"/>
  <c r="T1837" i="34"/>
  <c r="U1837" i="34"/>
  <c r="V1837" i="34"/>
  <c r="W1837" i="34"/>
  <c r="X1837" i="34"/>
  <c r="Y1837" i="34"/>
  <c r="Z1837" i="34"/>
  <c r="N1838" i="34"/>
  <c r="O1838" i="34"/>
  <c r="P1838" i="34"/>
  <c r="Q1838" i="34"/>
  <c r="R1838" i="34"/>
  <c r="S1838" i="34"/>
  <c r="T1838" i="34"/>
  <c r="U1838" i="34"/>
  <c r="V1838" i="34"/>
  <c r="W1838" i="34"/>
  <c r="X1838" i="34"/>
  <c r="Y1838" i="34"/>
  <c r="Z1838" i="34"/>
  <c r="N1839" i="34"/>
  <c r="O1839" i="34"/>
  <c r="P1839" i="34"/>
  <c r="Q1839" i="34"/>
  <c r="R1839" i="34"/>
  <c r="S1839" i="34"/>
  <c r="T1839" i="34"/>
  <c r="U1839" i="34"/>
  <c r="V1839" i="34"/>
  <c r="W1839" i="34"/>
  <c r="X1839" i="34"/>
  <c r="Y1839" i="34"/>
  <c r="Z1839" i="34"/>
  <c r="N1840" i="34"/>
  <c r="O1840" i="34"/>
  <c r="P1840" i="34"/>
  <c r="Q1840" i="34"/>
  <c r="R1840" i="34"/>
  <c r="S1840" i="34"/>
  <c r="T1840" i="34"/>
  <c r="U1840" i="34"/>
  <c r="V1840" i="34"/>
  <c r="W1840" i="34"/>
  <c r="X1840" i="34"/>
  <c r="Y1840" i="34"/>
  <c r="Z1840" i="34"/>
  <c r="N1841" i="34"/>
  <c r="O1841" i="34"/>
  <c r="P1841" i="34"/>
  <c r="Q1841" i="34"/>
  <c r="R1841" i="34"/>
  <c r="S1841" i="34"/>
  <c r="T1841" i="34"/>
  <c r="U1841" i="34"/>
  <c r="V1841" i="34"/>
  <c r="W1841" i="34"/>
  <c r="X1841" i="34"/>
  <c r="Y1841" i="34"/>
  <c r="Z1841" i="34"/>
  <c r="N1842" i="34"/>
  <c r="O1842" i="34"/>
  <c r="P1842" i="34"/>
  <c r="Q1842" i="34"/>
  <c r="R1842" i="34"/>
  <c r="S1842" i="34"/>
  <c r="T1842" i="34"/>
  <c r="U1842" i="34"/>
  <c r="V1842" i="34"/>
  <c r="W1842" i="34"/>
  <c r="X1842" i="34"/>
  <c r="Y1842" i="34"/>
  <c r="Z1842" i="34"/>
  <c r="N1843" i="34"/>
  <c r="O1843" i="34"/>
  <c r="P1843" i="34"/>
  <c r="Q1843" i="34"/>
  <c r="R1843" i="34"/>
  <c r="S1843" i="34"/>
  <c r="T1843" i="34"/>
  <c r="U1843" i="34"/>
  <c r="V1843" i="34"/>
  <c r="W1843" i="34"/>
  <c r="X1843" i="34"/>
  <c r="Y1843" i="34"/>
  <c r="Z1843" i="34"/>
  <c r="N1844" i="34"/>
  <c r="O1844" i="34"/>
  <c r="P1844" i="34"/>
  <c r="Q1844" i="34"/>
  <c r="R1844" i="34"/>
  <c r="S1844" i="34"/>
  <c r="T1844" i="34"/>
  <c r="U1844" i="34"/>
  <c r="V1844" i="34"/>
  <c r="W1844" i="34"/>
  <c r="X1844" i="34"/>
  <c r="Y1844" i="34"/>
  <c r="Z1844" i="34"/>
  <c r="N1845" i="34"/>
  <c r="O1845" i="34"/>
  <c r="P1845" i="34"/>
  <c r="Q1845" i="34"/>
  <c r="R1845" i="34"/>
  <c r="S1845" i="34"/>
  <c r="T1845" i="34"/>
  <c r="U1845" i="34"/>
  <c r="V1845" i="34"/>
  <c r="W1845" i="34"/>
  <c r="X1845" i="34"/>
  <c r="Y1845" i="34"/>
  <c r="Z1845" i="34"/>
  <c r="N1846" i="34"/>
  <c r="O1846" i="34"/>
  <c r="P1846" i="34"/>
  <c r="Q1846" i="34"/>
  <c r="R1846" i="34"/>
  <c r="S1846" i="34"/>
  <c r="T1846" i="34"/>
  <c r="U1846" i="34"/>
  <c r="V1846" i="34"/>
  <c r="W1846" i="34"/>
  <c r="X1846" i="34"/>
  <c r="Y1846" i="34"/>
  <c r="Z1846" i="34"/>
  <c r="N1847" i="34"/>
  <c r="O1847" i="34"/>
  <c r="P1847" i="34"/>
  <c r="Q1847" i="34"/>
  <c r="R1847" i="34"/>
  <c r="S1847" i="34"/>
  <c r="T1847" i="34"/>
  <c r="U1847" i="34"/>
  <c r="V1847" i="34"/>
  <c r="W1847" i="34"/>
  <c r="X1847" i="34"/>
  <c r="Y1847" i="34"/>
  <c r="Z1847" i="34"/>
  <c r="N1848" i="34"/>
  <c r="O1848" i="34"/>
  <c r="P1848" i="34"/>
  <c r="Q1848" i="34"/>
  <c r="R1848" i="34"/>
  <c r="S1848" i="34"/>
  <c r="T1848" i="34"/>
  <c r="U1848" i="34"/>
  <c r="V1848" i="34"/>
  <c r="W1848" i="34"/>
  <c r="X1848" i="34"/>
  <c r="Y1848" i="34"/>
  <c r="Z1848" i="34"/>
  <c r="N1849" i="34"/>
  <c r="O1849" i="34"/>
  <c r="P1849" i="34"/>
  <c r="Q1849" i="34"/>
  <c r="R1849" i="34"/>
  <c r="S1849" i="34"/>
  <c r="T1849" i="34"/>
  <c r="U1849" i="34"/>
  <c r="V1849" i="34"/>
  <c r="W1849" i="34"/>
  <c r="X1849" i="34"/>
  <c r="Y1849" i="34"/>
  <c r="Z1849" i="34"/>
  <c r="N1850" i="34"/>
  <c r="O1850" i="34"/>
  <c r="P1850" i="34"/>
  <c r="Q1850" i="34"/>
  <c r="R1850" i="34"/>
  <c r="S1850" i="34"/>
  <c r="T1850" i="34"/>
  <c r="U1850" i="34"/>
  <c r="V1850" i="34"/>
  <c r="W1850" i="34"/>
  <c r="X1850" i="34"/>
  <c r="Y1850" i="34"/>
  <c r="Z1850" i="34"/>
  <c r="N1851" i="34"/>
  <c r="O1851" i="34"/>
  <c r="P1851" i="34"/>
  <c r="Q1851" i="34"/>
  <c r="R1851" i="34"/>
  <c r="S1851" i="34"/>
  <c r="T1851" i="34"/>
  <c r="U1851" i="34"/>
  <c r="V1851" i="34"/>
  <c r="W1851" i="34"/>
  <c r="X1851" i="34"/>
  <c r="Y1851" i="34"/>
  <c r="Z1851" i="34"/>
  <c r="N1852" i="34"/>
  <c r="O1852" i="34"/>
  <c r="P1852" i="34"/>
  <c r="Q1852" i="34"/>
  <c r="R1852" i="34"/>
  <c r="S1852" i="34"/>
  <c r="T1852" i="34"/>
  <c r="U1852" i="34"/>
  <c r="V1852" i="34"/>
  <c r="W1852" i="34"/>
  <c r="X1852" i="34"/>
  <c r="Y1852" i="34"/>
  <c r="Z1852" i="34"/>
  <c r="N1853" i="34"/>
  <c r="O1853" i="34"/>
  <c r="P1853" i="34"/>
  <c r="Q1853" i="34"/>
  <c r="R1853" i="34"/>
  <c r="S1853" i="34"/>
  <c r="T1853" i="34"/>
  <c r="U1853" i="34"/>
  <c r="V1853" i="34"/>
  <c r="W1853" i="34"/>
  <c r="X1853" i="34"/>
  <c r="Y1853" i="34"/>
  <c r="Z1853" i="34"/>
  <c r="N1854" i="34"/>
  <c r="O1854" i="34"/>
  <c r="P1854" i="34"/>
  <c r="Q1854" i="34"/>
  <c r="R1854" i="34"/>
  <c r="S1854" i="34"/>
  <c r="T1854" i="34"/>
  <c r="U1854" i="34"/>
  <c r="V1854" i="34"/>
  <c r="W1854" i="34"/>
  <c r="X1854" i="34"/>
  <c r="Y1854" i="34"/>
  <c r="Z1854" i="34"/>
  <c r="N1855" i="34"/>
  <c r="O1855" i="34"/>
  <c r="P1855" i="34"/>
  <c r="Q1855" i="34"/>
  <c r="R1855" i="34"/>
  <c r="S1855" i="34"/>
  <c r="T1855" i="34"/>
  <c r="U1855" i="34"/>
  <c r="V1855" i="34"/>
  <c r="W1855" i="34"/>
  <c r="X1855" i="34"/>
  <c r="Y1855" i="34"/>
  <c r="Z1855" i="34"/>
  <c r="N1856" i="34"/>
  <c r="O1856" i="34"/>
  <c r="P1856" i="34"/>
  <c r="Q1856" i="34"/>
  <c r="R1856" i="34"/>
  <c r="S1856" i="34"/>
  <c r="T1856" i="34"/>
  <c r="U1856" i="34"/>
  <c r="V1856" i="34"/>
  <c r="W1856" i="34"/>
  <c r="X1856" i="34"/>
  <c r="Y1856" i="34"/>
  <c r="Z1856" i="34"/>
  <c r="N1857" i="34"/>
  <c r="O1857" i="34"/>
  <c r="P1857" i="34"/>
  <c r="Q1857" i="34"/>
  <c r="R1857" i="34"/>
  <c r="S1857" i="34"/>
  <c r="T1857" i="34"/>
  <c r="U1857" i="34"/>
  <c r="V1857" i="34"/>
  <c r="W1857" i="34"/>
  <c r="X1857" i="34"/>
  <c r="Y1857" i="34"/>
  <c r="Z1857" i="34"/>
  <c r="N1858" i="34"/>
  <c r="O1858" i="34"/>
  <c r="P1858" i="34"/>
  <c r="Q1858" i="34"/>
  <c r="R1858" i="34"/>
  <c r="S1858" i="34"/>
  <c r="T1858" i="34"/>
  <c r="U1858" i="34"/>
  <c r="V1858" i="34"/>
  <c r="W1858" i="34"/>
  <c r="X1858" i="34"/>
  <c r="Y1858" i="34"/>
  <c r="Z1858" i="34"/>
  <c r="N1859" i="34"/>
  <c r="O1859" i="34"/>
  <c r="P1859" i="34"/>
  <c r="Q1859" i="34"/>
  <c r="R1859" i="34"/>
  <c r="S1859" i="34"/>
  <c r="T1859" i="34"/>
  <c r="U1859" i="34"/>
  <c r="V1859" i="34"/>
  <c r="W1859" i="34"/>
  <c r="X1859" i="34"/>
  <c r="Y1859" i="34"/>
  <c r="Z1859" i="34"/>
  <c r="N1860" i="34"/>
  <c r="O1860" i="34"/>
  <c r="P1860" i="34"/>
  <c r="Q1860" i="34"/>
  <c r="R1860" i="34"/>
  <c r="S1860" i="34"/>
  <c r="T1860" i="34"/>
  <c r="U1860" i="34"/>
  <c r="V1860" i="34"/>
  <c r="W1860" i="34"/>
  <c r="X1860" i="34"/>
  <c r="Y1860" i="34"/>
  <c r="Z1860" i="34"/>
  <c r="N1861" i="34"/>
  <c r="O1861" i="34"/>
  <c r="P1861" i="34"/>
  <c r="Q1861" i="34"/>
  <c r="R1861" i="34"/>
  <c r="S1861" i="34"/>
  <c r="T1861" i="34"/>
  <c r="U1861" i="34"/>
  <c r="V1861" i="34"/>
  <c r="W1861" i="34"/>
  <c r="X1861" i="34"/>
  <c r="Y1861" i="34"/>
  <c r="Z1861" i="34"/>
  <c r="N1862" i="34"/>
  <c r="O1862" i="34"/>
  <c r="P1862" i="34"/>
  <c r="Q1862" i="34"/>
  <c r="R1862" i="34"/>
  <c r="S1862" i="34"/>
  <c r="T1862" i="34"/>
  <c r="U1862" i="34"/>
  <c r="V1862" i="34"/>
  <c r="W1862" i="34"/>
  <c r="X1862" i="34"/>
  <c r="Y1862" i="34"/>
  <c r="Z1862" i="34"/>
  <c r="N1863" i="34"/>
  <c r="O1863" i="34"/>
  <c r="P1863" i="34"/>
  <c r="Q1863" i="34"/>
  <c r="R1863" i="34"/>
  <c r="S1863" i="34"/>
  <c r="T1863" i="34"/>
  <c r="U1863" i="34"/>
  <c r="V1863" i="34"/>
  <c r="W1863" i="34"/>
  <c r="X1863" i="34"/>
  <c r="Y1863" i="34"/>
  <c r="Z1863" i="34"/>
  <c r="N1864" i="34"/>
  <c r="O1864" i="34"/>
  <c r="P1864" i="34"/>
  <c r="Q1864" i="34"/>
  <c r="R1864" i="34"/>
  <c r="S1864" i="34"/>
  <c r="T1864" i="34"/>
  <c r="U1864" i="34"/>
  <c r="V1864" i="34"/>
  <c r="W1864" i="34"/>
  <c r="X1864" i="34"/>
  <c r="Y1864" i="34"/>
  <c r="Z1864" i="34"/>
  <c r="N1865" i="34"/>
  <c r="O1865" i="34"/>
  <c r="P1865" i="34"/>
  <c r="Q1865" i="34"/>
  <c r="R1865" i="34"/>
  <c r="S1865" i="34"/>
  <c r="T1865" i="34"/>
  <c r="U1865" i="34"/>
  <c r="V1865" i="34"/>
  <c r="W1865" i="34"/>
  <c r="X1865" i="34"/>
  <c r="Y1865" i="34"/>
  <c r="Z1865" i="34"/>
  <c r="N1866" i="34"/>
  <c r="O1866" i="34"/>
  <c r="P1866" i="34"/>
  <c r="Q1866" i="34"/>
  <c r="R1866" i="34"/>
  <c r="S1866" i="34"/>
  <c r="T1866" i="34"/>
  <c r="U1866" i="34"/>
  <c r="V1866" i="34"/>
  <c r="W1866" i="34"/>
  <c r="X1866" i="34"/>
  <c r="Y1866" i="34"/>
  <c r="Z1866" i="34"/>
  <c r="N1867" i="34"/>
  <c r="O1867" i="34"/>
  <c r="P1867" i="34"/>
  <c r="Q1867" i="34"/>
  <c r="R1867" i="34"/>
  <c r="S1867" i="34"/>
  <c r="T1867" i="34"/>
  <c r="U1867" i="34"/>
  <c r="V1867" i="34"/>
  <c r="W1867" i="34"/>
  <c r="X1867" i="34"/>
  <c r="Y1867" i="34"/>
  <c r="Z1867" i="34"/>
  <c r="N1868" i="34"/>
  <c r="O1868" i="34"/>
  <c r="P1868" i="34"/>
  <c r="Q1868" i="34"/>
  <c r="R1868" i="34"/>
  <c r="S1868" i="34"/>
  <c r="T1868" i="34"/>
  <c r="U1868" i="34"/>
  <c r="V1868" i="34"/>
  <c r="W1868" i="34"/>
  <c r="X1868" i="34"/>
  <c r="Y1868" i="34"/>
  <c r="Z1868" i="34"/>
  <c r="N1869" i="34"/>
  <c r="O1869" i="34"/>
  <c r="P1869" i="34"/>
  <c r="Q1869" i="34"/>
  <c r="R1869" i="34"/>
  <c r="S1869" i="34"/>
  <c r="T1869" i="34"/>
  <c r="U1869" i="34"/>
  <c r="V1869" i="34"/>
  <c r="W1869" i="34"/>
  <c r="X1869" i="34"/>
  <c r="Y1869" i="34"/>
  <c r="Z1869" i="34"/>
  <c r="N1870" i="34"/>
  <c r="O1870" i="34"/>
  <c r="P1870" i="34"/>
  <c r="Q1870" i="34"/>
  <c r="R1870" i="34"/>
  <c r="S1870" i="34"/>
  <c r="T1870" i="34"/>
  <c r="U1870" i="34"/>
  <c r="V1870" i="34"/>
  <c r="W1870" i="34"/>
  <c r="X1870" i="34"/>
  <c r="Y1870" i="34"/>
  <c r="Z1870" i="34"/>
  <c r="N1871" i="34"/>
  <c r="O1871" i="34"/>
  <c r="P1871" i="34"/>
  <c r="Q1871" i="34"/>
  <c r="R1871" i="34"/>
  <c r="S1871" i="34"/>
  <c r="T1871" i="34"/>
  <c r="U1871" i="34"/>
  <c r="V1871" i="34"/>
  <c r="W1871" i="34"/>
  <c r="X1871" i="34"/>
  <c r="Y1871" i="34"/>
  <c r="Z1871" i="34"/>
  <c r="N1872" i="34"/>
  <c r="O1872" i="34"/>
  <c r="P1872" i="34"/>
  <c r="Q1872" i="34"/>
  <c r="R1872" i="34"/>
  <c r="S1872" i="34"/>
  <c r="T1872" i="34"/>
  <c r="U1872" i="34"/>
  <c r="V1872" i="34"/>
  <c r="W1872" i="34"/>
  <c r="X1872" i="34"/>
  <c r="Y1872" i="34"/>
  <c r="Z1872" i="34"/>
  <c r="N1873" i="34"/>
  <c r="O1873" i="34"/>
  <c r="P1873" i="34"/>
  <c r="Q1873" i="34"/>
  <c r="R1873" i="34"/>
  <c r="S1873" i="34"/>
  <c r="T1873" i="34"/>
  <c r="U1873" i="34"/>
  <c r="V1873" i="34"/>
  <c r="W1873" i="34"/>
  <c r="X1873" i="34"/>
  <c r="Y1873" i="34"/>
  <c r="Z1873" i="34"/>
  <c r="N1874" i="34"/>
  <c r="O1874" i="34"/>
  <c r="P1874" i="34"/>
  <c r="Q1874" i="34"/>
  <c r="R1874" i="34"/>
  <c r="S1874" i="34"/>
  <c r="T1874" i="34"/>
  <c r="U1874" i="34"/>
  <c r="V1874" i="34"/>
  <c r="W1874" i="34"/>
  <c r="X1874" i="34"/>
  <c r="Y1874" i="34"/>
  <c r="Z1874" i="34"/>
  <c r="N1875" i="34"/>
  <c r="O1875" i="34"/>
  <c r="P1875" i="34"/>
  <c r="Q1875" i="34"/>
  <c r="R1875" i="34"/>
  <c r="S1875" i="34"/>
  <c r="T1875" i="34"/>
  <c r="U1875" i="34"/>
  <c r="V1875" i="34"/>
  <c r="W1875" i="34"/>
  <c r="X1875" i="34"/>
  <c r="Y1875" i="34"/>
  <c r="Z1875" i="34"/>
  <c r="N1876" i="34"/>
  <c r="O1876" i="34"/>
  <c r="P1876" i="34"/>
  <c r="Q1876" i="34"/>
  <c r="R1876" i="34"/>
  <c r="S1876" i="34"/>
  <c r="T1876" i="34"/>
  <c r="U1876" i="34"/>
  <c r="V1876" i="34"/>
  <c r="W1876" i="34"/>
  <c r="X1876" i="34"/>
  <c r="Y1876" i="34"/>
  <c r="Z1876" i="34"/>
  <c r="N1877" i="34"/>
  <c r="O1877" i="34"/>
  <c r="P1877" i="34"/>
  <c r="Q1877" i="34"/>
  <c r="R1877" i="34"/>
  <c r="S1877" i="34"/>
  <c r="T1877" i="34"/>
  <c r="U1877" i="34"/>
  <c r="V1877" i="34"/>
  <c r="W1877" i="34"/>
  <c r="X1877" i="34"/>
  <c r="Y1877" i="34"/>
  <c r="Z1877" i="34"/>
  <c r="N1878" i="34"/>
  <c r="O1878" i="34"/>
  <c r="P1878" i="34"/>
  <c r="Q1878" i="34"/>
  <c r="R1878" i="34"/>
  <c r="S1878" i="34"/>
  <c r="T1878" i="34"/>
  <c r="U1878" i="34"/>
  <c r="V1878" i="34"/>
  <c r="W1878" i="34"/>
  <c r="X1878" i="34"/>
  <c r="Y1878" i="34"/>
  <c r="Z1878" i="34"/>
  <c r="N1879" i="34"/>
  <c r="O1879" i="34"/>
  <c r="P1879" i="34"/>
  <c r="Q1879" i="34"/>
  <c r="R1879" i="34"/>
  <c r="S1879" i="34"/>
  <c r="T1879" i="34"/>
  <c r="U1879" i="34"/>
  <c r="V1879" i="34"/>
  <c r="W1879" i="34"/>
  <c r="X1879" i="34"/>
  <c r="Y1879" i="34"/>
  <c r="Z1879" i="34"/>
  <c r="N1880" i="34"/>
  <c r="O1880" i="34"/>
  <c r="P1880" i="34"/>
  <c r="Q1880" i="34"/>
  <c r="R1880" i="34"/>
  <c r="S1880" i="34"/>
  <c r="T1880" i="34"/>
  <c r="U1880" i="34"/>
  <c r="V1880" i="34"/>
  <c r="W1880" i="34"/>
  <c r="X1880" i="34"/>
  <c r="Y1880" i="34"/>
  <c r="Z1880" i="34"/>
  <c r="N1881" i="34"/>
  <c r="O1881" i="34"/>
  <c r="P1881" i="34"/>
  <c r="Q1881" i="34"/>
  <c r="R1881" i="34"/>
  <c r="S1881" i="34"/>
  <c r="T1881" i="34"/>
  <c r="U1881" i="34"/>
  <c r="V1881" i="34"/>
  <c r="W1881" i="34"/>
  <c r="X1881" i="34"/>
  <c r="Y1881" i="34"/>
  <c r="Z1881" i="34"/>
  <c r="N1882" i="34"/>
  <c r="O1882" i="34"/>
  <c r="P1882" i="34"/>
  <c r="Q1882" i="34"/>
  <c r="R1882" i="34"/>
  <c r="S1882" i="34"/>
  <c r="T1882" i="34"/>
  <c r="U1882" i="34"/>
  <c r="V1882" i="34"/>
  <c r="W1882" i="34"/>
  <c r="X1882" i="34"/>
  <c r="Y1882" i="34"/>
  <c r="Z1882" i="34"/>
  <c r="N1883" i="34"/>
  <c r="O1883" i="34"/>
  <c r="P1883" i="34"/>
  <c r="Q1883" i="34"/>
  <c r="R1883" i="34"/>
  <c r="S1883" i="34"/>
  <c r="T1883" i="34"/>
  <c r="U1883" i="34"/>
  <c r="V1883" i="34"/>
  <c r="W1883" i="34"/>
  <c r="X1883" i="34"/>
  <c r="Y1883" i="34"/>
  <c r="Z1883" i="34"/>
  <c r="N1884" i="34"/>
  <c r="O1884" i="34"/>
  <c r="P1884" i="34"/>
  <c r="Q1884" i="34"/>
  <c r="R1884" i="34"/>
  <c r="S1884" i="34"/>
  <c r="T1884" i="34"/>
  <c r="U1884" i="34"/>
  <c r="V1884" i="34"/>
  <c r="W1884" i="34"/>
  <c r="X1884" i="34"/>
  <c r="Y1884" i="34"/>
  <c r="Z1884" i="34"/>
  <c r="N1885" i="34"/>
  <c r="O1885" i="34"/>
  <c r="P1885" i="34"/>
  <c r="Q1885" i="34"/>
  <c r="R1885" i="34"/>
  <c r="S1885" i="34"/>
  <c r="T1885" i="34"/>
  <c r="U1885" i="34"/>
  <c r="V1885" i="34"/>
  <c r="W1885" i="34"/>
  <c r="X1885" i="34"/>
  <c r="Y1885" i="34"/>
  <c r="Z1885" i="34"/>
  <c r="N1886" i="34"/>
  <c r="O1886" i="34"/>
  <c r="P1886" i="34"/>
  <c r="Q1886" i="34"/>
  <c r="R1886" i="34"/>
  <c r="S1886" i="34"/>
  <c r="T1886" i="34"/>
  <c r="U1886" i="34"/>
  <c r="V1886" i="34"/>
  <c r="W1886" i="34"/>
  <c r="X1886" i="34"/>
  <c r="Y1886" i="34"/>
  <c r="Z1886" i="34"/>
  <c r="N1887" i="34"/>
  <c r="O1887" i="34"/>
  <c r="P1887" i="34"/>
  <c r="Q1887" i="34"/>
  <c r="R1887" i="34"/>
  <c r="S1887" i="34"/>
  <c r="T1887" i="34"/>
  <c r="U1887" i="34"/>
  <c r="V1887" i="34"/>
  <c r="W1887" i="34"/>
  <c r="X1887" i="34"/>
  <c r="Y1887" i="34"/>
  <c r="Z1887" i="34"/>
  <c r="N1888" i="34"/>
  <c r="O1888" i="34"/>
  <c r="P1888" i="34"/>
  <c r="Q1888" i="34"/>
  <c r="R1888" i="34"/>
  <c r="S1888" i="34"/>
  <c r="T1888" i="34"/>
  <c r="U1888" i="34"/>
  <c r="V1888" i="34"/>
  <c r="W1888" i="34"/>
  <c r="X1888" i="34"/>
  <c r="Y1888" i="34"/>
  <c r="Z1888" i="34"/>
  <c r="N1889" i="34"/>
  <c r="O1889" i="34"/>
  <c r="P1889" i="34"/>
  <c r="Q1889" i="34"/>
  <c r="R1889" i="34"/>
  <c r="S1889" i="34"/>
  <c r="T1889" i="34"/>
  <c r="U1889" i="34"/>
  <c r="V1889" i="34"/>
  <c r="W1889" i="34"/>
  <c r="X1889" i="34"/>
  <c r="Y1889" i="34"/>
  <c r="Z1889" i="34"/>
  <c r="N1890" i="34"/>
  <c r="O1890" i="34"/>
  <c r="P1890" i="34"/>
  <c r="Q1890" i="34"/>
  <c r="R1890" i="34"/>
  <c r="S1890" i="34"/>
  <c r="T1890" i="34"/>
  <c r="U1890" i="34"/>
  <c r="V1890" i="34"/>
  <c r="W1890" i="34"/>
  <c r="X1890" i="34"/>
  <c r="Y1890" i="34"/>
  <c r="Z1890" i="34"/>
  <c r="N1891" i="34"/>
  <c r="O1891" i="34"/>
  <c r="P1891" i="34"/>
  <c r="Q1891" i="34"/>
  <c r="R1891" i="34"/>
  <c r="S1891" i="34"/>
  <c r="T1891" i="34"/>
  <c r="U1891" i="34"/>
  <c r="V1891" i="34"/>
  <c r="W1891" i="34"/>
  <c r="X1891" i="34"/>
  <c r="Y1891" i="34"/>
  <c r="Z1891" i="34"/>
  <c r="N1892" i="34"/>
  <c r="O1892" i="34"/>
  <c r="P1892" i="34"/>
  <c r="Q1892" i="34"/>
  <c r="R1892" i="34"/>
  <c r="S1892" i="34"/>
  <c r="T1892" i="34"/>
  <c r="U1892" i="34"/>
  <c r="V1892" i="34"/>
  <c r="W1892" i="34"/>
  <c r="X1892" i="34"/>
  <c r="Y1892" i="34"/>
  <c r="Z1892" i="34"/>
  <c r="N1893" i="34"/>
  <c r="O1893" i="34"/>
  <c r="P1893" i="34"/>
  <c r="Q1893" i="34"/>
  <c r="R1893" i="34"/>
  <c r="S1893" i="34"/>
  <c r="T1893" i="34"/>
  <c r="U1893" i="34"/>
  <c r="V1893" i="34"/>
  <c r="W1893" i="34"/>
  <c r="X1893" i="34"/>
  <c r="Y1893" i="34"/>
  <c r="Z1893" i="34"/>
  <c r="N1894" i="34"/>
  <c r="O1894" i="34"/>
  <c r="P1894" i="34"/>
  <c r="Q1894" i="34"/>
  <c r="R1894" i="34"/>
  <c r="S1894" i="34"/>
  <c r="T1894" i="34"/>
  <c r="U1894" i="34"/>
  <c r="V1894" i="34"/>
  <c r="W1894" i="34"/>
  <c r="X1894" i="34"/>
  <c r="Y1894" i="34"/>
  <c r="Z1894" i="34"/>
  <c r="N1895" i="34"/>
  <c r="O1895" i="34"/>
  <c r="P1895" i="34"/>
  <c r="Q1895" i="34"/>
  <c r="R1895" i="34"/>
  <c r="S1895" i="34"/>
  <c r="T1895" i="34"/>
  <c r="U1895" i="34"/>
  <c r="V1895" i="34"/>
  <c r="W1895" i="34"/>
  <c r="X1895" i="34"/>
  <c r="Y1895" i="34"/>
  <c r="Z1895" i="34"/>
  <c r="N1896" i="34"/>
  <c r="O1896" i="34"/>
  <c r="P1896" i="34"/>
  <c r="Q1896" i="34"/>
  <c r="R1896" i="34"/>
  <c r="S1896" i="34"/>
  <c r="T1896" i="34"/>
  <c r="U1896" i="34"/>
  <c r="V1896" i="34"/>
  <c r="W1896" i="34"/>
  <c r="X1896" i="34"/>
  <c r="Y1896" i="34"/>
  <c r="Z1896" i="34"/>
  <c r="N1897" i="34"/>
  <c r="O1897" i="34"/>
  <c r="P1897" i="34"/>
  <c r="Q1897" i="34"/>
  <c r="R1897" i="34"/>
  <c r="S1897" i="34"/>
  <c r="T1897" i="34"/>
  <c r="U1897" i="34"/>
  <c r="V1897" i="34"/>
  <c r="W1897" i="34"/>
  <c r="X1897" i="34"/>
  <c r="Y1897" i="34"/>
  <c r="Z1897" i="34"/>
  <c r="N1898" i="34"/>
  <c r="O1898" i="34"/>
  <c r="P1898" i="34"/>
  <c r="Q1898" i="34"/>
  <c r="R1898" i="34"/>
  <c r="S1898" i="34"/>
  <c r="T1898" i="34"/>
  <c r="U1898" i="34"/>
  <c r="V1898" i="34"/>
  <c r="W1898" i="34"/>
  <c r="X1898" i="34"/>
  <c r="Y1898" i="34"/>
  <c r="Z1898" i="34"/>
  <c r="N1899" i="34"/>
  <c r="O1899" i="34"/>
  <c r="P1899" i="34"/>
  <c r="Q1899" i="34"/>
  <c r="R1899" i="34"/>
  <c r="S1899" i="34"/>
  <c r="T1899" i="34"/>
  <c r="U1899" i="34"/>
  <c r="V1899" i="34"/>
  <c r="W1899" i="34"/>
  <c r="X1899" i="34"/>
  <c r="Y1899" i="34"/>
  <c r="Z1899" i="34"/>
  <c r="N1900" i="34"/>
  <c r="O1900" i="34"/>
  <c r="P1900" i="34"/>
  <c r="Q1900" i="34"/>
  <c r="R1900" i="34"/>
  <c r="S1900" i="34"/>
  <c r="T1900" i="34"/>
  <c r="U1900" i="34"/>
  <c r="V1900" i="34"/>
  <c r="W1900" i="34"/>
  <c r="X1900" i="34"/>
  <c r="Y1900" i="34"/>
  <c r="Z1900" i="34"/>
  <c r="N1901" i="34"/>
  <c r="O1901" i="34"/>
  <c r="P1901" i="34"/>
  <c r="Q1901" i="34"/>
  <c r="R1901" i="34"/>
  <c r="S1901" i="34"/>
  <c r="T1901" i="34"/>
  <c r="U1901" i="34"/>
  <c r="V1901" i="34"/>
  <c r="W1901" i="34"/>
  <c r="X1901" i="34"/>
  <c r="Y1901" i="34"/>
  <c r="Z1901" i="34"/>
  <c r="N1902" i="34"/>
  <c r="O1902" i="34"/>
  <c r="P1902" i="34"/>
  <c r="Q1902" i="34"/>
  <c r="R1902" i="34"/>
  <c r="S1902" i="34"/>
  <c r="T1902" i="34"/>
  <c r="U1902" i="34"/>
  <c r="V1902" i="34"/>
  <c r="W1902" i="34"/>
  <c r="X1902" i="34"/>
  <c r="Y1902" i="34"/>
  <c r="Z1902" i="34"/>
  <c r="N1903" i="34"/>
  <c r="O1903" i="34"/>
  <c r="P1903" i="34"/>
  <c r="Q1903" i="34"/>
  <c r="R1903" i="34"/>
  <c r="S1903" i="34"/>
  <c r="T1903" i="34"/>
  <c r="U1903" i="34"/>
  <c r="V1903" i="34"/>
  <c r="W1903" i="34"/>
  <c r="X1903" i="34"/>
  <c r="Y1903" i="34"/>
  <c r="Z1903" i="34"/>
  <c r="N1904" i="34"/>
  <c r="O1904" i="34"/>
  <c r="P1904" i="34"/>
  <c r="Q1904" i="34"/>
  <c r="R1904" i="34"/>
  <c r="S1904" i="34"/>
  <c r="T1904" i="34"/>
  <c r="U1904" i="34"/>
  <c r="V1904" i="34"/>
  <c r="W1904" i="34"/>
  <c r="X1904" i="34"/>
  <c r="Y1904" i="34"/>
  <c r="Z1904" i="34"/>
  <c r="N1905" i="34"/>
  <c r="O1905" i="34"/>
  <c r="P1905" i="34"/>
  <c r="Q1905" i="34"/>
  <c r="R1905" i="34"/>
  <c r="S1905" i="34"/>
  <c r="T1905" i="34"/>
  <c r="U1905" i="34"/>
  <c r="V1905" i="34"/>
  <c r="W1905" i="34"/>
  <c r="X1905" i="34"/>
  <c r="Y1905" i="34"/>
  <c r="Z1905" i="34"/>
  <c r="N1906" i="34"/>
  <c r="O1906" i="34"/>
  <c r="P1906" i="34"/>
  <c r="Q1906" i="34"/>
  <c r="R1906" i="34"/>
  <c r="S1906" i="34"/>
  <c r="T1906" i="34"/>
  <c r="U1906" i="34"/>
  <c r="V1906" i="34"/>
  <c r="W1906" i="34"/>
  <c r="X1906" i="34"/>
  <c r="Y1906" i="34"/>
  <c r="Z1906" i="34"/>
  <c r="N1907" i="34"/>
  <c r="O1907" i="34"/>
  <c r="P1907" i="34"/>
  <c r="Q1907" i="34"/>
  <c r="R1907" i="34"/>
  <c r="S1907" i="34"/>
  <c r="T1907" i="34"/>
  <c r="U1907" i="34"/>
  <c r="V1907" i="34"/>
  <c r="W1907" i="34"/>
  <c r="X1907" i="34"/>
  <c r="Y1907" i="34"/>
  <c r="Z1907" i="34"/>
  <c r="N1908" i="34"/>
  <c r="O1908" i="34"/>
  <c r="P1908" i="34"/>
  <c r="Q1908" i="34"/>
  <c r="R1908" i="34"/>
  <c r="S1908" i="34"/>
  <c r="T1908" i="34"/>
  <c r="U1908" i="34"/>
  <c r="V1908" i="34"/>
  <c r="W1908" i="34"/>
  <c r="X1908" i="34"/>
  <c r="Y1908" i="34"/>
  <c r="Z1908" i="34"/>
  <c r="N1909" i="34"/>
  <c r="O1909" i="34"/>
  <c r="P1909" i="34"/>
  <c r="Q1909" i="34"/>
  <c r="R1909" i="34"/>
  <c r="S1909" i="34"/>
  <c r="T1909" i="34"/>
  <c r="U1909" i="34"/>
  <c r="V1909" i="34"/>
  <c r="W1909" i="34"/>
  <c r="X1909" i="34"/>
  <c r="Y1909" i="34"/>
  <c r="Z1909" i="34"/>
  <c r="N1910" i="34"/>
  <c r="O1910" i="34"/>
  <c r="P1910" i="34"/>
  <c r="Q1910" i="34"/>
  <c r="R1910" i="34"/>
  <c r="S1910" i="34"/>
  <c r="T1910" i="34"/>
  <c r="U1910" i="34"/>
  <c r="V1910" i="34"/>
  <c r="W1910" i="34"/>
  <c r="X1910" i="34"/>
  <c r="Y1910" i="34"/>
  <c r="Z1910" i="34"/>
  <c r="N1911" i="34"/>
  <c r="O1911" i="34"/>
  <c r="P1911" i="34"/>
  <c r="Q1911" i="34"/>
  <c r="R1911" i="34"/>
  <c r="S1911" i="34"/>
  <c r="T1911" i="34"/>
  <c r="U1911" i="34"/>
  <c r="V1911" i="34"/>
  <c r="W1911" i="34"/>
  <c r="X1911" i="34"/>
  <c r="Y1911" i="34"/>
  <c r="Z1911" i="34"/>
  <c r="N1912" i="34"/>
  <c r="O1912" i="34"/>
  <c r="P1912" i="34"/>
  <c r="Q1912" i="34"/>
  <c r="R1912" i="34"/>
  <c r="S1912" i="34"/>
  <c r="T1912" i="34"/>
  <c r="U1912" i="34"/>
  <c r="V1912" i="34"/>
  <c r="W1912" i="34"/>
  <c r="X1912" i="34"/>
  <c r="Y1912" i="34"/>
  <c r="Z1912" i="34"/>
  <c r="N1913" i="34"/>
  <c r="O1913" i="34"/>
  <c r="P1913" i="34"/>
  <c r="Q1913" i="34"/>
  <c r="R1913" i="34"/>
  <c r="S1913" i="34"/>
  <c r="T1913" i="34"/>
  <c r="U1913" i="34"/>
  <c r="V1913" i="34"/>
  <c r="W1913" i="34"/>
  <c r="X1913" i="34"/>
  <c r="Y1913" i="34"/>
  <c r="Z1913" i="34"/>
  <c r="N1914" i="34"/>
  <c r="O1914" i="34"/>
  <c r="P1914" i="34"/>
  <c r="Q1914" i="34"/>
  <c r="R1914" i="34"/>
  <c r="S1914" i="34"/>
  <c r="T1914" i="34"/>
  <c r="U1914" i="34"/>
  <c r="V1914" i="34"/>
  <c r="W1914" i="34"/>
  <c r="X1914" i="34"/>
  <c r="Y1914" i="34"/>
  <c r="Z1914" i="34"/>
  <c r="N1915" i="34"/>
  <c r="O1915" i="34"/>
  <c r="P1915" i="34"/>
  <c r="Q1915" i="34"/>
  <c r="R1915" i="34"/>
  <c r="S1915" i="34"/>
  <c r="T1915" i="34"/>
  <c r="U1915" i="34"/>
  <c r="V1915" i="34"/>
  <c r="W1915" i="34"/>
  <c r="X1915" i="34"/>
  <c r="Y1915" i="34"/>
  <c r="Z1915" i="34"/>
  <c r="N1916" i="34"/>
  <c r="O1916" i="34"/>
  <c r="P1916" i="34"/>
  <c r="Q1916" i="34"/>
  <c r="R1916" i="34"/>
  <c r="S1916" i="34"/>
  <c r="T1916" i="34"/>
  <c r="U1916" i="34"/>
  <c r="V1916" i="34"/>
  <c r="W1916" i="34"/>
  <c r="X1916" i="34"/>
  <c r="Y1916" i="34"/>
  <c r="Z1916" i="34"/>
  <c r="N1917" i="34"/>
  <c r="O1917" i="34"/>
  <c r="P1917" i="34"/>
  <c r="Q1917" i="34"/>
  <c r="R1917" i="34"/>
  <c r="S1917" i="34"/>
  <c r="T1917" i="34"/>
  <c r="U1917" i="34"/>
  <c r="V1917" i="34"/>
  <c r="W1917" i="34"/>
  <c r="X1917" i="34"/>
  <c r="Y1917" i="34"/>
  <c r="Z1917" i="34"/>
  <c r="N1918" i="34"/>
  <c r="O1918" i="34"/>
  <c r="P1918" i="34"/>
  <c r="Q1918" i="34"/>
  <c r="R1918" i="34"/>
  <c r="S1918" i="34"/>
  <c r="T1918" i="34"/>
  <c r="U1918" i="34"/>
  <c r="V1918" i="34"/>
  <c r="W1918" i="34"/>
  <c r="X1918" i="34"/>
  <c r="Y1918" i="34"/>
  <c r="Z1918" i="34"/>
  <c r="N1919" i="34"/>
  <c r="O1919" i="34"/>
  <c r="P1919" i="34"/>
  <c r="Q1919" i="34"/>
  <c r="R1919" i="34"/>
  <c r="S1919" i="34"/>
  <c r="T1919" i="34"/>
  <c r="U1919" i="34"/>
  <c r="V1919" i="34"/>
  <c r="W1919" i="34"/>
  <c r="X1919" i="34"/>
  <c r="Y1919" i="34"/>
  <c r="Z1919" i="34"/>
  <c r="N1920" i="34"/>
  <c r="O1920" i="34"/>
  <c r="P1920" i="34"/>
  <c r="Q1920" i="34"/>
  <c r="R1920" i="34"/>
  <c r="S1920" i="34"/>
  <c r="T1920" i="34"/>
  <c r="U1920" i="34"/>
  <c r="V1920" i="34"/>
  <c r="W1920" i="34"/>
  <c r="X1920" i="34"/>
  <c r="Y1920" i="34"/>
  <c r="Z1920" i="34"/>
  <c r="N1921" i="34"/>
  <c r="O1921" i="34"/>
  <c r="P1921" i="34"/>
  <c r="Q1921" i="34"/>
  <c r="R1921" i="34"/>
  <c r="S1921" i="34"/>
  <c r="T1921" i="34"/>
  <c r="U1921" i="34"/>
  <c r="V1921" i="34"/>
  <c r="W1921" i="34"/>
  <c r="X1921" i="34"/>
  <c r="Y1921" i="34"/>
  <c r="Z1921" i="34"/>
  <c r="N1922" i="34"/>
  <c r="O1922" i="34"/>
  <c r="P1922" i="34"/>
  <c r="Q1922" i="34"/>
  <c r="R1922" i="34"/>
  <c r="S1922" i="34"/>
  <c r="T1922" i="34"/>
  <c r="U1922" i="34"/>
  <c r="V1922" i="34"/>
  <c r="W1922" i="34"/>
  <c r="X1922" i="34"/>
  <c r="Y1922" i="34"/>
  <c r="Z1922" i="34"/>
  <c r="N1923" i="34"/>
  <c r="O1923" i="34"/>
  <c r="P1923" i="34"/>
  <c r="Q1923" i="34"/>
  <c r="R1923" i="34"/>
  <c r="S1923" i="34"/>
  <c r="T1923" i="34"/>
  <c r="U1923" i="34"/>
  <c r="V1923" i="34"/>
  <c r="W1923" i="34"/>
  <c r="X1923" i="34"/>
  <c r="Y1923" i="34"/>
  <c r="Z1923" i="34"/>
  <c r="N1924" i="34"/>
  <c r="O1924" i="34"/>
  <c r="P1924" i="34"/>
  <c r="Q1924" i="34"/>
  <c r="R1924" i="34"/>
  <c r="S1924" i="34"/>
  <c r="T1924" i="34"/>
  <c r="U1924" i="34"/>
  <c r="V1924" i="34"/>
  <c r="W1924" i="34"/>
  <c r="X1924" i="34"/>
  <c r="Y1924" i="34"/>
  <c r="Z1924" i="34"/>
  <c r="N1925" i="34"/>
  <c r="O1925" i="34"/>
  <c r="P1925" i="34"/>
  <c r="Q1925" i="34"/>
  <c r="R1925" i="34"/>
  <c r="S1925" i="34"/>
  <c r="T1925" i="34"/>
  <c r="U1925" i="34"/>
  <c r="V1925" i="34"/>
  <c r="W1925" i="34"/>
  <c r="X1925" i="34"/>
  <c r="Y1925" i="34"/>
  <c r="Z1925" i="34"/>
  <c r="N1926" i="34"/>
  <c r="O1926" i="34"/>
  <c r="P1926" i="34"/>
  <c r="Q1926" i="34"/>
  <c r="R1926" i="34"/>
  <c r="S1926" i="34"/>
  <c r="T1926" i="34"/>
  <c r="U1926" i="34"/>
  <c r="V1926" i="34"/>
  <c r="W1926" i="34"/>
  <c r="X1926" i="34"/>
  <c r="Y1926" i="34"/>
  <c r="Z1926" i="34"/>
  <c r="N1927" i="34"/>
  <c r="O1927" i="34"/>
  <c r="P1927" i="34"/>
  <c r="Q1927" i="34"/>
  <c r="R1927" i="34"/>
  <c r="S1927" i="34"/>
  <c r="T1927" i="34"/>
  <c r="U1927" i="34"/>
  <c r="V1927" i="34"/>
  <c r="W1927" i="34"/>
  <c r="X1927" i="34"/>
  <c r="Y1927" i="34"/>
  <c r="Z1927" i="34"/>
  <c r="N1928" i="34"/>
  <c r="O1928" i="34"/>
  <c r="P1928" i="34"/>
  <c r="Q1928" i="34"/>
  <c r="R1928" i="34"/>
  <c r="S1928" i="34"/>
  <c r="T1928" i="34"/>
  <c r="U1928" i="34"/>
  <c r="V1928" i="34"/>
  <c r="W1928" i="34"/>
  <c r="X1928" i="34"/>
  <c r="Y1928" i="34"/>
  <c r="Z1928" i="34"/>
  <c r="N1929" i="34"/>
  <c r="O1929" i="34"/>
  <c r="P1929" i="34"/>
  <c r="Q1929" i="34"/>
  <c r="R1929" i="34"/>
  <c r="S1929" i="34"/>
  <c r="T1929" i="34"/>
  <c r="U1929" i="34"/>
  <c r="V1929" i="34"/>
  <c r="W1929" i="34"/>
  <c r="X1929" i="34"/>
  <c r="Y1929" i="34"/>
  <c r="Z1929" i="34"/>
  <c r="N1930" i="34"/>
  <c r="O1930" i="34"/>
  <c r="P1930" i="34"/>
  <c r="Q1930" i="34"/>
  <c r="R1930" i="34"/>
  <c r="S1930" i="34"/>
  <c r="T1930" i="34"/>
  <c r="U1930" i="34"/>
  <c r="V1930" i="34"/>
  <c r="W1930" i="34"/>
  <c r="X1930" i="34"/>
  <c r="Y1930" i="34"/>
  <c r="Z1930" i="34"/>
  <c r="N1931" i="34"/>
  <c r="O1931" i="34"/>
  <c r="P1931" i="34"/>
  <c r="Q1931" i="34"/>
  <c r="R1931" i="34"/>
  <c r="S1931" i="34"/>
  <c r="T1931" i="34"/>
  <c r="U1931" i="34"/>
  <c r="V1931" i="34"/>
  <c r="W1931" i="34"/>
  <c r="X1931" i="34"/>
  <c r="Y1931" i="34"/>
  <c r="Z1931" i="34"/>
  <c r="N1932" i="34"/>
  <c r="O1932" i="34"/>
  <c r="P1932" i="34"/>
  <c r="Q1932" i="34"/>
  <c r="R1932" i="34"/>
  <c r="S1932" i="34"/>
  <c r="T1932" i="34"/>
  <c r="U1932" i="34"/>
  <c r="V1932" i="34"/>
  <c r="W1932" i="34"/>
  <c r="X1932" i="34"/>
  <c r="Y1932" i="34"/>
  <c r="Z1932" i="34"/>
  <c r="N1933" i="34"/>
  <c r="O1933" i="34"/>
  <c r="P1933" i="34"/>
  <c r="Q1933" i="34"/>
  <c r="R1933" i="34"/>
  <c r="S1933" i="34"/>
  <c r="T1933" i="34"/>
  <c r="U1933" i="34"/>
  <c r="V1933" i="34"/>
  <c r="W1933" i="34"/>
  <c r="X1933" i="34"/>
  <c r="Y1933" i="34"/>
  <c r="Z1933" i="34"/>
  <c r="N1934" i="34"/>
  <c r="O1934" i="34"/>
  <c r="P1934" i="34"/>
  <c r="Q1934" i="34"/>
  <c r="R1934" i="34"/>
  <c r="S1934" i="34"/>
  <c r="T1934" i="34"/>
  <c r="U1934" i="34"/>
  <c r="V1934" i="34"/>
  <c r="W1934" i="34"/>
  <c r="X1934" i="34"/>
  <c r="Y1934" i="34"/>
  <c r="Z1934" i="34"/>
  <c r="N1935" i="34"/>
  <c r="O1935" i="34"/>
  <c r="P1935" i="34"/>
  <c r="Q1935" i="34"/>
  <c r="R1935" i="34"/>
  <c r="S1935" i="34"/>
  <c r="T1935" i="34"/>
  <c r="U1935" i="34"/>
  <c r="V1935" i="34"/>
  <c r="W1935" i="34"/>
  <c r="X1935" i="34"/>
  <c r="Y1935" i="34"/>
  <c r="Z1935" i="34"/>
  <c r="N1936" i="34"/>
  <c r="O1936" i="34"/>
  <c r="P1936" i="34"/>
  <c r="Q1936" i="34"/>
  <c r="R1936" i="34"/>
  <c r="S1936" i="34"/>
  <c r="T1936" i="34"/>
  <c r="U1936" i="34"/>
  <c r="V1936" i="34"/>
  <c r="W1936" i="34"/>
  <c r="X1936" i="34"/>
  <c r="Y1936" i="34"/>
  <c r="Z1936" i="34"/>
  <c r="N1937" i="34"/>
  <c r="O1937" i="34"/>
  <c r="P1937" i="34"/>
  <c r="Q1937" i="34"/>
  <c r="R1937" i="34"/>
  <c r="S1937" i="34"/>
  <c r="T1937" i="34"/>
  <c r="U1937" i="34"/>
  <c r="V1937" i="34"/>
  <c r="W1937" i="34"/>
  <c r="X1937" i="34"/>
  <c r="Y1937" i="34"/>
  <c r="Z1937" i="34"/>
  <c r="N1938" i="34"/>
  <c r="O1938" i="34"/>
  <c r="P1938" i="34"/>
  <c r="Q1938" i="34"/>
  <c r="R1938" i="34"/>
  <c r="S1938" i="34"/>
  <c r="T1938" i="34"/>
  <c r="U1938" i="34"/>
  <c r="V1938" i="34"/>
  <c r="W1938" i="34"/>
  <c r="X1938" i="34"/>
  <c r="Y1938" i="34"/>
  <c r="Z1938" i="34"/>
  <c r="N1939" i="34"/>
  <c r="O1939" i="34"/>
  <c r="P1939" i="34"/>
  <c r="Q1939" i="34"/>
  <c r="R1939" i="34"/>
  <c r="S1939" i="34"/>
  <c r="T1939" i="34"/>
  <c r="U1939" i="34"/>
  <c r="V1939" i="34"/>
  <c r="W1939" i="34"/>
  <c r="X1939" i="34"/>
  <c r="Y1939" i="34"/>
  <c r="Z1939" i="34"/>
  <c r="N1940" i="34"/>
  <c r="O1940" i="34"/>
  <c r="P1940" i="34"/>
  <c r="Q1940" i="34"/>
  <c r="R1940" i="34"/>
  <c r="S1940" i="34"/>
  <c r="T1940" i="34"/>
  <c r="U1940" i="34"/>
  <c r="V1940" i="34"/>
  <c r="W1940" i="34"/>
  <c r="X1940" i="34"/>
  <c r="Y1940" i="34"/>
  <c r="Z1940" i="34"/>
  <c r="N1941" i="34"/>
  <c r="O1941" i="34"/>
  <c r="P1941" i="34"/>
  <c r="Q1941" i="34"/>
  <c r="R1941" i="34"/>
  <c r="S1941" i="34"/>
  <c r="T1941" i="34"/>
  <c r="U1941" i="34"/>
  <c r="V1941" i="34"/>
  <c r="W1941" i="34"/>
  <c r="X1941" i="34"/>
  <c r="Y1941" i="34"/>
  <c r="Z1941" i="34"/>
  <c r="N1942" i="34"/>
  <c r="O1942" i="34"/>
  <c r="P1942" i="34"/>
  <c r="Q1942" i="34"/>
  <c r="R1942" i="34"/>
  <c r="S1942" i="34"/>
  <c r="T1942" i="34"/>
  <c r="U1942" i="34"/>
  <c r="V1942" i="34"/>
  <c r="W1942" i="34"/>
  <c r="X1942" i="34"/>
  <c r="Y1942" i="34"/>
  <c r="Z1942" i="34"/>
  <c r="N1943" i="34"/>
  <c r="O1943" i="34"/>
  <c r="P1943" i="34"/>
  <c r="Q1943" i="34"/>
  <c r="R1943" i="34"/>
  <c r="S1943" i="34"/>
  <c r="T1943" i="34"/>
  <c r="U1943" i="34"/>
  <c r="V1943" i="34"/>
  <c r="W1943" i="34"/>
  <c r="X1943" i="34"/>
  <c r="Y1943" i="34"/>
  <c r="Z1943" i="34"/>
  <c r="N1944" i="34"/>
  <c r="O1944" i="34"/>
  <c r="P1944" i="34"/>
  <c r="Q1944" i="34"/>
  <c r="R1944" i="34"/>
  <c r="S1944" i="34"/>
  <c r="T1944" i="34"/>
  <c r="U1944" i="34"/>
  <c r="V1944" i="34"/>
  <c r="W1944" i="34"/>
  <c r="X1944" i="34"/>
  <c r="Y1944" i="34"/>
  <c r="Z1944" i="34"/>
  <c r="N1945" i="34"/>
  <c r="O1945" i="34"/>
  <c r="P1945" i="34"/>
  <c r="Q1945" i="34"/>
  <c r="R1945" i="34"/>
  <c r="S1945" i="34"/>
  <c r="T1945" i="34"/>
  <c r="U1945" i="34"/>
  <c r="V1945" i="34"/>
  <c r="W1945" i="34"/>
  <c r="X1945" i="34"/>
  <c r="Y1945" i="34"/>
  <c r="Z1945" i="34"/>
  <c r="N1946" i="34"/>
  <c r="O1946" i="34"/>
  <c r="P1946" i="34"/>
  <c r="Q1946" i="34"/>
  <c r="R1946" i="34"/>
  <c r="S1946" i="34"/>
  <c r="T1946" i="34"/>
  <c r="U1946" i="34"/>
  <c r="V1946" i="34"/>
  <c r="W1946" i="34"/>
  <c r="X1946" i="34"/>
  <c r="Y1946" i="34"/>
  <c r="Z1946" i="34"/>
  <c r="N1947" i="34"/>
  <c r="O1947" i="34"/>
  <c r="P1947" i="34"/>
  <c r="Q1947" i="34"/>
  <c r="R1947" i="34"/>
  <c r="S1947" i="34"/>
  <c r="T1947" i="34"/>
  <c r="U1947" i="34"/>
  <c r="V1947" i="34"/>
  <c r="W1947" i="34"/>
  <c r="X1947" i="34"/>
  <c r="Y1947" i="34"/>
  <c r="Z1947" i="34"/>
  <c r="N1948" i="34"/>
  <c r="O1948" i="34"/>
  <c r="P1948" i="34"/>
  <c r="Q1948" i="34"/>
  <c r="R1948" i="34"/>
  <c r="S1948" i="34"/>
  <c r="T1948" i="34"/>
  <c r="U1948" i="34"/>
  <c r="V1948" i="34"/>
  <c r="W1948" i="34"/>
  <c r="X1948" i="34"/>
  <c r="Y1948" i="34"/>
  <c r="Z1948" i="34"/>
  <c r="N1949" i="34"/>
  <c r="O1949" i="34"/>
  <c r="P1949" i="34"/>
  <c r="Q1949" i="34"/>
  <c r="R1949" i="34"/>
  <c r="S1949" i="34"/>
  <c r="T1949" i="34"/>
  <c r="U1949" i="34"/>
  <c r="V1949" i="34"/>
  <c r="W1949" i="34"/>
  <c r="X1949" i="34"/>
  <c r="Y1949" i="34"/>
  <c r="Z1949" i="34"/>
  <c r="N1950" i="34"/>
  <c r="O1950" i="34"/>
  <c r="P1950" i="34"/>
  <c r="Q1950" i="34"/>
  <c r="R1950" i="34"/>
  <c r="S1950" i="34"/>
  <c r="T1950" i="34"/>
  <c r="U1950" i="34"/>
  <c r="V1950" i="34"/>
  <c r="W1950" i="34"/>
  <c r="X1950" i="34"/>
  <c r="Y1950" i="34"/>
  <c r="Z1950" i="34"/>
  <c r="N1951" i="34"/>
  <c r="O1951" i="34"/>
  <c r="P1951" i="34"/>
  <c r="Q1951" i="34"/>
  <c r="R1951" i="34"/>
  <c r="S1951" i="34"/>
  <c r="T1951" i="34"/>
  <c r="U1951" i="34"/>
  <c r="V1951" i="34"/>
  <c r="W1951" i="34"/>
  <c r="X1951" i="34"/>
  <c r="Y1951" i="34"/>
  <c r="Z1951" i="34"/>
  <c r="N1952" i="34"/>
  <c r="O1952" i="34"/>
  <c r="P1952" i="34"/>
  <c r="Q1952" i="34"/>
  <c r="R1952" i="34"/>
  <c r="S1952" i="34"/>
  <c r="T1952" i="34"/>
  <c r="U1952" i="34"/>
  <c r="V1952" i="34"/>
  <c r="W1952" i="34"/>
  <c r="X1952" i="34"/>
  <c r="Y1952" i="34"/>
  <c r="Z1952" i="34"/>
  <c r="N1953" i="34"/>
  <c r="O1953" i="34"/>
  <c r="P1953" i="34"/>
  <c r="Q1953" i="34"/>
  <c r="R1953" i="34"/>
  <c r="S1953" i="34"/>
  <c r="T1953" i="34"/>
  <c r="U1953" i="34"/>
  <c r="V1953" i="34"/>
  <c r="W1953" i="34"/>
  <c r="X1953" i="34"/>
  <c r="Y1953" i="34"/>
  <c r="Z1953" i="34"/>
  <c r="N1954" i="34"/>
  <c r="O1954" i="34"/>
  <c r="P1954" i="34"/>
  <c r="Q1954" i="34"/>
  <c r="R1954" i="34"/>
  <c r="S1954" i="34"/>
  <c r="T1954" i="34"/>
  <c r="U1954" i="34"/>
  <c r="V1954" i="34"/>
  <c r="W1954" i="34"/>
  <c r="X1954" i="34"/>
  <c r="Y1954" i="34"/>
  <c r="Z1954" i="34"/>
  <c r="N1955" i="34"/>
  <c r="O1955" i="34"/>
  <c r="P1955" i="34"/>
  <c r="Q1955" i="34"/>
  <c r="R1955" i="34"/>
  <c r="S1955" i="34"/>
  <c r="T1955" i="34"/>
  <c r="U1955" i="34"/>
  <c r="V1955" i="34"/>
  <c r="W1955" i="34"/>
  <c r="X1955" i="34"/>
  <c r="Y1955" i="34"/>
  <c r="Z1955" i="34"/>
  <c r="N1956" i="34"/>
  <c r="O1956" i="34"/>
  <c r="P1956" i="34"/>
  <c r="Q1956" i="34"/>
  <c r="R1956" i="34"/>
  <c r="S1956" i="34"/>
  <c r="T1956" i="34"/>
  <c r="U1956" i="34"/>
  <c r="V1956" i="34"/>
  <c r="W1956" i="34"/>
  <c r="X1956" i="34"/>
  <c r="Y1956" i="34"/>
  <c r="Z1956" i="34"/>
  <c r="N1957" i="34"/>
  <c r="O1957" i="34"/>
  <c r="P1957" i="34"/>
  <c r="Q1957" i="34"/>
  <c r="R1957" i="34"/>
  <c r="S1957" i="34"/>
  <c r="T1957" i="34"/>
  <c r="U1957" i="34"/>
  <c r="V1957" i="34"/>
  <c r="W1957" i="34"/>
  <c r="X1957" i="34"/>
  <c r="Y1957" i="34"/>
  <c r="Z1957" i="34"/>
  <c r="N1958" i="34"/>
  <c r="O1958" i="34"/>
  <c r="P1958" i="34"/>
  <c r="Q1958" i="34"/>
  <c r="R1958" i="34"/>
  <c r="S1958" i="34"/>
  <c r="T1958" i="34"/>
  <c r="U1958" i="34"/>
  <c r="V1958" i="34"/>
  <c r="W1958" i="34"/>
  <c r="X1958" i="34"/>
  <c r="Y1958" i="34"/>
  <c r="Z1958" i="34"/>
  <c r="N1959" i="34"/>
  <c r="O1959" i="34"/>
  <c r="P1959" i="34"/>
  <c r="Q1959" i="34"/>
  <c r="R1959" i="34"/>
  <c r="S1959" i="34"/>
  <c r="T1959" i="34"/>
  <c r="U1959" i="34"/>
  <c r="V1959" i="34"/>
  <c r="W1959" i="34"/>
  <c r="X1959" i="34"/>
  <c r="Y1959" i="34"/>
  <c r="Z1959" i="34"/>
  <c r="N1960" i="34"/>
  <c r="O1960" i="34"/>
  <c r="P1960" i="34"/>
  <c r="Q1960" i="34"/>
  <c r="R1960" i="34"/>
  <c r="S1960" i="34"/>
  <c r="T1960" i="34"/>
  <c r="U1960" i="34"/>
  <c r="V1960" i="34"/>
  <c r="W1960" i="34"/>
  <c r="X1960" i="34"/>
  <c r="Y1960" i="34"/>
  <c r="Z1960" i="34"/>
  <c r="N1961" i="34"/>
  <c r="O1961" i="34"/>
  <c r="P1961" i="34"/>
  <c r="Q1961" i="34"/>
  <c r="R1961" i="34"/>
  <c r="S1961" i="34"/>
  <c r="T1961" i="34"/>
  <c r="U1961" i="34"/>
  <c r="V1961" i="34"/>
  <c r="W1961" i="34"/>
  <c r="X1961" i="34"/>
  <c r="Y1961" i="34"/>
  <c r="Z1961" i="34"/>
  <c r="N1962" i="34"/>
  <c r="O1962" i="34"/>
  <c r="P1962" i="34"/>
  <c r="Q1962" i="34"/>
  <c r="R1962" i="34"/>
  <c r="S1962" i="34"/>
  <c r="T1962" i="34"/>
  <c r="U1962" i="34"/>
  <c r="V1962" i="34"/>
  <c r="W1962" i="34"/>
  <c r="X1962" i="34"/>
  <c r="Y1962" i="34"/>
  <c r="Z1962" i="34"/>
  <c r="N1963" i="34"/>
  <c r="O1963" i="34"/>
  <c r="P1963" i="34"/>
  <c r="Q1963" i="34"/>
  <c r="R1963" i="34"/>
  <c r="S1963" i="34"/>
  <c r="T1963" i="34"/>
  <c r="U1963" i="34"/>
  <c r="V1963" i="34"/>
  <c r="W1963" i="34"/>
  <c r="X1963" i="34"/>
  <c r="Y1963" i="34"/>
  <c r="Z1963" i="34"/>
  <c r="N1964" i="34"/>
  <c r="O1964" i="34"/>
  <c r="P1964" i="34"/>
  <c r="Q1964" i="34"/>
  <c r="R1964" i="34"/>
  <c r="S1964" i="34"/>
  <c r="T1964" i="34"/>
  <c r="U1964" i="34"/>
  <c r="V1964" i="34"/>
  <c r="W1964" i="34"/>
  <c r="X1964" i="34"/>
  <c r="Y1964" i="34"/>
  <c r="Z1964" i="34"/>
  <c r="N1965" i="34"/>
  <c r="O1965" i="34"/>
  <c r="P1965" i="34"/>
  <c r="Q1965" i="34"/>
  <c r="R1965" i="34"/>
  <c r="S1965" i="34"/>
  <c r="T1965" i="34"/>
  <c r="U1965" i="34"/>
  <c r="V1965" i="34"/>
  <c r="W1965" i="34"/>
  <c r="X1965" i="34"/>
  <c r="Y1965" i="34"/>
  <c r="Z1965" i="34"/>
  <c r="N1966" i="34"/>
  <c r="O1966" i="34"/>
  <c r="P1966" i="34"/>
  <c r="Q1966" i="34"/>
  <c r="R1966" i="34"/>
  <c r="S1966" i="34"/>
  <c r="T1966" i="34"/>
  <c r="U1966" i="34"/>
  <c r="V1966" i="34"/>
  <c r="W1966" i="34"/>
  <c r="X1966" i="34"/>
  <c r="Y1966" i="34"/>
  <c r="Z1966" i="34"/>
  <c r="N1967" i="34"/>
  <c r="O1967" i="34"/>
  <c r="P1967" i="34"/>
  <c r="Q1967" i="34"/>
  <c r="R1967" i="34"/>
  <c r="S1967" i="34"/>
  <c r="T1967" i="34"/>
  <c r="U1967" i="34"/>
  <c r="V1967" i="34"/>
  <c r="W1967" i="34"/>
  <c r="X1967" i="34"/>
  <c r="Y1967" i="34"/>
  <c r="Z1967" i="34"/>
  <c r="N1968" i="34"/>
  <c r="O1968" i="34"/>
  <c r="P1968" i="34"/>
  <c r="Q1968" i="34"/>
  <c r="R1968" i="34"/>
  <c r="S1968" i="34"/>
  <c r="T1968" i="34"/>
  <c r="U1968" i="34"/>
  <c r="V1968" i="34"/>
  <c r="W1968" i="34"/>
  <c r="X1968" i="34"/>
  <c r="Y1968" i="34"/>
  <c r="Z1968" i="34"/>
  <c r="N1969" i="34"/>
  <c r="O1969" i="34"/>
  <c r="P1969" i="34"/>
  <c r="Q1969" i="34"/>
  <c r="R1969" i="34"/>
  <c r="S1969" i="34"/>
  <c r="T1969" i="34"/>
  <c r="U1969" i="34"/>
  <c r="V1969" i="34"/>
  <c r="W1969" i="34"/>
  <c r="X1969" i="34"/>
  <c r="Y1969" i="34"/>
  <c r="Z1969" i="34"/>
  <c r="N1970" i="34"/>
  <c r="O1970" i="34"/>
  <c r="P1970" i="34"/>
  <c r="Q1970" i="34"/>
  <c r="R1970" i="34"/>
  <c r="S1970" i="34"/>
  <c r="T1970" i="34"/>
  <c r="U1970" i="34"/>
  <c r="V1970" i="34"/>
  <c r="W1970" i="34"/>
  <c r="X1970" i="34"/>
  <c r="Y1970" i="34"/>
  <c r="Z1970" i="34"/>
  <c r="N1971" i="34"/>
  <c r="O1971" i="34"/>
  <c r="P1971" i="34"/>
  <c r="Q1971" i="34"/>
  <c r="R1971" i="34"/>
  <c r="S1971" i="34"/>
  <c r="T1971" i="34"/>
  <c r="U1971" i="34"/>
  <c r="V1971" i="34"/>
  <c r="W1971" i="34"/>
  <c r="X1971" i="34"/>
  <c r="Y1971" i="34"/>
  <c r="Z1971" i="34"/>
  <c r="N1972" i="34"/>
  <c r="O1972" i="34"/>
  <c r="P1972" i="34"/>
  <c r="Q1972" i="34"/>
  <c r="R1972" i="34"/>
  <c r="S1972" i="34"/>
  <c r="T1972" i="34"/>
  <c r="U1972" i="34"/>
  <c r="V1972" i="34"/>
  <c r="W1972" i="34"/>
  <c r="X1972" i="34"/>
  <c r="Y1972" i="34"/>
  <c r="Z1972" i="34"/>
  <c r="N1973" i="34"/>
  <c r="O1973" i="34"/>
  <c r="P1973" i="34"/>
  <c r="Q1973" i="34"/>
  <c r="R1973" i="34"/>
  <c r="S1973" i="34"/>
  <c r="T1973" i="34"/>
  <c r="U1973" i="34"/>
  <c r="V1973" i="34"/>
  <c r="W1973" i="34"/>
  <c r="X1973" i="34"/>
  <c r="Y1973" i="34"/>
  <c r="Z1973" i="34"/>
  <c r="N1974" i="34"/>
  <c r="O1974" i="34"/>
  <c r="P1974" i="34"/>
  <c r="Q1974" i="34"/>
  <c r="R1974" i="34"/>
  <c r="S1974" i="34"/>
  <c r="T1974" i="34"/>
  <c r="U1974" i="34"/>
  <c r="V1974" i="34"/>
  <c r="W1974" i="34"/>
  <c r="X1974" i="34"/>
  <c r="Y1974" i="34"/>
  <c r="Z1974" i="34"/>
  <c r="N1975" i="34"/>
  <c r="O1975" i="34"/>
  <c r="P1975" i="34"/>
  <c r="Q1975" i="34"/>
  <c r="R1975" i="34"/>
  <c r="S1975" i="34"/>
  <c r="T1975" i="34"/>
  <c r="U1975" i="34"/>
  <c r="V1975" i="34"/>
  <c r="W1975" i="34"/>
  <c r="X1975" i="34"/>
  <c r="Y1975" i="34"/>
  <c r="Z1975" i="34"/>
  <c r="N1976" i="34"/>
  <c r="O1976" i="34"/>
  <c r="P1976" i="34"/>
  <c r="Q1976" i="34"/>
  <c r="R1976" i="34"/>
  <c r="S1976" i="34"/>
  <c r="T1976" i="34"/>
  <c r="U1976" i="34"/>
  <c r="V1976" i="34"/>
  <c r="W1976" i="34"/>
  <c r="X1976" i="34"/>
  <c r="Y1976" i="34"/>
  <c r="Z1976" i="34"/>
  <c r="N1977" i="34"/>
  <c r="O1977" i="34"/>
  <c r="P1977" i="34"/>
  <c r="Q1977" i="34"/>
  <c r="R1977" i="34"/>
  <c r="S1977" i="34"/>
  <c r="T1977" i="34"/>
  <c r="U1977" i="34"/>
  <c r="V1977" i="34"/>
  <c r="W1977" i="34"/>
  <c r="X1977" i="34"/>
  <c r="Y1977" i="34"/>
  <c r="Z1977" i="34"/>
  <c r="N1978" i="34"/>
  <c r="O1978" i="34"/>
  <c r="P1978" i="34"/>
  <c r="Q1978" i="34"/>
  <c r="R1978" i="34"/>
  <c r="S1978" i="34"/>
  <c r="T1978" i="34"/>
  <c r="U1978" i="34"/>
  <c r="V1978" i="34"/>
  <c r="W1978" i="34"/>
  <c r="X1978" i="34"/>
  <c r="Y1978" i="34"/>
  <c r="Z1978" i="34"/>
  <c r="N1979" i="34"/>
  <c r="O1979" i="34"/>
  <c r="P1979" i="34"/>
  <c r="Q1979" i="34"/>
  <c r="R1979" i="34"/>
  <c r="S1979" i="34"/>
  <c r="T1979" i="34"/>
  <c r="U1979" i="34"/>
  <c r="V1979" i="34"/>
  <c r="W1979" i="34"/>
  <c r="X1979" i="34"/>
  <c r="Y1979" i="34"/>
  <c r="Z1979" i="34"/>
  <c r="N1980" i="34"/>
  <c r="O1980" i="34"/>
  <c r="P1980" i="34"/>
  <c r="Q1980" i="34"/>
  <c r="R1980" i="34"/>
  <c r="S1980" i="34"/>
  <c r="T1980" i="34"/>
  <c r="U1980" i="34"/>
  <c r="V1980" i="34"/>
  <c r="W1980" i="34"/>
  <c r="X1980" i="34"/>
  <c r="Y1980" i="34"/>
  <c r="Z1980" i="34"/>
  <c r="N1981" i="34"/>
  <c r="O1981" i="34"/>
  <c r="P1981" i="34"/>
  <c r="Q1981" i="34"/>
  <c r="R1981" i="34"/>
  <c r="S1981" i="34"/>
  <c r="T1981" i="34"/>
  <c r="U1981" i="34"/>
  <c r="V1981" i="34"/>
  <c r="W1981" i="34"/>
  <c r="X1981" i="34"/>
  <c r="Y1981" i="34"/>
  <c r="Z1981" i="34"/>
  <c r="N1982" i="34"/>
  <c r="O1982" i="34"/>
  <c r="P1982" i="34"/>
  <c r="Q1982" i="34"/>
  <c r="R1982" i="34"/>
  <c r="S1982" i="34"/>
  <c r="T1982" i="34"/>
  <c r="U1982" i="34"/>
  <c r="V1982" i="34"/>
  <c r="W1982" i="34"/>
  <c r="X1982" i="34"/>
  <c r="Y1982" i="34"/>
  <c r="Z1982" i="34"/>
  <c r="N1983" i="34"/>
  <c r="O1983" i="34"/>
  <c r="P1983" i="34"/>
  <c r="Q1983" i="34"/>
  <c r="R1983" i="34"/>
  <c r="S1983" i="34"/>
  <c r="T1983" i="34"/>
  <c r="U1983" i="34"/>
  <c r="V1983" i="34"/>
  <c r="W1983" i="34"/>
  <c r="X1983" i="34"/>
  <c r="Y1983" i="34"/>
  <c r="Z1983" i="34"/>
  <c r="N1984" i="34"/>
  <c r="O1984" i="34"/>
  <c r="P1984" i="34"/>
  <c r="Q1984" i="34"/>
  <c r="R1984" i="34"/>
  <c r="S1984" i="34"/>
  <c r="T1984" i="34"/>
  <c r="U1984" i="34"/>
  <c r="V1984" i="34"/>
  <c r="W1984" i="34"/>
  <c r="X1984" i="34"/>
  <c r="Y1984" i="34"/>
  <c r="Z1984" i="34"/>
  <c r="N1985" i="34"/>
  <c r="O1985" i="34"/>
  <c r="P1985" i="34"/>
  <c r="Q1985" i="34"/>
  <c r="R1985" i="34"/>
  <c r="S1985" i="34"/>
  <c r="T1985" i="34"/>
  <c r="U1985" i="34"/>
  <c r="V1985" i="34"/>
  <c r="W1985" i="34"/>
  <c r="X1985" i="34"/>
  <c r="Y1985" i="34"/>
  <c r="Z1985" i="34"/>
  <c r="N1986" i="34"/>
  <c r="O1986" i="34"/>
  <c r="P1986" i="34"/>
  <c r="Q1986" i="34"/>
  <c r="R1986" i="34"/>
  <c r="S1986" i="34"/>
  <c r="T1986" i="34"/>
  <c r="U1986" i="34"/>
  <c r="V1986" i="34"/>
  <c r="W1986" i="34"/>
  <c r="X1986" i="34"/>
  <c r="Y1986" i="34"/>
  <c r="Z1986" i="34"/>
  <c r="N1987" i="34"/>
  <c r="O1987" i="34"/>
  <c r="P1987" i="34"/>
  <c r="Q1987" i="34"/>
  <c r="R1987" i="34"/>
  <c r="S1987" i="34"/>
  <c r="T1987" i="34"/>
  <c r="U1987" i="34"/>
  <c r="V1987" i="34"/>
  <c r="W1987" i="34"/>
  <c r="X1987" i="34"/>
  <c r="Y1987" i="34"/>
  <c r="Z1987" i="34"/>
  <c r="N1988" i="34"/>
  <c r="O1988" i="34"/>
  <c r="P1988" i="34"/>
  <c r="Q1988" i="34"/>
  <c r="R1988" i="34"/>
  <c r="S1988" i="34"/>
  <c r="T1988" i="34"/>
  <c r="U1988" i="34"/>
  <c r="V1988" i="34"/>
  <c r="W1988" i="34"/>
  <c r="X1988" i="34"/>
  <c r="Y1988" i="34"/>
  <c r="Z1988" i="34"/>
  <c r="N1989" i="34"/>
  <c r="O1989" i="34"/>
  <c r="P1989" i="34"/>
  <c r="Q1989" i="34"/>
  <c r="R1989" i="34"/>
  <c r="S1989" i="34"/>
  <c r="T1989" i="34"/>
  <c r="U1989" i="34"/>
  <c r="V1989" i="34"/>
  <c r="W1989" i="34"/>
  <c r="X1989" i="34"/>
  <c r="Y1989" i="34"/>
  <c r="Z1989" i="34"/>
  <c r="N1990" i="34"/>
  <c r="O1990" i="34"/>
  <c r="P1990" i="34"/>
  <c r="Q1990" i="34"/>
  <c r="R1990" i="34"/>
  <c r="S1990" i="34"/>
  <c r="T1990" i="34"/>
  <c r="U1990" i="34"/>
  <c r="V1990" i="34"/>
  <c r="W1990" i="34"/>
  <c r="X1990" i="34"/>
  <c r="Y1990" i="34"/>
  <c r="Z1990" i="34"/>
  <c r="N1991" i="34"/>
  <c r="O1991" i="34"/>
  <c r="P1991" i="34"/>
  <c r="Q1991" i="34"/>
  <c r="R1991" i="34"/>
  <c r="S1991" i="34"/>
  <c r="T1991" i="34"/>
  <c r="U1991" i="34"/>
  <c r="V1991" i="34"/>
  <c r="W1991" i="34"/>
  <c r="X1991" i="34"/>
  <c r="Y1991" i="34"/>
  <c r="Z1991" i="34"/>
  <c r="N1992" i="34"/>
  <c r="O1992" i="34"/>
  <c r="P1992" i="34"/>
  <c r="Q1992" i="34"/>
  <c r="R1992" i="34"/>
  <c r="S1992" i="34"/>
  <c r="T1992" i="34"/>
  <c r="U1992" i="34"/>
  <c r="V1992" i="34"/>
  <c r="W1992" i="34"/>
  <c r="X1992" i="34"/>
  <c r="Y1992" i="34"/>
  <c r="Z1992" i="34"/>
  <c r="N1993" i="34"/>
  <c r="O1993" i="34"/>
  <c r="P1993" i="34"/>
  <c r="Q1993" i="34"/>
  <c r="R1993" i="34"/>
  <c r="S1993" i="34"/>
  <c r="T1993" i="34"/>
  <c r="U1993" i="34"/>
  <c r="V1993" i="34"/>
  <c r="W1993" i="34"/>
  <c r="X1993" i="34"/>
  <c r="Y1993" i="34"/>
  <c r="Z1993" i="34"/>
  <c r="N1994" i="34"/>
  <c r="O1994" i="34"/>
  <c r="P1994" i="34"/>
  <c r="Q1994" i="34"/>
  <c r="R1994" i="34"/>
  <c r="S1994" i="34"/>
  <c r="T1994" i="34"/>
  <c r="U1994" i="34"/>
  <c r="V1994" i="34"/>
  <c r="W1994" i="34"/>
  <c r="X1994" i="34"/>
  <c r="Y1994" i="34"/>
  <c r="Z1994" i="34"/>
  <c r="N1995" i="34"/>
  <c r="O1995" i="34"/>
  <c r="P1995" i="34"/>
  <c r="Q1995" i="34"/>
  <c r="R1995" i="34"/>
  <c r="S1995" i="34"/>
  <c r="T1995" i="34"/>
  <c r="U1995" i="34"/>
  <c r="V1995" i="34"/>
  <c r="W1995" i="34"/>
  <c r="X1995" i="34"/>
  <c r="Y1995" i="34"/>
  <c r="Z1995" i="34"/>
  <c r="N1996" i="34"/>
  <c r="O1996" i="34"/>
  <c r="P1996" i="34"/>
  <c r="Q1996" i="34"/>
  <c r="R1996" i="34"/>
  <c r="S1996" i="34"/>
  <c r="T1996" i="34"/>
  <c r="U1996" i="34"/>
  <c r="V1996" i="34"/>
  <c r="W1996" i="34"/>
  <c r="X1996" i="34"/>
  <c r="Y1996" i="34"/>
  <c r="Z1996" i="34"/>
  <c r="N1997" i="34"/>
  <c r="O1997" i="34"/>
  <c r="P1997" i="34"/>
  <c r="Q1997" i="34"/>
  <c r="R1997" i="34"/>
  <c r="S1997" i="34"/>
  <c r="T1997" i="34"/>
  <c r="U1997" i="34"/>
  <c r="V1997" i="34"/>
  <c r="W1997" i="34"/>
  <c r="X1997" i="34"/>
  <c r="Y1997" i="34"/>
  <c r="Z1997" i="34"/>
  <c r="N1998" i="34"/>
  <c r="O1998" i="34"/>
  <c r="P1998" i="34"/>
  <c r="Q1998" i="34"/>
  <c r="R1998" i="34"/>
  <c r="S1998" i="34"/>
  <c r="T1998" i="34"/>
  <c r="U1998" i="34"/>
  <c r="V1998" i="34"/>
  <c r="W1998" i="34"/>
  <c r="X1998" i="34"/>
  <c r="Y1998" i="34"/>
  <c r="Z1998" i="34"/>
  <c r="N1999" i="34"/>
  <c r="O1999" i="34"/>
  <c r="P1999" i="34"/>
  <c r="Q1999" i="34"/>
  <c r="R1999" i="34"/>
  <c r="S1999" i="34"/>
  <c r="T1999" i="34"/>
  <c r="U1999" i="34"/>
  <c r="V1999" i="34"/>
  <c r="W1999" i="34"/>
  <c r="X1999" i="34"/>
  <c r="Y1999" i="34"/>
  <c r="Z1999" i="34"/>
  <c r="N2000" i="34"/>
  <c r="O2000" i="34"/>
  <c r="P2000" i="34"/>
  <c r="Q2000" i="34"/>
  <c r="R2000" i="34"/>
  <c r="S2000" i="34"/>
  <c r="T2000" i="34"/>
  <c r="U2000" i="34"/>
  <c r="V2000" i="34"/>
  <c r="W2000" i="34"/>
  <c r="X2000" i="34"/>
  <c r="Y2000" i="34"/>
  <c r="Z2000" i="34"/>
  <c r="N2001" i="34"/>
  <c r="O2001" i="34"/>
  <c r="P2001" i="34"/>
  <c r="Q2001" i="34"/>
  <c r="R2001" i="34"/>
  <c r="S2001" i="34"/>
  <c r="T2001" i="34"/>
  <c r="U2001" i="34"/>
  <c r="V2001" i="34"/>
  <c r="W2001" i="34"/>
  <c r="X2001" i="34"/>
  <c r="Y2001" i="34"/>
  <c r="Z2001" i="34"/>
  <c r="N2002" i="34"/>
  <c r="O2002" i="34"/>
  <c r="P2002" i="34"/>
  <c r="Q2002" i="34"/>
  <c r="R2002" i="34"/>
  <c r="S2002" i="34"/>
  <c r="T2002" i="34"/>
  <c r="U2002" i="34"/>
  <c r="V2002" i="34"/>
  <c r="W2002" i="34"/>
  <c r="X2002" i="34"/>
  <c r="Y2002" i="34"/>
  <c r="Z2002" i="34"/>
  <c r="N2003" i="34"/>
  <c r="O2003" i="34"/>
  <c r="P2003" i="34"/>
  <c r="Q2003" i="34"/>
  <c r="R2003" i="34"/>
  <c r="S2003" i="34"/>
  <c r="T2003" i="34"/>
  <c r="U2003" i="34"/>
  <c r="V2003" i="34"/>
  <c r="W2003" i="34"/>
  <c r="X2003" i="34"/>
  <c r="Y2003" i="34"/>
  <c r="Z2003" i="34"/>
  <c r="N2004" i="34"/>
  <c r="O2004" i="34"/>
  <c r="P2004" i="34"/>
  <c r="Q2004" i="34"/>
  <c r="R2004" i="34"/>
  <c r="S2004" i="34"/>
  <c r="T2004" i="34"/>
  <c r="U2004" i="34"/>
  <c r="V2004" i="34"/>
  <c r="W2004" i="34"/>
  <c r="X2004" i="34"/>
  <c r="Y2004" i="34"/>
  <c r="Z2004" i="34"/>
  <c r="N2005" i="34"/>
  <c r="O2005" i="34"/>
  <c r="P2005" i="34"/>
  <c r="Q2005" i="34"/>
  <c r="R2005" i="34"/>
  <c r="S2005" i="34"/>
  <c r="T2005" i="34"/>
  <c r="U2005" i="34"/>
  <c r="V2005" i="34"/>
  <c r="W2005" i="34"/>
  <c r="X2005" i="34"/>
  <c r="Y2005" i="34"/>
  <c r="Z2005" i="34"/>
  <c r="N2006" i="34"/>
  <c r="O2006" i="34"/>
  <c r="P2006" i="34"/>
  <c r="Q2006" i="34"/>
  <c r="R2006" i="34"/>
  <c r="S2006" i="34"/>
  <c r="T2006" i="34"/>
  <c r="U2006" i="34"/>
  <c r="V2006" i="34"/>
  <c r="W2006" i="34"/>
  <c r="X2006" i="34"/>
  <c r="Y2006" i="34"/>
  <c r="Z2006" i="34"/>
  <c r="N2007" i="34"/>
  <c r="O2007" i="34"/>
  <c r="P2007" i="34"/>
  <c r="Q2007" i="34"/>
  <c r="R2007" i="34"/>
  <c r="S2007" i="34"/>
  <c r="T2007" i="34"/>
  <c r="U2007" i="34"/>
  <c r="V2007" i="34"/>
  <c r="W2007" i="34"/>
  <c r="X2007" i="34"/>
  <c r="Y2007" i="34"/>
  <c r="Z2007" i="34"/>
  <c r="N2008" i="34"/>
  <c r="O2008" i="34"/>
  <c r="P2008" i="34"/>
  <c r="Q2008" i="34"/>
  <c r="R2008" i="34"/>
  <c r="S2008" i="34"/>
  <c r="T2008" i="34"/>
  <c r="U2008" i="34"/>
  <c r="V2008" i="34"/>
  <c r="W2008" i="34"/>
  <c r="X2008" i="34"/>
  <c r="Y2008" i="34"/>
  <c r="Z2008" i="34"/>
  <c r="N2009" i="34"/>
  <c r="O2009" i="34"/>
  <c r="P2009" i="34"/>
  <c r="Q2009" i="34"/>
  <c r="R2009" i="34"/>
  <c r="S2009" i="34"/>
  <c r="T2009" i="34"/>
  <c r="U2009" i="34"/>
  <c r="V2009" i="34"/>
  <c r="W2009" i="34"/>
  <c r="X2009" i="34"/>
  <c r="Y2009" i="34"/>
  <c r="Z2009" i="34"/>
  <c r="N2010" i="34"/>
  <c r="O2010" i="34"/>
  <c r="P2010" i="34"/>
  <c r="Q2010" i="34"/>
  <c r="R2010" i="34"/>
  <c r="S2010" i="34"/>
  <c r="T2010" i="34"/>
  <c r="U2010" i="34"/>
  <c r="V2010" i="34"/>
  <c r="W2010" i="34"/>
  <c r="X2010" i="34"/>
  <c r="Y2010" i="34"/>
  <c r="Z2010" i="34"/>
  <c r="N2011" i="34"/>
  <c r="O2011" i="34"/>
  <c r="P2011" i="34"/>
  <c r="Q2011" i="34"/>
  <c r="R2011" i="34"/>
  <c r="S2011" i="34"/>
  <c r="T2011" i="34"/>
  <c r="U2011" i="34"/>
  <c r="V2011" i="34"/>
  <c r="W2011" i="34"/>
  <c r="X2011" i="34"/>
  <c r="Y2011" i="34"/>
  <c r="Z2011" i="34"/>
  <c r="N2012" i="34"/>
  <c r="O2012" i="34"/>
  <c r="P2012" i="34"/>
  <c r="Q2012" i="34"/>
  <c r="R2012" i="34"/>
  <c r="S2012" i="34"/>
  <c r="T2012" i="34"/>
  <c r="U2012" i="34"/>
  <c r="V2012" i="34"/>
  <c r="W2012" i="34"/>
  <c r="X2012" i="34"/>
  <c r="Y2012" i="34"/>
  <c r="Z2012" i="34"/>
  <c r="N2013" i="34"/>
  <c r="O2013" i="34"/>
  <c r="P2013" i="34"/>
  <c r="Q2013" i="34"/>
  <c r="R2013" i="34"/>
  <c r="S2013" i="34"/>
  <c r="T2013" i="34"/>
  <c r="U2013" i="34"/>
  <c r="V2013" i="34"/>
  <c r="W2013" i="34"/>
  <c r="X2013" i="34"/>
  <c r="Y2013" i="34"/>
  <c r="Z2013" i="34"/>
  <c r="N2014" i="34"/>
  <c r="O2014" i="34"/>
  <c r="P2014" i="34"/>
  <c r="Q2014" i="34"/>
  <c r="R2014" i="34"/>
  <c r="S2014" i="34"/>
  <c r="T2014" i="34"/>
  <c r="U2014" i="34"/>
  <c r="V2014" i="34"/>
  <c r="W2014" i="34"/>
  <c r="X2014" i="34"/>
  <c r="Y2014" i="34"/>
  <c r="Z2014" i="34"/>
  <c r="N2015" i="34"/>
  <c r="O2015" i="34"/>
  <c r="P2015" i="34"/>
  <c r="Q2015" i="34"/>
  <c r="R2015" i="34"/>
  <c r="S2015" i="34"/>
  <c r="T2015" i="34"/>
  <c r="U2015" i="34"/>
  <c r="V2015" i="34"/>
  <c r="W2015" i="34"/>
  <c r="X2015" i="34"/>
  <c r="Y2015" i="34"/>
  <c r="Z2015" i="34"/>
  <c r="N2016" i="34"/>
  <c r="O2016" i="34"/>
  <c r="P2016" i="34"/>
  <c r="Q2016" i="34"/>
  <c r="R2016" i="34"/>
  <c r="S2016" i="34"/>
  <c r="T2016" i="34"/>
  <c r="U2016" i="34"/>
  <c r="V2016" i="34"/>
  <c r="W2016" i="34"/>
  <c r="X2016" i="34"/>
  <c r="Y2016" i="34"/>
  <c r="Z2016" i="34"/>
  <c r="N2017" i="34"/>
  <c r="O2017" i="34"/>
  <c r="P2017" i="34"/>
  <c r="Q2017" i="34"/>
  <c r="R2017" i="34"/>
  <c r="S2017" i="34"/>
  <c r="T2017" i="34"/>
  <c r="U2017" i="34"/>
  <c r="V2017" i="34"/>
  <c r="W2017" i="34"/>
  <c r="X2017" i="34"/>
  <c r="Y2017" i="34"/>
  <c r="Z2017" i="34"/>
  <c r="N2018" i="34"/>
  <c r="O2018" i="34"/>
  <c r="P2018" i="34"/>
  <c r="Q2018" i="34"/>
  <c r="R2018" i="34"/>
  <c r="S2018" i="34"/>
  <c r="T2018" i="34"/>
  <c r="U2018" i="34"/>
  <c r="V2018" i="34"/>
  <c r="W2018" i="34"/>
  <c r="X2018" i="34"/>
  <c r="Y2018" i="34"/>
  <c r="Z2018" i="34"/>
  <c r="N2019" i="34"/>
  <c r="O2019" i="34"/>
  <c r="P2019" i="34"/>
  <c r="Q2019" i="34"/>
  <c r="R2019" i="34"/>
  <c r="S2019" i="34"/>
  <c r="T2019" i="34"/>
  <c r="U2019" i="34"/>
  <c r="V2019" i="34"/>
  <c r="W2019" i="34"/>
  <c r="X2019" i="34"/>
  <c r="Y2019" i="34"/>
  <c r="Z2019" i="34"/>
  <c r="N2020" i="34"/>
  <c r="O2020" i="34"/>
  <c r="P2020" i="34"/>
  <c r="Q2020" i="34"/>
  <c r="R2020" i="34"/>
  <c r="S2020" i="34"/>
  <c r="T2020" i="34"/>
  <c r="U2020" i="34"/>
  <c r="V2020" i="34"/>
  <c r="W2020" i="34"/>
  <c r="X2020" i="34"/>
  <c r="Y2020" i="34"/>
  <c r="Z2020" i="34"/>
  <c r="N2021" i="34"/>
  <c r="O2021" i="34"/>
  <c r="P2021" i="34"/>
  <c r="Q2021" i="34"/>
  <c r="R2021" i="34"/>
  <c r="S2021" i="34"/>
  <c r="T2021" i="34"/>
  <c r="U2021" i="34"/>
  <c r="V2021" i="34"/>
  <c r="W2021" i="34"/>
  <c r="X2021" i="34"/>
  <c r="Y2021" i="34"/>
  <c r="Z2021" i="34"/>
  <c r="N2022" i="34"/>
  <c r="O2022" i="34"/>
  <c r="P2022" i="34"/>
  <c r="Q2022" i="34"/>
  <c r="R2022" i="34"/>
  <c r="S2022" i="34"/>
  <c r="T2022" i="34"/>
  <c r="U2022" i="34"/>
  <c r="V2022" i="34"/>
  <c r="W2022" i="34"/>
  <c r="X2022" i="34"/>
  <c r="Y2022" i="34"/>
  <c r="Z2022" i="34"/>
  <c r="N2023" i="34"/>
  <c r="O2023" i="34"/>
  <c r="P2023" i="34"/>
  <c r="Q2023" i="34"/>
  <c r="R2023" i="34"/>
  <c r="S2023" i="34"/>
  <c r="T2023" i="34"/>
  <c r="U2023" i="34"/>
  <c r="V2023" i="34"/>
  <c r="W2023" i="34"/>
  <c r="X2023" i="34"/>
  <c r="Y2023" i="34"/>
  <c r="Z2023" i="34"/>
  <c r="N2024" i="34"/>
  <c r="O2024" i="34"/>
  <c r="P2024" i="34"/>
  <c r="Q2024" i="34"/>
  <c r="R2024" i="34"/>
  <c r="S2024" i="34"/>
  <c r="T2024" i="34"/>
  <c r="U2024" i="34"/>
  <c r="V2024" i="34"/>
  <c r="W2024" i="34"/>
  <c r="X2024" i="34"/>
  <c r="Y2024" i="34"/>
  <c r="Z2024" i="34"/>
  <c r="N2025" i="34"/>
  <c r="O2025" i="34"/>
  <c r="P2025" i="34"/>
  <c r="Q2025" i="34"/>
  <c r="R2025" i="34"/>
  <c r="S2025" i="34"/>
  <c r="T2025" i="34"/>
  <c r="U2025" i="34"/>
  <c r="V2025" i="34"/>
  <c r="W2025" i="34"/>
  <c r="X2025" i="34"/>
  <c r="Y2025" i="34"/>
  <c r="Z2025" i="34"/>
  <c r="N2026" i="34"/>
  <c r="O2026" i="34"/>
  <c r="P2026" i="34"/>
  <c r="Q2026" i="34"/>
  <c r="R2026" i="34"/>
  <c r="S2026" i="34"/>
  <c r="T2026" i="34"/>
  <c r="U2026" i="34"/>
  <c r="V2026" i="34"/>
  <c r="W2026" i="34"/>
  <c r="X2026" i="34"/>
  <c r="Y2026" i="34"/>
  <c r="Z2026" i="34"/>
  <c r="N2027" i="34"/>
  <c r="O2027" i="34"/>
  <c r="P2027" i="34"/>
  <c r="Q2027" i="34"/>
  <c r="R2027" i="34"/>
  <c r="S2027" i="34"/>
  <c r="T2027" i="34"/>
  <c r="U2027" i="34"/>
  <c r="V2027" i="34"/>
  <c r="W2027" i="34"/>
  <c r="X2027" i="34"/>
  <c r="Y2027" i="34"/>
  <c r="Z2027" i="34"/>
  <c r="N2028" i="34"/>
  <c r="O2028" i="34"/>
  <c r="P2028" i="34"/>
  <c r="Q2028" i="34"/>
  <c r="R2028" i="34"/>
  <c r="S2028" i="34"/>
  <c r="T2028" i="34"/>
  <c r="U2028" i="34"/>
  <c r="V2028" i="34"/>
  <c r="W2028" i="34"/>
  <c r="X2028" i="34"/>
  <c r="Y2028" i="34"/>
  <c r="Z2028" i="34"/>
  <c r="N2029" i="34"/>
  <c r="O2029" i="34"/>
  <c r="P2029" i="34"/>
  <c r="Q2029" i="34"/>
  <c r="R2029" i="34"/>
  <c r="S2029" i="34"/>
  <c r="T2029" i="34"/>
  <c r="U2029" i="34"/>
  <c r="V2029" i="34"/>
  <c r="W2029" i="34"/>
  <c r="X2029" i="34"/>
  <c r="Y2029" i="34"/>
  <c r="Z2029" i="34"/>
  <c r="N2030" i="34"/>
  <c r="O2030" i="34"/>
  <c r="P2030" i="34"/>
  <c r="Q2030" i="34"/>
  <c r="R2030" i="34"/>
  <c r="S2030" i="34"/>
  <c r="T2030" i="34"/>
  <c r="U2030" i="34"/>
  <c r="V2030" i="34"/>
  <c r="W2030" i="34"/>
  <c r="X2030" i="34"/>
  <c r="Y2030" i="34"/>
  <c r="Z2030" i="34"/>
  <c r="N2031" i="34"/>
  <c r="O2031" i="34"/>
  <c r="P2031" i="34"/>
  <c r="Q2031" i="34"/>
  <c r="R2031" i="34"/>
  <c r="S2031" i="34"/>
  <c r="T2031" i="34"/>
  <c r="U2031" i="34"/>
  <c r="V2031" i="34"/>
  <c r="W2031" i="34"/>
  <c r="X2031" i="34"/>
  <c r="Y2031" i="34"/>
  <c r="Z2031" i="34"/>
  <c r="N2032" i="34"/>
  <c r="O2032" i="34"/>
  <c r="P2032" i="34"/>
  <c r="Q2032" i="34"/>
  <c r="R2032" i="34"/>
  <c r="S2032" i="34"/>
  <c r="T2032" i="34"/>
  <c r="U2032" i="34"/>
  <c r="V2032" i="34"/>
  <c r="W2032" i="34"/>
  <c r="X2032" i="34"/>
  <c r="Y2032" i="34"/>
  <c r="Z2032" i="34"/>
  <c r="N2033" i="34"/>
  <c r="O2033" i="34"/>
  <c r="P2033" i="34"/>
  <c r="Q2033" i="34"/>
  <c r="R2033" i="34"/>
  <c r="S2033" i="34"/>
  <c r="T2033" i="34"/>
  <c r="U2033" i="34"/>
  <c r="V2033" i="34"/>
  <c r="W2033" i="34"/>
  <c r="X2033" i="34"/>
  <c r="Y2033" i="34"/>
  <c r="Z2033" i="34"/>
  <c r="N2034" i="34"/>
  <c r="O2034" i="34"/>
  <c r="P2034" i="34"/>
  <c r="Q2034" i="34"/>
  <c r="R2034" i="34"/>
  <c r="S2034" i="34"/>
  <c r="T2034" i="34"/>
  <c r="U2034" i="34"/>
  <c r="V2034" i="34"/>
  <c r="W2034" i="34"/>
  <c r="X2034" i="34"/>
  <c r="Y2034" i="34"/>
  <c r="Z2034" i="34"/>
  <c r="N2035" i="34"/>
  <c r="O2035" i="34"/>
  <c r="P2035" i="34"/>
  <c r="Q2035" i="34"/>
  <c r="R2035" i="34"/>
  <c r="S2035" i="34"/>
  <c r="T2035" i="34"/>
  <c r="U2035" i="34"/>
  <c r="V2035" i="34"/>
  <c r="W2035" i="34"/>
  <c r="X2035" i="34"/>
  <c r="Y2035" i="34"/>
  <c r="Z2035" i="34"/>
  <c r="N2036" i="34"/>
  <c r="O2036" i="34"/>
  <c r="P2036" i="34"/>
  <c r="Q2036" i="34"/>
  <c r="R2036" i="34"/>
  <c r="S2036" i="34"/>
  <c r="T2036" i="34"/>
  <c r="U2036" i="34"/>
  <c r="V2036" i="34"/>
  <c r="W2036" i="34"/>
  <c r="X2036" i="34"/>
  <c r="Y2036" i="34"/>
  <c r="Z2036" i="34"/>
  <c r="N2037" i="34"/>
  <c r="O2037" i="34"/>
  <c r="P2037" i="34"/>
  <c r="Q2037" i="34"/>
  <c r="R2037" i="34"/>
  <c r="S2037" i="34"/>
  <c r="T2037" i="34"/>
  <c r="U2037" i="34"/>
  <c r="V2037" i="34"/>
  <c r="W2037" i="34"/>
  <c r="X2037" i="34"/>
  <c r="Y2037" i="34"/>
  <c r="Z2037" i="34"/>
  <c r="N2038" i="34"/>
  <c r="O2038" i="34"/>
  <c r="P2038" i="34"/>
  <c r="Q2038" i="34"/>
  <c r="R2038" i="34"/>
  <c r="S2038" i="34"/>
  <c r="T2038" i="34"/>
  <c r="U2038" i="34"/>
  <c r="V2038" i="34"/>
  <c r="W2038" i="34"/>
  <c r="X2038" i="34"/>
  <c r="Y2038" i="34"/>
  <c r="Z2038" i="34"/>
  <c r="N2039" i="34"/>
  <c r="O2039" i="34"/>
  <c r="P2039" i="34"/>
  <c r="Q2039" i="34"/>
  <c r="R2039" i="34"/>
  <c r="S2039" i="34"/>
  <c r="T2039" i="34"/>
  <c r="U2039" i="34"/>
  <c r="V2039" i="34"/>
  <c r="W2039" i="34"/>
  <c r="X2039" i="34"/>
  <c r="Y2039" i="34"/>
  <c r="Z2039" i="34"/>
  <c r="N2040" i="34"/>
  <c r="O2040" i="34"/>
  <c r="P2040" i="34"/>
  <c r="Q2040" i="34"/>
  <c r="R2040" i="34"/>
  <c r="S2040" i="34"/>
  <c r="T2040" i="34"/>
  <c r="U2040" i="34"/>
  <c r="V2040" i="34"/>
  <c r="W2040" i="34"/>
  <c r="X2040" i="34"/>
  <c r="Y2040" i="34"/>
  <c r="Z2040" i="34"/>
  <c r="N2041" i="34"/>
  <c r="O2041" i="34"/>
  <c r="P2041" i="34"/>
  <c r="Q2041" i="34"/>
  <c r="R2041" i="34"/>
  <c r="S2041" i="34"/>
  <c r="T2041" i="34"/>
  <c r="U2041" i="34"/>
  <c r="V2041" i="34"/>
  <c r="W2041" i="34"/>
  <c r="X2041" i="34"/>
  <c r="Y2041" i="34"/>
  <c r="Z2041" i="34"/>
  <c r="N2042" i="34"/>
  <c r="O2042" i="34"/>
  <c r="P2042" i="34"/>
  <c r="Q2042" i="34"/>
  <c r="R2042" i="34"/>
  <c r="S2042" i="34"/>
  <c r="T2042" i="34"/>
  <c r="U2042" i="34"/>
  <c r="V2042" i="34"/>
  <c r="W2042" i="34"/>
  <c r="X2042" i="34"/>
  <c r="Y2042" i="34"/>
  <c r="Z2042" i="34"/>
  <c r="N2043" i="34"/>
  <c r="O2043" i="34"/>
  <c r="P2043" i="34"/>
  <c r="Q2043" i="34"/>
  <c r="R2043" i="34"/>
  <c r="S2043" i="34"/>
  <c r="T2043" i="34"/>
  <c r="U2043" i="34"/>
  <c r="V2043" i="34"/>
  <c r="W2043" i="34"/>
  <c r="X2043" i="34"/>
  <c r="Y2043" i="34"/>
  <c r="Z2043" i="34"/>
  <c r="N2044" i="34"/>
  <c r="O2044" i="34"/>
  <c r="P2044" i="34"/>
  <c r="Q2044" i="34"/>
  <c r="R2044" i="34"/>
  <c r="S2044" i="34"/>
  <c r="T2044" i="34"/>
  <c r="U2044" i="34"/>
  <c r="V2044" i="34"/>
  <c r="W2044" i="34"/>
  <c r="X2044" i="34"/>
  <c r="Y2044" i="34"/>
  <c r="Z2044" i="34"/>
  <c r="N2045" i="34"/>
  <c r="O2045" i="34"/>
  <c r="P2045" i="34"/>
  <c r="Q2045" i="34"/>
  <c r="R2045" i="34"/>
  <c r="S2045" i="34"/>
  <c r="T2045" i="34"/>
  <c r="U2045" i="34"/>
  <c r="V2045" i="34"/>
  <c r="W2045" i="34"/>
  <c r="X2045" i="34"/>
  <c r="Y2045" i="34"/>
  <c r="Z2045" i="34"/>
  <c r="N2046" i="34"/>
  <c r="O2046" i="34"/>
  <c r="P2046" i="34"/>
  <c r="Q2046" i="34"/>
  <c r="R2046" i="34"/>
  <c r="S2046" i="34"/>
  <c r="T2046" i="34"/>
  <c r="U2046" i="34"/>
  <c r="V2046" i="34"/>
  <c r="W2046" i="34"/>
  <c r="X2046" i="34"/>
  <c r="Y2046" i="34"/>
  <c r="Z2046" i="34"/>
  <c r="N2047" i="34"/>
  <c r="O2047" i="34"/>
  <c r="P2047" i="34"/>
  <c r="Q2047" i="34"/>
  <c r="R2047" i="34"/>
  <c r="S2047" i="34"/>
  <c r="T2047" i="34"/>
  <c r="U2047" i="34"/>
  <c r="V2047" i="34"/>
  <c r="W2047" i="34"/>
  <c r="X2047" i="34"/>
  <c r="Y2047" i="34"/>
  <c r="Z2047" i="34"/>
  <c r="N2048" i="34"/>
  <c r="O2048" i="34"/>
  <c r="P2048" i="34"/>
  <c r="Q2048" i="34"/>
  <c r="R2048" i="34"/>
  <c r="S2048" i="34"/>
  <c r="T2048" i="34"/>
  <c r="U2048" i="34"/>
  <c r="V2048" i="34"/>
  <c r="W2048" i="34"/>
  <c r="X2048" i="34"/>
  <c r="Y2048" i="34"/>
  <c r="Z2048" i="34"/>
  <c r="N2049" i="34"/>
  <c r="O2049" i="34"/>
  <c r="P2049" i="34"/>
  <c r="Q2049" i="34"/>
  <c r="R2049" i="34"/>
  <c r="S2049" i="34"/>
  <c r="T2049" i="34"/>
  <c r="U2049" i="34"/>
  <c r="V2049" i="34"/>
  <c r="W2049" i="34"/>
  <c r="X2049" i="34"/>
  <c r="Y2049" i="34"/>
  <c r="Z2049" i="34"/>
  <c r="N2050" i="34"/>
  <c r="O2050" i="34"/>
  <c r="P2050" i="34"/>
  <c r="Q2050" i="34"/>
  <c r="R2050" i="34"/>
  <c r="S2050" i="34"/>
  <c r="T2050" i="34"/>
  <c r="U2050" i="34"/>
  <c r="V2050" i="34"/>
  <c r="W2050" i="34"/>
  <c r="X2050" i="34"/>
  <c r="Y2050" i="34"/>
  <c r="Z2050" i="34"/>
  <c r="N2051" i="34"/>
  <c r="O2051" i="34"/>
  <c r="P2051" i="34"/>
  <c r="Q2051" i="34"/>
  <c r="R2051" i="34"/>
  <c r="S2051" i="34"/>
  <c r="T2051" i="34"/>
  <c r="U2051" i="34"/>
  <c r="V2051" i="34"/>
  <c r="W2051" i="34"/>
  <c r="X2051" i="34"/>
  <c r="Y2051" i="34"/>
  <c r="Z2051" i="34"/>
  <c r="N2052" i="34"/>
  <c r="O2052" i="34"/>
  <c r="P2052" i="34"/>
  <c r="Q2052" i="34"/>
  <c r="R2052" i="34"/>
  <c r="S2052" i="34"/>
  <c r="T2052" i="34"/>
  <c r="U2052" i="34"/>
  <c r="V2052" i="34"/>
  <c r="W2052" i="34"/>
  <c r="X2052" i="34"/>
  <c r="Y2052" i="34"/>
  <c r="Z2052" i="34"/>
  <c r="N2053" i="34"/>
  <c r="O2053" i="34"/>
  <c r="P2053" i="34"/>
  <c r="Q2053" i="34"/>
  <c r="R2053" i="34"/>
  <c r="S2053" i="34"/>
  <c r="T2053" i="34"/>
  <c r="U2053" i="34"/>
  <c r="V2053" i="34"/>
  <c r="W2053" i="34"/>
  <c r="X2053" i="34"/>
  <c r="Y2053" i="34"/>
  <c r="Z2053" i="34"/>
  <c r="N2054" i="34"/>
  <c r="O2054" i="34"/>
  <c r="P2054" i="34"/>
  <c r="Q2054" i="34"/>
  <c r="R2054" i="34"/>
  <c r="S2054" i="34"/>
  <c r="T2054" i="34"/>
  <c r="U2054" i="34"/>
  <c r="V2054" i="34"/>
  <c r="W2054" i="34"/>
  <c r="X2054" i="34"/>
  <c r="Y2054" i="34"/>
  <c r="Z2054" i="34"/>
  <c r="N2055" i="34"/>
  <c r="O2055" i="34"/>
  <c r="P2055" i="34"/>
  <c r="Q2055" i="34"/>
  <c r="R2055" i="34"/>
  <c r="S2055" i="34"/>
  <c r="T2055" i="34"/>
  <c r="U2055" i="34"/>
  <c r="V2055" i="34"/>
  <c r="W2055" i="34"/>
  <c r="X2055" i="34"/>
  <c r="Y2055" i="34"/>
  <c r="Z2055" i="34"/>
  <c r="N2056" i="34"/>
  <c r="O2056" i="34"/>
  <c r="P2056" i="34"/>
  <c r="Q2056" i="34"/>
  <c r="R2056" i="34"/>
  <c r="S2056" i="34"/>
  <c r="T2056" i="34"/>
  <c r="U2056" i="34"/>
  <c r="V2056" i="34"/>
  <c r="W2056" i="34"/>
  <c r="X2056" i="34"/>
  <c r="Y2056" i="34"/>
  <c r="Z2056" i="34"/>
  <c r="N2057" i="34"/>
  <c r="O2057" i="34"/>
  <c r="P2057" i="34"/>
  <c r="Q2057" i="34"/>
  <c r="R2057" i="34"/>
  <c r="S2057" i="34"/>
  <c r="T2057" i="34"/>
  <c r="U2057" i="34"/>
  <c r="V2057" i="34"/>
  <c r="W2057" i="34"/>
  <c r="X2057" i="34"/>
  <c r="Y2057" i="34"/>
  <c r="Z2057" i="34"/>
  <c r="N2058" i="34"/>
  <c r="O2058" i="34"/>
  <c r="P2058" i="34"/>
  <c r="Q2058" i="34"/>
  <c r="R2058" i="34"/>
  <c r="S2058" i="34"/>
  <c r="T2058" i="34"/>
  <c r="U2058" i="34"/>
  <c r="V2058" i="34"/>
  <c r="W2058" i="34"/>
  <c r="X2058" i="34"/>
  <c r="Y2058" i="34"/>
  <c r="Z2058" i="34"/>
  <c r="N2059" i="34"/>
  <c r="O2059" i="34"/>
  <c r="P2059" i="34"/>
  <c r="Q2059" i="34"/>
  <c r="R2059" i="34"/>
  <c r="S2059" i="34"/>
  <c r="T2059" i="34"/>
  <c r="U2059" i="34"/>
  <c r="V2059" i="34"/>
  <c r="W2059" i="34"/>
  <c r="X2059" i="34"/>
  <c r="Y2059" i="34"/>
  <c r="Z2059" i="34"/>
  <c r="N2060" i="34"/>
  <c r="O2060" i="34"/>
  <c r="P2060" i="34"/>
  <c r="Q2060" i="34"/>
  <c r="R2060" i="34"/>
  <c r="S2060" i="34"/>
  <c r="T2060" i="34"/>
  <c r="U2060" i="34"/>
  <c r="V2060" i="34"/>
  <c r="W2060" i="34"/>
  <c r="X2060" i="34"/>
  <c r="Y2060" i="34"/>
  <c r="Z2060" i="34"/>
  <c r="N2061" i="34"/>
  <c r="O2061" i="34"/>
  <c r="P2061" i="34"/>
  <c r="Q2061" i="34"/>
  <c r="R2061" i="34"/>
  <c r="S2061" i="34"/>
  <c r="T2061" i="34"/>
  <c r="U2061" i="34"/>
  <c r="V2061" i="34"/>
  <c r="W2061" i="34"/>
  <c r="X2061" i="34"/>
  <c r="Y2061" i="34"/>
  <c r="Z2061" i="34"/>
  <c r="N2062" i="34"/>
  <c r="O2062" i="34"/>
  <c r="P2062" i="34"/>
  <c r="Q2062" i="34"/>
  <c r="R2062" i="34"/>
  <c r="S2062" i="34"/>
  <c r="T2062" i="34"/>
  <c r="U2062" i="34"/>
  <c r="V2062" i="34"/>
  <c r="W2062" i="34"/>
  <c r="X2062" i="34"/>
  <c r="Y2062" i="34"/>
  <c r="Z2062" i="34"/>
  <c r="N2063" i="34"/>
  <c r="O2063" i="34"/>
  <c r="P2063" i="34"/>
  <c r="Q2063" i="34"/>
  <c r="R2063" i="34"/>
  <c r="S2063" i="34"/>
  <c r="T2063" i="34"/>
  <c r="U2063" i="34"/>
  <c r="V2063" i="34"/>
  <c r="W2063" i="34"/>
  <c r="X2063" i="34"/>
  <c r="Y2063" i="34"/>
  <c r="Z2063" i="34"/>
  <c r="N2064" i="34"/>
  <c r="O2064" i="34"/>
  <c r="P2064" i="34"/>
  <c r="Q2064" i="34"/>
  <c r="R2064" i="34"/>
  <c r="S2064" i="34"/>
  <c r="T2064" i="34"/>
  <c r="U2064" i="34"/>
  <c r="V2064" i="34"/>
  <c r="W2064" i="34"/>
  <c r="X2064" i="34"/>
  <c r="Y2064" i="34"/>
  <c r="Z2064" i="34"/>
  <c r="N2065" i="34"/>
  <c r="O2065" i="34"/>
  <c r="P2065" i="34"/>
  <c r="Q2065" i="34"/>
  <c r="R2065" i="34"/>
  <c r="S2065" i="34"/>
  <c r="T2065" i="34"/>
  <c r="U2065" i="34"/>
  <c r="V2065" i="34"/>
  <c r="W2065" i="34"/>
  <c r="X2065" i="34"/>
  <c r="Y2065" i="34"/>
  <c r="Z2065" i="34"/>
  <c r="N2066" i="34"/>
  <c r="O2066" i="34"/>
  <c r="P2066" i="34"/>
  <c r="Q2066" i="34"/>
  <c r="R2066" i="34"/>
  <c r="S2066" i="34"/>
  <c r="T2066" i="34"/>
  <c r="U2066" i="34"/>
  <c r="V2066" i="34"/>
  <c r="W2066" i="34"/>
  <c r="X2066" i="34"/>
  <c r="Y2066" i="34"/>
  <c r="Z2066" i="34"/>
  <c r="N2067" i="34"/>
  <c r="O2067" i="34"/>
  <c r="P2067" i="34"/>
  <c r="Q2067" i="34"/>
  <c r="R2067" i="34"/>
  <c r="S2067" i="34"/>
  <c r="T2067" i="34"/>
  <c r="U2067" i="34"/>
  <c r="V2067" i="34"/>
  <c r="W2067" i="34"/>
  <c r="X2067" i="34"/>
  <c r="Y2067" i="34"/>
  <c r="Z2067" i="34"/>
  <c r="N2068" i="34"/>
  <c r="O2068" i="34"/>
  <c r="P2068" i="34"/>
  <c r="Q2068" i="34"/>
  <c r="R2068" i="34"/>
  <c r="S2068" i="34"/>
  <c r="T2068" i="34"/>
  <c r="U2068" i="34"/>
  <c r="V2068" i="34"/>
  <c r="W2068" i="34"/>
  <c r="X2068" i="34"/>
  <c r="Y2068" i="34"/>
  <c r="Z2068" i="34"/>
  <c r="N2069" i="34"/>
  <c r="O2069" i="34"/>
  <c r="P2069" i="34"/>
  <c r="Q2069" i="34"/>
  <c r="R2069" i="34"/>
  <c r="S2069" i="34"/>
  <c r="T2069" i="34"/>
  <c r="U2069" i="34"/>
  <c r="V2069" i="34"/>
  <c r="W2069" i="34"/>
  <c r="X2069" i="34"/>
  <c r="Y2069" i="34"/>
  <c r="Z2069" i="34"/>
  <c r="N2070" i="34"/>
  <c r="O2070" i="34"/>
  <c r="P2070" i="34"/>
  <c r="Q2070" i="34"/>
  <c r="R2070" i="34"/>
  <c r="S2070" i="34"/>
  <c r="T2070" i="34"/>
  <c r="U2070" i="34"/>
  <c r="V2070" i="34"/>
  <c r="W2070" i="34"/>
  <c r="X2070" i="34"/>
  <c r="Y2070" i="34"/>
  <c r="Z2070" i="34"/>
  <c r="N2071" i="34"/>
  <c r="O2071" i="34"/>
  <c r="P2071" i="34"/>
  <c r="Q2071" i="34"/>
  <c r="R2071" i="34"/>
  <c r="S2071" i="34"/>
  <c r="T2071" i="34"/>
  <c r="U2071" i="34"/>
  <c r="V2071" i="34"/>
  <c r="W2071" i="34"/>
  <c r="X2071" i="34"/>
  <c r="Y2071" i="34"/>
  <c r="Z2071" i="34"/>
  <c r="N2072" i="34"/>
  <c r="O2072" i="34"/>
  <c r="P2072" i="34"/>
  <c r="Q2072" i="34"/>
  <c r="R2072" i="34"/>
  <c r="S2072" i="34"/>
  <c r="T2072" i="34"/>
  <c r="U2072" i="34"/>
  <c r="V2072" i="34"/>
  <c r="W2072" i="34"/>
  <c r="X2072" i="34"/>
  <c r="Y2072" i="34"/>
  <c r="Z2072" i="34"/>
  <c r="N2073" i="34"/>
  <c r="O2073" i="34"/>
  <c r="P2073" i="34"/>
  <c r="Q2073" i="34"/>
  <c r="R2073" i="34"/>
  <c r="S2073" i="34"/>
  <c r="T2073" i="34"/>
  <c r="U2073" i="34"/>
  <c r="V2073" i="34"/>
  <c r="W2073" i="34"/>
  <c r="X2073" i="34"/>
  <c r="Y2073" i="34"/>
  <c r="Z2073" i="34"/>
  <c r="N2074" i="34"/>
  <c r="O2074" i="34"/>
  <c r="P2074" i="34"/>
  <c r="Q2074" i="34"/>
  <c r="R2074" i="34"/>
  <c r="S2074" i="34"/>
  <c r="T2074" i="34"/>
  <c r="U2074" i="34"/>
  <c r="V2074" i="34"/>
  <c r="W2074" i="34"/>
  <c r="X2074" i="34"/>
  <c r="Y2074" i="34"/>
  <c r="Z2074" i="34"/>
  <c r="N2075" i="34"/>
  <c r="O2075" i="34"/>
  <c r="P2075" i="34"/>
  <c r="Q2075" i="34"/>
  <c r="R2075" i="34"/>
  <c r="S2075" i="34"/>
  <c r="T2075" i="34"/>
  <c r="U2075" i="34"/>
  <c r="V2075" i="34"/>
  <c r="W2075" i="34"/>
  <c r="X2075" i="34"/>
  <c r="Y2075" i="34"/>
  <c r="Z2075" i="34"/>
  <c r="N2076" i="34"/>
  <c r="O2076" i="34"/>
  <c r="P2076" i="34"/>
  <c r="Q2076" i="34"/>
  <c r="R2076" i="34"/>
  <c r="S2076" i="34"/>
  <c r="T2076" i="34"/>
  <c r="U2076" i="34"/>
  <c r="V2076" i="34"/>
  <c r="W2076" i="34"/>
  <c r="X2076" i="34"/>
  <c r="Y2076" i="34"/>
  <c r="Z2076" i="34"/>
  <c r="N2077" i="34"/>
  <c r="O2077" i="34"/>
  <c r="P2077" i="34"/>
  <c r="Q2077" i="34"/>
  <c r="R2077" i="34"/>
  <c r="S2077" i="34"/>
  <c r="T2077" i="34"/>
  <c r="U2077" i="34"/>
  <c r="V2077" i="34"/>
  <c r="W2077" i="34"/>
  <c r="X2077" i="34"/>
  <c r="Y2077" i="34"/>
  <c r="Z2077" i="34"/>
  <c r="N2078" i="34"/>
  <c r="O2078" i="34"/>
  <c r="P2078" i="34"/>
  <c r="Q2078" i="34"/>
  <c r="R2078" i="34"/>
  <c r="S2078" i="34"/>
  <c r="T2078" i="34"/>
  <c r="U2078" i="34"/>
  <c r="V2078" i="34"/>
  <c r="W2078" i="34"/>
  <c r="X2078" i="34"/>
  <c r="Y2078" i="34"/>
  <c r="Z2078" i="34"/>
  <c r="N2079" i="34"/>
  <c r="O2079" i="34"/>
  <c r="P2079" i="34"/>
  <c r="Q2079" i="34"/>
  <c r="R2079" i="34"/>
  <c r="S2079" i="34"/>
  <c r="T2079" i="34"/>
  <c r="U2079" i="34"/>
  <c r="V2079" i="34"/>
  <c r="W2079" i="34"/>
  <c r="X2079" i="34"/>
  <c r="Y2079" i="34"/>
  <c r="Z2079" i="34"/>
  <c r="N2080" i="34"/>
  <c r="O2080" i="34"/>
  <c r="P2080" i="34"/>
  <c r="Q2080" i="34"/>
  <c r="R2080" i="34"/>
  <c r="S2080" i="34"/>
  <c r="T2080" i="34"/>
  <c r="U2080" i="34"/>
  <c r="V2080" i="34"/>
  <c r="W2080" i="34"/>
  <c r="X2080" i="34"/>
  <c r="Y2080" i="34"/>
  <c r="Z2080" i="34"/>
  <c r="N2081" i="34"/>
  <c r="O2081" i="34"/>
  <c r="P2081" i="34"/>
  <c r="Q2081" i="34"/>
  <c r="R2081" i="34"/>
  <c r="S2081" i="34"/>
  <c r="T2081" i="34"/>
  <c r="U2081" i="34"/>
  <c r="V2081" i="34"/>
  <c r="W2081" i="34"/>
  <c r="X2081" i="34"/>
  <c r="Y2081" i="34"/>
  <c r="Z2081" i="34"/>
  <c r="N2082" i="34"/>
  <c r="O2082" i="34"/>
  <c r="P2082" i="34"/>
  <c r="Q2082" i="34"/>
  <c r="R2082" i="34"/>
  <c r="S2082" i="34"/>
  <c r="T2082" i="34"/>
  <c r="U2082" i="34"/>
  <c r="V2082" i="34"/>
  <c r="W2082" i="34"/>
  <c r="X2082" i="34"/>
  <c r="Y2082" i="34"/>
  <c r="Z2082" i="34"/>
  <c r="N2083" i="34"/>
  <c r="O2083" i="34"/>
  <c r="P2083" i="34"/>
  <c r="Q2083" i="34"/>
  <c r="R2083" i="34"/>
  <c r="S2083" i="34"/>
  <c r="T2083" i="34"/>
  <c r="U2083" i="34"/>
  <c r="V2083" i="34"/>
  <c r="W2083" i="34"/>
  <c r="X2083" i="34"/>
  <c r="Y2083" i="34"/>
  <c r="Z2083" i="34"/>
  <c r="N2084" i="34"/>
  <c r="O2084" i="34"/>
  <c r="P2084" i="34"/>
  <c r="Q2084" i="34"/>
  <c r="R2084" i="34"/>
  <c r="S2084" i="34"/>
  <c r="T2084" i="34"/>
  <c r="U2084" i="34"/>
  <c r="V2084" i="34"/>
  <c r="W2084" i="34"/>
  <c r="X2084" i="34"/>
  <c r="Y2084" i="34"/>
  <c r="Z2084" i="34"/>
  <c r="N2085" i="34"/>
  <c r="O2085" i="34"/>
  <c r="P2085" i="34"/>
  <c r="Q2085" i="34"/>
  <c r="R2085" i="34"/>
  <c r="S2085" i="34"/>
  <c r="T2085" i="34"/>
  <c r="U2085" i="34"/>
  <c r="V2085" i="34"/>
  <c r="W2085" i="34"/>
  <c r="X2085" i="34"/>
  <c r="Y2085" i="34"/>
  <c r="Z2085" i="34"/>
  <c r="N2086" i="34"/>
  <c r="O2086" i="34"/>
  <c r="P2086" i="34"/>
  <c r="Q2086" i="34"/>
  <c r="R2086" i="34"/>
  <c r="S2086" i="34"/>
  <c r="T2086" i="34"/>
  <c r="U2086" i="34"/>
  <c r="V2086" i="34"/>
  <c r="W2086" i="34"/>
  <c r="X2086" i="34"/>
  <c r="Y2086" i="34"/>
  <c r="Z2086" i="34"/>
  <c r="N2087" i="34"/>
  <c r="O2087" i="34"/>
  <c r="P2087" i="34"/>
  <c r="Q2087" i="34"/>
  <c r="R2087" i="34"/>
  <c r="S2087" i="34"/>
  <c r="T2087" i="34"/>
  <c r="U2087" i="34"/>
  <c r="V2087" i="34"/>
  <c r="W2087" i="34"/>
  <c r="X2087" i="34"/>
  <c r="Y2087" i="34"/>
  <c r="Z2087" i="34"/>
  <c r="N2088" i="34"/>
  <c r="O2088" i="34"/>
  <c r="P2088" i="34"/>
  <c r="Q2088" i="34"/>
  <c r="R2088" i="34"/>
  <c r="S2088" i="34"/>
  <c r="T2088" i="34"/>
  <c r="U2088" i="34"/>
  <c r="V2088" i="34"/>
  <c r="W2088" i="34"/>
  <c r="X2088" i="34"/>
  <c r="Y2088" i="34"/>
  <c r="Z2088" i="34"/>
  <c r="N2089" i="34"/>
  <c r="O2089" i="34"/>
  <c r="P2089" i="34"/>
  <c r="Q2089" i="34"/>
  <c r="R2089" i="34"/>
  <c r="S2089" i="34"/>
  <c r="T2089" i="34"/>
  <c r="U2089" i="34"/>
  <c r="V2089" i="34"/>
  <c r="W2089" i="34"/>
  <c r="X2089" i="34"/>
  <c r="Y2089" i="34"/>
  <c r="Z2089" i="34"/>
  <c r="N2090" i="34"/>
  <c r="O2090" i="34"/>
  <c r="P2090" i="34"/>
  <c r="Q2090" i="34"/>
  <c r="R2090" i="34"/>
  <c r="S2090" i="34"/>
  <c r="T2090" i="34"/>
  <c r="U2090" i="34"/>
  <c r="V2090" i="34"/>
  <c r="W2090" i="34"/>
  <c r="X2090" i="34"/>
  <c r="Y2090" i="34"/>
  <c r="Z2090" i="34"/>
  <c r="N2091" i="34"/>
  <c r="O2091" i="34"/>
  <c r="P2091" i="34"/>
  <c r="Q2091" i="34"/>
  <c r="R2091" i="34"/>
  <c r="S2091" i="34"/>
  <c r="T2091" i="34"/>
  <c r="U2091" i="34"/>
  <c r="V2091" i="34"/>
  <c r="W2091" i="34"/>
  <c r="X2091" i="34"/>
  <c r="Y2091" i="34"/>
  <c r="Z2091" i="34"/>
  <c r="N2092" i="34"/>
  <c r="O2092" i="34"/>
  <c r="P2092" i="34"/>
  <c r="Q2092" i="34"/>
  <c r="R2092" i="34"/>
  <c r="S2092" i="34"/>
  <c r="T2092" i="34"/>
  <c r="U2092" i="34"/>
  <c r="V2092" i="34"/>
  <c r="W2092" i="34"/>
  <c r="X2092" i="34"/>
  <c r="Y2092" i="34"/>
  <c r="Z2092" i="34"/>
  <c r="N2093" i="34"/>
  <c r="O2093" i="34"/>
  <c r="P2093" i="34"/>
  <c r="Q2093" i="34"/>
  <c r="R2093" i="34"/>
  <c r="S2093" i="34"/>
  <c r="T2093" i="34"/>
  <c r="U2093" i="34"/>
  <c r="V2093" i="34"/>
  <c r="W2093" i="34"/>
  <c r="X2093" i="34"/>
  <c r="Y2093" i="34"/>
  <c r="Z2093" i="34"/>
  <c r="N2094" i="34"/>
  <c r="O2094" i="34"/>
  <c r="P2094" i="34"/>
  <c r="Q2094" i="34"/>
  <c r="R2094" i="34"/>
  <c r="S2094" i="34"/>
  <c r="T2094" i="34"/>
  <c r="U2094" i="34"/>
  <c r="V2094" i="34"/>
  <c r="W2094" i="34"/>
  <c r="X2094" i="34"/>
  <c r="Y2094" i="34"/>
  <c r="Z2094" i="34"/>
  <c r="N2095" i="34"/>
  <c r="O2095" i="34"/>
  <c r="P2095" i="34"/>
  <c r="Q2095" i="34"/>
  <c r="R2095" i="34"/>
  <c r="S2095" i="34"/>
  <c r="T2095" i="34"/>
  <c r="U2095" i="34"/>
  <c r="V2095" i="34"/>
  <c r="W2095" i="34"/>
  <c r="X2095" i="34"/>
  <c r="Y2095" i="34"/>
  <c r="Z2095" i="34"/>
  <c r="N2096" i="34"/>
  <c r="O2096" i="34"/>
  <c r="P2096" i="34"/>
  <c r="Q2096" i="34"/>
  <c r="R2096" i="34"/>
  <c r="S2096" i="34"/>
  <c r="T2096" i="34"/>
  <c r="U2096" i="34"/>
  <c r="V2096" i="34"/>
  <c r="W2096" i="34"/>
  <c r="X2096" i="34"/>
  <c r="Y2096" i="34"/>
  <c r="Z2096" i="34"/>
  <c r="N2097" i="34"/>
  <c r="O2097" i="34"/>
  <c r="P2097" i="34"/>
  <c r="Q2097" i="34"/>
  <c r="R2097" i="34"/>
  <c r="S2097" i="34"/>
  <c r="T2097" i="34"/>
  <c r="U2097" i="34"/>
  <c r="V2097" i="34"/>
  <c r="W2097" i="34"/>
  <c r="X2097" i="34"/>
  <c r="Y2097" i="34"/>
  <c r="Z2097" i="34"/>
  <c r="N2098" i="34"/>
  <c r="O2098" i="34"/>
  <c r="P2098" i="34"/>
  <c r="Q2098" i="34"/>
  <c r="R2098" i="34"/>
  <c r="S2098" i="34"/>
  <c r="T2098" i="34"/>
  <c r="U2098" i="34"/>
  <c r="V2098" i="34"/>
  <c r="W2098" i="34"/>
  <c r="X2098" i="34"/>
  <c r="Y2098" i="34"/>
  <c r="Z2098" i="34"/>
  <c r="N2099" i="34"/>
  <c r="O2099" i="34"/>
  <c r="P2099" i="34"/>
  <c r="Q2099" i="34"/>
  <c r="R2099" i="34"/>
  <c r="S2099" i="34"/>
  <c r="T2099" i="34"/>
  <c r="U2099" i="34"/>
  <c r="V2099" i="34"/>
  <c r="W2099" i="34"/>
  <c r="X2099" i="34"/>
  <c r="Y2099" i="34"/>
  <c r="Z2099" i="34"/>
  <c r="N2100" i="34"/>
  <c r="O2100" i="34"/>
  <c r="P2100" i="34"/>
  <c r="Q2100" i="34"/>
  <c r="R2100" i="34"/>
  <c r="S2100" i="34"/>
  <c r="T2100" i="34"/>
  <c r="U2100" i="34"/>
  <c r="V2100" i="34"/>
  <c r="W2100" i="34"/>
  <c r="X2100" i="34"/>
  <c r="Y2100" i="34"/>
  <c r="Z2100" i="34"/>
  <c r="N2101" i="34"/>
  <c r="O2101" i="34"/>
  <c r="P2101" i="34"/>
  <c r="Q2101" i="34"/>
  <c r="R2101" i="34"/>
  <c r="S2101" i="34"/>
  <c r="T2101" i="34"/>
  <c r="U2101" i="34"/>
  <c r="V2101" i="34"/>
  <c r="W2101" i="34"/>
  <c r="X2101" i="34"/>
  <c r="Y2101" i="34"/>
  <c r="Z2101" i="34"/>
  <c r="N2102" i="34"/>
  <c r="O2102" i="34"/>
  <c r="P2102" i="34"/>
  <c r="Q2102" i="34"/>
  <c r="R2102" i="34"/>
  <c r="S2102" i="34"/>
  <c r="T2102" i="34"/>
  <c r="U2102" i="34"/>
  <c r="V2102" i="34"/>
  <c r="W2102" i="34"/>
  <c r="X2102" i="34"/>
  <c r="Y2102" i="34"/>
  <c r="Z2102" i="34"/>
  <c r="N2103" i="34"/>
  <c r="O2103" i="34"/>
  <c r="P2103" i="34"/>
  <c r="Q2103" i="34"/>
  <c r="R2103" i="34"/>
  <c r="S2103" i="34"/>
  <c r="T2103" i="34"/>
  <c r="U2103" i="34"/>
  <c r="V2103" i="34"/>
  <c r="W2103" i="34"/>
  <c r="X2103" i="34"/>
  <c r="Y2103" i="34"/>
  <c r="Z2103" i="34"/>
  <c r="N2104" i="34"/>
  <c r="O2104" i="34"/>
  <c r="P2104" i="34"/>
  <c r="Q2104" i="34"/>
  <c r="R2104" i="34"/>
  <c r="S2104" i="34"/>
  <c r="T2104" i="34"/>
  <c r="U2104" i="34"/>
  <c r="V2104" i="34"/>
  <c r="W2104" i="34"/>
  <c r="X2104" i="34"/>
  <c r="Y2104" i="34"/>
  <c r="Z2104" i="34"/>
  <c r="N2105" i="34"/>
  <c r="O2105" i="34"/>
  <c r="P2105" i="34"/>
  <c r="Q2105" i="34"/>
  <c r="R2105" i="34"/>
  <c r="S2105" i="34"/>
  <c r="T2105" i="34"/>
  <c r="U2105" i="34"/>
  <c r="V2105" i="34"/>
  <c r="W2105" i="34"/>
  <c r="X2105" i="34"/>
  <c r="Y2105" i="34"/>
  <c r="Z2105" i="34"/>
  <c r="N2106" i="34"/>
  <c r="O2106" i="34"/>
  <c r="P2106" i="34"/>
  <c r="Q2106" i="34"/>
  <c r="R2106" i="34"/>
  <c r="S2106" i="34"/>
  <c r="T2106" i="34"/>
  <c r="U2106" i="34"/>
  <c r="V2106" i="34"/>
  <c r="W2106" i="34"/>
  <c r="X2106" i="34"/>
  <c r="Y2106" i="34"/>
  <c r="Z2106" i="34"/>
  <c r="N2107" i="34"/>
  <c r="O2107" i="34"/>
  <c r="P2107" i="34"/>
  <c r="Q2107" i="34"/>
  <c r="R2107" i="34"/>
  <c r="S2107" i="34"/>
  <c r="T2107" i="34"/>
  <c r="U2107" i="34"/>
  <c r="V2107" i="34"/>
  <c r="W2107" i="34"/>
  <c r="X2107" i="34"/>
  <c r="Y2107" i="34"/>
  <c r="Z2107" i="34"/>
  <c r="N2108" i="34"/>
  <c r="O2108" i="34"/>
  <c r="P2108" i="34"/>
  <c r="Q2108" i="34"/>
  <c r="R2108" i="34"/>
  <c r="S2108" i="34"/>
  <c r="T2108" i="34"/>
  <c r="U2108" i="34"/>
  <c r="V2108" i="34"/>
  <c r="W2108" i="34"/>
  <c r="X2108" i="34"/>
  <c r="Y2108" i="34"/>
  <c r="Z2108" i="34"/>
  <c r="N2109" i="34"/>
  <c r="O2109" i="34"/>
  <c r="P2109" i="34"/>
  <c r="Q2109" i="34"/>
  <c r="R2109" i="34"/>
  <c r="S2109" i="34"/>
  <c r="T2109" i="34"/>
  <c r="U2109" i="34"/>
  <c r="V2109" i="34"/>
  <c r="W2109" i="34"/>
  <c r="X2109" i="34"/>
  <c r="Y2109" i="34"/>
  <c r="Z2109" i="34"/>
  <c r="N2110" i="34"/>
  <c r="O2110" i="34"/>
  <c r="P2110" i="34"/>
  <c r="Q2110" i="34"/>
  <c r="R2110" i="34"/>
  <c r="S2110" i="34"/>
  <c r="T2110" i="34"/>
  <c r="U2110" i="34"/>
  <c r="V2110" i="34"/>
  <c r="W2110" i="34"/>
  <c r="X2110" i="34"/>
  <c r="Y2110" i="34"/>
  <c r="Z2110" i="34"/>
  <c r="N2111" i="34"/>
  <c r="O2111" i="34"/>
  <c r="P2111" i="34"/>
  <c r="Q2111" i="34"/>
  <c r="R2111" i="34"/>
  <c r="S2111" i="34"/>
  <c r="T2111" i="34"/>
  <c r="U2111" i="34"/>
  <c r="V2111" i="34"/>
  <c r="W2111" i="34"/>
  <c r="X2111" i="34"/>
  <c r="Y2111" i="34"/>
  <c r="Z2111" i="34"/>
  <c r="N2112" i="34"/>
  <c r="O2112" i="34"/>
  <c r="P2112" i="34"/>
  <c r="Q2112" i="34"/>
  <c r="R2112" i="34"/>
  <c r="S2112" i="34"/>
  <c r="T2112" i="34"/>
  <c r="U2112" i="34"/>
  <c r="V2112" i="34"/>
  <c r="W2112" i="34"/>
  <c r="X2112" i="34"/>
  <c r="Y2112" i="34"/>
  <c r="Z2112" i="34"/>
  <c r="N2113" i="34"/>
  <c r="O2113" i="34"/>
  <c r="P2113" i="34"/>
  <c r="Q2113" i="34"/>
  <c r="R2113" i="34"/>
  <c r="S2113" i="34"/>
  <c r="T2113" i="34"/>
  <c r="U2113" i="34"/>
  <c r="V2113" i="34"/>
  <c r="W2113" i="34"/>
  <c r="X2113" i="34"/>
  <c r="Y2113" i="34"/>
  <c r="Z2113" i="34"/>
  <c r="N2114" i="34"/>
  <c r="O2114" i="34"/>
  <c r="P2114" i="34"/>
  <c r="Q2114" i="34"/>
  <c r="R2114" i="34"/>
  <c r="S2114" i="34"/>
  <c r="T2114" i="34"/>
  <c r="U2114" i="34"/>
  <c r="V2114" i="34"/>
  <c r="W2114" i="34"/>
  <c r="X2114" i="34"/>
  <c r="Y2114" i="34"/>
  <c r="Z2114" i="34"/>
  <c r="N2115" i="34"/>
  <c r="O2115" i="34"/>
  <c r="P2115" i="34"/>
  <c r="Q2115" i="34"/>
  <c r="R2115" i="34"/>
  <c r="S2115" i="34"/>
  <c r="T2115" i="34"/>
  <c r="U2115" i="34"/>
  <c r="V2115" i="34"/>
  <c r="W2115" i="34"/>
  <c r="X2115" i="34"/>
  <c r="Y2115" i="34"/>
  <c r="Z2115" i="34"/>
  <c r="N2116" i="34"/>
  <c r="O2116" i="34"/>
  <c r="P2116" i="34"/>
  <c r="Q2116" i="34"/>
  <c r="R2116" i="34"/>
  <c r="S2116" i="34"/>
  <c r="T2116" i="34"/>
  <c r="U2116" i="34"/>
  <c r="V2116" i="34"/>
  <c r="W2116" i="34"/>
  <c r="X2116" i="34"/>
  <c r="Y2116" i="34"/>
  <c r="Z2116" i="34"/>
  <c r="N2117" i="34"/>
  <c r="O2117" i="34"/>
  <c r="P2117" i="34"/>
  <c r="Q2117" i="34"/>
  <c r="R2117" i="34"/>
  <c r="S2117" i="34"/>
  <c r="T2117" i="34"/>
  <c r="U2117" i="34"/>
  <c r="V2117" i="34"/>
  <c r="W2117" i="34"/>
  <c r="X2117" i="34"/>
  <c r="Y2117" i="34"/>
  <c r="Z2117" i="34"/>
  <c r="N2118" i="34"/>
  <c r="O2118" i="34"/>
  <c r="P2118" i="34"/>
  <c r="Q2118" i="34"/>
  <c r="R2118" i="34"/>
  <c r="S2118" i="34"/>
  <c r="T2118" i="34"/>
  <c r="U2118" i="34"/>
  <c r="V2118" i="34"/>
  <c r="W2118" i="34"/>
  <c r="X2118" i="34"/>
  <c r="Y2118" i="34"/>
  <c r="Z2118" i="34"/>
  <c r="N2119" i="34"/>
  <c r="O2119" i="34"/>
  <c r="P2119" i="34"/>
  <c r="Q2119" i="34"/>
  <c r="R2119" i="34"/>
  <c r="S2119" i="34"/>
  <c r="T2119" i="34"/>
  <c r="U2119" i="34"/>
  <c r="V2119" i="34"/>
  <c r="W2119" i="34"/>
  <c r="X2119" i="34"/>
  <c r="Y2119" i="34"/>
  <c r="Z2119" i="34"/>
  <c r="N2120" i="34"/>
  <c r="O2120" i="34"/>
  <c r="P2120" i="34"/>
  <c r="Q2120" i="34"/>
  <c r="R2120" i="34"/>
  <c r="S2120" i="34"/>
  <c r="T2120" i="34"/>
  <c r="U2120" i="34"/>
  <c r="V2120" i="34"/>
  <c r="W2120" i="34"/>
  <c r="X2120" i="34"/>
  <c r="Y2120" i="34"/>
  <c r="Z2120" i="34"/>
  <c r="N2121" i="34"/>
  <c r="O2121" i="34"/>
  <c r="P2121" i="34"/>
  <c r="Q2121" i="34"/>
  <c r="R2121" i="34"/>
  <c r="S2121" i="34"/>
  <c r="T2121" i="34"/>
  <c r="U2121" i="34"/>
  <c r="V2121" i="34"/>
  <c r="W2121" i="34"/>
  <c r="X2121" i="34"/>
  <c r="Y2121" i="34"/>
  <c r="Z2121" i="34"/>
  <c r="N2122" i="34"/>
  <c r="O2122" i="34"/>
  <c r="P2122" i="34"/>
  <c r="Q2122" i="34"/>
  <c r="R2122" i="34"/>
  <c r="S2122" i="34"/>
  <c r="T2122" i="34"/>
  <c r="U2122" i="34"/>
  <c r="V2122" i="34"/>
  <c r="W2122" i="34"/>
  <c r="X2122" i="34"/>
  <c r="Y2122" i="34"/>
  <c r="Z2122" i="34"/>
  <c r="N2123" i="34"/>
  <c r="O2123" i="34"/>
  <c r="P2123" i="34"/>
  <c r="Q2123" i="34"/>
  <c r="R2123" i="34"/>
  <c r="S2123" i="34"/>
  <c r="T2123" i="34"/>
  <c r="U2123" i="34"/>
  <c r="V2123" i="34"/>
  <c r="W2123" i="34"/>
  <c r="X2123" i="34"/>
  <c r="Y2123" i="34"/>
  <c r="Z2123" i="34"/>
  <c r="N2124" i="34"/>
  <c r="O2124" i="34"/>
  <c r="P2124" i="34"/>
  <c r="Q2124" i="34"/>
  <c r="R2124" i="34"/>
  <c r="S2124" i="34"/>
  <c r="T2124" i="34"/>
  <c r="U2124" i="34"/>
  <c r="V2124" i="34"/>
  <c r="W2124" i="34"/>
  <c r="X2124" i="34"/>
  <c r="Y2124" i="34"/>
  <c r="Z2124" i="34"/>
  <c r="N2125" i="34"/>
  <c r="O2125" i="34"/>
  <c r="P2125" i="34"/>
  <c r="Q2125" i="34"/>
  <c r="R2125" i="34"/>
  <c r="S2125" i="34"/>
  <c r="T2125" i="34"/>
  <c r="U2125" i="34"/>
  <c r="V2125" i="34"/>
  <c r="W2125" i="34"/>
  <c r="X2125" i="34"/>
  <c r="Y2125" i="34"/>
  <c r="Z2125" i="34"/>
  <c r="N2126" i="34"/>
  <c r="O2126" i="34"/>
  <c r="P2126" i="34"/>
  <c r="Q2126" i="34"/>
  <c r="R2126" i="34"/>
  <c r="S2126" i="34"/>
  <c r="T2126" i="34"/>
  <c r="U2126" i="34"/>
  <c r="V2126" i="34"/>
  <c r="W2126" i="34"/>
  <c r="X2126" i="34"/>
  <c r="Y2126" i="34"/>
  <c r="Z2126" i="34"/>
  <c r="N2127" i="34"/>
  <c r="O2127" i="34"/>
  <c r="P2127" i="34"/>
  <c r="Q2127" i="34"/>
  <c r="R2127" i="34"/>
  <c r="S2127" i="34"/>
  <c r="T2127" i="34"/>
  <c r="U2127" i="34"/>
  <c r="V2127" i="34"/>
  <c r="W2127" i="34"/>
  <c r="X2127" i="34"/>
  <c r="Y2127" i="34"/>
  <c r="Z2127" i="34"/>
  <c r="N2128" i="34"/>
  <c r="O2128" i="34"/>
  <c r="P2128" i="34"/>
  <c r="Q2128" i="34"/>
  <c r="R2128" i="34"/>
  <c r="S2128" i="34"/>
  <c r="T2128" i="34"/>
  <c r="U2128" i="34"/>
  <c r="V2128" i="34"/>
  <c r="W2128" i="34"/>
  <c r="X2128" i="34"/>
  <c r="Y2128" i="34"/>
  <c r="Z2128" i="34"/>
  <c r="N2129" i="34"/>
  <c r="O2129" i="34"/>
  <c r="P2129" i="34"/>
  <c r="Q2129" i="34"/>
  <c r="R2129" i="34"/>
  <c r="S2129" i="34"/>
  <c r="T2129" i="34"/>
  <c r="U2129" i="34"/>
  <c r="V2129" i="34"/>
  <c r="W2129" i="34"/>
  <c r="X2129" i="34"/>
  <c r="Y2129" i="34"/>
  <c r="Z2129" i="34"/>
  <c r="N2130" i="34"/>
  <c r="O2130" i="34"/>
  <c r="P2130" i="34"/>
  <c r="Q2130" i="34"/>
  <c r="R2130" i="34"/>
  <c r="S2130" i="34"/>
  <c r="T2130" i="34"/>
  <c r="U2130" i="34"/>
  <c r="V2130" i="34"/>
  <c r="W2130" i="34"/>
  <c r="X2130" i="34"/>
  <c r="Y2130" i="34"/>
  <c r="Z2130" i="34"/>
  <c r="N2131" i="34"/>
  <c r="O2131" i="34"/>
  <c r="P2131" i="34"/>
  <c r="Q2131" i="34"/>
  <c r="R2131" i="34"/>
  <c r="S2131" i="34"/>
  <c r="T2131" i="34"/>
  <c r="U2131" i="34"/>
  <c r="V2131" i="34"/>
  <c r="W2131" i="34"/>
  <c r="X2131" i="34"/>
  <c r="Y2131" i="34"/>
  <c r="Z2131" i="34"/>
  <c r="N2132" i="34"/>
  <c r="O2132" i="34"/>
  <c r="P2132" i="34"/>
  <c r="Q2132" i="34"/>
  <c r="R2132" i="34"/>
  <c r="S2132" i="34"/>
  <c r="T2132" i="34"/>
  <c r="U2132" i="34"/>
  <c r="V2132" i="34"/>
  <c r="W2132" i="34"/>
  <c r="X2132" i="34"/>
  <c r="Y2132" i="34"/>
  <c r="Z2132" i="34"/>
  <c r="N2133" i="34"/>
  <c r="O2133" i="34"/>
  <c r="P2133" i="34"/>
  <c r="Q2133" i="34"/>
  <c r="R2133" i="34"/>
  <c r="S2133" i="34"/>
  <c r="T2133" i="34"/>
  <c r="U2133" i="34"/>
  <c r="V2133" i="34"/>
  <c r="W2133" i="34"/>
  <c r="X2133" i="34"/>
  <c r="Y2133" i="34"/>
  <c r="Z2133" i="34"/>
  <c r="N2134" i="34"/>
  <c r="O2134" i="34"/>
  <c r="P2134" i="34"/>
  <c r="Q2134" i="34"/>
  <c r="R2134" i="34"/>
  <c r="S2134" i="34"/>
  <c r="T2134" i="34"/>
  <c r="U2134" i="34"/>
  <c r="V2134" i="34"/>
  <c r="W2134" i="34"/>
  <c r="X2134" i="34"/>
  <c r="Y2134" i="34"/>
  <c r="Z2134" i="34"/>
  <c r="N2135" i="34"/>
  <c r="O2135" i="34"/>
  <c r="P2135" i="34"/>
  <c r="Q2135" i="34"/>
  <c r="R2135" i="34"/>
  <c r="S2135" i="34"/>
  <c r="T2135" i="34"/>
  <c r="U2135" i="34"/>
  <c r="V2135" i="34"/>
  <c r="W2135" i="34"/>
  <c r="X2135" i="34"/>
  <c r="Y2135" i="34"/>
  <c r="Z2135" i="34"/>
  <c r="N2136" i="34"/>
  <c r="O2136" i="34"/>
  <c r="P2136" i="34"/>
  <c r="Q2136" i="34"/>
  <c r="R2136" i="34"/>
  <c r="S2136" i="34"/>
  <c r="T2136" i="34"/>
  <c r="U2136" i="34"/>
  <c r="V2136" i="34"/>
  <c r="W2136" i="34"/>
  <c r="X2136" i="34"/>
  <c r="Y2136" i="34"/>
  <c r="Z2136" i="34"/>
  <c r="N2137" i="34"/>
  <c r="O2137" i="34"/>
  <c r="P2137" i="34"/>
  <c r="Q2137" i="34"/>
  <c r="R2137" i="34"/>
  <c r="S2137" i="34"/>
  <c r="T2137" i="34"/>
  <c r="U2137" i="34"/>
  <c r="V2137" i="34"/>
  <c r="W2137" i="34"/>
  <c r="X2137" i="34"/>
  <c r="Y2137" i="34"/>
  <c r="Z2137" i="34"/>
  <c r="N2138" i="34"/>
  <c r="O2138" i="34"/>
  <c r="P2138" i="34"/>
  <c r="Q2138" i="34"/>
  <c r="R2138" i="34"/>
  <c r="S2138" i="34"/>
  <c r="T2138" i="34"/>
  <c r="U2138" i="34"/>
  <c r="V2138" i="34"/>
  <c r="W2138" i="34"/>
  <c r="X2138" i="34"/>
  <c r="Y2138" i="34"/>
  <c r="Z2138" i="34"/>
  <c r="N2139" i="34"/>
  <c r="O2139" i="34"/>
  <c r="P2139" i="34"/>
  <c r="Q2139" i="34"/>
  <c r="R2139" i="34"/>
  <c r="S2139" i="34"/>
  <c r="T2139" i="34"/>
  <c r="U2139" i="34"/>
  <c r="V2139" i="34"/>
  <c r="W2139" i="34"/>
  <c r="X2139" i="34"/>
  <c r="Y2139" i="34"/>
  <c r="Z2139" i="34"/>
  <c r="N2140" i="34"/>
  <c r="O2140" i="34"/>
  <c r="P2140" i="34"/>
  <c r="Q2140" i="34"/>
  <c r="R2140" i="34"/>
  <c r="S2140" i="34"/>
  <c r="T2140" i="34"/>
  <c r="U2140" i="34"/>
  <c r="V2140" i="34"/>
  <c r="W2140" i="34"/>
  <c r="X2140" i="34"/>
  <c r="Y2140" i="34"/>
  <c r="Z2140" i="34"/>
  <c r="N2141" i="34"/>
  <c r="O2141" i="34"/>
  <c r="P2141" i="34"/>
  <c r="Q2141" i="34"/>
  <c r="R2141" i="34"/>
  <c r="S2141" i="34"/>
  <c r="T2141" i="34"/>
  <c r="U2141" i="34"/>
  <c r="V2141" i="34"/>
  <c r="W2141" i="34"/>
  <c r="X2141" i="34"/>
  <c r="Y2141" i="34"/>
  <c r="Z2141" i="34"/>
  <c r="N2142" i="34"/>
  <c r="O2142" i="34"/>
  <c r="P2142" i="34"/>
  <c r="Q2142" i="34"/>
  <c r="R2142" i="34"/>
  <c r="S2142" i="34"/>
  <c r="T2142" i="34"/>
  <c r="U2142" i="34"/>
  <c r="V2142" i="34"/>
  <c r="W2142" i="34"/>
  <c r="X2142" i="34"/>
  <c r="Y2142" i="34"/>
  <c r="Z2142" i="34"/>
  <c r="N2143" i="34"/>
  <c r="O2143" i="34"/>
  <c r="P2143" i="34"/>
  <c r="Q2143" i="34"/>
  <c r="R2143" i="34"/>
  <c r="S2143" i="34"/>
  <c r="T2143" i="34"/>
  <c r="U2143" i="34"/>
  <c r="V2143" i="34"/>
  <c r="W2143" i="34"/>
  <c r="X2143" i="34"/>
  <c r="Y2143" i="34"/>
  <c r="Z2143" i="34"/>
  <c r="N2144" i="34"/>
  <c r="O2144" i="34"/>
  <c r="P2144" i="34"/>
  <c r="Q2144" i="34"/>
  <c r="R2144" i="34"/>
  <c r="S2144" i="34"/>
  <c r="T2144" i="34"/>
  <c r="U2144" i="34"/>
  <c r="V2144" i="34"/>
  <c r="W2144" i="34"/>
  <c r="X2144" i="34"/>
  <c r="Y2144" i="34"/>
  <c r="Z2144" i="34"/>
  <c r="N2145" i="34"/>
  <c r="O2145" i="34"/>
  <c r="P2145" i="34"/>
  <c r="Q2145" i="34"/>
  <c r="R2145" i="34"/>
  <c r="S2145" i="34"/>
  <c r="T2145" i="34"/>
  <c r="U2145" i="34"/>
  <c r="V2145" i="34"/>
  <c r="W2145" i="34"/>
  <c r="X2145" i="34"/>
  <c r="Y2145" i="34"/>
  <c r="Z2145" i="34"/>
  <c r="N2146" i="34"/>
  <c r="O2146" i="34"/>
  <c r="P2146" i="34"/>
  <c r="Q2146" i="34"/>
  <c r="R2146" i="34"/>
  <c r="S2146" i="34"/>
  <c r="T2146" i="34"/>
  <c r="U2146" i="34"/>
  <c r="V2146" i="34"/>
  <c r="W2146" i="34"/>
  <c r="X2146" i="34"/>
  <c r="Y2146" i="34"/>
  <c r="Z2146" i="34"/>
  <c r="N2147" i="34"/>
  <c r="O2147" i="34"/>
  <c r="P2147" i="34"/>
  <c r="Q2147" i="34"/>
  <c r="R2147" i="34"/>
  <c r="S2147" i="34"/>
  <c r="T2147" i="34"/>
  <c r="U2147" i="34"/>
  <c r="V2147" i="34"/>
  <c r="W2147" i="34"/>
  <c r="X2147" i="34"/>
  <c r="Y2147" i="34"/>
  <c r="Z2147" i="34"/>
  <c r="N2148" i="34"/>
  <c r="O2148" i="34"/>
  <c r="P2148" i="34"/>
  <c r="Q2148" i="34"/>
  <c r="R2148" i="34"/>
  <c r="S2148" i="34"/>
  <c r="T2148" i="34"/>
  <c r="U2148" i="34"/>
  <c r="V2148" i="34"/>
  <c r="W2148" i="34"/>
  <c r="X2148" i="34"/>
  <c r="Y2148" i="34"/>
  <c r="Z2148" i="34"/>
  <c r="N2149" i="34"/>
  <c r="O2149" i="34"/>
  <c r="P2149" i="34"/>
  <c r="Q2149" i="34"/>
  <c r="R2149" i="34"/>
  <c r="S2149" i="34"/>
  <c r="T2149" i="34"/>
  <c r="U2149" i="34"/>
  <c r="V2149" i="34"/>
  <c r="W2149" i="34"/>
  <c r="X2149" i="34"/>
  <c r="Y2149" i="34"/>
  <c r="Z2149" i="34"/>
  <c r="N2150" i="34"/>
  <c r="O2150" i="34"/>
  <c r="P2150" i="34"/>
  <c r="Q2150" i="34"/>
  <c r="R2150" i="34"/>
  <c r="S2150" i="34"/>
  <c r="T2150" i="34"/>
  <c r="U2150" i="34"/>
  <c r="V2150" i="34"/>
  <c r="W2150" i="34"/>
  <c r="X2150" i="34"/>
  <c r="Y2150" i="34"/>
  <c r="Z2150" i="34"/>
  <c r="N2151" i="34"/>
  <c r="O2151" i="34"/>
  <c r="P2151" i="34"/>
  <c r="Q2151" i="34"/>
  <c r="R2151" i="34"/>
  <c r="S2151" i="34"/>
  <c r="T2151" i="34"/>
  <c r="U2151" i="34"/>
  <c r="V2151" i="34"/>
  <c r="W2151" i="34"/>
  <c r="X2151" i="34"/>
  <c r="Y2151" i="34"/>
  <c r="Z2151" i="34"/>
  <c r="N2152" i="34"/>
  <c r="O2152" i="34"/>
  <c r="P2152" i="34"/>
  <c r="Q2152" i="34"/>
  <c r="R2152" i="34"/>
  <c r="S2152" i="34"/>
  <c r="T2152" i="34"/>
  <c r="U2152" i="34"/>
  <c r="V2152" i="34"/>
  <c r="W2152" i="34"/>
  <c r="X2152" i="34"/>
  <c r="Y2152" i="34"/>
  <c r="Z2152" i="34"/>
  <c r="N2153" i="34"/>
  <c r="O2153" i="34"/>
  <c r="P2153" i="34"/>
  <c r="Q2153" i="34"/>
  <c r="R2153" i="34"/>
  <c r="S2153" i="34"/>
  <c r="T2153" i="34"/>
  <c r="U2153" i="34"/>
  <c r="V2153" i="34"/>
  <c r="W2153" i="34"/>
  <c r="X2153" i="34"/>
  <c r="Y2153" i="34"/>
  <c r="Z2153" i="34"/>
  <c r="N2154" i="34"/>
  <c r="O2154" i="34"/>
  <c r="P2154" i="34"/>
  <c r="Q2154" i="34"/>
  <c r="R2154" i="34"/>
  <c r="S2154" i="34"/>
  <c r="T2154" i="34"/>
  <c r="U2154" i="34"/>
  <c r="V2154" i="34"/>
  <c r="W2154" i="34"/>
  <c r="X2154" i="34"/>
  <c r="Y2154" i="34"/>
  <c r="Z2154" i="34"/>
  <c r="N2155" i="34"/>
  <c r="O2155" i="34"/>
  <c r="P2155" i="34"/>
  <c r="Q2155" i="34"/>
  <c r="R2155" i="34"/>
  <c r="S2155" i="34"/>
  <c r="T2155" i="34"/>
  <c r="U2155" i="34"/>
  <c r="V2155" i="34"/>
  <c r="W2155" i="34"/>
  <c r="X2155" i="34"/>
  <c r="Y2155" i="34"/>
  <c r="Z2155" i="34"/>
  <c r="N2156" i="34"/>
  <c r="O2156" i="34"/>
  <c r="P2156" i="34"/>
  <c r="Q2156" i="34"/>
  <c r="R2156" i="34"/>
  <c r="S2156" i="34"/>
  <c r="T2156" i="34"/>
  <c r="U2156" i="34"/>
  <c r="V2156" i="34"/>
  <c r="W2156" i="34"/>
  <c r="X2156" i="34"/>
  <c r="Y2156" i="34"/>
  <c r="Z2156" i="34"/>
  <c r="N2157" i="34"/>
  <c r="O2157" i="34"/>
  <c r="P2157" i="34"/>
  <c r="Q2157" i="34"/>
  <c r="R2157" i="34"/>
  <c r="S2157" i="34"/>
  <c r="T2157" i="34"/>
  <c r="U2157" i="34"/>
  <c r="V2157" i="34"/>
  <c r="W2157" i="34"/>
  <c r="X2157" i="34"/>
  <c r="Y2157" i="34"/>
  <c r="Z2157" i="34"/>
  <c r="N2158" i="34"/>
  <c r="O2158" i="34"/>
  <c r="P2158" i="34"/>
  <c r="Q2158" i="34"/>
  <c r="R2158" i="34"/>
  <c r="S2158" i="34"/>
  <c r="T2158" i="34"/>
  <c r="U2158" i="34"/>
  <c r="V2158" i="34"/>
  <c r="W2158" i="34"/>
  <c r="X2158" i="34"/>
  <c r="Y2158" i="34"/>
  <c r="Z2158" i="34"/>
  <c r="N2159" i="34"/>
  <c r="O2159" i="34"/>
  <c r="P2159" i="34"/>
  <c r="Q2159" i="34"/>
  <c r="R2159" i="34"/>
  <c r="S2159" i="34"/>
  <c r="T2159" i="34"/>
  <c r="U2159" i="34"/>
  <c r="V2159" i="34"/>
  <c r="W2159" i="34"/>
  <c r="X2159" i="34"/>
  <c r="Y2159" i="34"/>
  <c r="Z2159" i="34"/>
  <c r="N2160" i="34"/>
  <c r="O2160" i="34"/>
  <c r="P2160" i="34"/>
  <c r="Q2160" i="34"/>
  <c r="R2160" i="34"/>
  <c r="S2160" i="34"/>
  <c r="T2160" i="34"/>
  <c r="U2160" i="34"/>
  <c r="V2160" i="34"/>
  <c r="W2160" i="34"/>
  <c r="X2160" i="34"/>
  <c r="Y2160" i="34"/>
  <c r="Z2160" i="34"/>
  <c r="N2161" i="34"/>
  <c r="O2161" i="34"/>
  <c r="P2161" i="34"/>
  <c r="Q2161" i="34"/>
  <c r="R2161" i="34"/>
  <c r="S2161" i="34"/>
  <c r="T2161" i="34"/>
  <c r="U2161" i="34"/>
  <c r="V2161" i="34"/>
  <c r="W2161" i="34"/>
  <c r="X2161" i="34"/>
  <c r="Y2161" i="34"/>
  <c r="Z2161" i="34"/>
  <c r="N2162" i="34"/>
  <c r="O2162" i="34"/>
  <c r="P2162" i="34"/>
  <c r="Q2162" i="34"/>
  <c r="R2162" i="34"/>
  <c r="S2162" i="34"/>
  <c r="T2162" i="34"/>
  <c r="U2162" i="34"/>
  <c r="V2162" i="34"/>
  <c r="W2162" i="34"/>
  <c r="X2162" i="34"/>
  <c r="Y2162" i="34"/>
  <c r="Z2162" i="34"/>
  <c r="N2163" i="34"/>
  <c r="O2163" i="34"/>
  <c r="P2163" i="34"/>
  <c r="Q2163" i="34"/>
  <c r="R2163" i="34"/>
  <c r="S2163" i="34"/>
  <c r="T2163" i="34"/>
  <c r="U2163" i="34"/>
  <c r="V2163" i="34"/>
  <c r="W2163" i="34"/>
  <c r="X2163" i="34"/>
  <c r="Y2163" i="34"/>
  <c r="Z2163" i="34"/>
  <c r="N2164" i="34"/>
  <c r="O2164" i="34"/>
  <c r="P2164" i="34"/>
  <c r="Q2164" i="34"/>
  <c r="R2164" i="34"/>
  <c r="S2164" i="34"/>
  <c r="T2164" i="34"/>
  <c r="U2164" i="34"/>
  <c r="V2164" i="34"/>
  <c r="W2164" i="34"/>
  <c r="X2164" i="34"/>
  <c r="Y2164" i="34"/>
  <c r="Z2164" i="34"/>
  <c r="N2165" i="34"/>
  <c r="O2165" i="34"/>
  <c r="P2165" i="34"/>
  <c r="Q2165" i="34"/>
  <c r="R2165" i="34"/>
  <c r="S2165" i="34"/>
  <c r="T2165" i="34"/>
  <c r="U2165" i="34"/>
  <c r="V2165" i="34"/>
  <c r="W2165" i="34"/>
  <c r="X2165" i="34"/>
  <c r="Y2165" i="34"/>
  <c r="Z2165" i="34"/>
  <c r="N2166" i="34"/>
  <c r="O2166" i="34"/>
  <c r="P2166" i="34"/>
  <c r="Q2166" i="34"/>
  <c r="R2166" i="34"/>
  <c r="S2166" i="34"/>
  <c r="T2166" i="34"/>
  <c r="U2166" i="34"/>
  <c r="V2166" i="34"/>
  <c r="W2166" i="34"/>
  <c r="X2166" i="34"/>
  <c r="Y2166" i="34"/>
  <c r="Z2166" i="34"/>
  <c r="N2167" i="34"/>
  <c r="O2167" i="34"/>
  <c r="P2167" i="34"/>
  <c r="Q2167" i="34"/>
  <c r="R2167" i="34"/>
  <c r="S2167" i="34"/>
  <c r="T2167" i="34"/>
  <c r="U2167" i="34"/>
  <c r="V2167" i="34"/>
  <c r="W2167" i="34"/>
  <c r="X2167" i="34"/>
  <c r="Y2167" i="34"/>
  <c r="Z2167" i="34"/>
  <c r="N2168" i="34"/>
  <c r="O2168" i="34"/>
  <c r="P2168" i="34"/>
  <c r="Q2168" i="34"/>
  <c r="R2168" i="34"/>
  <c r="S2168" i="34"/>
  <c r="T2168" i="34"/>
  <c r="U2168" i="34"/>
  <c r="V2168" i="34"/>
  <c r="W2168" i="34"/>
  <c r="X2168" i="34"/>
  <c r="Y2168" i="34"/>
  <c r="Z2168" i="34"/>
  <c r="N2169" i="34"/>
  <c r="O2169" i="34"/>
  <c r="P2169" i="34"/>
  <c r="Q2169" i="34"/>
  <c r="R2169" i="34"/>
  <c r="S2169" i="34"/>
  <c r="T2169" i="34"/>
  <c r="U2169" i="34"/>
  <c r="V2169" i="34"/>
  <c r="W2169" i="34"/>
  <c r="X2169" i="34"/>
  <c r="Y2169" i="34"/>
  <c r="Z2169" i="34"/>
  <c r="N2170" i="34"/>
  <c r="O2170" i="34"/>
  <c r="P2170" i="34"/>
  <c r="Q2170" i="34"/>
  <c r="R2170" i="34"/>
  <c r="S2170" i="34"/>
  <c r="T2170" i="34"/>
  <c r="U2170" i="34"/>
  <c r="V2170" i="34"/>
  <c r="W2170" i="34"/>
  <c r="X2170" i="34"/>
  <c r="Y2170" i="34"/>
  <c r="Z2170" i="34"/>
  <c r="N2171" i="34"/>
  <c r="O2171" i="34"/>
  <c r="P2171" i="34"/>
  <c r="Q2171" i="34"/>
  <c r="R2171" i="34"/>
  <c r="S2171" i="34"/>
  <c r="T2171" i="34"/>
  <c r="U2171" i="34"/>
  <c r="V2171" i="34"/>
  <c r="W2171" i="34"/>
  <c r="X2171" i="34"/>
  <c r="Y2171" i="34"/>
  <c r="Z2171" i="34"/>
  <c r="N2172" i="34"/>
  <c r="O2172" i="34"/>
  <c r="P2172" i="34"/>
  <c r="Q2172" i="34"/>
  <c r="R2172" i="34"/>
  <c r="S2172" i="34"/>
  <c r="T2172" i="34"/>
  <c r="U2172" i="34"/>
  <c r="V2172" i="34"/>
  <c r="W2172" i="34"/>
  <c r="X2172" i="34"/>
  <c r="Y2172" i="34"/>
  <c r="Z2172" i="34"/>
  <c r="N2173" i="34"/>
  <c r="O2173" i="34"/>
  <c r="P2173" i="34"/>
  <c r="Q2173" i="34"/>
  <c r="R2173" i="34"/>
  <c r="S2173" i="34"/>
  <c r="T2173" i="34"/>
  <c r="U2173" i="34"/>
  <c r="V2173" i="34"/>
  <c r="W2173" i="34"/>
  <c r="X2173" i="34"/>
  <c r="Y2173" i="34"/>
  <c r="Z2173" i="34"/>
  <c r="N2174" i="34"/>
  <c r="O2174" i="34"/>
  <c r="P2174" i="34"/>
  <c r="Q2174" i="34"/>
  <c r="R2174" i="34"/>
  <c r="S2174" i="34"/>
  <c r="T2174" i="34"/>
  <c r="U2174" i="34"/>
  <c r="V2174" i="34"/>
  <c r="W2174" i="34"/>
  <c r="X2174" i="34"/>
  <c r="Y2174" i="34"/>
  <c r="Z2174" i="34"/>
  <c r="N2175" i="34"/>
  <c r="O2175" i="34"/>
  <c r="P2175" i="34"/>
  <c r="Q2175" i="34"/>
  <c r="R2175" i="34"/>
  <c r="S2175" i="34"/>
  <c r="T2175" i="34"/>
  <c r="U2175" i="34"/>
  <c r="V2175" i="34"/>
  <c r="W2175" i="34"/>
  <c r="X2175" i="34"/>
  <c r="Y2175" i="34"/>
  <c r="Z2175" i="34"/>
  <c r="N2176" i="34"/>
  <c r="O2176" i="34"/>
  <c r="P2176" i="34"/>
  <c r="Q2176" i="34"/>
  <c r="R2176" i="34"/>
  <c r="S2176" i="34"/>
  <c r="T2176" i="34"/>
  <c r="U2176" i="34"/>
  <c r="V2176" i="34"/>
  <c r="W2176" i="34"/>
  <c r="X2176" i="34"/>
  <c r="Y2176" i="34"/>
  <c r="Z2176" i="34"/>
  <c r="N2177" i="34"/>
  <c r="O2177" i="34"/>
  <c r="P2177" i="34"/>
  <c r="Q2177" i="34"/>
  <c r="R2177" i="34"/>
  <c r="S2177" i="34"/>
  <c r="T2177" i="34"/>
  <c r="U2177" i="34"/>
  <c r="V2177" i="34"/>
  <c r="W2177" i="34"/>
  <c r="X2177" i="34"/>
  <c r="Y2177" i="34"/>
  <c r="Z2177" i="34"/>
  <c r="N2178" i="34"/>
  <c r="O2178" i="34"/>
  <c r="P2178" i="34"/>
  <c r="Q2178" i="34"/>
  <c r="R2178" i="34"/>
  <c r="S2178" i="34"/>
  <c r="T2178" i="34"/>
  <c r="U2178" i="34"/>
  <c r="V2178" i="34"/>
  <c r="W2178" i="34"/>
  <c r="X2178" i="34"/>
  <c r="Y2178" i="34"/>
  <c r="Z2178" i="34"/>
  <c r="N2179" i="34"/>
  <c r="O2179" i="34"/>
  <c r="P2179" i="34"/>
  <c r="Q2179" i="34"/>
  <c r="R2179" i="34"/>
  <c r="S2179" i="34"/>
  <c r="T2179" i="34"/>
  <c r="U2179" i="34"/>
  <c r="V2179" i="34"/>
  <c r="W2179" i="34"/>
  <c r="X2179" i="34"/>
  <c r="Y2179" i="34"/>
  <c r="Z2179" i="34"/>
  <c r="N2180" i="34"/>
  <c r="O2180" i="34"/>
  <c r="P2180" i="34"/>
  <c r="Q2180" i="34"/>
  <c r="R2180" i="34"/>
  <c r="S2180" i="34"/>
  <c r="T2180" i="34"/>
  <c r="U2180" i="34"/>
  <c r="V2180" i="34"/>
  <c r="W2180" i="34"/>
  <c r="X2180" i="34"/>
  <c r="Y2180" i="34"/>
  <c r="Z2180" i="34"/>
  <c r="N2181" i="34"/>
  <c r="O2181" i="34"/>
  <c r="P2181" i="34"/>
  <c r="Q2181" i="34"/>
  <c r="R2181" i="34"/>
  <c r="S2181" i="34"/>
  <c r="T2181" i="34"/>
  <c r="U2181" i="34"/>
  <c r="V2181" i="34"/>
  <c r="W2181" i="34"/>
  <c r="X2181" i="34"/>
  <c r="Y2181" i="34"/>
  <c r="Z2181" i="34"/>
  <c r="N2182" i="34"/>
  <c r="O2182" i="34"/>
  <c r="P2182" i="34"/>
  <c r="Q2182" i="34"/>
  <c r="R2182" i="34"/>
  <c r="S2182" i="34"/>
  <c r="T2182" i="34"/>
  <c r="U2182" i="34"/>
  <c r="V2182" i="34"/>
  <c r="W2182" i="34"/>
  <c r="X2182" i="34"/>
  <c r="Y2182" i="34"/>
  <c r="Z2182" i="34"/>
  <c r="N2183" i="34"/>
  <c r="O2183" i="34"/>
  <c r="P2183" i="34"/>
  <c r="Q2183" i="34"/>
  <c r="R2183" i="34"/>
  <c r="S2183" i="34"/>
  <c r="T2183" i="34"/>
  <c r="U2183" i="34"/>
  <c r="V2183" i="34"/>
  <c r="W2183" i="34"/>
  <c r="X2183" i="34"/>
  <c r="Y2183" i="34"/>
  <c r="Z2183" i="34"/>
  <c r="N2184" i="34"/>
  <c r="O2184" i="34"/>
  <c r="P2184" i="34"/>
  <c r="Q2184" i="34"/>
  <c r="R2184" i="34"/>
  <c r="S2184" i="34"/>
  <c r="T2184" i="34"/>
  <c r="U2184" i="34"/>
  <c r="V2184" i="34"/>
  <c r="W2184" i="34"/>
  <c r="X2184" i="34"/>
  <c r="Y2184" i="34"/>
  <c r="Z2184" i="34"/>
  <c r="N2185" i="34"/>
  <c r="O2185" i="34"/>
  <c r="P2185" i="34"/>
  <c r="Q2185" i="34"/>
  <c r="R2185" i="34"/>
  <c r="S2185" i="34"/>
  <c r="T2185" i="34"/>
  <c r="U2185" i="34"/>
  <c r="V2185" i="34"/>
  <c r="W2185" i="34"/>
  <c r="X2185" i="34"/>
  <c r="Y2185" i="34"/>
  <c r="Z2185" i="34"/>
  <c r="N2186" i="34"/>
  <c r="O2186" i="34"/>
  <c r="P2186" i="34"/>
  <c r="Q2186" i="34"/>
  <c r="R2186" i="34"/>
  <c r="S2186" i="34"/>
  <c r="T2186" i="34"/>
  <c r="U2186" i="34"/>
  <c r="V2186" i="34"/>
  <c r="W2186" i="34"/>
  <c r="X2186" i="34"/>
  <c r="Y2186" i="34"/>
  <c r="Z2186" i="34"/>
  <c r="N2187" i="34"/>
  <c r="O2187" i="34"/>
  <c r="P2187" i="34"/>
  <c r="Q2187" i="34"/>
  <c r="R2187" i="34"/>
  <c r="S2187" i="34"/>
  <c r="T2187" i="34"/>
  <c r="U2187" i="34"/>
  <c r="V2187" i="34"/>
  <c r="W2187" i="34"/>
  <c r="X2187" i="34"/>
  <c r="Y2187" i="34"/>
  <c r="Z2187" i="34"/>
  <c r="N2188" i="34"/>
  <c r="O2188" i="34"/>
  <c r="P2188" i="34"/>
  <c r="Q2188" i="34"/>
  <c r="R2188" i="34"/>
  <c r="S2188" i="34"/>
  <c r="T2188" i="34"/>
  <c r="U2188" i="34"/>
  <c r="V2188" i="34"/>
  <c r="W2188" i="34"/>
  <c r="X2188" i="34"/>
  <c r="Y2188" i="34"/>
  <c r="Z2188" i="34"/>
  <c r="N2189" i="34"/>
  <c r="O2189" i="34"/>
  <c r="P2189" i="34"/>
  <c r="Q2189" i="34"/>
  <c r="R2189" i="34"/>
  <c r="S2189" i="34"/>
  <c r="T2189" i="34"/>
  <c r="U2189" i="34"/>
  <c r="V2189" i="34"/>
  <c r="W2189" i="34"/>
  <c r="X2189" i="34"/>
  <c r="Y2189" i="34"/>
  <c r="Z2189" i="34"/>
  <c r="N2190" i="34"/>
  <c r="O2190" i="34"/>
  <c r="P2190" i="34"/>
  <c r="Q2190" i="34"/>
  <c r="R2190" i="34"/>
  <c r="S2190" i="34"/>
  <c r="T2190" i="34"/>
  <c r="U2190" i="34"/>
  <c r="V2190" i="34"/>
  <c r="W2190" i="34"/>
  <c r="X2190" i="34"/>
  <c r="Y2190" i="34"/>
  <c r="Z2190" i="34"/>
  <c r="N2191" i="34"/>
  <c r="O2191" i="34"/>
  <c r="P2191" i="34"/>
  <c r="Q2191" i="34"/>
  <c r="R2191" i="34"/>
  <c r="S2191" i="34"/>
  <c r="T2191" i="34"/>
  <c r="U2191" i="34"/>
  <c r="V2191" i="34"/>
  <c r="W2191" i="34"/>
  <c r="X2191" i="34"/>
  <c r="Y2191" i="34"/>
  <c r="Z2191" i="34"/>
  <c r="N2192" i="34"/>
  <c r="O2192" i="34"/>
  <c r="P2192" i="34"/>
  <c r="Q2192" i="34"/>
  <c r="R2192" i="34"/>
  <c r="S2192" i="34"/>
  <c r="T2192" i="34"/>
  <c r="U2192" i="34"/>
  <c r="V2192" i="34"/>
  <c r="W2192" i="34"/>
  <c r="X2192" i="34"/>
  <c r="Y2192" i="34"/>
  <c r="Z2192" i="34"/>
  <c r="N2193" i="34"/>
  <c r="O2193" i="34"/>
  <c r="P2193" i="34"/>
  <c r="Q2193" i="34"/>
  <c r="R2193" i="34"/>
  <c r="S2193" i="34"/>
  <c r="T2193" i="34"/>
  <c r="U2193" i="34"/>
  <c r="V2193" i="34"/>
  <c r="W2193" i="34"/>
  <c r="X2193" i="34"/>
  <c r="Y2193" i="34"/>
  <c r="Z2193" i="34"/>
  <c r="N2194" i="34"/>
  <c r="O2194" i="34"/>
  <c r="P2194" i="34"/>
  <c r="Q2194" i="34"/>
  <c r="R2194" i="34"/>
  <c r="S2194" i="34"/>
  <c r="T2194" i="34"/>
  <c r="U2194" i="34"/>
  <c r="V2194" i="34"/>
  <c r="W2194" i="34"/>
  <c r="X2194" i="34"/>
  <c r="Y2194" i="34"/>
  <c r="Z2194" i="34"/>
  <c r="N2195" i="34"/>
  <c r="O2195" i="34"/>
  <c r="P2195" i="34"/>
  <c r="Q2195" i="34"/>
  <c r="R2195" i="34"/>
  <c r="S2195" i="34"/>
  <c r="T2195" i="34"/>
  <c r="U2195" i="34"/>
  <c r="V2195" i="34"/>
  <c r="W2195" i="34"/>
  <c r="X2195" i="34"/>
  <c r="Y2195" i="34"/>
  <c r="Z2195" i="34"/>
  <c r="N2196" i="34"/>
  <c r="O2196" i="34"/>
  <c r="P2196" i="34"/>
  <c r="Q2196" i="34"/>
  <c r="R2196" i="34"/>
  <c r="S2196" i="34"/>
  <c r="T2196" i="34"/>
  <c r="U2196" i="34"/>
  <c r="V2196" i="34"/>
  <c r="W2196" i="34"/>
  <c r="X2196" i="34"/>
  <c r="Y2196" i="34"/>
  <c r="Z2196" i="34"/>
  <c r="N2197" i="34"/>
  <c r="O2197" i="34"/>
  <c r="P2197" i="34"/>
  <c r="Q2197" i="34"/>
  <c r="R2197" i="34"/>
  <c r="S2197" i="34"/>
  <c r="T2197" i="34"/>
  <c r="U2197" i="34"/>
  <c r="V2197" i="34"/>
  <c r="W2197" i="34"/>
  <c r="X2197" i="34"/>
  <c r="Y2197" i="34"/>
  <c r="Z2197" i="34"/>
  <c r="N2198" i="34"/>
  <c r="O2198" i="34"/>
  <c r="P2198" i="34"/>
  <c r="Q2198" i="34"/>
  <c r="R2198" i="34"/>
  <c r="S2198" i="34"/>
  <c r="T2198" i="34"/>
  <c r="U2198" i="34"/>
  <c r="V2198" i="34"/>
  <c r="W2198" i="34"/>
  <c r="X2198" i="34"/>
  <c r="Y2198" i="34"/>
  <c r="Z2198" i="34"/>
  <c r="N2199" i="34"/>
  <c r="O2199" i="34"/>
  <c r="P2199" i="34"/>
  <c r="Q2199" i="34"/>
  <c r="R2199" i="34"/>
  <c r="S2199" i="34"/>
  <c r="T2199" i="34"/>
  <c r="U2199" i="34"/>
  <c r="V2199" i="34"/>
  <c r="W2199" i="34"/>
  <c r="X2199" i="34"/>
  <c r="Y2199" i="34"/>
  <c r="Z2199" i="34"/>
  <c r="N2200" i="34"/>
  <c r="O2200" i="34"/>
  <c r="P2200" i="34"/>
  <c r="Q2200" i="34"/>
  <c r="R2200" i="34"/>
  <c r="S2200" i="34"/>
  <c r="T2200" i="34"/>
  <c r="U2200" i="34"/>
  <c r="V2200" i="34"/>
  <c r="W2200" i="34"/>
  <c r="X2200" i="34"/>
  <c r="Y2200" i="34"/>
  <c r="Z2200" i="34"/>
  <c r="N2201" i="34"/>
  <c r="O2201" i="34"/>
  <c r="P2201" i="34"/>
  <c r="Q2201" i="34"/>
  <c r="R2201" i="34"/>
  <c r="S2201" i="34"/>
  <c r="T2201" i="34"/>
  <c r="U2201" i="34"/>
  <c r="V2201" i="34"/>
  <c r="W2201" i="34"/>
  <c r="X2201" i="34"/>
  <c r="Y2201" i="34"/>
  <c r="Z2201" i="34"/>
  <c r="N2202" i="34"/>
  <c r="O2202" i="34"/>
  <c r="P2202" i="34"/>
  <c r="Q2202" i="34"/>
  <c r="R2202" i="34"/>
  <c r="S2202" i="34"/>
  <c r="T2202" i="34"/>
  <c r="U2202" i="34"/>
  <c r="V2202" i="34"/>
  <c r="W2202" i="34"/>
  <c r="X2202" i="34"/>
  <c r="Y2202" i="34"/>
  <c r="Z2202" i="34"/>
  <c r="N2203" i="34"/>
  <c r="O2203" i="34"/>
  <c r="P2203" i="34"/>
  <c r="Q2203" i="34"/>
  <c r="R2203" i="34"/>
  <c r="S2203" i="34"/>
  <c r="T2203" i="34"/>
  <c r="U2203" i="34"/>
  <c r="V2203" i="34"/>
  <c r="W2203" i="34"/>
  <c r="X2203" i="34"/>
  <c r="Y2203" i="34"/>
  <c r="Z2203" i="34"/>
  <c r="N2204" i="34"/>
  <c r="O2204" i="34"/>
  <c r="P2204" i="34"/>
  <c r="Q2204" i="34"/>
  <c r="R2204" i="34"/>
  <c r="S2204" i="34"/>
  <c r="T2204" i="34"/>
  <c r="U2204" i="34"/>
  <c r="V2204" i="34"/>
  <c r="W2204" i="34"/>
  <c r="X2204" i="34"/>
  <c r="Y2204" i="34"/>
  <c r="Z2204" i="34"/>
  <c r="N2205" i="34"/>
  <c r="O2205" i="34"/>
  <c r="P2205" i="34"/>
  <c r="Q2205" i="34"/>
  <c r="R2205" i="34"/>
  <c r="S2205" i="34"/>
  <c r="T2205" i="34"/>
  <c r="U2205" i="34"/>
  <c r="V2205" i="34"/>
  <c r="W2205" i="34"/>
  <c r="X2205" i="34"/>
  <c r="Y2205" i="34"/>
  <c r="Z2205" i="34"/>
  <c r="N2206" i="34"/>
  <c r="O2206" i="34"/>
  <c r="P2206" i="34"/>
  <c r="Q2206" i="34"/>
  <c r="R2206" i="34"/>
  <c r="S2206" i="34"/>
  <c r="T2206" i="34"/>
  <c r="U2206" i="34"/>
  <c r="V2206" i="34"/>
  <c r="W2206" i="34"/>
  <c r="X2206" i="34"/>
  <c r="Y2206" i="34"/>
  <c r="Z2206" i="34"/>
  <c r="N2207" i="34"/>
  <c r="O2207" i="34"/>
  <c r="P2207" i="34"/>
  <c r="Q2207" i="34"/>
  <c r="R2207" i="34"/>
  <c r="S2207" i="34"/>
  <c r="T2207" i="34"/>
  <c r="U2207" i="34"/>
  <c r="V2207" i="34"/>
  <c r="W2207" i="34"/>
  <c r="X2207" i="34"/>
  <c r="Y2207" i="34"/>
  <c r="Z2207" i="34"/>
  <c r="N2208" i="34"/>
  <c r="O2208" i="34"/>
  <c r="P2208" i="34"/>
  <c r="Q2208" i="34"/>
  <c r="R2208" i="34"/>
  <c r="S2208" i="34"/>
  <c r="T2208" i="34"/>
  <c r="U2208" i="34"/>
  <c r="V2208" i="34"/>
  <c r="W2208" i="34"/>
  <c r="X2208" i="34"/>
  <c r="Y2208" i="34"/>
  <c r="Z2208" i="34"/>
  <c r="N2209" i="34"/>
  <c r="O2209" i="34"/>
  <c r="P2209" i="34"/>
  <c r="Q2209" i="34"/>
  <c r="R2209" i="34"/>
  <c r="S2209" i="34"/>
  <c r="T2209" i="34"/>
  <c r="U2209" i="34"/>
  <c r="V2209" i="34"/>
  <c r="W2209" i="34"/>
  <c r="X2209" i="34"/>
  <c r="Y2209" i="34"/>
  <c r="Z2209" i="34"/>
  <c r="N2210" i="34"/>
  <c r="O2210" i="34"/>
  <c r="P2210" i="34"/>
  <c r="Q2210" i="34"/>
  <c r="R2210" i="34"/>
  <c r="S2210" i="34"/>
  <c r="T2210" i="34"/>
  <c r="U2210" i="34"/>
  <c r="V2210" i="34"/>
  <c r="W2210" i="34"/>
  <c r="X2210" i="34"/>
  <c r="Y2210" i="34"/>
  <c r="Z2210" i="34"/>
  <c r="N2211" i="34"/>
  <c r="O2211" i="34"/>
  <c r="P2211" i="34"/>
  <c r="Q2211" i="34"/>
  <c r="R2211" i="34"/>
  <c r="S2211" i="34"/>
  <c r="T2211" i="34"/>
  <c r="U2211" i="34"/>
  <c r="V2211" i="34"/>
  <c r="W2211" i="34"/>
  <c r="X2211" i="34"/>
  <c r="Y2211" i="34"/>
  <c r="Z2211" i="34"/>
  <c r="N2212" i="34"/>
  <c r="O2212" i="34"/>
  <c r="P2212" i="34"/>
  <c r="Q2212" i="34"/>
  <c r="R2212" i="34"/>
  <c r="S2212" i="34"/>
  <c r="T2212" i="34"/>
  <c r="U2212" i="34"/>
  <c r="V2212" i="34"/>
  <c r="W2212" i="34"/>
  <c r="X2212" i="34"/>
  <c r="Y2212" i="34"/>
  <c r="Z2212" i="34"/>
  <c r="N2213" i="34"/>
  <c r="O2213" i="34"/>
  <c r="P2213" i="34"/>
  <c r="Q2213" i="34"/>
  <c r="R2213" i="34"/>
  <c r="S2213" i="34"/>
  <c r="T2213" i="34"/>
  <c r="U2213" i="34"/>
  <c r="V2213" i="34"/>
  <c r="W2213" i="34"/>
  <c r="X2213" i="34"/>
  <c r="Y2213" i="34"/>
  <c r="Z2213" i="34"/>
  <c r="N2214" i="34"/>
  <c r="O2214" i="34"/>
  <c r="P2214" i="34"/>
  <c r="Q2214" i="34"/>
  <c r="R2214" i="34"/>
  <c r="S2214" i="34"/>
  <c r="T2214" i="34"/>
  <c r="U2214" i="34"/>
  <c r="V2214" i="34"/>
  <c r="W2214" i="34"/>
  <c r="X2214" i="34"/>
  <c r="Y2214" i="34"/>
  <c r="Z2214" i="34"/>
  <c r="N2215" i="34"/>
  <c r="O2215" i="34"/>
  <c r="P2215" i="34"/>
  <c r="Q2215" i="34"/>
  <c r="R2215" i="34"/>
  <c r="S2215" i="34"/>
  <c r="T2215" i="34"/>
  <c r="U2215" i="34"/>
  <c r="V2215" i="34"/>
  <c r="W2215" i="34"/>
  <c r="X2215" i="34"/>
  <c r="Y2215" i="34"/>
  <c r="Z2215" i="34"/>
  <c r="N2216" i="34"/>
  <c r="O2216" i="34"/>
  <c r="P2216" i="34"/>
  <c r="Q2216" i="34"/>
  <c r="R2216" i="34"/>
  <c r="S2216" i="34"/>
  <c r="T2216" i="34"/>
  <c r="U2216" i="34"/>
  <c r="V2216" i="34"/>
  <c r="W2216" i="34"/>
  <c r="X2216" i="34"/>
  <c r="Y2216" i="34"/>
  <c r="Z2216" i="34"/>
  <c r="N2217" i="34"/>
  <c r="O2217" i="34"/>
  <c r="P2217" i="34"/>
  <c r="Q2217" i="34"/>
  <c r="R2217" i="34"/>
  <c r="S2217" i="34"/>
  <c r="T2217" i="34"/>
  <c r="U2217" i="34"/>
  <c r="V2217" i="34"/>
  <c r="W2217" i="34"/>
  <c r="X2217" i="34"/>
  <c r="Y2217" i="34"/>
  <c r="Z2217" i="34"/>
  <c r="N2218" i="34"/>
  <c r="O2218" i="34"/>
  <c r="P2218" i="34"/>
  <c r="Q2218" i="34"/>
  <c r="R2218" i="34"/>
  <c r="S2218" i="34"/>
  <c r="T2218" i="34"/>
  <c r="U2218" i="34"/>
  <c r="V2218" i="34"/>
  <c r="W2218" i="34"/>
  <c r="X2218" i="34"/>
  <c r="Y2218" i="34"/>
  <c r="Z2218" i="34"/>
  <c r="N2219" i="34"/>
  <c r="O2219" i="34"/>
  <c r="P2219" i="34"/>
  <c r="Q2219" i="34"/>
  <c r="R2219" i="34"/>
  <c r="S2219" i="34"/>
  <c r="T2219" i="34"/>
  <c r="U2219" i="34"/>
  <c r="V2219" i="34"/>
  <c r="W2219" i="34"/>
  <c r="X2219" i="34"/>
  <c r="Y2219" i="34"/>
  <c r="Z2219" i="34"/>
  <c r="N2220" i="34"/>
  <c r="O2220" i="34"/>
  <c r="P2220" i="34"/>
  <c r="Q2220" i="34"/>
  <c r="R2220" i="34"/>
  <c r="S2220" i="34"/>
  <c r="T2220" i="34"/>
  <c r="U2220" i="34"/>
  <c r="V2220" i="34"/>
  <c r="W2220" i="34"/>
  <c r="X2220" i="34"/>
  <c r="Y2220" i="34"/>
  <c r="Z2220" i="34"/>
  <c r="N2221" i="34"/>
  <c r="O2221" i="34"/>
  <c r="P2221" i="34"/>
  <c r="Q2221" i="34"/>
  <c r="R2221" i="34"/>
  <c r="S2221" i="34"/>
  <c r="T2221" i="34"/>
  <c r="U2221" i="34"/>
  <c r="V2221" i="34"/>
  <c r="W2221" i="34"/>
  <c r="X2221" i="34"/>
  <c r="Y2221" i="34"/>
  <c r="Z2221" i="34"/>
  <c r="N2222" i="34"/>
  <c r="O2222" i="34"/>
  <c r="P2222" i="34"/>
  <c r="Q2222" i="34"/>
  <c r="R2222" i="34"/>
  <c r="S2222" i="34"/>
  <c r="T2222" i="34"/>
  <c r="U2222" i="34"/>
  <c r="V2222" i="34"/>
  <c r="W2222" i="34"/>
  <c r="X2222" i="34"/>
  <c r="Y2222" i="34"/>
  <c r="Z2222" i="34"/>
  <c r="N2223" i="34"/>
  <c r="O2223" i="34"/>
  <c r="P2223" i="34"/>
  <c r="Q2223" i="34"/>
  <c r="R2223" i="34"/>
  <c r="S2223" i="34"/>
  <c r="T2223" i="34"/>
  <c r="U2223" i="34"/>
  <c r="V2223" i="34"/>
  <c r="W2223" i="34"/>
  <c r="X2223" i="34"/>
  <c r="Y2223" i="34"/>
  <c r="Z2223" i="34"/>
  <c r="N2224" i="34"/>
  <c r="O2224" i="34"/>
  <c r="P2224" i="34"/>
  <c r="Q2224" i="34"/>
  <c r="R2224" i="34"/>
  <c r="S2224" i="34"/>
  <c r="T2224" i="34"/>
  <c r="U2224" i="34"/>
  <c r="V2224" i="34"/>
  <c r="W2224" i="34"/>
  <c r="X2224" i="34"/>
  <c r="Y2224" i="34"/>
  <c r="Z2224" i="34"/>
  <c r="N2225" i="34"/>
  <c r="O2225" i="34"/>
  <c r="P2225" i="34"/>
  <c r="Q2225" i="34"/>
  <c r="R2225" i="34"/>
  <c r="S2225" i="34"/>
  <c r="T2225" i="34"/>
  <c r="U2225" i="34"/>
  <c r="V2225" i="34"/>
  <c r="W2225" i="34"/>
  <c r="X2225" i="34"/>
  <c r="Y2225" i="34"/>
  <c r="Z2225" i="34"/>
  <c r="N2226" i="34"/>
  <c r="O2226" i="34"/>
  <c r="P2226" i="34"/>
  <c r="Q2226" i="34"/>
  <c r="R2226" i="34"/>
  <c r="S2226" i="34"/>
  <c r="T2226" i="34"/>
  <c r="U2226" i="34"/>
  <c r="V2226" i="34"/>
  <c r="W2226" i="34"/>
  <c r="X2226" i="34"/>
  <c r="Y2226" i="34"/>
  <c r="Z2226" i="34"/>
  <c r="N2227" i="34"/>
  <c r="O2227" i="34"/>
  <c r="P2227" i="34"/>
  <c r="Q2227" i="34"/>
  <c r="R2227" i="34"/>
  <c r="S2227" i="34"/>
  <c r="T2227" i="34"/>
  <c r="U2227" i="34"/>
  <c r="V2227" i="34"/>
  <c r="W2227" i="34"/>
  <c r="X2227" i="34"/>
  <c r="Y2227" i="34"/>
  <c r="Z2227" i="34"/>
  <c r="N2228" i="34"/>
  <c r="O2228" i="34"/>
  <c r="P2228" i="34"/>
  <c r="Q2228" i="34"/>
  <c r="R2228" i="34"/>
  <c r="S2228" i="34"/>
  <c r="T2228" i="34"/>
  <c r="U2228" i="34"/>
  <c r="V2228" i="34"/>
  <c r="W2228" i="34"/>
  <c r="X2228" i="34"/>
  <c r="Y2228" i="34"/>
  <c r="Z2228" i="34"/>
  <c r="N2229" i="34"/>
  <c r="O2229" i="34"/>
  <c r="P2229" i="34"/>
  <c r="Q2229" i="34"/>
  <c r="R2229" i="34"/>
  <c r="S2229" i="34"/>
  <c r="T2229" i="34"/>
  <c r="U2229" i="34"/>
  <c r="V2229" i="34"/>
  <c r="W2229" i="34"/>
  <c r="X2229" i="34"/>
  <c r="Y2229" i="34"/>
  <c r="Z2229" i="34"/>
  <c r="N2230" i="34"/>
  <c r="O2230" i="34"/>
  <c r="P2230" i="34"/>
  <c r="Q2230" i="34"/>
  <c r="R2230" i="34"/>
  <c r="S2230" i="34"/>
  <c r="T2230" i="34"/>
  <c r="U2230" i="34"/>
  <c r="V2230" i="34"/>
  <c r="W2230" i="34"/>
  <c r="X2230" i="34"/>
  <c r="Y2230" i="34"/>
  <c r="Z2230" i="34"/>
  <c r="N2231" i="34"/>
  <c r="O2231" i="34"/>
  <c r="P2231" i="34"/>
  <c r="Q2231" i="34"/>
  <c r="R2231" i="34"/>
  <c r="S2231" i="34"/>
  <c r="T2231" i="34"/>
  <c r="U2231" i="34"/>
  <c r="V2231" i="34"/>
  <c r="W2231" i="34"/>
  <c r="X2231" i="34"/>
  <c r="Y2231" i="34"/>
  <c r="Z2231" i="34"/>
  <c r="N2232" i="34"/>
  <c r="O2232" i="34"/>
  <c r="P2232" i="34"/>
  <c r="Q2232" i="34"/>
  <c r="R2232" i="34"/>
  <c r="S2232" i="34"/>
  <c r="T2232" i="34"/>
  <c r="U2232" i="34"/>
  <c r="V2232" i="34"/>
  <c r="W2232" i="34"/>
  <c r="X2232" i="34"/>
  <c r="Y2232" i="34"/>
  <c r="Z2232" i="34"/>
  <c r="N2233" i="34"/>
  <c r="O2233" i="34"/>
  <c r="P2233" i="34"/>
  <c r="Q2233" i="34"/>
  <c r="R2233" i="34"/>
  <c r="S2233" i="34"/>
  <c r="T2233" i="34"/>
  <c r="U2233" i="34"/>
  <c r="V2233" i="34"/>
  <c r="W2233" i="34"/>
  <c r="X2233" i="34"/>
  <c r="Y2233" i="34"/>
  <c r="Z2233" i="34"/>
  <c r="N2234" i="34"/>
  <c r="O2234" i="34"/>
  <c r="P2234" i="34"/>
  <c r="Q2234" i="34"/>
  <c r="R2234" i="34"/>
  <c r="S2234" i="34"/>
  <c r="T2234" i="34"/>
  <c r="U2234" i="34"/>
  <c r="V2234" i="34"/>
  <c r="W2234" i="34"/>
  <c r="X2234" i="34"/>
  <c r="Y2234" i="34"/>
  <c r="Z2234" i="34"/>
  <c r="N2235" i="34"/>
  <c r="O2235" i="34"/>
  <c r="P2235" i="34"/>
  <c r="Q2235" i="34"/>
  <c r="R2235" i="34"/>
  <c r="S2235" i="34"/>
  <c r="T2235" i="34"/>
  <c r="U2235" i="34"/>
  <c r="V2235" i="34"/>
  <c r="W2235" i="34"/>
  <c r="X2235" i="34"/>
  <c r="Y2235" i="34"/>
  <c r="Z2235" i="34"/>
  <c r="N2236" i="34"/>
  <c r="O2236" i="34"/>
  <c r="P2236" i="34"/>
  <c r="Q2236" i="34"/>
  <c r="R2236" i="34"/>
  <c r="S2236" i="34"/>
  <c r="T2236" i="34"/>
  <c r="U2236" i="34"/>
  <c r="V2236" i="34"/>
  <c r="W2236" i="34"/>
  <c r="X2236" i="34"/>
  <c r="Y2236" i="34"/>
  <c r="Z2236" i="34"/>
  <c r="N2237" i="34"/>
  <c r="O2237" i="34"/>
  <c r="P2237" i="34"/>
  <c r="Q2237" i="34"/>
  <c r="R2237" i="34"/>
  <c r="S2237" i="34"/>
  <c r="T2237" i="34"/>
  <c r="U2237" i="34"/>
  <c r="V2237" i="34"/>
  <c r="W2237" i="34"/>
  <c r="X2237" i="34"/>
  <c r="Y2237" i="34"/>
  <c r="Z2237" i="34"/>
  <c r="N2238" i="34"/>
  <c r="O2238" i="34"/>
  <c r="P2238" i="34"/>
  <c r="Q2238" i="34"/>
  <c r="R2238" i="34"/>
  <c r="S2238" i="34"/>
  <c r="T2238" i="34"/>
  <c r="U2238" i="34"/>
  <c r="V2238" i="34"/>
  <c r="W2238" i="34"/>
  <c r="X2238" i="34"/>
  <c r="Y2238" i="34"/>
  <c r="Z2238" i="34"/>
  <c r="N2239" i="34"/>
  <c r="O2239" i="34"/>
  <c r="P2239" i="34"/>
  <c r="Q2239" i="34"/>
  <c r="R2239" i="34"/>
  <c r="S2239" i="34"/>
  <c r="T2239" i="34"/>
  <c r="U2239" i="34"/>
  <c r="V2239" i="34"/>
  <c r="W2239" i="34"/>
  <c r="X2239" i="34"/>
  <c r="Y2239" i="34"/>
  <c r="Z2239" i="34"/>
  <c r="N2240" i="34"/>
  <c r="O2240" i="34"/>
  <c r="P2240" i="34"/>
  <c r="Q2240" i="34"/>
  <c r="R2240" i="34"/>
  <c r="S2240" i="34"/>
  <c r="T2240" i="34"/>
  <c r="U2240" i="34"/>
  <c r="V2240" i="34"/>
  <c r="W2240" i="34"/>
  <c r="X2240" i="34"/>
  <c r="Y2240" i="34"/>
  <c r="Z2240" i="34"/>
  <c r="N2241" i="34"/>
  <c r="O2241" i="34"/>
  <c r="P2241" i="34"/>
  <c r="Q2241" i="34"/>
  <c r="R2241" i="34"/>
  <c r="S2241" i="34"/>
  <c r="T2241" i="34"/>
  <c r="U2241" i="34"/>
  <c r="V2241" i="34"/>
  <c r="W2241" i="34"/>
  <c r="X2241" i="34"/>
  <c r="Y2241" i="34"/>
  <c r="Z2241" i="34"/>
  <c r="N2242" i="34"/>
  <c r="O2242" i="34"/>
  <c r="P2242" i="34"/>
  <c r="Q2242" i="34"/>
  <c r="R2242" i="34"/>
  <c r="S2242" i="34"/>
  <c r="T2242" i="34"/>
  <c r="U2242" i="34"/>
  <c r="V2242" i="34"/>
  <c r="W2242" i="34"/>
  <c r="X2242" i="34"/>
  <c r="Y2242" i="34"/>
  <c r="Z2242" i="34"/>
  <c r="N2243" i="34"/>
  <c r="O2243" i="34"/>
  <c r="P2243" i="34"/>
  <c r="Q2243" i="34"/>
  <c r="R2243" i="34"/>
  <c r="S2243" i="34"/>
  <c r="T2243" i="34"/>
  <c r="U2243" i="34"/>
  <c r="V2243" i="34"/>
  <c r="W2243" i="34"/>
  <c r="X2243" i="34"/>
  <c r="Y2243" i="34"/>
  <c r="Z2243" i="34"/>
  <c r="N2244" i="34"/>
  <c r="O2244" i="34"/>
  <c r="P2244" i="34"/>
  <c r="Q2244" i="34"/>
  <c r="R2244" i="34"/>
  <c r="S2244" i="34"/>
  <c r="T2244" i="34"/>
  <c r="U2244" i="34"/>
  <c r="V2244" i="34"/>
  <c r="W2244" i="34"/>
  <c r="X2244" i="34"/>
  <c r="Y2244" i="34"/>
  <c r="Z2244" i="34"/>
  <c r="N2245" i="34"/>
  <c r="O2245" i="34"/>
  <c r="P2245" i="34"/>
  <c r="Q2245" i="34"/>
  <c r="R2245" i="34"/>
  <c r="S2245" i="34"/>
  <c r="T2245" i="34"/>
  <c r="U2245" i="34"/>
  <c r="V2245" i="34"/>
  <c r="W2245" i="34"/>
  <c r="X2245" i="34"/>
  <c r="Y2245" i="34"/>
  <c r="Z2245" i="34"/>
  <c r="N2246" i="34"/>
  <c r="O2246" i="34"/>
  <c r="P2246" i="34"/>
  <c r="Q2246" i="34"/>
  <c r="R2246" i="34"/>
  <c r="S2246" i="34"/>
  <c r="T2246" i="34"/>
  <c r="U2246" i="34"/>
  <c r="V2246" i="34"/>
  <c r="W2246" i="34"/>
  <c r="X2246" i="34"/>
  <c r="Y2246" i="34"/>
  <c r="Z2246" i="34"/>
  <c r="N2247" i="34"/>
  <c r="O2247" i="34"/>
  <c r="P2247" i="34"/>
  <c r="Q2247" i="34"/>
  <c r="R2247" i="34"/>
  <c r="S2247" i="34"/>
  <c r="T2247" i="34"/>
  <c r="U2247" i="34"/>
  <c r="V2247" i="34"/>
  <c r="W2247" i="34"/>
  <c r="X2247" i="34"/>
  <c r="Y2247" i="34"/>
  <c r="Z2247" i="34"/>
  <c r="N2248" i="34"/>
  <c r="O2248" i="34"/>
  <c r="P2248" i="34"/>
  <c r="Q2248" i="34"/>
  <c r="R2248" i="34"/>
  <c r="S2248" i="34"/>
  <c r="T2248" i="34"/>
  <c r="U2248" i="34"/>
  <c r="V2248" i="34"/>
  <c r="W2248" i="34"/>
  <c r="X2248" i="34"/>
  <c r="Y2248" i="34"/>
  <c r="Z2248" i="34"/>
  <c r="N2249" i="34"/>
  <c r="O2249" i="34"/>
  <c r="P2249" i="34"/>
  <c r="Q2249" i="34"/>
  <c r="R2249" i="34"/>
  <c r="S2249" i="34"/>
  <c r="T2249" i="34"/>
  <c r="U2249" i="34"/>
  <c r="V2249" i="34"/>
  <c r="W2249" i="34"/>
  <c r="X2249" i="34"/>
  <c r="Y2249" i="34"/>
  <c r="Z2249" i="34"/>
  <c r="N2250" i="34"/>
  <c r="O2250" i="34"/>
  <c r="P2250" i="34"/>
  <c r="Q2250" i="34"/>
  <c r="R2250" i="34"/>
  <c r="S2250" i="34"/>
  <c r="T2250" i="34"/>
  <c r="U2250" i="34"/>
  <c r="V2250" i="34"/>
  <c r="W2250" i="34"/>
  <c r="X2250" i="34"/>
  <c r="Y2250" i="34"/>
  <c r="Z2250" i="34"/>
  <c r="N2251" i="34"/>
  <c r="O2251" i="34"/>
  <c r="P2251" i="34"/>
  <c r="Q2251" i="34"/>
  <c r="R2251" i="34"/>
  <c r="S2251" i="34"/>
  <c r="T2251" i="34"/>
  <c r="U2251" i="34"/>
  <c r="V2251" i="34"/>
  <c r="W2251" i="34"/>
  <c r="X2251" i="34"/>
  <c r="Y2251" i="34"/>
  <c r="Z2251" i="34"/>
  <c r="N2252" i="34"/>
  <c r="O2252" i="34"/>
  <c r="P2252" i="34"/>
  <c r="Q2252" i="34"/>
  <c r="R2252" i="34"/>
  <c r="S2252" i="34"/>
  <c r="T2252" i="34"/>
  <c r="U2252" i="34"/>
  <c r="V2252" i="34"/>
  <c r="W2252" i="34"/>
  <c r="X2252" i="34"/>
  <c r="Y2252" i="34"/>
  <c r="Z2252" i="34"/>
  <c r="N2253" i="34"/>
  <c r="O2253" i="34"/>
  <c r="P2253" i="34"/>
  <c r="Q2253" i="34"/>
  <c r="R2253" i="34"/>
  <c r="S2253" i="34"/>
  <c r="T2253" i="34"/>
  <c r="U2253" i="34"/>
  <c r="V2253" i="34"/>
  <c r="W2253" i="34"/>
  <c r="X2253" i="34"/>
  <c r="Y2253" i="34"/>
  <c r="Z2253" i="34"/>
  <c r="N2254" i="34"/>
  <c r="O2254" i="34"/>
  <c r="P2254" i="34"/>
  <c r="Q2254" i="34"/>
  <c r="R2254" i="34"/>
  <c r="S2254" i="34"/>
  <c r="T2254" i="34"/>
  <c r="U2254" i="34"/>
  <c r="V2254" i="34"/>
  <c r="W2254" i="34"/>
  <c r="X2254" i="34"/>
  <c r="Y2254" i="34"/>
  <c r="Z2254" i="34"/>
  <c r="N2255" i="34"/>
  <c r="O2255" i="34"/>
  <c r="P2255" i="34"/>
  <c r="Q2255" i="34"/>
  <c r="R2255" i="34"/>
  <c r="S2255" i="34"/>
  <c r="T2255" i="34"/>
  <c r="U2255" i="34"/>
  <c r="V2255" i="34"/>
  <c r="W2255" i="34"/>
  <c r="X2255" i="34"/>
  <c r="Y2255" i="34"/>
  <c r="Z2255" i="34"/>
  <c r="N2256" i="34"/>
  <c r="O2256" i="34"/>
  <c r="P2256" i="34"/>
  <c r="Q2256" i="34"/>
  <c r="R2256" i="34"/>
  <c r="S2256" i="34"/>
  <c r="T2256" i="34"/>
  <c r="U2256" i="34"/>
  <c r="V2256" i="34"/>
  <c r="W2256" i="34"/>
  <c r="X2256" i="34"/>
  <c r="Y2256" i="34"/>
  <c r="Z2256" i="34"/>
  <c r="N2257" i="34"/>
  <c r="O2257" i="34"/>
  <c r="P2257" i="34"/>
  <c r="Q2257" i="34"/>
  <c r="R2257" i="34"/>
  <c r="S2257" i="34"/>
  <c r="T2257" i="34"/>
  <c r="U2257" i="34"/>
  <c r="V2257" i="34"/>
  <c r="W2257" i="34"/>
  <c r="X2257" i="34"/>
  <c r="Y2257" i="34"/>
  <c r="Z2257" i="34"/>
  <c r="N2258" i="34"/>
  <c r="O2258" i="34"/>
  <c r="P2258" i="34"/>
  <c r="Q2258" i="34"/>
  <c r="R2258" i="34"/>
  <c r="S2258" i="34"/>
  <c r="T2258" i="34"/>
  <c r="U2258" i="34"/>
  <c r="V2258" i="34"/>
  <c r="W2258" i="34"/>
  <c r="X2258" i="34"/>
  <c r="Y2258" i="34"/>
  <c r="Z2258" i="34"/>
  <c r="N2259" i="34"/>
  <c r="O2259" i="34"/>
  <c r="P2259" i="34"/>
  <c r="Q2259" i="34"/>
  <c r="R2259" i="34"/>
  <c r="S2259" i="34"/>
  <c r="T2259" i="34"/>
  <c r="U2259" i="34"/>
  <c r="V2259" i="34"/>
  <c r="W2259" i="34"/>
  <c r="X2259" i="34"/>
  <c r="Y2259" i="34"/>
  <c r="Z2259" i="34"/>
  <c r="N2260" i="34"/>
  <c r="O2260" i="34"/>
  <c r="P2260" i="34"/>
  <c r="Q2260" i="34"/>
  <c r="R2260" i="34"/>
  <c r="S2260" i="34"/>
  <c r="T2260" i="34"/>
  <c r="U2260" i="34"/>
  <c r="V2260" i="34"/>
  <c r="W2260" i="34"/>
  <c r="X2260" i="34"/>
  <c r="Y2260" i="34"/>
  <c r="Z2260" i="34"/>
  <c r="N2261" i="34"/>
  <c r="O2261" i="34"/>
  <c r="P2261" i="34"/>
  <c r="Q2261" i="34"/>
  <c r="R2261" i="34"/>
  <c r="S2261" i="34"/>
  <c r="T2261" i="34"/>
  <c r="U2261" i="34"/>
  <c r="V2261" i="34"/>
  <c r="W2261" i="34"/>
  <c r="X2261" i="34"/>
  <c r="Y2261" i="34"/>
  <c r="Z2261" i="34"/>
  <c r="N2262" i="34"/>
  <c r="O2262" i="34"/>
  <c r="P2262" i="34"/>
  <c r="Q2262" i="34"/>
  <c r="R2262" i="34"/>
  <c r="S2262" i="34"/>
  <c r="T2262" i="34"/>
  <c r="U2262" i="34"/>
  <c r="V2262" i="34"/>
  <c r="W2262" i="34"/>
  <c r="X2262" i="34"/>
  <c r="Y2262" i="34"/>
  <c r="Z2262" i="34"/>
  <c r="N2263" i="34"/>
  <c r="O2263" i="34"/>
  <c r="P2263" i="34"/>
  <c r="Q2263" i="34"/>
  <c r="R2263" i="34"/>
  <c r="S2263" i="34"/>
  <c r="T2263" i="34"/>
  <c r="U2263" i="34"/>
  <c r="V2263" i="34"/>
  <c r="W2263" i="34"/>
  <c r="X2263" i="34"/>
  <c r="Y2263" i="34"/>
  <c r="Z2263" i="34"/>
  <c r="N2264" i="34"/>
  <c r="O2264" i="34"/>
  <c r="P2264" i="34"/>
  <c r="Q2264" i="34"/>
  <c r="R2264" i="34"/>
  <c r="S2264" i="34"/>
  <c r="T2264" i="34"/>
  <c r="U2264" i="34"/>
  <c r="V2264" i="34"/>
  <c r="W2264" i="34"/>
  <c r="X2264" i="34"/>
  <c r="Y2264" i="34"/>
  <c r="Z2264" i="34"/>
  <c r="N2265" i="34"/>
  <c r="O2265" i="34"/>
  <c r="P2265" i="34"/>
  <c r="Q2265" i="34"/>
  <c r="R2265" i="34"/>
  <c r="S2265" i="34"/>
  <c r="T2265" i="34"/>
  <c r="U2265" i="34"/>
  <c r="V2265" i="34"/>
  <c r="W2265" i="34"/>
  <c r="X2265" i="34"/>
  <c r="Y2265" i="34"/>
  <c r="Z2265" i="34"/>
  <c r="N2266" i="34"/>
  <c r="O2266" i="34"/>
  <c r="P2266" i="34"/>
  <c r="Q2266" i="34"/>
  <c r="R2266" i="34"/>
  <c r="S2266" i="34"/>
  <c r="T2266" i="34"/>
  <c r="U2266" i="34"/>
  <c r="V2266" i="34"/>
  <c r="W2266" i="34"/>
  <c r="X2266" i="34"/>
  <c r="Y2266" i="34"/>
  <c r="Z2266" i="34"/>
  <c r="N2267" i="34"/>
  <c r="O2267" i="34"/>
  <c r="P2267" i="34"/>
  <c r="Q2267" i="34"/>
  <c r="R2267" i="34"/>
  <c r="S2267" i="34"/>
  <c r="T2267" i="34"/>
  <c r="U2267" i="34"/>
  <c r="V2267" i="34"/>
  <c r="W2267" i="34"/>
  <c r="X2267" i="34"/>
  <c r="Y2267" i="34"/>
  <c r="Z2267" i="34"/>
  <c r="N2268" i="34"/>
  <c r="O2268" i="34"/>
  <c r="P2268" i="34"/>
  <c r="Q2268" i="34"/>
  <c r="R2268" i="34"/>
  <c r="S2268" i="34"/>
  <c r="T2268" i="34"/>
  <c r="U2268" i="34"/>
  <c r="V2268" i="34"/>
  <c r="W2268" i="34"/>
  <c r="X2268" i="34"/>
  <c r="Y2268" i="34"/>
  <c r="Z2268" i="34"/>
  <c r="N2269" i="34"/>
  <c r="O2269" i="34"/>
  <c r="P2269" i="34"/>
  <c r="Q2269" i="34"/>
  <c r="R2269" i="34"/>
  <c r="S2269" i="34"/>
  <c r="T2269" i="34"/>
  <c r="U2269" i="34"/>
  <c r="V2269" i="34"/>
  <c r="W2269" i="34"/>
  <c r="X2269" i="34"/>
  <c r="Y2269" i="34"/>
  <c r="Z2269" i="34"/>
  <c r="N2270" i="34"/>
  <c r="O2270" i="34"/>
  <c r="P2270" i="34"/>
  <c r="Q2270" i="34"/>
  <c r="R2270" i="34"/>
  <c r="S2270" i="34"/>
  <c r="T2270" i="34"/>
  <c r="U2270" i="34"/>
  <c r="V2270" i="34"/>
  <c r="W2270" i="34"/>
  <c r="X2270" i="34"/>
  <c r="Y2270" i="34"/>
  <c r="Z2270" i="34"/>
  <c r="N2271" i="34"/>
  <c r="O2271" i="34"/>
  <c r="P2271" i="34"/>
  <c r="Q2271" i="34"/>
  <c r="R2271" i="34"/>
  <c r="S2271" i="34"/>
  <c r="T2271" i="34"/>
  <c r="U2271" i="34"/>
  <c r="V2271" i="34"/>
  <c r="W2271" i="34"/>
  <c r="X2271" i="34"/>
  <c r="Y2271" i="34"/>
  <c r="Z2271" i="34"/>
  <c r="N2272" i="34"/>
  <c r="O2272" i="34"/>
  <c r="P2272" i="34"/>
  <c r="Q2272" i="34"/>
  <c r="R2272" i="34"/>
  <c r="S2272" i="34"/>
  <c r="T2272" i="34"/>
  <c r="U2272" i="34"/>
  <c r="V2272" i="34"/>
  <c r="W2272" i="34"/>
  <c r="X2272" i="34"/>
  <c r="Y2272" i="34"/>
  <c r="Z2272" i="34"/>
  <c r="N2273" i="34"/>
  <c r="O2273" i="34"/>
  <c r="P2273" i="34"/>
  <c r="Q2273" i="34"/>
  <c r="R2273" i="34"/>
  <c r="S2273" i="34"/>
  <c r="T2273" i="34"/>
  <c r="U2273" i="34"/>
  <c r="V2273" i="34"/>
  <c r="W2273" i="34"/>
  <c r="X2273" i="34"/>
  <c r="Y2273" i="34"/>
  <c r="Z2273" i="34"/>
  <c r="N2274" i="34"/>
  <c r="O2274" i="34"/>
  <c r="P2274" i="34"/>
  <c r="Q2274" i="34"/>
  <c r="R2274" i="34"/>
  <c r="S2274" i="34"/>
  <c r="T2274" i="34"/>
  <c r="U2274" i="34"/>
  <c r="V2274" i="34"/>
  <c r="W2274" i="34"/>
  <c r="X2274" i="34"/>
  <c r="Y2274" i="34"/>
  <c r="Z2274" i="34"/>
  <c r="N2275" i="34"/>
  <c r="O2275" i="34"/>
  <c r="P2275" i="34"/>
  <c r="Q2275" i="34"/>
  <c r="R2275" i="34"/>
  <c r="S2275" i="34"/>
  <c r="T2275" i="34"/>
  <c r="U2275" i="34"/>
  <c r="V2275" i="34"/>
  <c r="W2275" i="34"/>
  <c r="X2275" i="34"/>
  <c r="Y2275" i="34"/>
  <c r="Z2275" i="34"/>
  <c r="N2276" i="34"/>
  <c r="O2276" i="34"/>
  <c r="P2276" i="34"/>
  <c r="Q2276" i="34"/>
  <c r="R2276" i="34"/>
  <c r="S2276" i="34"/>
  <c r="T2276" i="34"/>
  <c r="U2276" i="34"/>
  <c r="V2276" i="34"/>
  <c r="W2276" i="34"/>
  <c r="X2276" i="34"/>
  <c r="Y2276" i="34"/>
  <c r="Z2276" i="34"/>
  <c r="N2277" i="34"/>
  <c r="O2277" i="34"/>
  <c r="P2277" i="34"/>
  <c r="Q2277" i="34"/>
  <c r="R2277" i="34"/>
  <c r="S2277" i="34"/>
  <c r="T2277" i="34"/>
  <c r="U2277" i="34"/>
  <c r="V2277" i="34"/>
  <c r="W2277" i="34"/>
  <c r="X2277" i="34"/>
  <c r="Y2277" i="34"/>
  <c r="Z2277" i="34"/>
  <c r="N2278" i="34"/>
  <c r="O2278" i="34"/>
  <c r="P2278" i="34"/>
  <c r="Q2278" i="34"/>
  <c r="R2278" i="34"/>
  <c r="S2278" i="34"/>
  <c r="T2278" i="34"/>
  <c r="U2278" i="34"/>
  <c r="V2278" i="34"/>
  <c r="W2278" i="34"/>
  <c r="X2278" i="34"/>
  <c r="Y2278" i="34"/>
  <c r="Z2278" i="34"/>
  <c r="N2279" i="34"/>
  <c r="O2279" i="34"/>
  <c r="P2279" i="34"/>
  <c r="Q2279" i="34"/>
  <c r="R2279" i="34"/>
  <c r="S2279" i="34"/>
  <c r="T2279" i="34"/>
  <c r="U2279" i="34"/>
  <c r="V2279" i="34"/>
  <c r="W2279" i="34"/>
  <c r="X2279" i="34"/>
  <c r="Y2279" i="34"/>
  <c r="Z2279" i="34"/>
  <c r="N2280" i="34"/>
  <c r="O2280" i="34"/>
  <c r="P2280" i="34"/>
  <c r="Q2280" i="34"/>
  <c r="R2280" i="34"/>
  <c r="S2280" i="34"/>
  <c r="T2280" i="34"/>
  <c r="U2280" i="34"/>
  <c r="V2280" i="34"/>
  <c r="W2280" i="34"/>
  <c r="X2280" i="34"/>
  <c r="Y2280" i="34"/>
  <c r="Z2280" i="34"/>
  <c r="N2281" i="34"/>
  <c r="O2281" i="34"/>
  <c r="P2281" i="34"/>
  <c r="Q2281" i="34"/>
  <c r="R2281" i="34"/>
  <c r="S2281" i="34"/>
  <c r="T2281" i="34"/>
  <c r="U2281" i="34"/>
  <c r="V2281" i="34"/>
  <c r="W2281" i="34"/>
  <c r="X2281" i="34"/>
  <c r="Y2281" i="34"/>
  <c r="Z2281" i="34"/>
  <c r="N2282" i="34"/>
  <c r="O2282" i="34"/>
  <c r="P2282" i="34"/>
  <c r="Q2282" i="34"/>
  <c r="R2282" i="34"/>
  <c r="S2282" i="34"/>
  <c r="T2282" i="34"/>
  <c r="U2282" i="34"/>
  <c r="V2282" i="34"/>
  <c r="W2282" i="34"/>
  <c r="X2282" i="34"/>
  <c r="Y2282" i="34"/>
  <c r="Z2282" i="34"/>
  <c r="N2283" i="34"/>
  <c r="O2283" i="34"/>
  <c r="P2283" i="34"/>
  <c r="Q2283" i="34"/>
  <c r="R2283" i="34"/>
  <c r="S2283" i="34"/>
  <c r="T2283" i="34"/>
  <c r="U2283" i="34"/>
  <c r="V2283" i="34"/>
  <c r="W2283" i="34"/>
  <c r="X2283" i="34"/>
  <c r="Y2283" i="34"/>
  <c r="Z2283" i="34"/>
  <c r="N2284" i="34"/>
  <c r="O2284" i="34"/>
  <c r="P2284" i="34"/>
  <c r="Q2284" i="34"/>
  <c r="R2284" i="34"/>
  <c r="S2284" i="34"/>
  <c r="T2284" i="34"/>
  <c r="U2284" i="34"/>
  <c r="V2284" i="34"/>
  <c r="W2284" i="34"/>
  <c r="X2284" i="34"/>
  <c r="Y2284" i="34"/>
  <c r="Z2284" i="34"/>
  <c r="N2285" i="34"/>
  <c r="O2285" i="34"/>
  <c r="P2285" i="34"/>
  <c r="Q2285" i="34"/>
  <c r="R2285" i="34"/>
  <c r="S2285" i="34"/>
  <c r="T2285" i="34"/>
  <c r="U2285" i="34"/>
  <c r="V2285" i="34"/>
  <c r="W2285" i="34"/>
  <c r="X2285" i="34"/>
  <c r="Y2285" i="34"/>
  <c r="Z2285" i="34"/>
  <c r="N2286" i="34"/>
  <c r="O2286" i="34"/>
  <c r="P2286" i="34"/>
  <c r="Q2286" i="34"/>
  <c r="R2286" i="34"/>
  <c r="S2286" i="34"/>
  <c r="T2286" i="34"/>
  <c r="U2286" i="34"/>
  <c r="V2286" i="34"/>
  <c r="W2286" i="34"/>
  <c r="X2286" i="34"/>
  <c r="Y2286" i="34"/>
  <c r="Z2286" i="34"/>
  <c r="N2287" i="34"/>
  <c r="O2287" i="34"/>
  <c r="P2287" i="34"/>
  <c r="Q2287" i="34"/>
  <c r="R2287" i="34"/>
  <c r="S2287" i="34"/>
  <c r="T2287" i="34"/>
  <c r="U2287" i="34"/>
  <c r="V2287" i="34"/>
  <c r="W2287" i="34"/>
  <c r="X2287" i="34"/>
  <c r="Y2287" i="34"/>
  <c r="Z2287" i="34"/>
  <c r="N2288" i="34"/>
  <c r="O2288" i="34"/>
  <c r="P2288" i="34"/>
  <c r="Q2288" i="34"/>
  <c r="R2288" i="34"/>
  <c r="S2288" i="34"/>
  <c r="T2288" i="34"/>
  <c r="U2288" i="34"/>
  <c r="V2288" i="34"/>
  <c r="W2288" i="34"/>
  <c r="X2288" i="34"/>
  <c r="Y2288" i="34"/>
  <c r="Z2288" i="34"/>
  <c r="N2289" i="34"/>
  <c r="O2289" i="34"/>
  <c r="P2289" i="34"/>
  <c r="Q2289" i="34"/>
  <c r="R2289" i="34"/>
  <c r="S2289" i="34"/>
  <c r="T2289" i="34"/>
  <c r="U2289" i="34"/>
  <c r="V2289" i="34"/>
  <c r="W2289" i="34"/>
  <c r="X2289" i="34"/>
  <c r="Y2289" i="34"/>
  <c r="Z2289" i="34"/>
  <c r="N2290" i="34"/>
  <c r="O2290" i="34"/>
  <c r="P2290" i="34"/>
  <c r="Q2290" i="34"/>
  <c r="R2290" i="34"/>
  <c r="S2290" i="34"/>
  <c r="T2290" i="34"/>
  <c r="U2290" i="34"/>
  <c r="V2290" i="34"/>
  <c r="W2290" i="34"/>
  <c r="X2290" i="34"/>
  <c r="Y2290" i="34"/>
  <c r="Z2290" i="34"/>
  <c r="N2291" i="34"/>
  <c r="O2291" i="34"/>
  <c r="P2291" i="34"/>
  <c r="Q2291" i="34"/>
  <c r="R2291" i="34"/>
  <c r="S2291" i="34"/>
  <c r="T2291" i="34"/>
  <c r="U2291" i="34"/>
  <c r="V2291" i="34"/>
  <c r="W2291" i="34"/>
  <c r="X2291" i="34"/>
  <c r="Y2291" i="34"/>
  <c r="Z2291" i="34"/>
  <c r="N2292" i="34"/>
  <c r="O2292" i="34"/>
  <c r="P2292" i="34"/>
  <c r="Q2292" i="34"/>
  <c r="R2292" i="34"/>
  <c r="S2292" i="34"/>
  <c r="T2292" i="34"/>
  <c r="U2292" i="34"/>
  <c r="V2292" i="34"/>
  <c r="W2292" i="34"/>
  <c r="X2292" i="34"/>
  <c r="Y2292" i="34"/>
  <c r="Z2292" i="34"/>
  <c r="N2293" i="34"/>
  <c r="O2293" i="34"/>
  <c r="P2293" i="34"/>
  <c r="Q2293" i="34"/>
  <c r="R2293" i="34"/>
  <c r="S2293" i="34"/>
  <c r="T2293" i="34"/>
  <c r="U2293" i="34"/>
  <c r="V2293" i="34"/>
  <c r="W2293" i="34"/>
  <c r="X2293" i="34"/>
  <c r="Y2293" i="34"/>
  <c r="Z2293" i="34"/>
  <c r="N2294" i="34"/>
  <c r="O2294" i="34"/>
  <c r="P2294" i="34"/>
  <c r="Q2294" i="34"/>
  <c r="R2294" i="34"/>
  <c r="S2294" i="34"/>
  <c r="T2294" i="34"/>
  <c r="U2294" i="34"/>
  <c r="V2294" i="34"/>
  <c r="W2294" i="34"/>
  <c r="X2294" i="34"/>
  <c r="Y2294" i="34"/>
  <c r="Z2294" i="34"/>
  <c r="N2295" i="34"/>
  <c r="O2295" i="34"/>
  <c r="P2295" i="34"/>
  <c r="Q2295" i="34"/>
  <c r="R2295" i="34"/>
  <c r="S2295" i="34"/>
  <c r="T2295" i="34"/>
  <c r="U2295" i="34"/>
  <c r="V2295" i="34"/>
  <c r="W2295" i="34"/>
  <c r="X2295" i="34"/>
  <c r="Y2295" i="34"/>
  <c r="Z2295" i="34"/>
  <c r="N2296" i="34"/>
  <c r="O2296" i="34"/>
  <c r="P2296" i="34"/>
  <c r="Q2296" i="34"/>
  <c r="R2296" i="34"/>
  <c r="S2296" i="34"/>
  <c r="T2296" i="34"/>
  <c r="U2296" i="34"/>
  <c r="V2296" i="34"/>
  <c r="W2296" i="34"/>
  <c r="X2296" i="34"/>
  <c r="Y2296" i="34"/>
  <c r="Z2296" i="34"/>
  <c r="N2297" i="34"/>
  <c r="O2297" i="34"/>
  <c r="P2297" i="34"/>
  <c r="Q2297" i="34"/>
  <c r="R2297" i="34"/>
  <c r="S2297" i="34"/>
  <c r="T2297" i="34"/>
  <c r="U2297" i="34"/>
  <c r="V2297" i="34"/>
  <c r="W2297" i="34"/>
  <c r="X2297" i="34"/>
  <c r="Y2297" i="34"/>
  <c r="Z2297" i="34"/>
  <c r="N2298" i="34"/>
  <c r="O2298" i="34"/>
  <c r="P2298" i="34"/>
  <c r="Q2298" i="34"/>
  <c r="R2298" i="34"/>
  <c r="S2298" i="34"/>
  <c r="T2298" i="34"/>
  <c r="U2298" i="34"/>
  <c r="V2298" i="34"/>
  <c r="W2298" i="34"/>
  <c r="X2298" i="34"/>
  <c r="Y2298" i="34"/>
  <c r="Z2298" i="34"/>
  <c r="N2299" i="34"/>
  <c r="O2299" i="34"/>
  <c r="P2299" i="34"/>
  <c r="Q2299" i="34"/>
  <c r="R2299" i="34"/>
  <c r="S2299" i="34"/>
  <c r="T2299" i="34"/>
  <c r="U2299" i="34"/>
  <c r="V2299" i="34"/>
  <c r="W2299" i="34"/>
  <c r="X2299" i="34"/>
  <c r="Y2299" i="34"/>
  <c r="Z2299" i="34"/>
  <c r="N2300" i="34"/>
  <c r="O2300" i="34"/>
  <c r="P2300" i="34"/>
  <c r="Q2300" i="34"/>
  <c r="R2300" i="34"/>
  <c r="S2300" i="34"/>
  <c r="T2300" i="34"/>
  <c r="U2300" i="34"/>
  <c r="V2300" i="34"/>
  <c r="W2300" i="34"/>
  <c r="X2300" i="34"/>
  <c r="Y2300" i="34"/>
  <c r="Z2300" i="34"/>
  <c r="N2301" i="34"/>
  <c r="O2301" i="34"/>
  <c r="P2301" i="34"/>
  <c r="Q2301" i="34"/>
  <c r="R2301" i="34"/>
  <c r="S2301" i="34"/>
  <c r="T2301" i="34"/>
  <c r="U2301" i="34"/>
  <c r="V2301" i="34"/>
  <c r="W2301" i="34"/>
  <c r="X2301" i="34"/>
  <c r="Y2301" i="34"/>
  <c r="Z2301" i="34"/>
  <c r="N2302" i="34"/>
  <c r="O2302" i="34"/>
  <c r="P2302" i="34"/>
  <c r="Q2302" i="34"/>
  <c r="R2302" i="34"/>
  <c r="S2302" i="34"/>
  <c r="T2302" i="34"/>
  <c r="U2302" i="34"/>
  <c r="V2302" i="34"/>
  <c r="W2302" i="34"/>
  <c r="X2302" i="34"/>
  <c r="Y2302" i="34"/>
  <c r="Z2302" i="34"/>
  <c r="N2303" i="34"/>
  <c r="O2303" i="34"/>
  <c r="P2303" i="34"/>
  <c r="Q2303" i="34"/>
  <c r="R2303" i="34"/>
  <c r="S2303" i="34"/>
  <c r="T2303" i="34"/>
  <c r="U2303" i="34"/>
  <c r="V2303" i="34"/>
  <c r="W2303" i="34"/>
  <c r="X2303" i="34"/>
  <c r="Y2303" i="34"/>
  <c r="Z2303" i="34"/>
  <c r="N2304" i="34"/>
  <c r="O2304" i="34"/>
  <c r="P2304" i="34"/>
  <c r="Q2304" i="34"/>
  <c r="R2304" i="34"/>
  <c r="S2304" i="34"/>
  <c r="T2304" i="34"/>
  <c r="U2304" i="34"/>
  <c r="V2304" i="34"/>
  <c r="W2304" i="34"/>
  <c r="X2304" i="34"/>
  <c r="Y2304" i="34"/>
  <c r="Z2304" i="34"/>
  <c r="N2305" i="34"/>
  <c r="O2305" i="34"/>
  <c r="P2305" i="34"/>
  <c r="Q2305" i="34"/>
  <c r="R2305" i="34"/>
  <c r="S2305" i="34"/>
  <c r="T2305" i="34"/>
  <c r="U2305" i="34"/>
  <c r="V2305" i="34"/>
  <c r="W2305" i="34"/>
  <c r="X2305" i="34"/>
  <c r="Y2305" i="34"/>
  <c r="Z2305" i="34"/>
  <c r="N2306" i="34"/>
  <c r="O2306" i="34"/>
  <c r="P2306" i="34"/>
  <c r="Q2306" i="34"/>
  <c r="R2306" i="34"/>
  <c r="S2306" i="34"/>
  <c r="T2306" i="34"/>
  <c r="U2306" i="34"/>
  <c r="V2306" i="34"/>
  <c r="W2306" i="34"/>
  <c r="X2306" i="34"/>
  <c r="Y2306" i="34"/>
  <c r="Z2306" i="34"/>
  <c r="N2307" i="34"/>
  <c r="O2307" i="34"/>
  <c r="P2307" i="34"/>
  <c r="Q2307" i="34"/>
  <c r="R2307" i="34"/>
  <c r="S2307" i="34"/>
  <c r="T2307" i="34"/>
  <c r="U2307" i="34"/>
  <c r="V2307" i="34"/>
  <c r="W2307" i="34"/>
  <c r="X2307" i="34"/>
  <c r="Y2307" i="34"/>
  <c r="Z2307" i="34"/>
  <c r="N2308" i="34"/>
  <c r="O2308" i="34"/>
  <c r="P2308" i="34"/>
  <c r="Q2308" i="34"/>
  <c r="R2308" i="34"/>
  <c r="S2308" i="34"/>
  <c r="T2308" i="34"/>
  <c r="U2308" i="34"/>
  <c r="V2308" i="34"/>
  <c r="W2308" i="34"/>
  <c r="X2308" i="34"/>
  <c r="Y2308" i="34"/>
  <c r="Z2308" i="34"/>
  <c r="N2309" i="34"/>
  <c r="O2309" i="34"/>
  <c r="P2309" i="34"/>
  <c r="Q2309" i="34"/>
  <c r="R2309" i="34"/>
  <c r="S2309" i="34"/>
  <c r="T2309" i="34"/>
  <c r="U2309" i="34"/>
  <c r="V2309" i="34"/>
  <c r="W2309" i="34"/>
  <c r="X2309" i="34"/>
  <c r="Y2309" i="34"/>
  <c r="Z2309" i="34"/>
  <c r="N2310" i="34"/>
  <c r="O2310" i="34"/>
  <c r="P2310" i="34"/>
  <c r="Q2310" i="34"/>
  <c r="R2310" i="34"/>
  <c r="S2310" i="34"/>
  <c r="T2310" i="34"/>
  <c r="U2310" i="34"/>
  <c r="V2310" i="34"/>
  <c r="W2310" i="34"/>
  <c r="X2310" i="34"/>
  <c r="Y2310" i="34"/>
  <c r="Z2310" i="34"/>
  <c r="N2311" i="34"/>
  <c r="O2311" i="34"/>
  <c r="P2311" i="34"/>
  <c r="Q2311" i="34"/>
  <c r="R2311" i="34"/>
  <c r="S2311" i="34"/>
  <c r="T2311" i="34"/>
  <c r="U2311" i="34"/>
  <c r="V2311" i="34"/>
  <c r="W2311" i="34"/>
  <c r="X2311" i="34"/>
  <c r="Y2311" i="34"/>
  <c r="Z2311" i="34"/>
  <c r="N2312" i="34"/>
  <c r="O2312" i="34"/>
  <c r="P2312" i="34"/>
  <c r="Q2312" i="34"/>
  <c r="R2312" i="34"/>
  <c r="S2312" i="34"/>
  <c r="T2312" i="34"/>
  <c r="U2312" i="34"/>
  <c r="V2312" i="34"/>
  <c r="W2312" i="34"/>
  <c r="X2312" i="34"/>
  <c r="Y2312" i="34"/>
  <c r="Z2312" i="34"/>
  <c r="N2313" i="34"/>
  <c r="O2313" i="34"/>
  <c r="P2313" i="34"/>
  <c r="Q2313" i="34"/>
  <c r="R2313" i="34"/>
  <c r="S2313" i="34"/>
  <c r="T2313" i="34"/>
  <c r="U2313" i="34"/>
  <c r="V2313" i="34"/>
  <c r="W2313" i="34"/>
  <c r="X2313" i="34"/>
  <c r="Y2313" i="34"/>
  <c r="Z2313" i="34"/>
  <c r="N2314" i="34"/>
  <c r="O2314" i="34"/>
  <c r="P2314" i="34"/>
  <c r="Q2314" i="34"/>
  <c r="R2314" i="34"/>
  <c r="S2314" i="34"/>
  <c r="T2314" i="34"/>
  <c r="U2314" i="34"/>
  <c r="V2314" i="34"/>
  <c r="W2314" i="34"/>
  <c r="X2314" i="34"/>
  <c r="Y2314" i="34"/>
  <c r="Z2314" i="34"/>
  <c r="N2315" i="34"/>
  <c r="O2315" i="34"/>
  <c r="P2315" i="34"/>
  <c r="Q2315" i="34"/>
  <c r="R2315" i="34"/>
  <c r="S2315" i="34"/>
  <c r="T2315" i="34"/>
  <c r="U2315" i="34"/>
  <c r="V2315" i="34"/>
  <c r="W2315" i="34"/>
  <c r="X2315" i="34"/>
  <c r="Y2315" i="34"/>
  <c r="Z2315" i="34"/>
  <c r="N2316" i="34"/>
  <c r="O2316" i="34"/>
  <c r="P2316" i="34"/>
  <c r="Q2316" i="34"/>
  <c r="R2316" i="34"/>
  <c r="S2316" i="34"/>
  <c r="T2316" i="34"/>
  <c r="U2316" i="34"/>
  <c r="V2316" i="34"/>
  <c r="W2316" i="34"/>
  <c r="X2316" i="34"/>
  <c r="Y2316" i="34"/>
  <c r="Z2316" i="34"/>
  <c r="N2317" i="34"/>
  <c r="O2317" i="34"/>
  <c r="P2317" i="34"/>
  <c r="Q2317" i="34"/>
  <c r="R2317" i="34"/>
  <c r="S2317" i="34"/>
  <c r="T2317" i="34"/>
  <c r="U2317" i="34"/>
  <c r="V2317" i="34"/>
  <c r="W2317" i="34"/>
  <c r="X2317" i="34"/>
  <c r="Y2317" i="34"/>
  <c r="Z2317" i="34"/>
  <c r="N2318" i="34"/>
  <c r="O2318" i="34"/>
  <c r="P2318" i="34"/>
  <c r="Q2318" i="34"/>
  <c r="R2318" i="34"/>
  <c r="S2318" i="34"/>
  <c r="T2318" i="34"/>
  <c r="U2318" i="34"/>
  <c r="V2318" i="34"/>
  <c r="W2318" i="34"/>
  <c r="X2318" i="34"/>
  <c r="Y2318" i="34"/>
  <c r="Z2318" i="34"/>
  <c r="N2319" i="34"/>
  <c r="O2319" i="34"/>
  <c r="P2319" i="34"/>
  <c r="Q2319" i="34"/>
  <c r="R2319" i="34"/>
  <c r="S2319" i="34"/>
  <c r="T2319" i="34"/>
  <c r="U2319" i="34"/>
  <c r="V2319" i="34"/>
  <c r="W2319" i="34"/>
  <c r="X2319" i="34"/>
  <c r="Y2319" i="34"/>
  <c r="Z2319" i="34"/>
  <c r="N2320" i="34"/>
  <c r="O2320" i="34"/>
  <c r="P2320" i="34"/>
  <c r="Q2320" i="34"/>
  <c r="R2320" i="34"/>
  <c r="S2320" i="34"/>
  <c r="T2320" i="34"/>
  <c r="U2320" i="34"/>
  <c r="V2320" i="34"/>
  <c r="W2320" i="34"/>
  <c r="X2320" i="34"/>
  <c r="Y2320" i="34"/>
  <c r="Z2320" i="34"/>
  <c r="N2321" i="34"/>
  <c r="O2321" i="34"/>
  <c r="P2321" i="34"/>
  <c r="Q2321" i="34"/>
  <c r="R2321" i="34"/>
  <c r="S2321" i="34"/>
  <c r="T2321" i="34"/>
  <c r="U2321" i="34"/>
  <c r="V2321" i="34"/>
  <c r="W2321" i="34"/>
  <c r="X2321" i="34"/>
  <c r="Y2321" i="34"/>
  <c r="Z2321" i="34"/>
  <c r="N2322" i="34"/>
  <c r="O2322" i="34"/>
  <c r="P2322" i="34"/>
  <c r="Q2322" i="34"/>
  <c r="R2322" i="34"/>
  <c r="S2322" i="34"/>
  <c r="T2322" i="34"/>
  <c r="U2322" i="34"/>
  <c r="V2322" i="34"/>
  <c r="W2322" i="34"/>
  <c r="X2322" i="34"/>
  <c r="Y2322" i="34"/>
  <c r="Z2322" i="34"/>
  <c r="N2323" i="34"/>
  <c r="O2323" i="34"/>
  <c r="P2323" i="34"/>
  <c r="Q2323" i="34"/>
  <c r="R2323" i="34"/>
  <c r="S2323" i="34"/>
  <c r="T2323" i="34"/>
  <c r="U2323" i="34"/>
  <c r="V2323" i="34"/>
  <c r="W2323" i="34"/>
  <c r="X2323" i="34"/>
  <c r="Y2323" i="34"/>
  <c r="Z2323" i="34"/>
  <c r="N2324" i="34"/>
  <c r="O2324" i="34"/>
  <c r="P2324" i="34"/>
  <c r="Q2324" i="34"/>
  <c r="R2324" i="34"/>
  <c r="S2324" i="34"/>
  <c r="T2324" i="34"/>
  <c r="U2324" i="34"/>
  <c r="V2324" i="34"/>
  <c r="W2324" i="34"/>
  <c r="X2324" i="34"/>
  <c r="Y2324" i="34"/>
  <c r="Z2324" i="34"/>
  <c r="N2325" i="34"/>
  <c r="O2325" i="34"/>
  <c r="P2325" i="34"/>
  <c r="Q2325" i="34"/>
  <c r="R2325" i="34"/>
  <c r="S2325" i="34"/>
  <c r="T2325" i="34"/>
  <c r="U2325" i="34"/>
  <c r="V2325" i="34"/>
  <c r="W2325" i="34"/>
  <c r="X2325" i="34"/>
  <c r="Y2325" i="34"/>
  <c r="Z2325" i="34"/>
  <c r="N2326" i="34"/>
  <c r="O2326" i="34"/>
  <c r="P2326" i="34"/>
  <c r="Q2326" i="34"/>
  <c r="R2326" i="34"/>
  <c r="S2326" i="34"/>
  <c r="T2326" i="34"/>
  <c r="U2326" i="34"/>
  <c r="V2326" i="34"/>
  <c r="W2326" i="34"/>
  <c r="X2326" i="34"/>
  <c r="Y2326" i="34"/>
  <c r="Z2326" i="34"/>
  <c r="N2327" i="34"/>
  <c r="O2327" i="34"/>
  <c r="P2327" i="34"/>
  <c r="Q2327" i="34"/>
  <c r="R2327" i="34"/>
  <c r="S2327" i="34"/>
  <c r="T2327" i="34"/>
  <c r="U2327" i="34"/>
  <c r="V2327" i="34"/>
  <c r="W2327" i="34"/>
  <c r="X2327" i="34"/>
  <c r="Y2327" i="34"/>
  <c r="Z2327" i="34"/>
  <c r="N2328" i="34"/>
  <c r="O2328" i="34"/>
  <c r="P2328" i="34"/>
  <c r="Q2328" i="34"/>
  <c r="R2328" i="34"/>
  <c r="S2328" i="34"/>
  <c r="T2328" i="34"/>
  <c r="U2328" i="34"/>
  <c r="V2328" i="34"/>
  <c r="W2328" i="34"/>
  <c r="X2328" i="34"/>
  <c r="Y2328" i="34"/>
  <c r="Z2328" i="34"/>
  <c r="N2329" i="34"/>
  <c r="O2329" i="34"/>
  <c r="P2329" i="34"/>
  <c r="Q2329" i="34"/>
  <c r="R2329" i="34"/>
  <c r="S2329" i="34"/>
  <c r="T2329" i="34"/>
  <c r="U2329" i="34"/>
  <c r="V2329" i="34"/>
  <c r="W2329" i="34"/>
  <c r="X2329" i="34"/>
  <c r="Y2329" i="34"/>
  <c r="Z2329" i="34"/>
  <c r="N2330" i="34"/>
  <c r="O2330" i="34"/>
  <c r="P2330" i="34"/>
  <c r="Q2330" i="34"/>
  <c r="R2330" i="34"/>
  <c r="S2330" i="34"/>
  <c r="T2330" i="34"/>
  <c r="U2330" i="34"/>
  <c r="V2330" i="34"/>
  <c r="W2330" i="34"/>
  <c r="X2330" i="34"/>
  <c r="Y2330" i="34"/>
  <c r="Z2330" i="34"/>
  <c r="N2331" i="34"/>
  <c r="O2331" i="34"/>
  <c r="P2331" i="34"/>
  <c r="Q2331" i="34"/>
  <c r="R2331" i="34"/>
  <c r="S2331" i="34"/>
  <c r="T2331" i="34"/>
  <c r="U2331" i="34"/>
  <c r="V2331" i="34"/>
  <c r="W2331" i="34"/>
  <c r="X2331" i="34"/>
  <c r="Y2331" i="34"/>
  <c r="Z2331" i="34"/>
  <c r="N2332" i="34"/>
  <c r="O2332" i="34"/>
  <c r="P2332" i="34"/>
  <c r="Q2332" i="34"/>
  <c r="R2332" i="34"/>
  <c r="S2332" i="34"/>
  <c r="T2332" i="34"/>
  <c r="U2332" i="34"/>
  <c r="V2332" i="34"/>
  <c r="W2332" i="34"/>
  <c r="X2332" i="34"/>
  <c r="Y2332" i="34"/>
  <c r="Z2332" i="34"/>
  <c r="N2333" i="34"/>
  <c r="O2333" i="34"/>
  <c r="P2333" i="34"/>
  <c r="Q2333" i="34"/>
  <c r="R2333" i="34"/>
  <c r="S2333" i="34"/>
  <c r="T2333" i="34"/>
  <c r="U2333" i="34"/>
  <c r="V2333" i="34"/>
  <c r="W2333" i="34"/>
  <c r="X2333" i="34"/>
  <c r="Y2333" i="34"/>
  <c r="Z2333" i="34"/>
  <c r="N2334" i="34"/>
  <c r="O2334" i="34"/>
  <c r="P2334" i="34"/>
  <c r="Q2334" i="34"/>
  <c r="R2334" i="34"/>
  <c r="S2334" i="34"/>
  <c r="T2334" i="34"/>
  <c r="U2334" i="34"/>
  <c r="V2334" i="34"/>
  <c r="W2334" i="34"/>
  <c r="X2334" i="34"/>
  <c r="Y2334" i="34"/>
  <c r="Z2334" i="34"/>
  <c r="N2335" i="34"/>
  <c r="O2335" i="34"/>
  <c r="P2335" i="34"/>
  <c r="Q2335" i="34"/>
  <c r="R2335" i="34"/>
  <c r="S2335" i="34"/>
  <c r="T2335" i="34"/>
  <c r="U2335" i="34"/>
  <c r="V2335" i="34"/>
  <c r="W2335" i="34"/>
  <c r="X2335" i="34"/>
  <c r="Y2335" i="34"/>
  <c r="Z2335" i="34"/>
  <c r="N2336" i="34"/>
  <c r="O2336" i="34"/>
  <c r="P2336" i="34"/>
  <c r="Q2336" i="34"/>
  <c r="R2336" i="34"/>
  <c r="S2336" i="34"/>
  <c r="T2336" i="34"/>
  <c r="U2336" i="34"/>
  <c r="V2336" i="34"/>
  <c r="W2336" i="34"/>
  <c r="X2336" i="34"/>
  <c r="Y2336" i="34"/>
  <c r="Z2336" i="34"/>
  <c r="N2337" i="34"/>
  <c r="O2337" i="34"/>
  <c r="P2337" i="34"/>
  <c r="Q2337" i="34"/>
  <c r="R2337" i="34"/>
  <c r="S2337" i="34"/>
  <c r="T2337" i="34"/>
  <c r="U2337" i="34"/>
  <c r="V2337" i="34"/>
  <c r="W2337" i="34"/>
  <c r="X2337" i="34"/>
  <c r="Y2337" i="34"/>
  <c r="Z2337" i="34"/>
  <c r="N2338" i="34"/>
  <c r="O2338" i="34"/>
  <c r="P2338" i="34"/>
  <c r="Q2338" i="34"/>
  <c r="R2338" i="34"/>
  <c r="S2338" i="34"/>
  <c r="T2338" i="34"/>
  <c r="U2338" i="34"/>
  <c r="V2338" i="34"/>
  <c r="W2338" i="34"/>
  <c r="X2338" i="34"/>
  <c r="Y2338" i="34"/>
  <c r="Z2338" i="34"/>
  <c r="N2339" i="34"/>
  <c r="O2339" i="34"/>
  <c r="P2339" i="34"/>
  <c r="Q2339" i="34"/>
  <c r="R2339" i="34"/>
  <c r="S2339" i="34"/>
  <c r="T2339" i="34"/>
  <c r="U2339" i="34"/>
  <c r="V2339" i="34"/>
  <c r="W2339" i="34"/>
  <c r="X2339" i="34"/>
  <c r="Y2339" i="34"/>
  <c r="Z2339" i="34"/>
  <c r="N2340" i="34"/>
  <c r="O2340" i="34"/>
  <c r="P2340" i="34"/>
  <c r="Q2340" i="34"/>
  <c r="R2340" i="34"/>
  <c r="S2340" i="34"/>
  <c r="T2340" i="34"/>
  <c r="U2340" i="34"/>
  <c r="V2340" i="34"/>
  <c r="W2340" i="34"/>
  <c r="X2340" i="34"/>
  <c r="Y2340" i="34"/>
  <c r="Z2340" i="34"/>
  <c r="N2341" i="34"/>
  <c r="O2341" i="34"/>
  <c r="P2341" i="34"/>
  <c r="Q2341" i="34"/>
  <c r="R2341" i="34"/>
  <c r="S2341" i="34"/>
  <c r="T2341" i="34"/>
  <c r="U2341" i="34"/>
  <c r="V2341" i="34"/>
  <c r="W2341" i="34"/>
  <c r="X2341" i="34"/>
  <c r="Y2341" i="34"/>
  <c r="Z2341" i="34"/>
  <c r="N2342" i="34"/>
  <c r="O2342" i="34"/>
  <c r="P2342" i="34"/>
  <c r="Q2342" i="34"/>
  <c r="R2342" i="34"/>
  <c r="S2342" i="34"/>
  <c r="T2342" i="34"/>
  <c r="U2342" i="34"/>
  <c r="V2342" i="34"/>
  <c r="W2342" i="34"/>
  <c r="X2342" i="34"/>
  <c r="Y2342" i="34"/>
  <c r="Z2342" i="34"/>
  <c r="N2343" i="34"/>
  <c r="O2343" i="34"/>
  <c r="P2343" i="34"/>
  <c r="Q2343" i="34"/>
  <c r="R2343" i="34"/>
  <c r="S2343" i="34"/>
  <c r="T2343" i="34"/>
  <c r="U2343" i="34"/>
  <c r="V2343" i="34"/>
  <c r="W2343" i="34"/>
  <c r="X2343" i="34"/>
  <c r="Y2343" i="34"/>
  <c r="Z2343" i="34"/>
  <c r="N2344" i="34"/>
  <c r="O2344" i="34"/>
  <c r="P2344" i="34"/>
  <c r="Q2344" i="34"/>
  <c r="R2344" i="34"/>
  <c r="S2344" i="34"/>
  <c r="T2344" i="34"/>
  <c r="U2344" i="34"/>
  <c r="V2344" i="34"/>
  <c r="W2344" i="34"/>
  <c r="X2344" i="34"/>
  <c r="Y2344" i="34"/>
  <c r="Z2344" i="34"/>
  <c r="N2345" i="34"/>
  <c r="O2345" i="34"/>
  <c r="P2345" i="34"/>
  <c r="Q2345" i="34"/>
  <c r="R2345" i="34"/>
  <c r="S2345" i="34"/>
  <c r="T2345" i="34"/>
  <c r="U2345" i="34"/>
  <c r="V2345" i="34"/>
  <c r="W2345" i="34"/>
  <c r="X2345" i="34"/>
  <c r="Y2345" i="34"/>
  <c r="Z2345" i="34"/>
  <c r="N2346" i="34"/>
  <c r="O2346" i="34"/>
  <c r="P2346" i="34"/>
  <c r="Q2346" i="34"/>
  <c r="R2346" i="34"/>
  <c r="S2346" i="34"/>
  <c r="T2346" i="34"/>
  <c r="U2346" i="34"/>
  <c r="V2346" i="34"/>
  <c r="W2346" i="34"/>
  <c r="X2346" i="34"/>
  <c r="Y2346" i="34"/>
  <c r="Z2346" i="34"/>
  <c r="N2347" i="34"/>
  <c r="O2347" i="34"/>
  <c r="P2347" i="34"/>
  <c r="Q2347" i="34"/>
  <c r="R2347" i="34"/>
  <c r="S2347" i="34"/>
  <c r="T2347" i="34"/>
  <c r="U2347" i="34"/>
  <c r="V2347" i="34"/>
  <c r="W2347" i="34"/>
  <c r="X2347" i="34"/>
  <c r="Y2347" i="34"/>
  <c r="Z2347" i="34"/>
  <c r="N2348" i="34"/>
  <c r="O2348" i="34"/>
  <c r="P2348" i="34"/>
  <c r="Q2348" i="34"/>
  <c r="R2348" i="34"/>
  <c r="S2348" i="34"/>
  <c r="T2348" i="34"/>
  <c r="U2348" i="34"/>
  <c r="V2348" i="34"/>
  <c r="W2348" i="34"/>
  <c r="X2348" i="34"/>
  <c r="Y2348" i="34"/>
  <c r="Z2348" i="34"/>
  <c r="N2349" i="34"/>
  <c r="O2349" i="34"/>
  <c r="P2349" i="34"/>
  <c r="Q2349" i="34"/>
  <c r="R2349" i="34"/>
  <c r="S2349" i="34"/>
  <c r="T2349" i="34"/>
  <c r="U2349" i="34"/>
  <c r="V2349" i="34"/>
  <c r="W2349" i="34"/>
  <c r="X2349" i="34"/>
  <c r="Y2349" i="34"/>
  <c r="Z2349" i="34"/>
  <c r="N2350" i="34"/>
  <c r="O2350" i="34"/>
  <c r="P2350" i="34"/>
  <c r="Q2350" i="34"/>
  <c r="R2350" i="34"/>
  <c r="S2350" i="34"/>
  <c r="T2350" i="34"/>
  <c r="U2350" i="34"/>
  <c r="V2350" i="34"/>
  <c r="W2350" i="34"/>
  <c r="X2350" i="34"/>
  <c r="Y2350" i="34"/>
  <c r="Z2350" i="34"/>
  <c r="N2351" i="34"/>
  <c r="O2351" i="34"/>
  <c r="P2351" i="34"/>
  <c r="Q2351" i="34"/>
  <c r="R2351" i="34"/>
  <c r="S2351" i="34"/>
  <c r="T2351" i="34"/>
  <c r="U2351" i="34"/>
  <c r="V2351" i="34"/>
  <c r="W2351" i="34"/>
  <c r="X2351" i="34"/>
  <c r="Y2351" i="34"/>
  <c r="Z2351" i="34"/>
  <c r="N2352" i="34"/>
  <c r="O2352" i="34"/>
  <c r="P2352" i="34"/>
  <c r="Q2352" i="34"/>
  <c r="R2352" i="34"/>
  <c r="S2352" i="34"/>
  <c r="T2352" i="34"/>
  <c r="U2352" i="34"/>
  <c r="V2352" i="34"/>
  <c r="W2352" i="34"/>
  <c r="X2352" i="34"/>
  <c r="Y2352" i="34"/>
  <c r="Z2352" i="34"/>
  <c r="N2353" i="34"/>
  <c r="O2353" i="34"/>
  <c r="P2353" i="34"/>
  <c r="Q2353" i="34"/>
  <c r="R2353" i="34"/>
  <c r="S2353" i="34"/>
  <c r="T2353" i="34"/>
  <c r="U2353" i="34"/>
  <c r="V2353" i="34"/>
  <c r="W2353" i="34"/>
  <c r="X2353" i="34"/>
  <c r="Y2353" i="34"/>
  <c r="Z2353" i="34"/>
  <c r="N2354" i="34"/>
  <c r="O2354" i="34"/>
  <c r="P2354" i="34"/>
  <c r="Q2354" i="34"/>
  <c r="R2354" i="34"/>
  <c r="S2354" i="34"/>
  <c r="T2354" i="34"/>
  <c r="U2354" i="34"/>
  <c r="V2354" i="34"/>
  <c r="W2354" i="34"/>
  <c r="X2354" i="34"/>
  <c r="Y2354" i="34"/>
  <c r="Z2354" i="34"/>
  <c r="N2355" i="34"/>
  <c r="O2355" i="34"/>
  <c r="P2355" i="34"/>
  <c r="Q2355" i="34"/>
  <c r="R2355" i="34"/>
  <c r="S2355" i="34"/>
  <c r="T2355" i="34"/>
  <c r="U2355" i="34"/>
  <c r="V2355" i="34"/>
  <c r="W2355" i="34"/>
  <c r="X2355" i="34"/>
  <c r="Y2355" i="34"/>
  <c r="Z2355" i="34"/>
  <c r="N2356" i="34"/>
  <c r="O2356" i="34"/>
  <c r="P2356" i="34"/>
  <c r="Q2356" i="34"/>
  <c r="R2356" i="34"/>
  <c r="S2356" i="34"/>
  <c r="T2356" i="34"/>
  <c r="U2356" i="34"/>
  <c r="V2356" i="34"/>
  <c r="W2356" i="34"/>
  <c r="X2356" i="34"/>
  <c r="Y2356" i="34"/>
  <c r="Z2356" i="34"/>
  <c r="N2357" i="34"/>
  <c r="O2357" i="34"/>
  <c r="P2357" i="34"/>
  <c r="Q2357" i="34"/>
  <c r="R2357" i="34"/>
  <c r="S2357" i="34"/>
  <c r="T2357" i="34"/>
  <c r="U2357" i="34"/>
  <c r="V2357" i="34"/>
  <c r="W2357" i="34"/>
  <c r="X2357" i="34"/>
  <c r="Y2357" i="34"/>
  <c r="Z2357" i="34"/>
  <c r="N2358" i="34"/>
  <c r="O2358" i="34"/>
  <c r="P2358" i="34"/>
  <c r="Q2358" i="34"/>
  <c r="R2358" i="34"/>
  <c r="S2358" i="34"/>
  <c r="T2358" i="34"/>
  <c r="U2358" i="34"/>
  <c r="V2358" i="34"/>
  <c r="W2358" i="34"/>
  <c r="X2358" i="34"/>
  <c r="Y2358" i="34"/>
  <c r="Z2358" i="34"/>
  <c r="N2359" i="34"/>
  <c r="O2359" i="34"/>
  <c r="P2359" i="34"/>
  <c r="Q2359" i="34"/>
  <c r="R2359" i="34"/>
  <c r="S2359" i="34"/>
  <c r="T2359" i="34"/>
  <c r="U2359" i="34"/>
  <c r="V2359" i="34"/>
  <c r="W2359" i="34"/>
  <c r="X2359" i="34"/>
  <c r="Y2359" i="34"/>
  <c r="Z2359" i="34"/>
  <c r="N2360" i="34"/>
  <c r="O2360" i="34"/>
  <c r="P2360" i="34"/>
  <c r="Q2360" i="34"/>
  <c r="R2360" i="34"/>
  <c r="S2360" i="34"/>
  <c r="T2360" i="34"/>
  <c r="U2360" i="34"/>
  <c r="V2360" i="34"/>
  <c r="W2360" i="34"/>
  <c r="X2360" i="34"/>
  <c r="Y2360" i="34"/>
  <c r="Z2360" i="34"/>
  <c r="N2361" i="34"/>
  <c r="O2361" i="34"/>
  <c r="P2361" i="34"/>
  <c r="Q2361" i="34"/>
  <c r="R2361" i="34"/>
  <c r="S2361" i="34"/>
  <c r="T2361" i="34"/>
  <c r="U2361" i="34"/>
  <c r="V2361" i="34"/>
  <c r="W2361" i="34"/>
  <c r="X2361" i="34"/>
  <c r="Y2361" i="34"/>
  <c r="Z2361" i="34"/>
  <c r="N2362" i="34"/>
  <c r="O2362" i="34"/>
  <c r="P2362" i="34"/>
  <c r="Q2362" i="34"/>
  <c r="R2362" i="34"/>
  <c r="S2362" i="34"/>
  <c r="T2362" i="34"/>
  <c r="U2362" i="34"/>
  <c r="V2362" i="34"/>
  <c r="W2362" i="34"/>
  <c r="X2362" i="34"/>
  <c r="Y2362" i="34"/>
  <c r="Z2362" i="34"/>
  <c r="N2363" i="34"/>
  <c r="O2363" i="34"/>
  <c r="P2363" i="34"/>
  <c r="Q2363" i="34"/>
  <c r="R2363" i="34"/>
  <c r="S2363" i="34"/>
  <c r="T2363" i="34"/>
  <c r="U2363" i="34"/>
  <c r="V2363" i="34"/>
  <c r="W2363" i="34"/>
  <c r="X2363" i="34"/>
  <c r="Y2363" i="34"/>
  <c r="Z2363" i="34"/>
  <c r="N2364" i="34"/>
  <c r="O2364" i="34"/>
  <c r="P2364" i="34"/>
  <c r="Q2364" i="34"/>
  <c r="R2364" i="34"/>
  <c r="S2364" i="34"/>
  <c r="T2364" i="34"/>
  <c r="U2364" i="34"/>
  <c r="V2364" i="34"/>
  <c r="W2364" i="34"/>
  <c r="X2364" i="34"/>
  <c r="Y2364" i="34"/>
  <c r="Z2364" i="34"/>
  <c r="N2365" i="34"/>
  <c r="O2365" i="34"/>
  <c r="P2365" i="34"/>
  <c r="Q2365" i="34"/>
  <c r="R2365" i="34"/>
  <c r="S2365" i="34"/>
  <c r="T2365" i="34"/>
  <c r="U2365" i="34"/>
  <c r="V2365" i="34"/>
  <c r="W2365" i="34"/>
  <c r="X2365" i="34"/>
  <c r="Y2365" i="34"/>
  <c r="Z2365" i="34"/>
  <c r="N2366" i="34"/>
  <c r="O2366" i="34"/>
  <c r="P2366" i="34"/>
  <c r="Q2366" i="34"/>
  <c r="R2366" i="34"/>
  <c r="S2366" i="34"/>
  <c r="T2366" i="34"/>
  <c r="U2366" i="34"/>
  <c r="V2366" i="34"/>
  <c r="W2366" i="34"/>
  <c r="X2366" i="34"/>
  <c r="Y2366" i="34"/>
  <c r="Z2366" i="34"/>
  <c r="N2367" i="34"/>
  <c r="O2367" i="34"/>
  <c r="P2367" i="34"/>
  <c r="Q2367" i="34"/>
  <c r="R2367" i="34"/>
  <c r="S2367" i="34"/>
  <c r="T2367" i="34"/>
  <c r="U2367" i="34"/>
  <c r="V2367" i="34"/>
  <c r="W2367" i="34"/>
  <c r="X2367" i="34"/>
  <c r="Y2367" i="34"/>
  <c r="Z2367" i="34"/>
  <c r="N2368" i="34"/>
  <c r="O2368" i="34"/>
  <c r="P2368" i="34"/>
  <c r="Q2368" i="34"/>
  <c r="R2368" i="34"/>
  <c r="S2368" i="34"/>
  <c r="T2368" i="34"/>
  <c r="U2368" i="34"/>
  <c r="V2368" i="34"/>
  <c r="W2368" i="34"/>
  <c r="X2368" i="34"/>
  <c r="Y2368" i="34"/>
  <c r="Z2368" i="34"/>
  <c r="N2369" i="34"/>
  <c r="O2369" i="34"/>
  <c r="P2369" i="34"/>
  <c r="Q2369" i="34"/>
  <c r="R2369" i="34"/>
  <c r="S2369" i="34"/>
  <c r="T2369" i="34"/>
  <c r="U2369" i="34"/>
  <c r="V2369" i="34"/>
  <c r="W2369" i="34"/>
  <c r="X2369" i="34"/>
  <c r="Y2369" i="34"/>
  <c r="Z2369" i="34"/>
  <c r="N2370" i="34"/>
  <c r="O2370" i="34"/>
  <c r="P2370" i="34"/>
  <c r="Q2370" i="34"/>
  <c r="R2370" i="34"/>
  <c r="S2370" i="34"/>
  <c r="T2370" i="34"/>
  <c r="U2370" i="34"/>
  <c r="V2370" i="34"/>
  <c r="W2370" i="34"/>
  <c r="X2370" i="34"/>
  <c r="Y2370" i="34"/>
  <c r="Z2370" i="34"/>
  <c r="N2371" i="34"/>
  <c r="O2371" i="34"/>
  <c r="P2371" i="34"/>
  <c r="Q2371" i="34"/>
  <c r="R2371" i="34"/>
  <c r="S2371" i="34"/>
  <c r="T2371" i="34"/>
  <c r="U2371" i="34"/>
  <c r="V2371" i="34"/>
  <c r="W2371" i="34"/>
  <c r="X2371" i="34"/>
  <c r="Y2371" i="34"/>
  <c r="Z2371" i="34"/>
  <c r="N2372" i="34"/>
  <c r="O2372" i="34"/>
  <c r="P2372" i="34"/>
  <c r="Q2372" i="34"/>
  <c r="R2372" i="34"/>
  <c r="S2372" i="34"/>
  <c r="T2372" i="34"/>
  <c r="U2372" i="34"/>
  <c r="V2372" i="34"/>
  <c r="W2372" i="34"/>
  <c r="X2372" i="34"/>
  <c r="Y2372" i="34"/>
  <c r="Z2372" i="34"/>
  <c r="N2373" i="34"/>
  <c r="O2373" i="34"/>
  <c r="P2373" i="34"/>
  <c r="Q2373" i="34"/>
  <c r="R2373" i="34"/>
  <c r="S2373" i="34"/>
  <c r="T2373" i="34"/>
  <c r="U2373" i="34"/>
  <c r="V2373" i="34"/>
  <c r="W2373" i="34"/>
  <c r="X2373" i="34"/>
  <c r="Y2373" i="34"/>
  <c r="Z2373" i="34"/>
  <c r="N2374" i="34"/>
  <c r="O2374" i="34"/>
  <c r="P2374" i="34"/>
  <c r="Q2374" i="34"/>
  <c r="R2374" i="34"/>
  <c r="S2374" i="34"/>
  <c r="T2374" i="34"/>
  <c r="U2374" i="34"/>
  <c r="V2374" i="34"/>
  <c r="W2374" i="34"/>
  <c r="X2374" i="34"/>
  <c r="Y2374" i="34"/>
  <c r="Z2374" i="34"/>
  <c r="N2375" i="34"/>
  <c r="O2375" i="34"/>
  <c r="P2375" i="34"/>
  <c r="Q2375" i="34"/>
  <c r="R2375" i="34"/>
  <c r="S2375" i="34"/>
  <c r="T2375" i="34"/>
  <c r="U2375" i="34"/>
  <c r="V2375" i="34"/>
  <c r="W2375" i="34"/>
  <c r="X2375" i="34"/>
  <c r="Y2375" i="34"/>
  <c r="Z2375" i="34"/>
  <c r="N2376" i="34"/>
  <c r="O2376" i="34"/>
  <c r="P2376" i="34"/>
  <c r="Q2376" i="34"/>
  <c r="R2376" i="34"/>
  <c r="S2376" i="34"/>
  <c r="T2376" i="34"/>
  <c r="U2376" i="34"/>
  <c r="V2376" i="34"/>
  <c r="W2376" i="34"/>
  <c r="X2376" i="34"/>
  <c r="Y2376" i="34"/>
  <c r="Z2376" i="34"/>
  <c r="N2377" i="34"/>
  <c r="O2377" i="34"/>
  <c r="P2377" i="34"/>
  <c r="Q2377" i="34"/>
  <c r="R2377" i="34"/>
  <c r="S2377" i="34"/>
  <c r="T2377" i="34"/>
  <c r="U2377" i="34"/>
  <c r="V2377" i="34"/>
  <c r="W2377" i="34"/>
  <c r="X2377" i="34"/>
  <c r="Y2377" i="34"/>
  <c r="Z2377" i="34"/>
  <c r="N2378" i="34"/>
  <c r="O2378" i="34"/>
  <c r="P2378" i="34"/>
  <c r="Q2378" i="34"/>
  <c r="R2378" i="34"/>
  <c r="S2378" i="34"/>
  <c r="T2378" i="34"/>
  <c r="U2378" i="34"/>
  <c r="V2378" i="34"/>
  <c r="W2378" i="34"/>
  <c r="X2378" i="34"/>
  <c r="Y2378" i="34"/>
  <c r="Z2378" i="34"/>
  <c r="N2379" i="34"/>
  <c r="O2379" i="34"/>
  <c r="P2379" i="34"/>
  <c r="Q2379" i="34"/>
  <c r="R2379" i="34"/>
  <c r="S2379" i="34"/>
  <c r="T2379" i="34"/>
  <c r="U2379" i="34"/>
  <c r="V2379" i="34"/>
  <c r="W2379" i="34"/>
  <c r="X2379" i="34"/>
  <c r="Y2379" i="34"/>
  <c r="Z2379" i="34"/>
  <c r="N2380" i="34"/>
  <c r="O2380" i="34"/>
  <c r="P2380" i="34"/>
  <c r="Q2380" i="34"/>
  <c r="R2380" i="34"/>
  <c r="S2380" i="34"/>
  <c r="T2380" i="34"/>
  <c r="U2380" i="34"/>
  <c r="V2380" i="34"/>
  <c r="W2380" i="34"/>
  <c r="X2380" i="34"/>
  <c r="Y2380" i="34"/>
  <c r="Z2380" i="34"/>
  <c r="N2381" i="34"/>
  <c r="O2381" i="34"/>
  <c r="P2381" i="34"/>
  <c r="Q2381" i="34"/>
  <c r="R2381" i="34"/>
  <c r="S2381" i="34"/>
  <c r="T2381" i="34"/>
  <c r="U2381" i="34"/>
  <c r="V2381" i="34"/>
  <c r="W2381" i="34"/>
  <c r="X2381" i="34"/>
  <c r="Y2381" i="34"/>
  <c r="Z2381" i="34"/>
  <c r="N2382" i="34"/>
  <c r="O2382" i="34"/>
  <c r="P2382" i="34"/>
  <c r="Q2382" i="34"/>
  <c r="R2382" i="34"/>
  <c r="S2382" i="34"/>
  <c r="T2382" i="34"/>
  <c r="U2382" i="34"/>
  <c r="V2382" i="34"/>
  <c r="W2382" i="34"/>
  <c r="X2382" i="34"/>
  <c r="Y2382" i="34"/>
  <c r="Z2382" i="34"/>
  <c r="N2383" i="34"/>
  <c r="O2383" i="34"/>
  <c r="P2383" i="34"/>
  <c r="Q2383" i="34"/>
  <c r="R2383" i="34"/>
  <c r="S2383" i="34"/>
  <c r="T2383" i="34"/>
  <c r="U2383" i="34"/>
  <c r="V2383" i="34"/>
  <c r="W2383" i="34"/>
  <c r="X2383" i="34"/>
  <c r="Y2383" i="34"/>
  <c r="Z2383" i="34"/>
  <c r="N2384" i="34"/>
  <c r="O2384" i="34"/>
  <c r="P2384" i="34"/>
  <c r="Q2384" i="34"/>
  <c r="R2384" i="34"/>
  <c r="S2384" i="34"/>
  <c r="T2384" i="34"/>
  <c r="U2384" i="34"/>
  <c r="V2384" i="34"/>
  <c r="W2384" i="34"/>
  <c r="X2384" i="34"/>
  <c r="Y2384" i="34"/>
  <c r="Z2384" i="34"/>
  <c r="N2385" i="34"/>
  <c r="O2385" i="34"/>
  <c r="P2385" i="34"/>
  <c r="Q2385" i="34"/>
  <c r="R2385" i="34"/>
  <c r="S2385" i="34"/>
  <c r="T2385" i="34"/>
  <c r="U2385" i="34"/>
  <c r="V2385" i="34"/>
  <c r="W2385" i="34"/>
  <c r="X2385" i="34"/>
  <c r="Y2385" i="34"/>
  <c r="Z2385" i="34"/>
  <c r="N2386" i="34"/>
  <c r="O2386" i="34"/>
  <c r="P2386" i="34"/>
  <c r="Q2386" i="34"/>
  <c r="R2386" i="34"/>
  <c r="S2386" i="34"/>
  <c r="T2386" i="34"/>
  <c r="U2386" i="34"/>
  <c r="V2386" i="34"/>
  <c r="W2386" i="34"/>
  <c r="X2386" i="34"/>
  <c r="Y2386" i="34"/>
  <c r="Z2386" i="34"/>
  <c r="N2387" i="34"/>
  <c r="O2387" i="34"/>
  <c r="P2387" i="34"/>
  <c r="Q2387" i="34"/>
  <c r="R2387" i="34"/>
  <c r="S2387" i="34"/>
  <c r="T2387" i="34"/>
  <c r="U2387" i="34"/>
  <c r="V2387" i="34"/>
  <c r="W2387" i="34"/>
  <c r="X2387" i="34"/>
  <c r="Y2387" i="34"/>
  <c r="Z2387" i="34"/>
  <c r="N2388" i="34"/>
  <c r="O2388" i="34"/>
  <c r="P2388" i="34"/>
  <c r="Q2388" i="34"/>
  <c r="R2388" i="34"/>
  <c r="S2388" i="34"/>
  <c r="T2388" i="34"/>
  <c r="U2388" i="34"/>
  <c r="V2388" i="34"/>
  <c r="W2388" i="34"/>
  <c r="X2388" i="34"/>
  <c r="Y2388" i="34"/>
  <c r="Z2388" i="34"/>
  <c r="N2389" i="34"/>
  <c r="O2389" i="34"/>
  <c r="P2389" i="34"/>
  <c r="Q2389" i="34"/>
  <c r="R2389" i="34"/>
  <c r="S2389" i="34"/>
  <c r="T2389" i="34"/>
  <c r="U2389" i="34"/>
  <c r="V2389" i="34"/>
  <c r="W2389" i="34"/>
  <c r="X2389" i="34"/>
  <c r="Y2389" i="34"/>
  <c r="Z2389" i="34"/>
  <c r="N2390" i="34"/>
  <c r="O2390" i="34"/>
  <c r="P2390" i="34"/>
  <c r="Q2390" i="34"/>
  <c r="R2390" i="34"/>
  <c r="S2390" i="34"/>
  <c r="T2390" i="34"/>
  <c r="U2390" i="34"/>
  <c r="V2390" i="34"/>
  <c r="W2390" i="34"/>
  <c r="X2390" i="34"/>
  <c r="Y2390" i="34"/>
  <c r="Z2390" i="34"/>
  <c r="N2391" i="34"/>
  <c r="O2391" i="34"/>
  <c r="P2391" i="34"/>
  <c r="Q2391" i="34"/>
  <c r="R2391" i="34"/>
  <c r="S2391" i="34"/>
  <c r="T2391" i="34"/>
  <c r="U2391" i="34"/>
  <c r="V2391" i="34"/>
  <c r="W2391" i="34"/>
  <c r="X2391" i="34"/>
  <c r="Y2391" i="34"/>
  <c r="Z2391" i="34"/>
  <c r="N2392" i="34"/>
  <c r="O2392" i="34"/>
  <c r="P2392" i="34"/>
  <c r="Q2392" i="34"/>
  <c r="R2392" i="34"/>
  <c r="S2392" i="34"/>
  <c r="T2392" i="34"/>
  <c r="U2392" i="34"/>
  <c r="V2392" i="34"/>
  <c r="W2392" i="34"/>
  <c r="X2392" i="34"/>
  <c r="Y2392" i="34"/>
  <c r="Z2392" i="34"/>
  <c r="N2393" i="34"/>
  <c r="O2393" i="34"/>
  <c r="P2393" i="34"/>
  <c r="Q2393" i="34"/>
  <c r="R2393" i="34"/>
  <c r="S2393" i="34"/>
  <c r="T2393" i="34"/>
  <c r="U2393" i="34"/>
  <c r="V2393" i="34"/>
  <c r="W2393" i="34"/>
  <c r="X2393" i="34"/>
  <c r="Y2393" i="34"/>
  <c r="Z2393" i="34"/>
  <c r="N2394" i="34"/>
  <c r="O2394" i="34"/>
  <c r="P2394" i="34"/>
  <c r="Q2394" i="34"/>
  <c r="R2394" i="34"/>
  <c r="S2394" i="34"/>
  <c r="T2394" i="34"/>
  <c r="U2394" i="34"/>
  <c r="V2394" i="34"/>
  <c r="W2394" i="34"/>
  <c r="X2394" i="34"/>
  <c r="Y2394" i="34"/>
  <c r="Z2394" i="34"/>
  <c r="N2395" i="34"/>
  <c r="O2395" i="34"/>
  <c r="P2395" i="34"/>
  <c r="Q2395" i="34"/>
  <c r="R2395" i="34"/>
  <c r="S2395" i="34"/>
  <c r="T2395" i="34"/>
  <c r="U2395" i="34"/>
  <c r="V2395" i="34"/>
  <c r="W2395" i="34"/>
  <c r="X2395" i="34"/>
  <c r="Y2395" i="34"/>
  <c r="Z2395" i="34"/>
  <c r="N2396" i="34"/>
  <c r="O2396" i="34"/>
  <c r="P2396" i="34"/>
  <c r="Q2396" i="34"/>
  <c r="R2396" i="34"/>
  <c r="S2396" i="34"/>
  <c r="T2396" i="34"/>
  <c r="U2396" i="34"/>
  <c r="V2396" i="34"/>
  <c r="W2396" i="34"/>
  <c r="X2396" i="34"/>
  <c r="Y2396" i="34"/>
  <c r="Z2396" i="34"/>
  <c r="N2397" i="34"/>
  <c r="O2397" i="34"/>
  <c r="P2397" i="34"/>
  <c r="Q2397" i="34"/>
  <c r="R2397" i="34"/>
  <c r="S2397" i="34"/>
  <c r="T2397" i="34"/>
  <c r="U2397" i="34"/>
  <c r="V2397" i="34"/>
  <c r="W2397" i="34"/>
  <c r="X2397" i="34"/>
  <c r="Y2397" i="34"/>
  <c r="Z2397" i="34"/>
  <c r="N2398" i="34"/>
  <c r="O2398" i="34"/>
  <c r="P2398" i="34"/>
  <c r="Q2398" i="34"/>
  <c r="R2398" i="34"/>
  <c r="S2398" i="34"/>
  <c r="T2398" i="34"/>
  <c r="U2398" i="34"/>
  <c r="V2398" i="34"/>
  <c r="W2398" i="34"/>
  <c r="X2398" i="34"/>
  <c r="Y2398" i="34"/>
  <c r="Z2398" i="34"/>
  <c r="N2399" i="34"/>
  <c r="O2399" i="34"/>
  <c r="P2399" i="34"/>
  <c r="Q2399" i="34"/>
  <c r="R2399" i="34"/>
  <c r="S2399" i="34"/>
  <c r="T2399" i="34"/>
  <c r="U2399" i="34"/>
  <c r="V2399" i="34"/>
  <c r="W2399" i="34"/>
  <c r="X2399" i="34"/>
  <c r="Y2399" i="34"/>
  <c r="Z2399" i="34"/>
  <c r="N2400" i="34"/>
  <c r="O2400" i="34"/>
  <c r="P2400" i="34"/>
  <c r="Q2400" i="34"/>
  <c r="R2400" i="34"/>
  <c r="S2400" i="34"/>
  <c r="T2400" i="34"/>
  <c r="U2400" i="34"/>
  <c r="V2400" i="34"/>
  <c r="W2400" i="34"/>
  <c r="X2400" i="34"/>
  <c r="Y2400" i="34"/>
  <c r="Z2400" i="34"/>
  <c r="N2401" i="34"/>
  <c r="O2401" i="34"/>
  <c r="P2401" i="34"/>
  <c r="Q2401" i="34"/>
  <c r="R2401" i="34"/>
  <c r="S2401" i="34"/>
  <c r="T2401" i="34"/>
  <c r="U2401" i="34"/>
  <c r="V2401" i="34"/>
  <c r="W2401" i="34"/>
  <c r="X2401" i="34"/>
  <c r="Y2401" i="34"/>
  <c r="Z2401" i="34"/>
  <c r="N2402" i="34"/>
  <c r="O2402" i="34"/>
  <c r="P2402" i="34"/>
  <c r="Q2402" i="34"/>
  <c r="R2402" i="34"/>
  <c r="S2402" i="34"/>
  <c r="T2402" i="34"/>
  <c r="U2402" i="34"/>
  <c r="V2402" i="34"/>
  <c r="W2402" i="34"/>
  <c r="X2402" i="34"/>
  <c r="Y2402" i="34"/>
  <c r="Z2402" i="34"/>
  <c r="N2403" i="34"/>
  <c r="O2403" i="34"/>
  <c r="P2403" i="34"/>
  <c r="Q2403" i="34"/>
  <c r="R2403" i="34"/>
  <c r="S2403" i="34"/>
  <c r="T2403" i="34"/>
  <c r="U2403" i="34"/>
  <c r="V2403" i="34"/>
  <c r="W2403" i="34"/>
  <c r="X2403" i="34"/>
  <c r="Y2403" i="34"/>
  <c r="Z2403" i="34"/>
  <c r="N2404" i="34"/>
  <c r="O2404" i="34"/>
  <c r="P2404" i="34"/>
  <c r="Q2404" i="34"/>
  <c r="R2404" i="34"/>
  <c r="S2404" i="34"/>
  <c r="T2404" i="34"/>
  <c r="U2404" i="34"/>
  <c r="V2404" i="34"/>
  <c r="W2404" i="34"/>
  <c r="X2404" i="34"/>
  <c r="Y2404" i="34"/>
  <c r="Z2404" i="34"/>
  <c r="N2405" i="34"/>
  <c r="O2405" i="34"/>
  <c r="P2405" i="34"/>
  <c r="Q2405" i="34"/>
  <c r="R2405" i="34"/>
  <c r="S2405" i="34"/>
  <c r="T2405" i="34"/>
  <c r="U2405" i="34"/>
  <c r="V2405" i="34"/>
  <c r="W2405" i="34"/>
  <c r="X2405" i="34"/>
  <c r="Y2405" i="34"/>
  <c r="Z2405" i="34"/>
  <c r="N2406" i="34"/>
  <c r="O2406" i="34"/>
  <c r="P2406" i="34"/>
  <c r="Q2406" i="34"/>
  <c r="R2406" i="34"/>
  <c r="S2406" i="34"/>
  <c r="T2406" i="34"/>
  <c r="U2406" i="34"/>
  <c r="V2406" i="34"/>
  <c r="W2406" i="34"/>
  <c r="X2406" i="34"/>
  <c r="Y2406" i="34"/>
  <c r="Z2406" i="34"/>
  <c r="N2407" i="34"/>
  <c r="O2407" i="34"/>
  <c r="P2407" i="34"/>
  <c r="Q2407" i="34"/>
  <c r="R2407" i="34"/>
  <c r="S2407" i="34"/>
  <c r="T2407" i="34"/>
  <c r="U2407" i="34"/>
  <c r="V2407" i="34"/>
  <c r="W2407" i="34"/>
  <c r="X2407" i="34"/>
  <c r="Y2407" i="34"/>
  <c r="Z2407" i="34"/>
  <c r="N2408" i="34"/>
  <c r="O2408" i="34"/>
  <c r="P2408" i="34"/>
  <c r="Q2408" i="34"/>
  <c r="R2408" i="34"/>
  <c r="S2408" i="34"/>
  <c r="T2408" i="34"/>
  <c r="U2408" i="34"/>
  <c r="V2408" i="34"/>
  <c r="W2408" i="34"/>
  <c r="X2408" i="34"/>
  <c r="Y2408" i="34"/>
  <c r="Z2408" i="34"/>
  <c r="N2409" i="34"/>
  <c r="O2409" i="34"/>
  <c r="P2409" i="34"/>
  <c r="Q2409" i="34"/>
  <c r="R2409" i="34"/>
  <c r="S2409" i="34"/>
  <c r="T2409" i="34"/>
  <c r="U2409" i="34"/>
  <c r="V2409" i="34"/>
  <c r="W2409" i="34"/>
  <c r="X2409" i="34"/>
  <c r="Y2409" i="34"/>
  <c r="Z2409" i="34"/>
  <c r="N2410" i="34"/>
  <c r="O2410" i="34"/>
  <c r="P2410" i="34"/>
  <c r="Q2410" i="34"/>
  <c r="R2410" i="34"/>
  <c r="S2410" i="34"/>
  <c r="T2410" i="34"/>
  <c r="U2410" i="34"/>
  <c r="V2410" i="34"/>
  <c r="W2410" i="34"/>
  <c r="X2410" i="34"/>
  <c r="Y2410" i="34"/>
  <c r="Z2410" i="34"/>
  <c r="N2411" i="34"/>
  <c r="O2411" i="34"/>
  <c r="P2411" i="34"/>
  <c r="Q2411" i="34"/>
  <c r="R2411" i="34"/>
  <c r="S2411" i="34"/>
  <c r="T2411" i="34"/>
  <c r="U2411" i="34"/>
  <c r="V2411" i="34"/>
  <c r="W2411" i="34"/>
  <c r="X2411" i="34"/>
  <c r="Y2411" i="34"/>
  <c r="Z2411" i="34"/>
  <c r="N2412" i="34"/>
  <c r="O2412" i="34"/>
  <c r="P2412" i="34"/>
  <c r="Q2412" i="34"/>
  <c r="R2412" i="34"/>
  <c r="S2412" i="34"/>
  <c r="T2412" i="34"/>
  <c r="U2412" i="34"/>
  <c r="V2412" i="34"/>
  <c r="W2412" i="34"/>
  <c r="X2412" i="34"/>
  <c r="Y2412" i="34"/>
  <c r="Z2412" i="34"/>
  <c r="N2413" i="34"/>
  <c r="O2413" i="34"/>
  <c r="P2413" i="34"/>
  <c r="Q2413" i="34"/>
  <c r="R2413" i="34"/>
  <c r="S2413" i="34"/>
  <c r="T2413" i="34"/>
  <c r="U2413" i="34"/>
  <c r="V2413" i="34"/>
  <c r="W2413" i="34"/>
  <c r="X2413" i="34"/>
  <c r="Y2413" i="34"/>
  <c r="Z2413" i="34"/>
  <c r="N2414" i="34"/>
  <c r="O2414" i="34"/>
  <c r="P2414" i="34"/>
  <c r="Q2414" i="34"/>
  <c r="R2414" i="34"/>
  <c r="S2414" i="34"/>
  <c r="T2414" i="34"/>
  <c r="U2414" i="34"/>
  <c r="V2414" i="34"/>
  <c r="W2414" i="34"/>
  <c r="X2414" i="34"/>
  <c r="Y2414" i="34"/>
  <c r="Z2414" i="34"/>
  <c r="N2415" i="34"/>
  <c r="O2415" i="34"/>
  <c r="P2415" i="34"/>
  <c r="Q2415" i="34"/>
  <c r="R2415" i="34"/>
  <c r="S2415" i="34"/>
  <c r="T2415" i="34"/>
  <c r="U2415" i="34"/>
  <c r="V2415" i="34"/>
  <c r="W2415" i="34"/>
  <c r="X2415" i="34"/>
  <c r="Y2415" i="34"/>
  <c r="Z2415" i="34"/>
  <c r="N2416" i="34"/>
  <c r="O2416" i="34"/>
  <c r="P2416" i="34"/>
  <c r="Q2416" i="34"/>
  <c r="R2416" i="34"/>
  <c r="S2416" i="34"/>
  <c r="T2416" i="34"/>
  <c r="U2416" i="34"/>
  <c r="V2416" i="34"/>
  <c r="W2416" i="34"/>
  <c r="X2416" i="34"/>
  <c r="Y2416" i="34"/>
  <c r="Z2416" i="34"/>
  <c r="N2417" i="34"/>
  <c r="O2417" i="34"/>
  <c r="P2417" i="34"/>
  <c r="Q2417" i="34"/>
  <c r="R2417" i="34"/>
  <c r="S2417" i="34"/>
  <c r="T2417" i="34"/>
  <c r="U2417" i="34"/>
  <c r="V2417" i="34"/>
  <c r="W2417" i="34"/>
  <c r="X2417" i="34"/>
  <c r="Y2417" i="34"/>
  <c r="Z2417" i="34"/>
  <c r="N2418" i="34"/>
  <c r="O2418" i="34"/>
  <c r="P2418" i="34"/>
  <c r="Q2418" i="34"/>
  <c r="R2418" i="34"/>
  <c r="S2418" i="34"/>
  <c r="T2418" i="34"/>
  <c r="U2418" i="34"/>
  <c r="V2418" i="34"/>
  <c r="W2418" i="34"/>
  <c r="X2418" i="34"/>
  <c r="Y2418" i="34"/>
  <c r="Z2418" i="34"/>
  <c r="N2419" i="34"/>
  <c r="O2419" i="34"/>
  <c r="P2419" i="34"/>
  <c r="Q2419" i="34"/>
  <c r="R2419" i="34"/>
  <c r="S2419" i="34"/>
  <c r="T2419" i="34"/>
  <c r="U2419" i="34"/>
  <c r="V2419" i="34"/>
  <c r="W2419" i="34"/>
  <c r="X2419" i="34"/>
  <c r="Y2419" i="34"/>
  <c r="Z2419" i="34"/>
  <c r="N2420" i="34"/>
  <c r="O2420" i="34"/>
  <c r="P2420" i="34"/>
  <c r="Q2420" i="34"/>
  <c r="R2420" i="34"/>
  <c r="S2420" i="34"/>
  <c r="T2420" i="34"/>
  <c r="U2420" i="34"/>
  <c r="V2420" i="34"/>
  <c r="W2420" i="34"/>
  <c r="X2420" i="34"/>
  <c r="Y2420" i="34"/>
  <c r="Z2420" i="34"/>
  <c r="N2421" i="34"/>
  <c r="O2421" i="34"/>
  <c r="P2421" i="34"/>
  <c r="Q2421" i="34"/>
  <c r="R2421" i="34"/>
  <c r="S2421" i="34"/>
  <c r="T2421" i="34"/>
  <c r="U2421" i="34"/>
  <c r="V2421" i="34"/>
  <c r="W2421" i="34"/>
  <c r="X2421" i="34"/>
  <c r="Y2421" i="34"/>
  <c r="Z2421" i="34"/>
  <c r="N2422" i="34"/>
  <c r="O2422" i="34"/>
  <c r="P2422" i="34"/>
  <c r="Q2422" i="34"/>
  <c r="R2422" i="34"/>
  <c r="S2422" i="34"/>
  <c r="T2422" i="34"/>
  <c r="U2422" i="34"/>
  <c r="V2422" i="34"/>
  <c r="W2422" i="34"/>
  <c r="X2422" i="34"/>
  <c r="Y2422" i="34"/>
  <c r="Z2422" i="34"/>
  <c r="N2423" i="34"/>
  <c r="O2423" i="34"/>
  <c r="P2423" i="34"/>
  <c r="Q2423" i="34"/>
  <c r="R2423" i="34"/>
  <c r="S2423" i="34"/>
  <c r="T2423" i="34"/>
  <c r="U2423" i="34"/>
  <c r="V2423" i="34"/>
  <c r="W2423" i="34"/>
  <c r="X2423" i="34"/>
  <c r="Y2423" i="34"/>
  <c r="Z2423" i="34"/>
  <c r="N2424" i="34"/>
  <c r="O2424" i="34"/>
  <c r="P2424" i="34"/>
  <c r="Q2424" i="34"/>
  <c r="R2424" i="34"/>
  <c r="S2424" i="34"/>
  <c r="T2424" i="34"/>
  <c r="U2424" i="34"/>
  <c r="V2424" i="34"/>
  <c r="W2424" i="34"/>
  <c r="X2424" i="34"/>
  <c r="Y2424" i="34"/>
  <c r="Z2424" i="34"/>
  <c r="N2425" i="34"/>
  <c r="O2425" i="34"/>
  <c r="P2425" i="34"/>
  <c r="Q2425" i="34"/>
  <c r="R2425" i="34"/>
  <c r="S2425" i="34"/>
  <c r="T2425" i="34"/>
  <c r="U2425" i="34"/>
  <c r="V2425" i="34"/>
  <c r="W2425" i="34"/>
  <c r="X2425" i="34"/>
  <c r="Y2425" i="34"/>
  <c r="Z2425" i="34"/>
  <c r="N2426" i="34"/>
  <c r="O2426" i="34"/>
  <c r="P2426" i="34"/>
  <c r="Q2426" i="34"/>
  <c r="R2426" i="34"/>
  <c r="S2426" i="34"/>
  <c r="T2426" i="34"/>
  <c r="U2426" i="34"/>
  <c r="V2426" i="34"/>
  <c r="W2426" i="34"/>
  <c r="X2426" i="34"/>
  <c r="Y2426" i="34"/>
  <c r="Z2426" i="34"/>
  <c r="N2427" i="34"/>
  <c r="O2427" i="34"/>
  <c r="P2427" i="34"/>
  <c r="Q2427" i="34"/>
  <c r="R2427" i="34"/>
  <c r="S2427" i="34"/>
  <c r="T2427" i="34"/>
  <c r="U2427" i="34"/>
  <c r="V2427" i="34"/>
  <c r="W2427" i="34"/>
  <c r="X2427" i="34"/>
  <c r="Y2427" i="34"/>
  <c r="Z2427" i="34"/>
  <c r="N2428" i="34"/>
  <c r="O2428" i="34"/>
  <c r="P2428" i="34"/>
  <c r="Q2428" i="34"/>
  <c r="R2428" i="34"/>
  <c r="S2428" i="34"/>
  <c r="T2428" i="34"/>
  <c r="U2428" i="34"/>
  <c r="V2428" i="34"/>
  <c r="W2428" i="34"/>
  <c r="X2428" i="34"/>
  <c r="Y2428" i="34"/>
  <c r="Z2428" i="34"/>
  <c r="N2429" i="34"/>
  <c r="O2429" i="34"/>
  <c r="P2429" i="34"/>
  <c r="Q2429" i="34"/>
  <c r="R2429" i="34"/>
  <c r="S2429" i="34"/>
  <c r="T2429" i="34"/>
  <c r="U2429" i="34"/>
  <c r="V2429" i="34"/>
  <c r="W2429" i="34"/>
  <c r="X2429" i="34"/>
  <c r="Y2429" i="34"/>
  <c r="Z2429" i="34"/>
  <c r="N2430" i="34"/>
  <c r="O2430" i="34"/>
  <c r="P2430" i="34"/>
  <c r="Q2430" i="34"/>
  <c r="R2430" i="34"/>
  <c r="S2430" i="34"/>
  <c r="T2430" i="34"/>
  <c r="U2430" i="34"/>
  <c r="V2430" i="34"/>
  <c r="W2430" i="34"/>
  <c r="X2430" i="34"/>
  <c r="Y2430" i="34"/>
  <c r="Z2430" i="34"/>
  <c r="N2431" i="34"/>
  <c r="O2431" i="34"/>
  <c r="P2431" i="34"/>
  <c r="Q2431" i="34"/>
  <c r="R2431" i="34"/>
  <c r="S2431" i="34"/>
  <c r="T2431" i="34"/>
  <c r="U2431" i="34"/>
  <c r="V2431" i="34"/>
  <c r="W2431" i="34"/>
  <c r="X2431" i="34"/>
  <c r="Y2431" i="34"/>
  <c r="Z2431" i="34"/>
  <c r="N2432" i="34"/>
  <c r="O2432" i="34"/>
  <c r="P2432" i="34"/>
  <c r="Q2432" i="34"/>
  <c r="R2432" i="34"/>
  <c r="S2432" i="34"/>
  <c r="T2432" i="34"/>
  <c r="U2432" i="34"/>
  <c r="V2432" i="34"/>
  <c r="W2432" i="34"/>
  <c r="X2432" i="34"/>
  <c r="Y2432" i="34"/>
  <c r="Z2432" i="34"/>
  <c r="N2433" i="34"/>
  <c r="O2433" i="34"/>
  <c r="P2433" i="34"/>
  <c r="Q2433" i="34"/>
  <c r="R2433" i="34"/>
  <c r="S2433" i="34"/>
  <c r="T2433" i="34"/>
  <c r="U2433" i="34"/>
  <c r="V2433" i="34"/>
  <c r="W2433" i="34"/>
  <c r="X2433" i="34"/>
  <c r="Y2433" i="34"/>
  <c r="Z2433" i="34"/>
  <c r="N2434" i="34"/>
  <c r="O2434" i="34"/>
  <c r="P2434" i="34"/>
  <c r="Q2434" i="34"/>
  <c r="R2434" i="34"/>
  <c r="S2434" i="34"/>
  <c r="T2434" i="34"/>
  <c r="U2434" i="34"/>
  <c r="V2434" i="34"/>
  <c r="W2434" i="34"/>
  <c r="X2434" i="34"/>
  <c r="Y2434" i="34"/>
  <c r="Z2434" i="34"/>
  <c r="N2435" i="34"/>
  <c r="O2435" i="34"/>
  <c r="P2435" i="34"/>
  <c r="Q2435" i="34"/>
  <c r="R2435" i="34"/>
  <c r="S2435" i="34"/>
  <c r="T2435" i="34"/>
  <c r="U2435" i="34"/>
  <c r="V2435" i="34"/>
  <c r="W2435" i="34"/>
  <c r="X2435" i="34"/>
  <c r="Y2435" i="34"/>
  <c r="Z2435" i="34"/>
  <c r="N2436" i="34"/>
  <c r="O2436" i="34"/>
  <c r="P2436" i="34"/>
  <c r="Q2436" i="34"/>
  <c r="R2436" i="34"/>
  <c r="S2436" i="34"/>
  <c r="T2436" i="34"/>
  <c r="U2436" i="34"/>
  <c r="V2436" i="34"/>
  <c r="W2436" i="34"/>
  <c r="X2436" i="34"/>
  <c r="Y2436" i="34"/>
  <c r="Z2436" i="34"/>
  <c r="N2437" i="34"/>
  <c r="O2437" i="34"/>
  <c r="P2437" i="34"/>
  <c r="Q2437" i="34"/>
  <c r="R2437" i="34"/>
  <c r="S2437" i="34"/>
  <c r="T2437" i="34"/>
  <c r="U2437" i="34"/>
  <c r="V2437" i="34"/>
  <c r="W2437" i="34"/>
  <c r="X2437" i="34"/>
  <c r="Y2437" i="34"/>
  <c r="Z2437" i="34"/>
  <c r="N2438" i="34"/>
  <c r="O2438" i="34"/>
  <c r="P2438" i="34"/>
  <c r="Q2438" i="34"/>
  <c r="R2438" i="34"/>
  <c r="S2438" i="34"/>
  <c r="T2438" i="34"/>
  <c r="U2438" i="34"/>
  <c r="V2438" i="34"/>
  <c r="W2438" i="34"/>
  <c r="X2438" i="34"/>
  <c r="Y2438" i="34"/>
  <c r="Z2438" i="34"/>
  <c r="N2439" i="34"/>
  <c r="O2439" i="34"/>
  <c r="P2439" i="34"/>
  <c r="Q2439" i="34"/>
  <c r="R2439" i="34"/>
  <c r="S2439" i="34"/>
  <c r="T2439" i="34"/>
  <c r="U2439" i="34"/>
  <c r="V2439" i="34"/>
  <c r="W2439" i="34"/>
  <c r="X2439" i="34"/>
  <c r="Y2439" i="34"/>
  <c r="Z2439" i="34"/>
  <c r="N2440" i="34"/>
  <c r="O2440" i="34"/>
  <c r="P2440" i="34"/>
  <c r="Q2440" i="34"/>
  <c r="R2440" i="34"/>
  <c r="S2440" i="34"/>
  <c r="T2440" i="34"/>
  <c r="U2440" i="34"/>
  <c r="V2440" i="34"/>
  <c r="W2440" i="34"/>
  <c r="X2440" i="34"/>
  <c r="Y2440" i="34"/>
  <c r="Z2440" i="34"/>
  <c r="N2441" i="34"/>
  <c r="O2441" i="34"/>
  <c r="P2441" i="34"/>
  <c r="Q2441" i="34"/>
  <c r="R2441" i="34"/>
  <c r="S2441" i="34"/>
  <c r="T2441" i="34"/>
  <c r="U2441" i="34"/>
  <c r="V2441" i="34"/>
  <c r="W2441" i="34"/>
  <c r="X2441" i="34"/>
  <c r="Y2441" i="34"/>
  <c r="Z2441" i="34"/>
  <c r="N2442" i="34"/>
  <c r="O2442" i="34"/>
  <c r="P2442" i="34"/>
  <c r="Q2442" i="34"/>
  <c r="R2442" i="34"/>
  <c r="S2442" i="34"/>
  <c r="T2442" i="34"/>
  <c r="U2442" i="34"/>
  <c r="V2442" i="34"/>
  <c r="W2442" i="34"/>
  <c r="X2442" i="34"/>
  <c r="Y2442" i="34"/>
  <c r="Z2442" i="34"/>
  <c r="N2443" i="34"/>
  <c r="O2443" i="34"/>
  <c r="P2443" i="34"/>
  <c r="Q2443" i="34"/>
  <c r="R2443" i="34"/>
  <c r="S2443" i="34"/>
  <c r="T2443" i="34"/>
  <c r="U2443" i="34"/>
  <c r="V2443" i="34"/>
  <c r="W2443" i="34"/>
  <c r="X2443" i="34"/>
  <c r="Y2443" i="34"/>
  <c r="Z2443" i="34"/>
  <c r="N2444" i="34"/>
  <c r="O2444" i="34"/>
  <c r="P2444" i="34"/>
  <c r="Q2444" i="34"/>
  <c r="R2444" i="34"/>
  <c r="S2444" i="34"/>
  <c r="T2444" i="34"/>
  <c r="U2444" i="34"/>
  <c r="V2444" i="34"/>
  <c r="W2444" i="34"/>
  <c r="X2444" i="34"/>
  <c r="Y2444" i="34"/>
  <c r="Z2444" i="34"/>
  <c r="N2445" i="34"/>
  <c r="O2445" i="34"/>
  <c r="P2445" i="34"/>
  <c r="Q2445" i="34"/>
  <c r="R2445" i="34"/>
  <c r="S2445" i="34"/>
  <c r="T2445" i="34"/>
  <c r="U2445" i="34"/>
  <c r="V2445" i="34"/>
  <c r="W2445" i="34"/>
  <c r="X2445" i="34"/>
  <c r="Y2445" i="34"/>
  <c r="Z2445" i="34"/>
  <c r="N2446" i="34"/>
  <c r="O2446" i="34"/>
  <c r="P2446" i="34"/>
  <c r="Q2446" i="34"/>
  <c r="R2446" i="34"/>
  <c r="S2446" i="34"/>
  <c r="T2446" i="34"/>
  <c r="U2446" i="34"/>
  <c r="V2446" i="34"/>
  <c r="W2446" i="34"/>
  <c r="X2446" i="34"/>
  <c r="Y2446" i="34"/>
  <c r="Z2446" i="34"/>
  <c r="N2447" i="34"/>
  <c r="O2447" i="34"/>
  <c r="P2447" i="34"/>
  <c r="Q2447" i="34"/>
  <c r="R2447" i="34"/>
  <c r="S2447" i="34"/>
  <c r="T2447" i="34"/>
  <c r="U2447" i="34"/>
  <c r="V2447" i="34"/>
  <c r="W2447" i="34"/>
  <c r="X2447" i="34"/>
  <c r="Y2447" i="34"/>
  <c r="Z2447" i="34"/>
  <c r="N2448" i="34"/>
  <c r="O2448" i="34"/>
  <c r="P2448" i="34"/>
  <c r="Q2448" i="34"/>
  <c r="R2448" i="34"/>
  <c r="S2448" i="34"/>
  <c r="T2448" i="34"/>
  <c r="U2448" i="34"/>
  <c r="V2448" i="34"/>
  <c r="W2448" i="34"/>
  <c r="X2448" i="34"/>
  <c r="Y2448" i="34"/>
  <c r="Z2448" i="34"/>
  <c r="N2449" i="34"/>
  <c r="O2449" i="34"/>
  <c r="P2449" i="34"/>
  <c r="Q2449" i="34"/>
  <c r="R2449" i="34"/>
  <c r="S2449" i="34"/>
  <c r="T2449" i="34"/>
  <c r="U2449" i="34"/>
  <c r="V2449" i="34"/>
  <c r="W2449" i="34"/>
  <c r="X2449" i="34"/>
  <c r="Y2449" i="34"/>
  <c r="Z2449" i="34"/>
  <c r="N2450" i="34"/>
  <c r="O2450" i="34"/>
  <c r="P2450" i="34"/>
  <c r="Q2450" i="34"/>
  <c r="R2450" i="34"/>
  <c r="S2450" i="34"/>
  <c r="T2450" i="34"/>
  <c r="U2450" i="34"/>
  <c r="V2450" i="34"/>
  <c r="W2450" i="34"/>
  <c r="X2450" i="34"/>
  <c r="Y2450" i="34"/>
  <c r="Z2450" i="34"/>
  <c r="N2451" i="34"/>
  <c r="O2451" i="34"/>
  <c r="P2451" i="34"/>
  <c r="Q2451" i="34"/>
  <c r="R2451" i="34"/>
  <c r="S2451" i="34"/>
  <c r="T2451" i="34"/>
  <c r="U2451" i="34"/>
  <c r="V2451" i="34"/>
  <c r="W2451" i="34"/>
  <c r="X2451" i="34"/>
  <c r="Y2451" i="34"/>
  <c r="Z2451" i="34"/>
  <c r="N2452" i="34"/>
  <c r="O2452" i="34"/>
  <c r="P2452" i="34"/>
  <c r="Q2452" i="34"/>
  <c r="R2452" i="34"/>
  <c r="S2452" i="34"/>
  <c r="T2452" i="34"/>
  <c r="U2452" i="34"/>
  <c r="V2452" i="34"/>
  <c r="W2452" i="34"/>
  <c r="X2452" i="34"/>
  <c r="Y2452" i="34"/>
  <c r="Z2452" i="34"/>
  <c r="N2453" i="34"/>
  <c r="O2453" i="34"/>
  <c r="P2453" i="34"/>
  <c r="Q2453" i="34"/>
  <c r="R2453" i="34"/>
  <c r="S2453" i="34"/>
  <c r="T2453" i="34"/>
  <c r="U2453" i="34"/>
  <c r="V2453" i="34"/>
  <c r="W2453" i="34"/>
  <c r="X2453" i="34"/>
  <c r="Y2453" i="34"/>
  <c r="Z2453" i="34"/>
  <c r="N2454" i="34"/>
  <c r="O2454" i="34"/>
  <c r="P2454" i="34"/>
  <c r="Q2454" i="34"/>
  <c r="R2454" i="34"/>
  <c r="S2454" i="34"/>
  <c r="T2454" i="34"/>
  <c r="U2454" i="34"/>
  <c r="V2454" i="34"/>
  <c r="W2454" i="34"/>
  <c r="X2454" i="34"/>
  <c r="Y2454" i="34"/>
  <c r="Z2454" i="34"/>
  <c r="N2455" i="34"/>
  <c r="O2455" i="34"/>
  <c r="P2455" i="34"/>
  <c r="Q2455" i="34"/>
  <c r="R2455" i="34"/>
  <c r="S2455" i="34"/>
  <c r="T2455" i="34"/>
  <c r="U2455" i="34"/>
  <c r="V2455" i="34"/>
  <c r="W2455" i="34"/>
  <c r="X2455" i="34"/>
  <c r="Y2455" i="34"/>
  <c r="Z2455" i="34"/>
  <c r="N2456" i="34"/>
  <c r="O2456" i="34"/>
  <c r="P2456" i="34"/>
  <c r="Q2456" i="34"/>
  <c r="R2456" i="34"/>
  <c r="S2456" i="34"/>
  <c r="T2456" i="34"/>
  <c r="U2456" i="34"/>
  <c r="V2456" i="34"/>
  <c r="W2456" i="34"/>
  <c r="X2456" i="34"/>
  <c r="Y2456" i="34"/>
  <c r="Z2456" i="34"/>
  <c r="N2457" i="34"/>
  <c r="O2457" i="34"/>
  <c r="P2457" i="34"/>
  <c r="Q2457" i="34"/>
  <c r="R2457" i="34"/>
  <c r="S2457" i="34"/>
  <c r="T2457" i="34"/>
  <c r="U2457" i="34"/>
  <c r="V2457" i="34"/>
  <c r="W2457" i="34"/>
  <c r="X2457" i="34"/>
  <c r="Y2457" i="34"/>
  <c r="Z2457" i="34"/>
  <c r="N2458" i="34"/>
  <c r="O2458" i="34"/>
  <c r="P2458" i="34"/>
  <c r="Q2458" i="34"/>
  <c r="R2458" i="34"/>
  <c r="S2458" i="34"/>
  <c r="T2458" i="34"/>
  <c r="U2458" i="34"/>
  <c r="V2458" i="34"/>
  <c r="W2458" i="34"/>
  <c r="X2458" i="34"/>
  <c r="Y2458" i="34"/>
  <c r="Z2458" i="34"/>
  <c r="N2459" i="34"/>
  <c r="O2459" i="34"/>
  <c r="P2459" i="34"/>
  <c r="Q2459" i="34"/>
  <c r="R2459" i="34"/>
  <c r="S2459" i="34"/>
  <c r="T2459" i="34"/>
  <c r="U2459" i="34"/>
  <c r="V2459" i="34"/>
  <c r="W2459" i="34"/>
  <c r="X2459" i="34"/>
  <c r="Y2459" i="34"/>
  <c r="Z2459" i="34"/>
  <c r="N2460" i="34"/>
  <c r="O2460" i="34"/>
  <c r="P2460" i="34"/>
  <c r="Q2460" i="34"/>
  <c r="R2460" i="34"/>
  <c r="S2460" i="34"/>
  <c r="T2460" i="34"/>
  <c r="U2460" i="34"/>
  <c r="V2460" i="34"/>
  <c r="W2460" i="34"/>
  <c r="X2460" i="34"/>
  <c r="Y2460" i="34"/>
  <c r="Z2460" i="34"/>
  <c r="N2461" i="34"/>
  <c r="O2461" i="34"/>
  <c r="P2461" i="34"/>
  <c r="Q2461" i="34"/>
  <c r="R2461" i="34"/>
  <c r="S2461" i="34"/>
  <c r="T2461" i="34"/>
  <c r="U2461" i="34"/>
  <c r="V2461" i="34"/>
  <c r="W2461" i="34"/>
  <c r="X2461" i="34"/>
  <c r="Y2461" i="34"/>
  <c r="Z2461" i="34"/>
  <c r="N2462" i="34"/>
  <c r="O2462" i="34"/>
  <c r="P2462" i="34"/>
  <c r="Q2462" i="34"/>
  <c r="R2462" i="34"/>
  <c r="S2462" i="34"/>
  <c r="T2462" i="34"/>
  <c r="U2462" i="34"/>
  <c r="V2462" i="34"/>
  <c r="W2462" i="34"/>
  <c r="X2462" i="34"/>
  <c r="Y2462" i="34"/>
  <c r="Z2462" i="34"/>
  <c r="N2463" i="34"/>
  <c r="O2463" i="34"/>
  <c r="P2463" i="34"/>
  <c r="Q2463" i="34"/>
  <c r="R2463" i="34"/>
  <c r="S2463" i="34"/>
  <c r="T2463" i="34"/>
  <c r="U2463" i="34"/>
  <c r="V2463" i="34"/>
  <c r="W2463" i="34"/>
  <c r="X2463" i="34"/>
  <c r="Y2463" i="34"/>
  <c r="Z2463" i="34"/>
  <c r="N2464" i="34"/>
  <c r="O2464" i="34"/>
  <c r="P2464" i="34"/>
  <c r="Q2464" i="34"/>
  <c r="R2464" i="34"/>
  <c r="S2464" i="34"/>
  <c r="T2464" i="34"/>
  <c r="U2464" i="34"/>
  <c r="V2464" i="34"/>
  <c r="W2464" i="34"/>
  <c r="X2464" i="34"/>
  <c r="Y2464" i="34"/>
  <c r="Z2464" i="34"/>
  <c r="N2465" i="34"/>
  <c r="O2465" i="34"/>
  <c r="P2465" i="34"/>
  <c r="Q2465" i="34"/>
  <c r="R2465" i="34"/>
  <c r="S2465" i="34"/>
  <c r="T2465" i="34"/>
  <c r="U2465" i="34"/>
  <c r="V2465" i="34"/>
  <c r="W2465" i="34"/>
  <c r="X2465" i="34"/>
  <c r="Y2465" i="34"/>
  <c r="Z2465" i="34"/>
  <c r="N2466" i="34"/>
  <c r="O2466" i="34"/>
  <c r="P2466" i="34"/>
  <c r="Q2466" i="34"/>
  <c r="R2466" i="34"/>
  <c r="S2466" i="34"/>
  <c r="T2466" i="34"/>
  <c r="U2466" i="34"/>
  <c r="V2466" i="34"/>
  <c r="W2466" i="34"/>
  <c r="X2466" i="34"/>
  <c r="Y2466" i="34"/>
  <c r="Z2466" i="34"/>
  <c r="N2467" i="34"/>
  <c r="O2467" i="34"/>
  <c r="P2467" i="34"/>
  <c r="Q2467" i="34"/>
  <c r="R2467" i="34"/>
  <c r="S2467" i="34"/>
  <c r="T2467" i="34"/>
  <c r="U2467" i="34"/>
  <c r="V2467" i="34"/>
  <c r="W2467" i="34"/>
  <c r="X2467" i="34"/>
  <c r="Y2467" i="34"/>
  <c r="Z2467" i="34"/>
  <c r="N2468" i="34"/>
  <c r="O2468" i="34"/>
  <c r="P2468" i="34"/>
  <c r="Q2468" i="34"/>
  <c r="R2468" i="34"/>
  <c r="S2468" i="34"/>
  <c r="T2468" i="34"/>
  <c r="U2468" i="34"/>
  <c r="V2468" i="34"/>
  <c r="W2468" i="34"/>
  <c r="X2468" i="34"/>
  <c r="Y2468" i="34"/>
  <c r="Z2468" i="34"/>
  <c r="N2469" i="34"/>
  <c r="O2469" i="34"/>
  <c r="P2469" i="34"/>
  <c r="Q2469" i="34"/>
  <c r="R2469" i="34"/>
  <c r="S2469" i="34"/>
  <c r="T2469" i="34"/>
  <c r="U2469" i="34"/>
  <c r="V2469" i="34"/>
  <c r="W2469" i="34"/>
  <c r="X2469" i="34"/>
  <c r="Y2469" i="34"/>
  <c r="Z2469" i="34"/>
  <c r="N2470" i="34"/>
  <c r="O2470" i="34"/>
  <c r="P2470" i="34"/>
  <c r="Q2470" i="34"/>
  <c r="R2470" i="34"/>
  <c r="S2470" i="34"/>
  <c r="T2470" i="34"/>
  <c r="U2470" i="34"/>
  <c r="V2470" i="34"/>
  <c r="W2470" i="34"/>
  <c r="X2470" i="34"/>
  <c r="Y2470" i="34"/>
  <c r="Z2470" i="34"/>
  <c r="N2471" i="34"/>
  <c r="O2471" i="34"/>
  <c r="P2471" i="34"/>
  <c r="Q2471" i="34"/>
  <c r="R2471" i="34"/>
  <c r="S2471" i="34"/>
  <c r="T2471" i="34"/>
  <c r="U2471" i="34"/>
  <c r="V2471" i="34"/>
  <c r="W2471" i="34"/>
  <c r="X2471" i="34"/>
  <c r="Y2471" i="34"/>
  <c r="Z2471" i="34"/>
  <c r="N2472" i="34"/>
  <c r="O2472" i="34"/>
  <c r="P2472" i="34"/>
  <c r="Q2472" i="34"/>
  <c r="R2472" i="34"/>
  <c r="S2472" i="34"/>
  <c r="T2472" i="34"/>
  <c r="U2472" i="34"/>
  <c r="V2472" i="34"/>
  <c r="W2472" i="34"/>
  <c r="X2472" i="34"/>
  <c r="Y2472" i="34"/>
  <c r="Z2472" i="34"/>
  <c r="N2473" i="34"/>
  <c r="O2473" i="34"/>
  <c r="P2473" i="34"/>
  <c r="Q2473" i="34"/>
  <c r="R2473" i="34"/>
  <c r="S2473" i="34"/>
  <c r="T2473" i="34"/>
  <c r="U2473" i="34"/>
  <c r="V2473" i="34"/>
  <c r="W2473" i="34"/>
  <c r="X2473" i="34"/>
  <c r="Y2473" i="34"/>
  <c r="Z2473" i="34"/>
  <c r="N2474" i="34"/>
  <c r="O2474" i="34"/>
  <c r="P2474" i="34"/>
  <c r="Q2474" i="34"/>
  <c r="R2474" i="34"/>
  <c r="S2474" i="34"/>
  <c r="T2474" i="34"/>
  <c r="U2474" i="34"/>
  <c r="V2474" i="34"/>
  <c r="W2474" i="34"/>
  <c r="X2474" i="34"/>
  <c r="Y2474" i="34"/>
  <c r="Z2474" i="34"/>
  <c r="N2475" i="34"/>
  <c r="O2475" i="34"/>
  <c r="P2475" i="34"/>
  <c r="Q2475" i="34"/>
  <c r="R2475" i="34"/>
  <c r="S2475" i="34"/>
  <c r="T2475" i="34"/>
  <c r="U2475" i="34"/>
  <c r="V2475" i="34"/>
  <c r="W2475" i="34"/>
  <c r="X2475" i="34"/>
  <c r="Y2475" i="34"/>
  <c r="Z2475" i="34"/>
  <c r="N2476" i="34"/>
  <c r="O2476" i="34"/>
  <c r="P2476" i="34"/>
  <c r="Q2476" i="34"/>
  <c r="R2476" i="34"/>
  <c r="S2476" i="34"/>
  <c r="T2476" i="34"/>
  <c r="U2476" i="34"/>
  <c r="V2476" i="34"/>
  <c r="W2476" i="34"/>
  <c r="X2476" i="34"/>
  <c r="Y2476" i="34"/>
  <c r="Z2476" i="34"/>
  <c r="N2477" i="34"/>
  <c r="O2477" i="34"/>
  <c r="P2477" i="34"/>
  <c r="Q2477" i="34"/>
  <c r="R2477" i="34"/>
  <c r="S2477" i="34"/>
  <c r="T2477" i="34"/>
  <c r="U2477" i="34"/>
  <c r="V2477" i="34"/>
  <c r="W2477" i="34"/>
  <c r="X2477" i="34"/>
  <c r="Y2477" i="34"/>
  <c r="Z2477" i="34"/>
  <c r="N2478" i="34"/>
  <c r="O2478" i="34"/>
  <c r="P2478" i="34"/>
  <c r="Q2478" i="34"/>
  <c r="R2478" i="34"/>
  <c r="S2478" i="34"/>
  <c r="T2478" i="34"/>
  <c r="U2478" i="34"/>
  <c r="V2478" i="34"/>
  <c r="W2478" i="34"/>
  <c r="X2478" i="34"/>
  <c r="Y2478" i="34"/>
  <c r="Z2478" i="34"/>
  <c r="N2479" i="34"/>
  <c r="O2479" i="34"/>
  <c r="P2479" i="34"/>
  <c r="Q2479" i="34"/>
  <c r="R2479" i="34"/>
  <c r="S2479" i="34"/>
  <c r="T2479" i="34"/>
  <c r="U2479" i="34"/>
  <c r="V2479" i="34"/>
  <c r="W2479" i="34"/>
  <c r="X2479" i="34"/>
  <c r="Y2479" i="34"/>
  <c r="Z2479" i="34"/>
  <c r="N2480" i="34"/>
  <c r="O2480" i="34"/>
  <c r="P2480" i="34"/>
  <c r="Q2480" i="34"/>
  <c r="R2480" i="34"/>
  <c r="S2480" i="34"/>
  <c r="T2480" i="34"/>
  <c r="U2480" i="34"/>
  <c r="V2480" i="34"/>
  <c r="W2480" i="34"/>
  <c r="X2480" i="34"/>
  <c r="Y2480" i="34"/>
  <c r="Z2480" i="34"/>
  <c r="N2481" i="34"/>
  <c r="O2481" i="34"/>
  <c r="P2481" i="34"/>
  <c r="Q2481" i="34"/>
  <c r="R2481" i="34"/>
  <c r="S2481" i="34"/>
  <c r="T2481" i="34"/>
  <c r="U2481" i="34"/>
  <c r="V2481" i="34"/>
  <c r="W2481" i="34"/>
  <c r="X2481" i="34"/>
  <c r="Y2481" i="34"/>
  <c r="Z2481" i="34"/>
  <c r="N2482" i="34"/>
  <c r="O2482" i="34"/>
  <c r="P2482" i="34"/>
  <c r="Q2482" i="34"/>
  <c r="R2482" i="34"/>
  <c r="S2482" i="34"/>
  <c r="T2482" i="34"/>
  <c r="U2482" i="34"/>
  <c r="V2482" i="34"/>
  <c r="W2482" i="34"/>
  <c r="X2482" i="34"/>
  <c r="Y2482" i="34"/>
  <c r="Z2482" i="34"/>
  <c r="N2483" i="34"/>
  <c r="O2483" i="34"/>
  <c r="P2483" i="34"/>
  <c r="Q2483" i="34"/>
  <c r="R2483" i="34"/>
  <c r="S2483" i="34"/>
  <c r="T2483" i="34"/>
  <c r="U2483" i="34"/>
  <c r="V2483" i="34"/>
  <c r="W2483" i="34"/>
  <c r="X2483" i="34"/>
  <c r="Y2483" i="34"/>
  <c r="Z2483" i="34"/>
  <c r="N2484" i="34"/>
  <c r="O2484" i="34"/>
  <c r="P2484" i="34"/>
  <c r="Q2484" i="34"/>
  <c r="R2484" i="34"/>
  <c r="S2484" i="34"/>
  <c r="T2484" i="34"/>
  <c r="U2484" i="34"/>
  <c r="V2484" i="34"/>
  <c r="W2484" i="34"/>
  <c r="X2484" i="34"/>
  <c r="Y2484" i="34"/>
  <c r="Z2484" i="34"/>
  <c r="N2485" i="34"/>
  <c r="O2485" i="34"/>
  <c r="P2485" i="34"/>
  <c r="Q2485" i="34"/>
  <c r="R2485" i="34"/>
  <c r="S2485" i="34"/>
  <c r="T2485" i="34"/>
  <c r="U2485" i="34"/>
  <c r="V2485" i="34"/>
  <c r="W2485" i="34"/>
  <c r="X2485" i="34"/>
  <c r="Y2485" i="34"/>
  <c r="Z2485" i="34"/>
  <c r="N2486" i="34"/>
  <c r="O2486" i="34"/>
  <c r="P2486" i="34"/>
  <c r="Q2486" i="34"/>
  <c r="R2486" i="34"/>
  <c r="S2486" i="34"/>
  <c r="T2486" i="34"/>
  <c r="U2486" i="34"/>
  <c r="V2486" i="34"/>
  <c r="W2486" i="34"/>
  <c r="X2486" i="34"/>
  <c r="Y2486" i="34"/>
  <c r="Z2486" i="34"/>
  <c r="N2487" i="34"/>
  <c r="O2487" i="34"/>
  <c r="P2487" i="34"/>
  <c r="Q2487" i="34"/>
  <c r="R2487" i="34"/>
  <c r="S2487" i="34"/>
  <c r="T2487" i="34"/>
  <c r="U2487" i="34"/>
  <c r="V2487" i="34"/>
  <c r="W2487" i="34"/>
  <c r="X2487" i="34"/>
  <c r="Y2487" i="34"/>
  <c r="Z2487" i="34"/>
  <c r="N2488" i="34"/>
  <c r="O2488" i="34"/>
  <c r="P2488" i="34"/>
  <c r="Q2488" i="34"/>
  <c r="R2488" i="34"/>
  <c r="S2488" i="34"/>
  <c r="T2488" i="34"/>
  <c r="U2488" i="34"/>
  <c r="V2488" i="34"/>
  <c r="W2488" i="34"/>
  <c r="X2488" i="34"/>
  <c r="Y2488" i="34"/>
  <c r="Z2488" i="34"/>
  <c r="N2489" i="34"/>
  <c r="O2489" i="34"/>
  <c r="P2489" i="34"/>
  <c r="Q2489" i="34"/>
  <c r="R2489" i="34"/>
  <c r="S2489" i="34"/>
  <c r="T2489" i="34"/>
  <c r="U2489" i="34"/>
  <c r="V2489" i="34"/>
  <c r="W2489" i="34"/>
  <c r="X2489" i="34"/>
  <c r="Y2489" i="34"/>
  <c r="Z2489" i="34"/>
  <c r="N2490" i="34"/>
  <c r="O2490" i="34"/>
  <c r="P2490" i="34"/>
  <c r="Q2490" i="34"/>
  <c r="R2490" i="34"/>
  <c r="S2490" i="34"/>
  <c r="T2490" i="34"/>
  <c r="U2490" i="34"/>
  <c r="V2490" i="34"/>
  <c r="W2490" i="34"/>
  <c r="X2490" i="34"/>
  <c r="Y2490" i="34"/>
  <c r="Z2490" i="34"/>
  <c r="N2491" i="34"/>
  <c r="O2491" i="34"/>
  <c r="P2491" i="34"/>
  <c r="Q2491" i="34"/>
  <c r="R2491" i="34"/>
  <c r="S2491" i="34"/>
  <c r="T2491" i="34"/>
  <c r="U2491" i="34"/>
  <c r="V2491" i="34"/>
  <c r="W2491" i="34"/>
  <c r="X2491" i="34"/>
  <c r="Y2491" i="34"/>
  <c r="Z2491" i="34"/>
  <c r="N2492" i="34"/>
  <c r="O2492" i="34"/>
  <c r="P2492" i="34"/>
  <c r="Q2492" i="34"/>
  <c r="R2492" i="34"/>
  <c r="S2492" i="34"/>
  <c r="T2492" i="34"/>
  <c r="U2492" i="34"/>
  <c r="V2492" i="34"/>
  <c r="W2492" i="34"/>
  <c r="X2492" i="34"/>
  <c r="Y2492" i="34"/>
  <c r="Z2492" i="34"/>
  <c r="N2493" i="34"/>
  <c r="O2493" i="34"/>
  <c r="P2493" i="34"/>
  <c r="Q2493" i="34"/>
  <c r="R2493" i="34"/>
  <c r="S2493" i="34"/>
  <c r="T2493" i="34"/>
  <c r="U2493" i="34"/>
  <c r="V2493" i="34"/>
  <c r="W2493" i="34"/>
  <c r="X2493" i="34"/>
  <c r="Y2493" i="34"/>
  <c r="Z2493" i="34"/>
  <c r="N2494" i="34"/>
  <c r="O2494" i="34"/>
  <c r="P2494" i="34"/>
  <c r="Q2494" i="34"/>
  <c r="R2494" i="34"/>
  <c r="S2494" i="34"/>
  <c r="T2494" i="34"/>
  <c r="U2494" i="34"/>
  <c r="V2494" i="34"/>
  <c r="W2494" i="34"/>
  <c r="X2494" i="34"/>
  <c r="Y2494" i="34"/>
  <c r="Z2494" i="34"/>
  <c r="N2495" i="34"/>
  <c r="O2495" i="34"/>
  <c r="P2495" i="34"/>
  <c r="Q2495" i="34"/>
  <c r="R2495" i="34"/>
  <c r="S2495" i="34"/>
  <c r="T2495" i="34"/>
  <c r="U2495" i="34"/>
  <c r="V2495" i="34"/>
  <c r="W2495" i="34"/>
  <c r="X2495" i="34"/>
  <c r="Y2495" i="34"/>
  <c r="Z2495" i="34"/>
  <c r="N2496" i="34"/>
  <c r="O2496" i="34"/>
  <c r="P2496" i="34"/>
  <c r="Q2496" i="34"/>
  <c r="R2496" i="34"/>
  <c r="S2496" i="34"/>
  <c r="T2496" i="34"/>
  <c r="U2496" i="34"/>
  <c r="V2496" i="34"/>
  <c r="W2496" i="34"/>
  <c r="X2496" i="34"/>
  <c r="Y2496" i="34"/>
  <c r="Z2496" i="34"/>
  <c r="N2497" i="34"/>
  <c r="O2497" i="34"/>
  <c r="P2497" i="34"/>
  <c r="Q2497" i="34"/>
  <c r="R2497" i="34"/>
  <c r="S2497" i="34"/>
  <c r="T2497" i="34"/>
  <c r="U2497" i="34"/>
  <c r="V2497" i="34"/>
  <c r="W2497" i="34"/>
  <c r="X2497" i="34"/>
  <c r="Y2497" i="34"/>
  <c r="Z2497" i="34"/>
  <c r="N2498" i="34"/>
  <c r="O2498" i="34"/>
  <c r="P2498" i="34"/>
  <c r="Q2498" i="34"/>
  <c r="R2498" i="34"/>
  <c r="S2498" i="34"/>
  <c r="T2498" i="34"/>
  <c r="U2498" i="34"/>
  <c r="V2498" i="34"/>
  <c r="W2498" i="34"/>
  <c r="X2498" i="34"/>
  <c r="Y2498" i="34"/>
  <c r="Z2498" i="34"/>
  <c r="N2499" i="34"/>
  <c r="O2499" i="34"/>
  <c r="P2499" i="34"/>
  <c r="Q2499" i="34"/>
  <c r="R2499" i="34"/>
  <c r="S2499" i="34"/>
  <c r="T2499" i="34"/>
  <c r="U2499" i="34"/>
  <c r="V2499" i="34"/>
  <c r="W2499" i="34"/>
  <c r="X2499" i="34"/>
  <c r="Y2499" i="34"/>
  <c r="Z2499" i="34"/>
  <c r="N2500" i="34"/>
  <c r="O2500" i="34"/>
  <c r="P2500" i="34"/>
  <c r="Q2500" i="34"/>
  <c r="R2500" i="34"/>
  <c r="S2500" i="34"/>
  <c r="T2500" i="34"/>
  <c r="U2500" i="34"/>
  <c r="V2500" i="34"/>
  <c r="W2500" i="34"/>
  <c r="X2500" i="34"/>
  <c r="Y2500" i="34"/>
  <c r="Z2500" i="34"/>
  <c r="N2501" i="34"/>
  <c r="O2501" i="34"/>
  <c r="P2501" i="34"/>
  <c r="Q2501" i="34"/>
  <c r="R2501" i="34"/>
  <c r="S2501" i="34"/>
  <c r="T2501" i="34"/>
  <c r="U2501" i="34"/>
  <c r="V2501" i="34"/>
  <c r="W2501" i="34"/>
  <c r="X2501" i="34"/>
  <c r="Y2501" i="34"/>
  <c r="Z2501" i="34"/>
  <c r="N2502" i="34"/>
  <c r="O2502" i="34"/>
  <c r="P2502" i="34"/>
  <c r="Q2502" i="34"/>
  <c r="R2502" i="34"/>
  <c r="S2502" i="34"/>
  <c r="T2502" i="34"/>
  <c r="U2502" i="34"/>
  <c r="V2502" i="34"/>
  <c r="W2502" i="34"/>
  <c r="X2502" i="34"/>
  <c r="Y2502" i="34"/>
  <c r="Z2502" i="34"/>
  <c r="N2503" i="34"/>
  <c r="O2503" i="34"/>
  <c r="P2503" i="34"/>
  <c r="Q2503" i="34"/>
  <c r="R2503" i="34"/>
  <c r="S2503" i="34"/>
  <c r="T2503" i="34"/>
  <c r="U2503" i="34"/>
  <c r="V2503" i="34"/>
  <c r="W2503" i="34"/>
  <c r="X2503" i="34"/>
  <c r="Y2503" i="34"/>
  <c r="Z2503" i="34"/>
  <c r="N2504" i="34"/>
  <c r="O2504" i="34"/>
  <c r="P2504" i="34"/>
  <c r="Q2504" i="34"/>
  <c r="R2504" i="34"/>
  <c r="S2504" i="34"/>
  <c r="T2504" i="34"/>
  <c r="U2504" i="34"/>
  <c r="V2504" i="34"/>
  <c r="W2504" i="34"/>
  <c r="X2504" i="34"/>
  <c r="Y2504" i="34"/>
  <c r="Z2504" i="34"/>
  <c r="N2505" i="34"/>
  <c r="O2505" i="34"/>
  <c r="P2505" i="34"/>
  <c r="Q2505" i="34"/>
  <c r="R2505" i="34"/>
  <c r="S2505" i="34"/>
  <c r="T2505" i="34"/>
  <c r="U2505" i="34"/>
  <c r="V2505" i="34"/>
  <c r="W2505" i="34"/>
  <c r="X2505" i="34"/>
  <c r="Y2505" i="34"/>
  <c r="Z2505" i="34"/>
  <c r="N2506" i="34"/>
  <c r="O2506" i="34"/>
  <c r="P2506" i="34"/>
  <c r="Q2506" i="34"/>
  <c r="R2506" i="34"/>
  <c r="S2506" i="34"/>
  <c r="T2506" i="34"/>
  <c r="U2506" i="34"/>
  <c r="V2506" i="34"/>
  <c r="W2506" i="34"/>
  <c r="X2506" i="34"/>
  <c r="Y2506" i="34"/>
  <c r="Z2506" i="34"/>
  <c r="N2507" i="34"/>
  <c r="O2507" i="34"/>
  <c r="P2507" i="34"/>
  <c r="Q2507" i="34"/>
  <c r="R2507" i="34"/>
  <c r="S2507" i="34"/>
  <c r="T2507" i="34"/>
  <c r="U2507" i="34"/>
  <c r="V2507" i="34"/>
  <c r="W2507" i="34"/>
  <c r="X2507" i="34"/>
  <c r="Y2507" i="34"/>
  <c r="Z2507" i="34"/>
  <c r="N2508" i="34"/>
  <c r="O2508" i="34"/>
  <c r="P2508" i="34"/>
  <c r="Q2508" i="34"/>
  <c r="R2508" i="34"/>
  <c r="S2508" i="34"/>
  <c r="T2508" i="34"/>
  <c r="U2508" i="34"/>
  <c r="V2508" i="34"/>
  <c r="W2508" i="34"/>
  <c r="X2508" i="34"/>
  <c r="Y2508" i="34"/>
  <c r="Z2508" i="34"/>
  <c r="N2509" i="34"/>
  <c r="O2509" i="34"/>
  <c r="P2509" i="34"/>
  <c r="Q2509" i="34"/>
  <c r="R2509" i="34"/>
  <c r="S2509" i="34"/>
  <c r="T2509" i="34"/>
  <c r="U2509" i="34"/>
  <c r="V2509" i="34"/>
  <c r="W2509" i="34"/>
  <c r="X2509" i="34"/>
  <c r="Y2509" i="34"/>
  <c r="Z2509" i="34"/>
  <c r="N2510" i="34"/>
  <c r="O2510" i="34"/>
  <c r="P2510" i="34"/>
  <c r="Q2510" i="34"/>
  <c r="R2510" i="34"/>
  <c r="S2510" i="34"/>
  <c r="T2510" i="34"/>
  <c r="U2510" i="34"/>
  <c r="V2510" i="34"/>
  <c r="W2510" i="34"/>
  <c r="X2510" i="34"/>
  <c r="Y2510" i="34"/>
  <c r="Z2510" i="34"/>
  <c r="N2511" i="34"/>
  <c r="O2511" i="34"/>
  <c r="P2511" i="34"/>
  <c r="Q2511" i="34"/>
  <c r="R2511" i="34"/>
  <c r="S2511" i="34"/>
  <c r="T2511" i="34"/>
  <c r="U2511" i="34"/>
  <c r="V2511" i="34"/>
  <c r="W2511" i="34"/>
  <c r="X2511" i="34"/>
  <c r="Y2511" i="34"/>
  <c r="Z2511" i="34"/>
  <c r="N2512" i="34"/>
  <c r="O2512" i="34"/>
  <c r="P2512" i="34"/>
  <c r="Q2512" i="34"/>
  <c r="R2512" i="34"/>
  <c r="S2512" i="34"/>
  <c r="T2512" i="34"/>
  <c r="U2512" i="34"/>
  <c r="V2512" i="34"/>
  <c r="W2512" i="34"/>
  <c r="X2512" i="34"/>
  <c r="Y2512" i="34"/>
  <c r="Z2512" i="34"/>
  <c r="N2513" i="34"/>
  <c r="O2513" i="34"/>
  <c r="P2513" i="34"/>
  <c r="Q2513" i="34"/>
  <c r="R2513" i="34"/>
  <c r="S2513" i="34"/>
  <c r="T2513" i="34"/>
  <c r="U2513" i="34"/>
  <c r="V2513" i="34"/>
  <c r="W2513" i="34"/>
  <c r="X2513" i="34"/>
  <c r="Y2513" i="34"/>
  <c r="Z2513" i="34"/>
  <c r="N2514" i="34"/>
  <c r="O2514" i="34"/>
  <c r="P2514" i="34"/>
  <c r="Q2514" i="34"/>
  <c r="R2514" i="34"/>
  <c r="S2514" i="34"/>
  <c r="T2514" i="34"/>
  <c r="U2514" i="34"/>
  <c r="V2514" i="34"/>
  <c r="W2514" i="34"/>
  <c r="X2514" i="34"/>
  <c r="Y2514" i="34"/>
  <c r="Z2514" i="34"/>
  <c r="N2515" i="34"/>
  <c r="O2515" i="34"/>
  <c r="P2515" i="34"/>
  <c r="Q2515" i="34"/>
  <c r="R2515" i="34"/>
  <c r="S2515" i="34"/>
  <c r="T2515" i="34"/>
  <c r="U2515" i="34"/>
  <c r="V2515" i="34"/>
  <c r="W2515" i="34"/>
  <c r="X2515" i="34"/>
  <c r="Y2515" i="34"/>
  <c r="Z2515" i="34"/>
  <c r="N2516" i="34"/>
  <c r="O2516" i="34"/>
  <c r="P2516" i="34"/>
  <c r="Q2516" i="34"/>
  <c r="R2516" i="34"/>
  <c r="S2516" i="34"/>
  <c r="T2516" i="34"/>
  <c r="U2516" i="34"/>
  <c r="V2516" i="34"/>
  <c r="W2516" i="34"/>
  <c r="X2516" i="34"/>
  <c r="Y2516" i="34"/>
  <c r="Z2516" i="34"/>
  <c r="N2517" i="34"/>
  <c r="O2517" i="34"/>
  <c r="P2517" i="34"/>
  <c r="Q2517" i="34"/>
  <c r="R2517" i="34"/>
  <c r="S2517" i="34"/>
  <c r="T2517" i="34"/>
  <c r="U2517" i="34"/>
  <c r="V2517" i="34"/>
  <c r="W2517" i="34"/>
  <c r="X2517" i="34"/>
  <c r="Y2517" i="34"/>
  <c r="Z2517" i="34"/>
  <c r="N2518" i="34"/>
  <c r="O2518" i="34"/>
  <c r="P2518" i="34"/>
  <c r="Q2518" i="34"/>
  <c r="R2518" i="34"/>
  <c r="S2518" i="34"/>
  <c r="T2518" i="34"/>
  <c r="U2518" i="34"/>
  <c r="V2518" i="34"/>
  <c r="W2518" i="34"/>
  <c r="X2518" i="34"/>
  <c r="Y2518" i="34"/>
  <c r="Z2518" i="34"/>
  <c r="N2519" i="34"/>
  <c r="O2519" i="34"/>
  <c r="P2519" i="34"/>
  <c r="Q2519" i="34"/>
  <c r="R2519" i="34"/>
  <c r="S2519" i="34"/>
  <c r="T2519" i="34"/>
  <c r="U2519" i="34"/>
  <c r="V2519" i="34"/>
  <c r="W2519" i="34"/>
  <c r="X2519" i="34"/>
  <c r="Y2519" i="34"/>
  <c r="Z2519" i="34"/>
  <c r="N2520" i="34"/>
  <c r="O2520" i="34"/>
  <c r="P2520" i="34"/>
  <c r="Q2520" i="34"/>
  <c r="R2520" i="34"/>
  <c r="S2520" i="34"/>
  <c r="T2520" i="34"/>
  <c r="U2520" i="34"/>
  <c r="V2520" i="34"/>
  <c r="W2520" i="34"/>
  <c r="X2520" i="34"/>
  <c r="Y2520" i="34"/>
  <c r="Z2520" i="34"/>
  <c r="N2521" i="34"/>
  <c r="O2521" i="34"/>
  <c r="P2521" i="34"/>
  <c r="Q2521" i="34"/>
  <c r="R2521" i="34"/>
  <c r="S2521" i="34"/>
  <c r="T2521" i="34"/>
  <c r="U2521" i="34"/>
  <c r="V2521" i="34"/>
  <c r="W2521" i="34"/>
  <c r="X2521" i="34"/>
  <c r="Y2521" i="34"/>
  <c r="Z2521" i="34"/>
  <c r="N2522" i="34"/>
  <c r="O2522" i="34"/>
  <c r="P2522" i="34"/>
  <c r="Q2522" i="34"/>
  <c r="R2522" i="34"/>
  <c r="S2522" i="34"/>
  <c r="T2522" i="34"/>
  <c r="U2522" i="34"/>
  <c r="V2522" i="34"/>
  <c r="W2522" i="34"/>
  <c r="X2522" i="34"/>
  <c r="Y2522" i="34"/>
  <c r="Z2522" i="34"/>
  <c r="N2523" i="34"/>
  <c r="O2523" i="34"/>
  <c r="P2523" i="34"/>
  <c r="Q2523" i="34"/>
  <c r="R2523" i="34"/>
  <c r="S2523" i="34"/>
  <c r="T2523" i="34"/>
  <c r="U2523" i="34"/>
  <c r="V2523" i="34"/>
  <c r="W2523" i="34"/>
  <c r="X2523" i="34"/>
  <c r="Y2523" i="34"/>
  <c r="Z2523" i="34"/>
  <c r="N2524" i="34"/>
  <c r="O2524" i="34"/>
  <c r="P2524" i="34"/>
  <c r="Q2524" i="34"/>
  <c r="R2524" i="34"/>
  <c r="S2524" i="34"/>
  <c r="T2524" i="34"/>
  <c r="U2524" i="34"/>
  <c r="V2524" i="34"/>
  <c r="W2524" i="34"/>
  <c r="X2524" i="34"/>
  <c r="Y2524" i="34"/>
  <c r="Z2524" i="34"/>
  <c r="N2525" i="34"/>
  <c r="O2525" i="34"/>
  <c r="P2525" i="34"/>
  <c r="Q2525" i="34"/>
  <c r="R2525" i="34"/>
  <c r="S2525" i="34"/>
  <c r="T2525" i="34"/>
  <c r="U2525" i="34"/>
  <c r="V2525" i="34"/>
  <c r="W2525" i="34"/>
  <c r="X2525" i="34"/>
  <c r="Y2525" i="34"/>
  <c r="Z2525" i="34"/>
  <c r="N2526" i="34"/>
  <c r="O2526" i="34"/>
  <c r="P2526" i="34"/>
  <c r="Q2526" i="34"/>
  <c r="R2526" i="34"/>
  <c r="S2526" i="34"/>
  <c r="T2526" i="34"/>
  <c r="U2526" i="34"/>
  <c r="V2526" i="34"/>
  <c r="W2526" i="34"/>
  <c r="X2526" i="34"/>
  <c r="Y2526" i="34"/>
  <c r="Z2526" i="34"/>
  <c r="N2527" i="34"/>
  <c r="O2527" i="34"/>
  <c r="P2527" i="34"/>
  <c r="Q2527" i="34"/>
  <c r="R2527" i="34"/>
  <c r="S2527" i="34"/>
  <c r="T2527" i="34"/>
  <c r="U2527" i="34"/>
  <c r="V2527" i="34"/>
  <c r="W2527" i="34"/>
  <c r="X2527" i="34"/>
  <c r="Y2527" i="34"/>
  <c r="Z2527" i="34"/>
  <c r="N2528" i="34"/>
  <c r="O2528" i="34"/>
  <c r="P2528" i="34"/>
  <c r="Q2528" i="34"/>
  <c r="R2528" i="34"/>
  <c r="S2528" i="34"/>
  <c r="T2528" i="34"/>
  <c r="U2528" i="34"/>
  <c r="V2528" i="34"/>
  <c r="W2528" i="34"/>
  <c r="X2528" i="34"/>
  <c r="Y2528" i="34"/>
  <c r="Z2528" i="34"/>
  <c r="N2529" i="34"/>
  <c r="O2529" i="34"/>
  <c r="P2529" i="34"/>
  <c r="Q2529" i="34"/>
  <c r="R2529" i="34"/>
  <c r="S2529" i="34"/>
  <c r="T2529" i="34"/>
  <c r="U2529" i="34"/>
  <c r="V2529" i="34"/>
  <c r="W2529" i="34"/>
  <c r="X2529" i="34"/>
  <c r="Y2529" i="34"/>
  <c r="Z2529" i="34"/>
  <c r="N2530" i="34"/>
  <c r="O2530" i="34"/>
  <c r="P2530" i="34"/>
  <c r="Q2530" i="34"/>
  <c r="R2530" i="34"/>
  <c r="S2530" i="34"/>
  <c r="T2530" i="34"/>
  <c r="U2530" i="34"/>
  <c r="V2530" i="34"/>
  <c r="W2530" i="34"/>
  <c r="X2530" i="34"/>
  <c r="Y2530" i="34"/>
  <c r="Z2530" i="34"/>
  <c r="N2531" i="34"/>
  <c r="O2531" i="34"/>
  <c r="P2531" i="34"/>
  <c r="Q2531" i="34"/>
  <c r="R2531" i="34"/>
  <c r="S2531" i="34"/>
  <c r="T2531" i="34"/>
  <c r="U2531" i="34"/>
  <c r="V2531" i="34"/>
  <c r="W2531" i="34"/>
  <c r="X2531" i="34"/>
  <c r="Y2531" i="34"/>
  <c r="Z2531" i="34"/>
  <c r="N2532" i="34"/>
  <c r="O2532" i="34"/>
  <c r="P2532" i="34"/>
  <c r="Q2532" i="34"/>
  <c r="R2532" i="34"/>
  <c r="S2532" i="34"/>
  <c r="T2532" i="34"/>
  <c r="U2532" i="34"/>
  <c r="V2532" i="34"/>
  <c r="W2532" i="34"/>
  <c r="X2532" i="34"/>
  <c r="Y2532" i="34"/>
  <c r="Z2532" i="34"/>
  <c r="N2533" i="34"/>
  <c r="O2533" i="34"/>
  <c r="P2533" i="34"/>
  <c r="Q2533" i="34"/>
  <c r="R2533" i="34"/>
  <c r="S2533" i="34"/>
  <c r="T2533" i="34"/>
  <c r="U2533" i="34"/>
  <c r="V2533" i="34"/>
  <c r="W2533" i="34"/>
  <c r="X2533" i="34"/>
  <c r="Y2533" i="34"/>
  <c r="Z2533" i="34"/>
  <c r="N2534" i="34"/>
  <c r="O2534" i="34"/>
  <c r="P2534" i="34"/>
  <c r="Q2534" i="34"/>
  <c r="R2534" i="34"/>
  <c r="S2534" i="34"/>
  <c r="T2534" i="34"/>
  <c r="U2534" i="34"/>
  <c r="V2534" i="34"/>
  <c r="W2534" i="34"/>
  <c r="X2534" i="34"/>
  <c r="Y2534" i="34"/>
  <c r="Z2534" i="34"/>
  <c r="N2535" i="34"/>
  <c r="O2535" i="34"/>
  <c r="P2535" i="34"/>
  <c r="Q2535" i="34"/>
  <c r="R2535" i="34"/>
  <c r="S2535" i="34"/>
  <c r="T2535" i="34"/>
  <c r="U2535" i="34"/>
  <c r="V2535" i="34"/>
  <c r="W2535" i="34"/>
  <c r="X2535" i="34"/>
  <c r="Y2535" i="34"/>
  <c r="Z2535" i="34"/>
  <c r="N2536" i="34"/>
  <c r="O2536" i="34"/>
  <c r="P2536" i="34"/>
  <c r="Q2536" i="34"/>
  <c r="R2536" i="34"/>
  <c r="S2536" i="34"/>
  <c r="T2536" i="34"/>
  <c r="U2536" i="34"/>
  <c r="V2536" i="34"/>
  <c r="W2536" i="34"/>
  <c r="X2536" i="34"/>
  <c r="Y2536" i="34"/>
  <c r="Z2536" i="34"/>
  <c r="N2537" i="34"/>
  <c r="O2537" i="34"/>
  <c r="P2537" i="34"/>
  <c r="Q2537" i="34"/>
  <c r="R2537" i="34"/>
  <c r="S2537" i="34"/>
  <c r="T2537" i="34"/>
  <c r="U2537" i="34"/>
  <c r="V2537" i="34"/>
  <c r="W2537" i="34"/>
  <c r="X2537" i="34"/>
  <c r="Y2537" i="34"/>
  <c r="Z2537" i="34"/>
  <c r="N2538" i="34"/>
  <c r="O2538" i="34"/>
  <c r="P2538" i="34"/>
  <c r="Q2538" i="34"/>
  <c r="R2538" i="34"/>
  <c r="S2538" i="34"/>
  <c r="T2538" i="34"/>
  <c r="U2538" i="34"/>
  <c r="V2538" i="34"/>
  <c r="W2538" i="34"/>
  <c r="X2538" i="34"/>
  <c r="Y2538" i="34"/>
  <c r="Z2538" i="34"/>
  <c r="N2539" i="34"/>
  <c r="O2539" i="34"/>
  <c r="P2539" i="34"/>
  <c r="Q2539" i="34"/>
  <c r="R2539" i="34"/>
  <c r="S2539" i="34"/>
  <c r="T2539" i="34"/>
  <c r="U2539" i="34"/>
  <c r="V2539" i="34"/>
  <c r="W2539" i="34"/>
  <c r="X2539" i="34"/>
  <c r="Y2539" i="34"/>
  <c r="Z2539" i="34"/>
  <c r="N2540" i="34"/>
  <c r="O2540" i="34"/>
  <c r="P2540" i="34"/>
  <c r="Q2540" i="34"/>
  <c r="R2540" i="34"/>
  <c r="S2540" i="34"/>
  <c r="T2540" i="34"/>
  <c r="U2540" i="34"/>
  <c r="V2540" i="34"/>
  <c r="W2540" i="34"/>
  <c r="X2540" i="34"/>
  <c r="Y2540" i="34"/>
  <c r="Z2540" i="34"/>
  <c r="N2541" i="34"/>
  <c r="O2541" i="34"/>
  <c r="P2541" i="34"/>
  <c r="Q2541" i="34"/>
  <c r="R2541" i="34"/>
  <c r="S2541" i="34"/>
  <c r="T2541" i="34"/>
  <c r="U2541" i="34"/>
  <c r="V2541" i="34"/>
  <c r="W2541" i="34"/>
  <c r="X2541" i="34"/>
  <c r="Y2541" i="34"/>
  <c r="Z2541" i="34"/>
  <c r="N2542" i="34"/>
  <c r="O2542" i="34"/>
  <c r="P2542" i="34"/>
  <c r="Q2542" i="34"/>
  <c r="R2542" i="34"/>
  <c r="S2542" i="34"/>
  <c r="T2542" i="34"/>
  <c r="U2542" i="34"/>
  <c r="V2542" i="34"/>
  <c r="W2542" i="34"/>
  <c r="X2542" i="34"/>
  <c r="Y2542" i="34"/>
  <c r="Z2542" i="34"/>
  <c r="N2543" i="34"/>
  <c r="O2543" i="34"/>
  <c r="P2543" i="34"/>
  <c r="Q2543" i="34"/>
  <c r="R2543" i="34"/>
  <c r="S2543" i="34"/>
  <c r="T2543" i="34"/>
  <c r="U2543" i="34"/>
  <c r="V2543" i="34"/>
  <c r="W2543" i="34"/>
  <c r="X2543" i="34"/>
  <c r="Y2543" i="34"/>
  <c r="Z2543" i="34"/>
  <c r="N2544" i="34"/>
  <c r="O2544" i="34"/>
  <c r="P2544" i="34"/>
  <c r="Q2544" i="34"/>
  <c r="R2544" i="34"/>
  <c r="S2544" i="34"/>
  <c r="T2544" i="34"/>
  <c r="U2544" i="34"/>
  <c r="V2544" i="34"/>
  <c r="W2544" i="34"/>
  <c r="X2544" i="34"/>
  <c r="Y2544" i="34"/>
  <c r="Z2544" i="34"/>
  <c r="N2545" i="34"/>
  <c r="O2545" i="34"/>
  <c r="P2545" i="34"/>
  <c r="Q2545" i="34"/>
  <c r="R2545" i="34"/>
  <c r="S2545" i="34"/>
  <c r="T2545" i="34"/>
  <c r="U2545" i="34"/>
  <c r="V2545" i="34"/>
  <c r="W2545" i="34"/>
  <c r="X2545" i="34"/>
  <c r="Y2545" i="34"/>
  <c r="Z2545" i="34"/>
  <c r="N2546" i="34"/>
  <c r="O2546" i="34"/>
  <c r="P2546" i="34"/>
  <c r="Q2546" i="34"/>
  <c r="R2546" i="34"/>
  <c r="S2546" i="34"/>
  <c r="T2546" i="34"/>
  <c r="U2546" i="34"/>
  <c r="V2546" i="34"/>
  <c r="W2546" i="34"/>
  <c r="X2546" i="34"/>
  <c r="Y2546" i="34"/>
  <c r="Z2546" i="34"/>
  <c r="N2547" i="34"/>
  <c r="O2547" i="34"/>
  <c r="P2547" i="34"/>
  <c r="Q2547" i="34"/>
  <c r="R2547" i="34"/>
  <c r="S2547" i="34"/>
  <c r="T2547" i="34"/>
  <c r="U2547" i="34"/>
  <c r="V2547" i="34"/>
  <c r="W2547" i="34"/>
  <c r="X2547" i="34"/>
  <c r="Y2547" i="34"/>
  <c r="Z2547" i="34"/>
  <c r="N2548" i="34"/>
  <c r="O2548" i="34"/>
  <c r="P2548" i="34"/>
  <c r="Q2548" i="34"/>
  <c r="R2548" i="34"/>
  <c r="S2548" i="34"/>
  <c r="T2548" i="34"/>
  <c r="U2548" i="34"/>
  <c r="V2548" i="34"/>
  <c r="W2548" i="34"/>
  <c r="X2548" i="34"/>
  <c r="Y2548" i="34"/>
  <c r="Z2548" i="34"/>
  <c r="N2549" i="34"/>
  <c r="O2549" i="34"/>
  <c r="P2549" i="34"/>
  <c r="Q2549" i="34"/>
  <c r="R2549" i="34"/>
  <c r="S2549" i="34"/>
  <c r="T2549" i="34"/>
  <c r="U2549" i="34"/>
  <c r="V2549" i="34"/>
  <c r="W2549" i="34"/>
  <c r="X2549" i="34"/>
  <c r="Y2549" i="34"/>
  <c r="Z2549" i="34"/>
  <c r="N2550" i="34"/>
  <c r="O2550" i="34"/>
  <c r="P2550" i="34"/>
  <c r="Q2550" i="34"/>
  <c r="R2550" i="34"/>
  <c r="S2550" i="34"/>
  <c r="T2550" i="34"/>
  <c r="U2550" i="34"/>
  <c r="V2550" i="34"/>
  <c r="W2550" i="34"/>
  <c r="X2550" i="34"/>
  <c r="Y2550" i="34"/>
  <c r="Z2550" i="34"/>
  <c r="N2551" i="34"/>
  <c r="O2551" i="34"/>
  <c r="P2551" i="34"/>
  <c r="Q2551" i="34"/>
  <c r="R2551" i="34"/>
  <c r="S2551" i="34"/>
  <c r="T2551" i="34"/>
  <c r="U2551" i="34"/>
  <c r="V2551" i="34"/>
  <c r="W2551" i="34"/>
  <c r="X2551" i="34"/>
  <c r="Y2551" i="34"/>
  <c r="Z2551" i="34"/>
  <c r="N2552" i="34"/>
  <c r="O2552" i="34"/>
  <c r="P2552" i="34"/>
  <c r="Q2552" i="34"/>
  <c r="R2552" i="34"/>
  <c r="S2552" i="34"/>
  <c r="T2552" i="34"/>
  <c r="U2552" i="34"/>
  <c r="V2552" i="34"/>
  <c r="W2552" i="34"/>
  <c r="X2552" i="34"/>
  <c r="Y2552" i="34"/>
  <c r="Z2552" i="34"/>
  <c r="N2553" i="34"/>
  <c r="O2553" i="34"/>
  <c r="P2553" i="34"/>
  <c r="Q2553" i="34"/>
  <c r="R2553" i="34"/>
  <c r="S2553" i="34"/>
  <c r="T2553" i="34"/>
  <c r="U2553" i="34"/>
  <c r="V2553" i="34"/>
  <c r="W2553" i="34"/>
  <c r="X2553" i="34"/>
  <c r="Y2553" i="34"/>
  <c r="Z2553" i="34"/>
  <c r="N2554" i="34"/>
  <c r="O2554" i="34"/>
  <c r="P2554" i="34"/>
  <c r="Q2554" i="34"/>
  <c r="R2554" i="34"/>
  <c r="S2554" i="34"/>
  <c r="T2554" i="34"/>
  <c r="U2554" i="34"/>
  <c r="V2554" i="34"/>
  <c r="W2554" i="34"/>
  <c r="X2554" i="34"/>
  <c r="Y2554" i="34"/>
  <c r="Z2554" i="34"/>
  <c r="N2555" i="34"/>
  <c r="O2555" i="34"/>
  <c r="P2555" i="34"/>
  <c r="Q2555" i="34"/>
  <c r="R2555" i="34"/>
  <c r="S2555" i="34"/>
  <c r="T2555" i="34"/>
  <c r="U2555" i="34"/>
  <c r="V2555" i="34"/>
  <c r="W2555" i="34"/>
  <c r="X2555" i="34"/>
  <c r="Y2555" i="34"/>
  <c r="Z2555" i="34"/>
  <c r="N2556" i="34"/>
  <c r="O2556" i="34"/>
  <c r="P2556" i="34"/>
  <c r="Q2556" i="34"/>
  <c r="R2556" i="34"/>
  <c r="S2556" i="34"/>
  <c r="T2556" i="34"/>
  <c r="U2556" i="34"/>
  <c r="V2556" i="34"/>
  <c r="W2556" i="34"/>
  <c r="X2556" i="34"/>
  <c r="Y2556" i="34"/>
  <c r="Z2556" i="34"/>
  <c r="N2557" i="34"/>
  <c r="O2557" i="34"/>
  <c r="P2557" i="34"/>
  <c r="Q2557" i="34"/>
  <c r="R2557" i="34"/>
  <c r="S2557" i="34"/>
  <c r="T2557" i="34"/>
  <c r="U2557" i="34"/>
  <c r="V2557" i="34"/>
  <c r="W2557" i="34"/>
  <c r="X2557" i="34"/>
  <c r="Y2557" i="34"/>
  <c r="Z2557" i="34"/>
  <c r="N2558" i="34"/>
  <c r="O2558" i="34"/>
  <c r="P2558" i="34"/>
  <c r="Q2558" i="34"/>
  <c r="R2558" i="34"/>
  <c r="S2558" i="34"/>
  <c r="T2558" i="34"/>
  <c r="U2558" i="34"/>
  <c r="V2558" i="34"/>
  <c r="W2558" i="34"/>
  <c r="X2558" i="34"/>
  <c r="Y2558" i="34"/>
  <c r="Z2558" i="34"/>
  <c r="N2559" i="34"/>
  <c r="O2559" i="34"/>
  <c r="P2559" i="34"/>
  <c r="Q2559" i="34"/>
  <c r="R2559" i="34"/>
  <c r="S2559" i="34"/>
  <c r="T2559" i="34"/>
  <c r="U2559" i="34"/>
  <c r="V2559" i="34"/>
  <c r="W2559" i="34"/>
  <c r="X2559" i="34"/>
  <c r="Y2559" i="34"/>
  <c r="Z2559" i="34"/>
  <c r="N2560" i="34"/>
  <c r="O2560" i="34"/>
  <c r="P2560" i="34"/>
  <c r="Q2560" i="34"/>
  <c r="R2560" i="34"/>
  <c r="S2560" i="34"/>
  <c r="T2560" i="34"/>
  <c r="U2560" i="34"/>
  <c r="V2560" i="34"/>
  <c r="W2560" i="34"/>
  <c r="X2560" i="34"/>
  <c r="Y2560" i="34"/>
  <c r="Z2560" i="34"/>
  <c r="N2561" i="34"/>
  <c r="O2561" i="34"/>
  <c r="P2561" i="34"/>
  <c r="Q2561" i="34"/>
  <c r="R2561" i="34"/>
  <c r="S2561" i="34"/>
  <c r="T2561" i="34"/>
  <c r="U2561" i="34"/>
  <c r="V2561" i="34"/>
  <c r="W2561" i="34"/>
  <c r="X2561" i="34"/>
  <c r="Y2561" i="34"/>
  <c r="Z2561" i="34"/>
  <c r="N2562" i="34"/>
  <c r="O2562" i="34"/>
  <c r="P2562" i="34"/>
  <c r="Q2562" i="34"/>
  <c r="R2562" i="34"/>
  <c r="S2562" i="34"/>
  <c r="T2562" i="34"/>
  <c r="U2562" i="34"/>
  <c r="V2562" i="34"/>
  <c r="W2562" i="34"/>
  <c r="X2562" i="34"/>
  <c r="Y2562" i="34"/>
  <c r="Z2562" i="34"/>
  <c r="N2563" i="34"/>
  <c r="O2563" i="34"/>
  <c r="P2563" i="34"/>
  <c r="Q2563" i="34"/>
  <c r="R2563" i="34"/>
  <c r="S2563" i="34"/>
  <c r="T2563" i="34"/>
  <c r="U2563" i="34"/>
  <c r="V2563" i="34"/>
  <c r="W2563" i="34"/>
  <c r="X2563" i="34"/>
  <c r="Y2563" i="34"/>
  <c r="Z2563" i="34"/>
  <c r="N2564" i="34"/>
  <c r="O2564" i="34"/>
  <c r="P2564" i="34"/>
  <c r="Q2564" i="34"/>
  <c r="R2564" i="34"/>
  <c r="S2564" i="34"/>
  <c r="T2564" i="34"/>
  <c r="U2564" i="34"/>
  <c r="V2564" i="34"/>
  <c r="W2564" i="34"/>
  <c r="X2564" i="34"/>
  <c r="Y2564" i="34"/>
  <c r="Z2564" i="34"/>
  <c r="N2565" i="34"/>
  <c r="O2565" i="34"/>
  <c r="P2565" i="34"/>
  <c r="Q2565" i="34"/>
  <c r="R2565" i="34"/>
  <c r="S2565" i="34"/>
  <c r="T2565" i="34"/>
  <c r="U2565" i="34"/>
  <c r="V2565" i="34"/>
  <c r="W2565" i="34"/>
  <c r="X2565" i="34"/>
  <c r="Y2565" i="34"/>
  <c r="Z2565" i="34"/>
  <c r="N2566" i="34"/>
  <c r="O2566" i="34"/>
  <c r="P2566" i="34"/>
  <c r="Q2566" i="34"/>
  <c r="R2566" i="34"/>
  <c r="S2566" i="34"/>
  <c r="T2566" i="34"/>
  <c r="U2566" i="34"/>
  <c r="V2566" i="34"/>
  <c r="W2566" i="34"/>
  <c r="X2566" i="34"/>
  <c r="Y2566" i="34"/>
  <c r="Z2566" i="34"/>
  <c r="N2567" i="34"/>
  <c r="O2567" i="34"/>
  <c r="P2567" i="34"/>
  <c r="Q2567" i="34"/>
  <c r="R2567" i="34"/>
  <c r="S2567" i="34"/>
  <c r="T2567" i="34"/>
  <c r="U2567" i="34"/>
  <c r="V2567" i="34"/>
  <c r="W2567" i="34"/>
  <c r="X2567" i="34"/>
  <c r="Y2567" i="34"/>
  <c r="Z2567" i="34"/>
  <c r="N2568" i="34"/>
  <c r="O2568" i="34"/>
  <c r="P2568" i="34"/>
  <c r="Q2568" i="34"/>
  <c r="R2568" i="34"/>
  <c r="S2568" i="34"/>
  <c r="T2568" i="34"/>
  <c r="U2568" i="34"/>
  <c r="V2568" i="34"/>
  <c r="W2568" i="34"/>
  <c r="X2568" i="34"/>
  <c r="Y2568" i="34"/>
  <c r="Z2568" i="34"/>
  <c r="N2569" i="34"/>
  <c r="O2569" i="34"/>
  <c r="P2569" i="34"/>
  <c r="Q2569" i="34"/>
  <c r="R2569" i="34"/>
  <c r="S2569" i="34"/>
  <c r="T2569" i="34"/>
  <c r="U2569" i="34"/>
  <c r="V2569" i="34"/>
  <c r="W2569" i="34"/>
  <c r="X2569" i="34"/>
  <c r="Y2569" i="34"/>
  <c r="Z2569" i="34"/>
  <c r="N2570" i="34"/>
  <c r="O2570" i="34"/>
  <c r="P2570" i="34"/>
  <c r="Q2570" i="34"/>
  <c r="R2570" i="34"/>
  <c r="S2570" i="34"/>
  <c r="T2570" i="34"/>
  <c r="U2570" i="34"/>
  <c r="V2570" i="34"/>
  <c r="W2570" i="34"/>
  <c r="X2570" i="34"/>
  <c r="Y2570" i="34"/>
  <c r="Z2570" i="34"/>
  <c r="N2571" i="34"/>
  <c r="O2571" i="34"/>
  <c r="P2571" i="34"/>
  <c r="Q2571" i="34"/>
  <c r="R2571" i="34"/>
  <c r="S2571" i="34"/>
  <c r="T2571" i="34"/>
  <c r="U2571" i="34"/>
  <c r="V2571" i="34"/>
  <c r="W2571" i="34"/>
  <c r="X2571" i="34"/>
  <c r="Y2571" i="34"/>
  <c r="Z2571" i="34"/>
  <c r="N2572" i="34"/>
  <c r="O2572" i="34"/>
  <c r="P2572" i="34"/>
  <c r="Q2572" i="34"/>
  <c r="R2572" i="34"/>
  <c r="S2572" i="34"/>
  <c r="T2572" i="34"/>
  <c r="U2572" i="34"/>
  <c r="V2572" i="34"/>
  <c r="W2572" i="34"/>
  <c r="X2572" i="34"/>
  <c r="Y2572" i="34"/>
  <c r="Z2572" i="34"/>
  <c r="N2573" i="34"/>
  <c r="O2573" i="34"/>
  <c r="P2573" i="34"/>
  <c r="Q2573" i="34"/>
  <c r="R2573" i="34"/>
  <c r="S2573" i="34"/>
  <c r="T2573" i="34"/>
  <c r="U2573" i="34"/>
  <c r="V2573" i="34"/>
  <c r="W2573" i="34"/>
  <c r="X2573" i="34"/>
  <c r="Y2573" i="34"/>
  <c r="Z2573" i="34"/>
  <c r="N2574" i="34"/>
  <c r="O2574" i="34"/>
  <c r="P2574" i="34"/>
  <c r="Q2574" i="34"/>
  <c r="R2574" i="34"/>
  <c r="S2574" i="34"/>
  <c r="T2574" i="34"/>
  <c r="U2574" i="34"/>
  <c r="V2574" i="34"/>
  <c r="W2574" i="34"/>
  <c r="X2574" i="34"/>
  <c r="Y2574" i="34"/>
  <c r="Z2574" i="34"/>
  <c r="N2575" i="34"/>
  <c r="O2575" i="34"/>
  <c r="P2575" i="34"/>
  <c r="Q2575" i="34"/>
  <c r="R2575" i="34"/>
  <c r="S2575" i="34"/>
  <c r="T2575" i="34"/>
  <c r="U2575" i="34"/>
  <c r="V2575" i="34"/>
  <c r="W2575" i="34"/>
  <c r="X2575" i="34"/>
  <c r="Y2575" i="34"/>
  <c r="Z2575" i="34"/>
  <c r="N2576" i="34"/>
  <c r="O2576" i="34"/>
  <c r="P2576" i="34"/>
  <c r="Q2576" i="34"/>
  <c r="R2576" i="34"/>
  <c r="S2576" i="34"/>
  <c r="T2576" i="34"/>
  <c r="U2576" i="34"/>
  <c r="V2576" i="34"/>
  <c r="W2576" i="34"/>
  <c r="X2576" i="34"/>
  <c r="Y2576" i="34"/>
  <c r="Z2576" i="34"/>
  <c r="N2577" i="34"/>
  <c r="O2577" i="34"/>
  <c r="P2577" i="34"/>
  <c r="Q2577" i="34"/>
  <c r="R2577" i="34"/>
  <c r="S2577" i="34"/>
  <c r="T2577" i="34"/>
  <c r="U2577" i="34"/>
  <c r="V2577" i="34"/>
  <c r="W2577" i="34"/>
  <c r="X2577" i="34"/>
  <c r="Y2577" i="34"/>
  <c r="Z2577" i="34"/>
  <c r="N2578" i="34"/>
  <c r="O2578" i="34"/>
  <c r="P2578" i="34"/>
  <c r="Q2578" i="34"/>
  <c r="R2578" i="34"/>
  <c r="S2578" i="34"/>
  <c r="T2578" i="34"/>
  <c r="U2578" i="34"/>
  <c r="V2578" i="34"/>
  <c r="W2578" i="34"/>
  <c r="X2578" i="34"/>
  <c r="Y2578" i="34"/>
  <c r="Z2578" i="34"/>
  <c r="N2579" i="34"/>
  <c r="O2579" i="34"/>
  <c r="P2579" i="34"/>
  <c r="Q2579" i="34"/>
  <c r="R2579" i="34"/>
  <c r="S2579" i="34"/>
  <c r="T2579" i="34"/>
  <c r="U2579" i="34"/>
  <c r="V2579" i="34"/>
  <c r="W2579" i="34"/>
  <c r="X2579" i="34"/>
  <c r="Y2579" i="34"/>
  <c r="Z2579" i="34"/>
  <c r="N2580" i="34"/>
  <c r="O2580" i="34"/>
  <c r="P2580" i="34"/>
  <c r="Q2580" i="34"/>
  <c r="R2580" i="34"/>
  <c r="S2580" i="34"/>
  <c r="T2580" i="34"/>
  <c r="U2580" i="34"/>
  <c r="V2580" i="34"/>
  <c r="W2580" i="34"/>
  <c r="X2580" i="34"/>
  <c r="Y2580" i="34"/>
  <c r="Z2580" i="34"/>
  <c r="N2581" i="34"/>
  <c r="O2581" i="34"/>
  <c r="P2581" i="34"/>
  <c r="Q2581" i="34"/>
  <c r="R2581" i="34"/>
  <c r="S2581" i="34"/>
  <c r="T2581" i="34"/>
  <c r="U2581" i="34"/>
  <c r="V2581" i="34"/>
  <c r="W2581" i="34"/>
  <c r="X2581" i="34"/>
  <c r="Y2581" i="34"/>
  <c r="Z2581" i="34"/>
  <c r="N2582" i="34"/>
  <c r="O2582" i="34"/>
  <c r="P2582" i="34"/>
  <c r="Q2582" i="34"/>
  <c r="R2582" i="34"/>
  <c r="S2582" i="34"/>
  <c r="T2582" i="34"/>
  <c r="U2582" i="34"/>
  <c r="V2582" i="34"/>
  <c r="W2582" i="34"/>
  <c r="X2582" i="34"/>
  <c r="Y2582" i="34"/>
  <c r="Z2582" i="34"/>
  <c r="N2583" i="34"/>
  <c r="O2583" i="34"/>
  <c r="P2583" i="34"/>
  <c r="Q2583" i="34"/>
  <c r="R2583" i="34"/>
  <c r="S2583" i="34"/>
  <c r="T2583" i="34"/>
  <c r="U2583" i="34"/>
  <c r="V2583" i="34"/>
  <c r="W2583" i="34"/>
  <c r="X2583" i="34"/>
  <c r="Y2583" i="34"/>
  <c r="Z2583" i="34"/>
  <c r="N2584" i="34"/>
  <c r="O2584" i="34"/>
  <c r="P2584" i="34"/>
  <c r="Q2584" i="34"/>
  <c r="R2584" i="34"/>
  <c r="S2584" i="34"/>
  <c r="T2584" i="34"/>
  <c r="U2584" i="34"/>
  <c r="V2584" i="34"/>
  <c r="W2584" i="34"/>
  <c r="X2584" i="34"/>
  <c r="Y2584" i="34"/>
  <c r="Z2584" i="34"/>
  <c r="N2585" i="34"/>
  <c r="O2585" i="34"/>
  <c r="P2585" i="34"/>
  <c r="Q2585" i="34"/>
  <c r="R2585" i="34"/>
  <c r="S2585" i="34"/>
  <c r="T2585" i="34"/>
  <c r="U2585" i="34"/>
  <c r="V2585" i="34"/>
  <c r="W2585" i="34"/>
  <c r="X2585" i="34"/>
  <c r="Y2585" i="34"/>
  <c r="Z2585" i="34"/>
  <c r="N2586" i="34"/>
  <c r="O2586" i="34"/>
  <c r="P2586" i="34"/>
  <c r="Q2586" i="34"/>
  <c r="R2586" i="34"/>
  <c r="S2586" i="34"/>
  <c r="T2586" i="34"/>
  <c r="U2586" i="34"/>
  <c r="V2586" i="34"/>
  <c r="W2586" i="34"/>
  <c r="X2586" i="34"/>
  <c r="Y2586" i="34"/>
  <c r="Z2586" i="34"/>
  <c r="N2587" i="34"/>
  <c r="O2587" i="34"/>
  <c r="P2587" i="34"/>
  <c r="Q2587" i="34"/>
  <c r="R2587" i="34"/>
  <c r="S2587" i="34"/>
  <c r="T2587" i="34"/>
  <c r="U2587" i="34"/>
  <c r="V2587" i="34"/>
  <c r="W2587" i="34"/>
  <c r="X2587" i="34"/>
  <c r="Y2587" i="34"/>
  <c r="Z2587" i="34"/>
  <c r="N2588" i="34"/>
  <c r="O2588" i="34"/>
  <c r="P2588" i="34"/>
  <c r="Q2588" i="34"/>
  <c r="R2588" i="34"/>
  <c r="S2588" i="34"/>
  <c r="T2588" i="34"/>
  <c r="U2588" i="34"/>
  <c r="V2588" i="34"/>
  <c r="W2588" i="34"/>
  <c r="X2588" i="34"/>
  <c r="Y2588" i="34"/>
  <c r="Z2588" i="34"/>
  <c r="N2589" i="34"/>
  <c r="O2589" i="34"/>
  <c r="P2589" i="34"/>
  <c r="Q2589" i="34"/>
  <c r="R2589" i="34"/>
  <c r="S2589" i="34"/>
  <c r="T2589" i="34"/>
  <c r="U2589" i="34"/>
  <c r="V2589" i="34"/>
  <c r="W2589" i="34"/>
  <c r="X2589" i="34"/>
  <c r="Y2589" i="34"/>
  <c r="Z2589" i="34"/>
  <c r="N2590" i="34"/>
  <c r="O2590" i="34"/>
  <c r="P2590" i="34"/>
  <c r="Q2590" i="34"/>
  <c r="R2590" i="34"/>
  <c r="S2590" i="34"/>
  <c r="T2590" i="34"/>
  <c r="U2590" i="34"/>
  <c r="V2590" i="34"/>
  <c r="W2590" i="34"/>
  <c r="X2590" i="34"/>
  <c r="Y2590" i="34"/>
  <c r="Z2590" i="34"/>
  <c r="N2591" i="34"/>
  <c r="O2591" i="34"/>
  <c r="P2591" i="34"/>
  <c r="Q2591" i="34"/>
  <c r="R2591" i="34"/>
  <c r="S2591" i="34"/>
  <c r="T2591" i="34"/>
  <c r="U2591" i="34"/>
  <c r="V2591" i="34"/>
  <c r="W2591" i="34"/>
  <c r="X2591" i="34"/>
  <c r="Y2591" i="34"/>
  <c r="Z2591" i="34"/>
  <c r="N2592" i="34"/>
  <c r="O2592" i="34"/>
  <c r="P2592" i="34"/>
  <c r="Q2592" i="34"/>
  <c r="R2592" i="34"/>
  <c r="S2592" i="34"/>
  <c r="T2592" i="34"/>
  <c r="U2592" i="34"/>
  <c r="V2592" i="34"/>
  <c r="W2592" i="34"/>
  <c r="X2592" i="34"/>
  <c r="Y2592" i="34"/>
  <c r="Z2592" i="34"/>
  <c r="N2593" i="34"/>
  <c r="O2593" i="34"/>
  <c r="P2593" i="34"/>
  <c r="Q2593" i="34"/>
  <c r="R2593" i="34"/>
  <c r="S2593" i="34"/>
  <c r="T2593" i="34"/>
  <c r="U2593" i="34"/>
  <c r="V2593" i="34"/>
  <c r="W2593" i="34"/>
  <c r="X2593" i="34"/>
  <c r="Y2593" i="34"/>
  <c r="Z2593" i="34"/>
  <c r="N2594" i="34"/>
  <c r="O2594" i="34"/>
  <c r="P2594" i="34"/>
  <c r="Q2594" i="34"/>
  <c r="R2594" i="34"/>
  <c r="S2594" i="34"/>
  <c r="T2594" i="34"/>
  <c r="U2594" i="34"/>
  <c r="V2594" i="34"/>
  <c r="W2594" i="34"/>
  <c r="X2594" i="34"/>
  <c r="Y2594" i="34"/>
  <c r="Z2594" i="34"/>
  <c r="N2595" i="34"/>
  <c r="O2595" i="34"/>
  <c r="P2595" i="34"/>
  <c r="Q2595" i="34"/>
  <c r="R2595" i="34"/>
  <c r="S2595" i="34"/>
  <c r="T2595" i="34"/>
  <c r="U2595" i="34"/>
  <c r="V2595" i="34"/>
  <c r="W2595" i="34"/>
  <c r="X2595" i="34"/>
  <c r="Y2595" i="34"/>
  <c r="Z2595" i="34"/>
  <c r="N2596" i="34"/>
  <c r="O2596" i="34"/>
  <c r="P2596" i="34"/>
  <c r="Q2596" i="34"/>
  <c r="R2596" i="34"/>
  <c r="S2596" i="34"/>
  <c r="T2596" i="34"/>
  <c r="U2596" i="34"/>
  <c r="V2596" i="34"/>
  <c r="W2596" i="34"/>
  <c r="X2596" i="34"/>
  <c r="Y2596" i="34"/>
  <c r="Z2596" i="34"/>
  <c r="N2597" i="34"/>
  <c r="O2597" i="34"/>
  <c r="P2597" i="34"/>
  <c r="Q2597" i="34"/>
  <c r="R2597" i="34"/>
  <c r="S2597" i="34"/>
  <c r="T2597" i="34"/>
  <c r="U2597" i="34"/>
  <c r="V2597" i="34"/>
  <c r="W2597" i="34"/>
  <c r="X2597" i="34"/>
  <c r="Y2597" i="34"/>
  <c r="Z2597" i="34"/>
  <c r="N2598" i="34"/>
  <c r="O2598" i="34"/>
  <c r="P2598" i="34"/>
  <c r="Q2598" i="34"/>
  <c r="R2598" i="34"/>
  <c r="S2598" i="34"/>
  <c r="T2598" i="34"/>
  <c r="U2598" i="34"/>
  <c r="V2598" i="34"/>
  <c r="W2598" i="34"/>
  <c r="X2598" i="34"/>
  <c r="Y2598" i="34"/>
  <c r="Z2598" i="34"/>
  <c r="N2599" i="34"/>
  <c r="O2599" i="34"/>
  <c r="P2599" i="34"/>
  <c r="Q2599" i="34"/>
  <c r="R2599" i="34"/>
  <c r="S2599" i="34"/>
  <c r="T2599" i="34"/>
  <c r="U2599" i="34"/>
  <c r="V2599" i="34"/>
  <c r="W2599" i="34"/>
  <c r="X2599" i="34"/>
  <c r="Y2599" i="34"/>
  <c r="Z2599" i="34"/>
  <c r="N2600" i="34"/>
  <c r="O2600" i="34"/>
  <c r="P2600" i="34"/>
  <c r="Q2600" i="34"/>
  <c r="R2600" i="34"/>
  <c r="S2600" i="34"/>
  <c r="T2600" i="34"/>
  <c r="U2600" i="34"/>
  <c r="V2600" i="34"/>
  <c r="W2600" i="34"/>
  <c r="X2600" i="34"/>
  <c r="Y2600" i="34"/>
  <c r="Z2600" i="34"/>
  <c r="N2601" i="34"/>
  <c r="O2601" i="34"/>
  <c r="P2601" i="34"/>
  <c r="Q2601" i="34"/>
  <c r="R2601" i="34"/>
  <c r="S2601" i="34"/>
  <c r="T2601" i="34"/>
  <c r="U2601" i="34"/>
  <c r="V2601" i="34"/>
  <c r="W2601" i="34"/>
  <c r="X2601" i="34"/>
  <c r="Y2601" i="34"/>
  <c r="Z2601" i="34"/>
  <c r="N2602" i="34"/>
  <c r="O2602" i="34"/>
  <c r="P2602" i="34"/>
  <c r="Q2602" i="34"/>
  <c r="R2602" i="34"/>
  <c r="S2602" i="34"/>
  <c r="T2602" i="34"/>
  <c r="U2602" i="34"/>
  <c r="V2602" i="34"/>
  <c r="W2602" i="34"/>
  <c r="X2602" i="34"/>
  <c r="Y2602" i="34"/>
  <c r="Z2602" i="34"/>
  <c r="N2603" i="34"/>
  <c r="O2603" i="34"/>
  <c r="P2603" i="34"/>
  <c r="Q2603" i="34"/>
  <c r="R2603" i="34"/>
  <c r="S2603" i="34"/>
  <c r="T2603" i="34"/>
  <c r="U2603" i="34"/>
  <c r="V2603" i="34"/>
  <c r="W2603" i="34"/>
  <c r="X2603" i="34"/>
  <c r="Y2603" i="34"/>
  <c r="Z2603" i="34"/>
  <c r="N2604" i="34"/>
  <c r="O2604" i="34"/>
  <c r="P2604" i="34"/>
  <c r="Q2604" i="34"/>
  <c r="R2604" i="34"/>
  <c r="S2604" i="34"/>
  <c r="T2604" i="34"/>
  <c r="U2604" i="34"/>
  <c r="V2604" i="34"/>
  <c r="W2604" i="34"/>
  <c r="X2604" i="34"/>
  <c r="Y2604" i="34"/>
  <c r="Z2604" i="34"/>
  <c r="N2605" i="34"/>
  <c r="O2605" i="34"/>
  <c r="P2605" i="34"/>
  <c r="Q2605" i="34"/>
  <c r="R2605" i="34"/>
  <c r="S2605" i="34"/>
  <c r="T2605" i="34"/>
  <c r="U2605" i="34"/>
  <c r="V2605" i="34"/>
  <c r="W2605" i="34"/>
  <c r="X2605" i="34"/>
  <c r="Y2605" i="34"/>
  <c r="Z2605" i="34"/>
  <c r="N2606" i="34"/>
  <c r="O2606" i="34"/>
  <c r="P2606" i="34"/>
  <c r="Q2606" i="34"/>
  <c r="R2606" i="34"/>
  <c r="S2606" i="34"/>
  <c r="T2606" i="34"/>
  <c r="U2606" i="34"/>
  <c r="V2606" i="34"/>
  <c r="W2606" i="34"/>
  <c r="X2606" i="34"/>
  <c r="Y2606" i="34"/>
  <c r="Z2606" i="34"/>
  <c r="N2607" i="34"/>
  <c r="O2607" i="34"/>
  <c r="P2607" i="34"/>
  <c r="Q2607" i="34"/>
  <c r="R2607" i="34"/>
  <c r="S2607" i="34"/>
  <c r="T2607" i="34"/>
  <c r="U2607" i="34"/>
  <c r="V2607" i="34"/>
  <c r="W2607" i="34"/>
  <c r="X2607" i="34"/>
  <c r="Y2607" i="34"/>
  <c r="Z2607" i="34"/>
  <c r="N2608" i="34"/>
  <c r="O2608" i="34"/>
  <c r="P2608" i="34"/>
  <c r="Q2608" i="34"/>
  <c r="R2608" i="34"/>
  <c r="S2608" i="34"/>
  <c r="T2608" i="34"/>
  <c r="U2608" i="34"/>
  <c r="V2608" i="34"/>
  <c r="W2608" i="34"/>
  <c r="X2608" i="34"/>
  <c r="Y2608" i="34"/>
  <c r="Z2608" i="34"/>
  <c r="N2609" i="34"/>
  <c r="O2609" i="34"/>
  <c r="P2609" i="34"/>
  <c r="Q2609" i="34"/>
  <c r="R2609" i="34"/>
  <c r="S2609" i="34"/>
  <c r="T2609" i="34"/>
  <c r="U2609" i="34"/>
  <c r="V2609" i="34"/>
  <c r="W2609" i="34"/>
  <c r="X2609" i="34"/>
  <c r="Y2609" i="34"/>
  <c r="Z2609" i="34"/>
  <c r="N2610" i="34"/>
  <c r="O2610" i="34"/>
  <c r="P2610" i="34"/>
  <c r="Q2610" i="34"/>
  <c r="R2610" i="34"/>
  <c r="S2610" i="34"/>
  <c r="T2610" i="34"/>
  <c r="U2610" i="34"/>
  <c r="V2610" i="34"/>
  <c r="W2610" i="34"/>
  <c r="X2610" i="34"/>
  <c r="Y2610" i="34"/>
  <c r="Z2610" i="34"/>
  <c r="N2611" i="34"/>
  <c r="O2611" i="34"/>
  <c r="P2611" i="34"/>
  <c r="Q2611" i="34"/>
  <c r="R2611" i="34"/>
  <c r="S2611" i="34"/>
  <c r="T2611" i="34"/>
  <c r="U2611" i="34"/>
  <c r="V2611" i="34"/>
  <c r="W2611" i="34"/>
  <c r="X2611" i="34"/>
  <c r="Y2611" i="34"/>
  <c r="Z2611" i="34"/>
  <c r="N2612" i="34"/>
  <c r="O2612" i="34"/>
  <c r="P2612" i="34"/>
  <c r="Q2612" i="34"/>
  <c r="R2612" i="34"/>
  <c r="S2612" i="34"/>
  <c r="T2612" i="34"/>
  <c r="U2612" i="34"/>
  <c r="V2612" i="34"/>
  <c r="W2612" i="34"/>
  <c r="X2612" i="34"/>
  <c r="Y2612" i="34"/>
  <c r="Z2612" i="34"/>
  <c r="N2613" i="34"/>
  <c r="O2613" i="34"/>
  <c r="P2613" i="34"/>
  <c r="Q2613" i="34"/>
  <c r="R2613" i="34"/>
  <c r="S2613" i="34"/>
  <c r="T2613" i="34"/>
  <c r="U2613" i="34"/>
  <c r="V2613" i="34"/>
  <c r="W2613" i="34"/>
  <c r="X2613" i="34"/>
  <c r="Y2613" i="34"/>
  <c r="Z2613" i="34"/>
  <c r="N2614" i="34"/>
  <c r="O2614" i="34"/>
  <c r="P2614" i="34"/>
  <c r="Q2614" i="34"/>
  <c r="R2614" i="34"/>
  <c r="S2614" i="34"/>
  <c r="T2614" i="34"/>
  <c r="U2614" i="34"/>
  <c r="V2614" i="34"/>
  <c r="W2614" i="34"/>
  <c r="X2614" i="34"/>
  <c r="Y2614" i="34"/>
  <c r="Z2614" i="34"/>
  <c r="N2615" i="34"/>
  <c r="O2615" i="34"/>
  <c r="P2615" i="34"/>
  <c r="Q2615" i="34"/>
  <c r="R2615" i="34"/>
  <c r="S2615" i="34"/>
  <c r="T2615" i="34"/>
  <c r="U2615" i="34"/>
  <c r="V2615" i="34"/>
  <c r="W2615" i="34"/>
  <c r="X2615" i="34"/>
  <c r="Y2615" i="34"/>
  <c r="Z2615" i="34"/>
  <c r="N2616" i="34"/>
  <c r="O2616" i="34"/>
  <c r="P2616" i="34"/>
  <c r="Q2616" i="34"/>
  <c r="R2616" i="34"/>
  <c r="S2616" i="34"/>
  <c r="T2616" i="34"/>
  <c r="U2616" i="34"/>
  <c r="V2616" i="34"/>
  <c r="W2616" i="34"/>
  <c r="X2616" i="34"/>
  <c r="Y2616" i="34"/>
  <c r="Z2616" i="34"/>
  <c r="N2617" i="34"/>
  <c r="O2617" i="34"/>
  <c r="P2617" i="34"/>
  <c r="Q2617" i="34"/>
  <c r="R2617" i="34"/>
  <c r="S2617" i="34"/>
  <c r="T2617" i="34"/>
  <c r="U2617" i="34"/>
  <c r="V2617" i="34"/>
  <c r="W2617" i="34"/>
  <c r="X2617" i="34"/>
  <c r="Y2617" i="34"/>
  <c r="Z2617" i="34"/>
  <c r="N2618" i="34"/>
  <c r="O2618" i="34"/>
  <c r="P2618" i="34"/>
  <c r="Q2618" i="34"/>
  <c r="R2618" i="34"/>
  <c r="S2618" i="34"/>
  <c r="T2618" i="34"/>
  <c r="U2618" i="34"/>
  <c r="V2618" i="34"/>
  <c r="W2618" i="34"/>
  <c r="X2618" i="34"/>
  <c r="Y2618" i="34"/>
  <c r="Z2618" i="34"/>
  <c r="N2619" i="34"/>
  <c r="O2619" i="34"/>
  <c r="P2619" i="34"/>
  <c r="Q2619" i="34"/>
  <c r="R2619" i="34"/>
  <c r="S2619" i="34"/>
  <c r="T2619" i="34"/>
  <c r="U2619" i="34"/>
  <c r="V2619" i="34"/>
  <c r="W2619" i="34"/>
  <c r="X2619" i="34"/>
  <c r="Y2619" i="34"/>
  <c r="Z2619" i="34"/>
  <c r="N2620" i="34"/>
  <c r="O2620" i="34"/>
  <c r="P2620" i="34"/>
  <c r="Q2620" i="34"/>
  <c r="R2620" i="34"/>
  <c r="S2620" i="34"/>
  <c r="T2620" i="34"/>
  <c r="U2620" i="34"/>
  <c r="V2620" i="34"/>
  <c r="W2620" i="34"/>
  <c r="X2620" i="34"/>
  <c r="Y2620" i="34"/>
  <c r="Z2620" i="34"/>
  <c r="N2621" i="34"/>
  <c r="O2621" i="34"/>
  <c r="P2621" i="34"/>
  <c r="Q2621" i="34"/>
  <c r="R2621" i="34"/>
  <c r="S2621" i="34"/>
  <c r="T2621" i="34"/>
  <c r="U2621" i="34"/>
  <c r="V2621" i="34"/>
  <c r="W2621" i="34"/>
  <c r="X2621" i="34"/>
  <c r="Y2621" i="34"/>
  <c r="Z2621" i="34"/>
  <c r="N2622" i="34"/>
  <c r="O2622" i="34"/>
  <c r="P2622" i="34"/>
  <c r="Q2622" i="34"/>
  <c r="R2622" i="34"/>
  <c r="S2622" i="34"/>
  <c r="T2622" i="34"/>
  <c r="U2622" i="34"/>
  <c r="V2622" i="34"/>
  <c r="W2622" i="34"/>
  <c r="X2622" i="34"/>
  <c r="Y2622" i="34"/>
  <c r="Z2622" i="34"/>
  <c r="N2623" i="34"/>
  <c r="O2623" i="34"/>
  <c r="P2623" i="34"/>
  <c r="Q2623" i="34"/>
  <c r="R2623" i="34"/>
  <c r="S2623" i="34"/>
  <c r="T2623" i="34"/>
  <c r="U2623" i="34"/>
  <c r="V2623" i="34"/>
  <c r="W2623" i="34"/>
  <c r="X2623" i="34"/>
  <c r="Y2623" i="34"/>
  <c r="Z2623" i="34"/>
  <c r="N2624" i="34"/>
  <c r="O2624" i="34"/>
  <c r="P2624" i="34"/>
  <c r="Q2624" i="34"/>
  <c r="R2624" i="34"/>
  <c r="S2624" i="34"/>
  <c r="T2624" i="34"/>
  <c r="U2624" i="34"/>
  <c r="V2624" i="34"/>
  <c r="W2624" i="34"/>
  <c r="X2624" i="34"/>
  <c r="Y2624" i="34"/>
  <c r="Z2624" i="34"/>
  <c r="N2625" i="34"/>
  <c r="O2625" i="34"/>
  <c r="P2625" i="34"/>
  <c r="Q2625" i="34"/>
  <c r="R2625" i="34"/>
  <c r="S2625" i="34"/>
  <c r="T2625" i="34"/>
  <c r="U2625" i="34"/>
  <c r="V2625" i="34"/>
  <c r="W2625" i="34"/>
  <c r="X2625" i="34"/>
  <c r="Y2625" i="34"/>
  <c r="Z2625" i="34"/>
  <c r="N2626" i="34"/>
  <c r="O2626" i="34"/>
  <c r="P2626" i="34"/>
  <c r="Q2626" i="34"/>
  <c r="R2626" i="34"/>
  <c r="S2626" i="34"/>
  <c r="T2626" i="34"/>
  <c r="U2626" i="34"/>
  <c r="V2626" i="34"/>
  <c r="W2626" i="34"/>
  <c r="X2626" i="34"/>
  <c r="Y2626" i="34"/>
  <c r="Z2626" i="34"/>
  <c r="N2627" i="34"/>
  <c r="O2627" i="34"/>
  <c r="P2627" i="34"/>
  <c r="Q2627" i="34"/>
  <c r="R2627" i="34"/>
  <c r="S2627" i="34"/>
  <c r="T2627" i="34"/>
  <c r="U2627" i="34"/>
  <c r="V2627" i="34"/>
  <c r="W2627" i="34"/>
  <c r="X2627" i="34"/>
  <c r="Y2627" i="34"/>
  <c r="Z2627" i="34"/>
  <c r="N2628" i="34"/>
  <c r="O2628" i="34"/>
  <c r="P2628" i="34"/>
  <c r="Q2628" i="34"/>
  <c r="R2628" i="34"/>
  <c r="S2628" i="34"/>
  <c r="T2628" i="34"/>
  <c r="U2628" i="34"/>
  <c r="V2628" i="34"/>
  <c r="W2628" i="34"/>
  <c r="X2628" i="34"/>
  <c r="Y2628" i="34"/>
  <c r="Z2628" i="34"/>
  <c r="N2629" i="34"/>
  <c r="O2629" i="34"/>
  <c r="P2629" i="34"/>
  <c r="Q2629" i="34"/>
  <c r="R2629" i="34"/>
  <c r="S2629" i="34"/>
  <c r="T2629" i="34"/>
  <c r="U2629" i="34"/>
  <c r="V2629" i="34"/>
  <c r="W2629" i="34"/>
  <c r="X2629" i="34"/>
  <c r="Y2629" i="34"/>
  <c r="Z2629" i="34"/>
  <c r="N2630" i="34"/>
  <c r="O2630" i="34"/>
  <c r="P2630" i="34"/>
  <c r="Q2630" i="34"/>
  <c r="R2630" i="34"/>
  <c r="S2630" i="34"/>
  <c r="T2630" i="34"/>
  <c r="U2630" i="34"/>
  <c r="V2630" i="34"/>
  <c r="W2630" i="34"/>
  <c r="X2630" i="34"/>
  <c r="Y2630" i="34"/>
  <c r="Z2630" i="34"/>
  <c r="N2631" i="34"/>
  <c r="O2631" i="34"/>
  <c r="P2631" i="34"/>
  <c r="Q2631" i="34"/>
  <c r="R2631" i="34"/>
  <c r="S2631" i="34"/>
  <c r="T2631" i="34"/>
  <c r="U2631" i="34"/>
  <c r="V2631" i="34"/>
  <c r="W2631" i="34"/>
  <c r="X2631" i="34"/>
  <c r="Y2631" i="34"/>
  <c r="Z2631" i="34"/>
  <c r="N2632" i="34"/>
  <c r="O2632" i="34"/>
  <c r="P2632" i="34"/>
  <c r="Q2632" i="34"/>
  <c r="R2632" i="34"/>
  <c r="S2632" i="34"/>
  <c r="T2632" i="34"/>
  <c r="U2632" i="34"/>
  <c r="V2632" i="34"/>
  <c r="W2632" i="34"/>
  <c r="X2632" i="34"/>
  <c r="Y2632" i="34"/>
  <c r="Z2632" i="34"/>
  <c r="N2633" i="34"/>
  <c r="O2633" i="34"/>
  <c r="P2633" i="34"/>
  <c r="Q2633" i="34"/>
  <c r="R2633" i="34"/>
  <c r="S2633" i="34"/>
  <c r="T2633" i="34"/>
  <c r="U2633" i="34"/>
  <c r="V2633" i="34"/>
  <c r="W2633" i="34"/>
  <c r="X2633" i="34"/>
  <c r="Y2633" i="34"/>
  <c r="Z2633" i="34"/>
  <c r="N2634" i="34"/>
  <c r="O2634" i="34"/>
  <c r="P2634" i="34"/>
  <c r="Q2634" i="34"/>
  <c r="R2634" i="34"/>
  <c r="S2634" i="34"/>
  <c r="T2634" i="34"/>
  <c r="U2634" i="34"/>
  <c r="V2634" i="34"/>
  <c r="W2634" i="34"/>
  <c r="X2634" i="34"/>
  <c r="Y2634" i="34"/>
  <c r="Z2634" i="34"/>
  <c r="N2635" i="34"/>
  <c r="O2635" i="34"/>
  <c r="P2635" i="34"/>
  <c r="Q2635" i="34"/>
  <c r="R2635" i="34"/>
  <c r="S2635" i="34"/>
  <c r="T2635" i="34"/>
  <c r="U2635" i="34"/>
  <c r="V2635" i="34"/>
  <c r="W2635" i="34"/>
  <c r="X2635" i="34"/>
  <c r="Y2635" i="34"/>
  <c r="Z2635" i="34"/>
  <c r="N2636" i="34"/>
  <c r="O2636" i="34"/>
  <c r="P2636" i="34"/>
  <c r="Q2636" i="34"/>
  <c r="R2636" i="34"/>
  <c r="S2636" i="34"/>
  <c r="T2636" i="34"/>
  <c r="U2636" i="34"/>
  <c r="V2636" i="34"/>
  <c r="W2636" i="34"/>
  <c r="X2636" i="34"/>
  <c r="Y2636" i="34"/>
  <c r="Z2636" i="34"/>
  <c r="N2637" i="34"/>
  <c r="O2637" i="34"/>
  <c r="P2637" i="34"/>
  <c r="Q2637" i="34"/>
  <c r="R2637" i="34"/>
  <c r="S2637" i="34"/>
  <c r="T2637" i="34"/>
  <c r="U2637" i="34"/>
  <c r="V2637" i="34"/>
  <c r="W2637" i="34"/>
  <c r="X2637" i="34"/>
  <c r="Y2637" i="34"/>
  <c r="Z2637" i="34"/>
  <c r="N2638" i="34"/>
  <c r="O2638" i="34"/>
  <c r="P2638" i="34"/>
  <c r="Q2638" i="34"/>
  <c r="R2638" i="34"/>
  <c r="S2638" i="34"/>
  <c r="T2638" i="34"/>
  <c r="U2638" i="34"/>
  <c r="V2638" i="34"/>
  <c r="W2638" i="34"/>
  <c r="X2638" i="34"/>
  <c r="Y2638" i="34"/>
  <c r="Z2638" i="34"/>
  <c r="N2639" i="34"/>
  <c r="O2639" i="34"/>
  <c r="P2639" i="34"/>
  <c r="Q2639" i="34"/>
  <c r="R2639" i="34"/>
  <c r="S2639" i="34"/>
  <c r="T2639" i="34"/>
  <c r="U2639" i="34"/>
  <c r="V2639" i="34"/>
  <c r="W2639" i="34"/>
  <c r="X2639" i="34"/>
  <c r="Y2639" i="34"/>
  <c r="Z2639" i="34"/>
  <c r="N2640" i="34"/>
  <c r="O2640" i="34"/>
  <c r="P2640" i="34"/>
  <c r="Q2640" i="34"/>
  <c r="R2640" i="34"/>
  <c r="S2640" i="34"/>
  <c r="T2640" i="34"/>
  <c r="U2640" i="34"/>
  <c r="V2640" i="34"/>
  <c r="W2640" i="34"/>
  <c r="X2640" i="34"/>
  <c r="Y2640" i="34"/>
  <c r="Z2640" i="34"/>
  <c r="N2641" i="34"/>
  <c r="O2641" i="34"/>
  <c r="P2641" i="34"/>
  <c r="Q2641" i="34"/>
  <c r="R2641" i="34"/>
  <c r="S2641" i="34"/>
  <c r="T2641" i="34"/>
  <c r="U2641" i="34"/>
  <c r="V2641" i="34"/>
  <c r="W2641" i="34"/>
  <c r="X2641" i="34"/>
  <c r="Y2641" i="34"/>
  <c r="Z2641" i="34"/>
  <c r="N2642" i="34"/>
  <c r="O2642" i="34"/>
  <c r="P2642" i="34"/>
  <c r="Q2642" i="34"/>
  <c r="R2642" i="34"/>
  <c r="S2642" i="34"/>
  <c r="T2642" i="34"/>
  <c r="U2642" i="34"/>
  <c r="V2642" i="34"/>
  <c r="W2642" i="34"/>
  <c r="X2642" i="34"/>
  <c r="Y2642" i="34"/>
  <c r="Z2642" i="34"/>
  <c r="N2643" i="34"/>
  <c r="O2643" i="34"/>
  <c r="P2643" i="34"/>
  <c r="Q2643" i="34"/>
  <c r="R2643" i="34"/>
  <c r="S2643" i="34"/>
  <c r="T2643" i="34"/>
  <c r="U2643" i="34"/>
  <c r="V2643" i="34"/>
  <c r="W2643" i="34"/>
  <c r="X2643" i="34"/>
  <c r="Y2643" i="34"/>
  <c r="Z2643" i="34"/>
  <c r="N2644" i="34"/>
  <c r="O2644" i="34"/>
  <c r="P2644" i="34"/>
  <c r="Q2644" i="34"/>
  <c r="R2644" i="34"/>
  <c r="S2644" i="34"/>
  <c r="T2644" i="34"/>
  <c r="U2644" i="34"/>
  <c r="V2644" i="34"/>
  <c r="W2644" i="34"/>
  <c r="X2644" i="34"/>
  <c r="Y2644" i="34"/>
  <c r="Z2644" i="34"/>
  <c r="N2645" i="34"/>
  <c r="O2645" i="34"/>
  <c r="P2645" i="34"/>
  <c r="Q2645" i="34"/>
  <c r="R2645" i="34"/>
  <c r="S2645" i="34"/>
  <c r="T2645" i="34"/>
  <c r="U2645" i="34"/>
  <c r="V2645" i="34"/>
  <c r="W2645" i="34"/>
  <c r="X2645" i="34"/>
  <c r="Y2645" i="34"/>
  <c r="Z2645" i="34"/>
  <c r="N2646" i="34"/>
  <c r="O2646" i="34"/>
  <c r="P2646" i="34"/>
  <c r="Q2646" i="34"/>
  <c r="R2646" i="34"/>
  <c r="S2646" i="34"/>
  <c r="T2646" i="34"/>
  <c r="U2646" i="34"/>
  <c r="V2646" i="34"/>
  <c r="W2646" i="34"/>
  <c r="X2646" i="34"/>
  <c r="Y2646" i="34"/>
  <c r="Z2646" i="34"/>
  <c r="N2647" i="34"/>
  <c r="O2647" i="34"/>
  <c r="P2647" i="34"/>
  <c r="Q2647" i="34"/>
  <c r="R2647" i="34"/>
  <c r="S2647" i="34"/>
  <c r="T2647" i="34"/>
  <c r="U2647" i="34"/>
  <c r="V2647" i="34"/>
  <c r="W2647" i="34"/>
  <c r="X2647" i="34"/>
  <c r="Y2647" i="34"/>
  <c r="Z2647" i="34"/>
  <c r="N2648" i="34"/>
  <c r="O2648" i="34"/>
  <c r="P2648" i="34"/>
  <c r="Q2648" i="34"/>
  <c r="R2648" i="34"/>
  <c r="S2648" i="34"/>
  <c r="T2648" i="34"/>
  <c r="U2648" i="34"/>
  <c r="V2648" i="34"/>
  <c r="W2648" i="34"/>
  <c r="X2648" i="34"/>
  <c r="Y2648" i="34"/>
  <c r="Z2648" i="34"/>
  <c r="N2649" i="34"/>
  <c r="O2649" i="34"/>
  <c r="P2649" i="34"/>
  <c r="Q2649" i="34"/>
  <c r="R2649" i="34"/>
  <c r="S2649" i="34"/>
  <c r="T2649" i="34"/>
  <c r="U2649" i="34"/>
  <c r="V2649" i="34"/>
  <c r="W2649" i="34"/>
  <c r="X2649" i="34"/>
  <c r="Y2649" i="34"/>
  <c r="Z2649" i="34"/>
  <c r="N2650" i="34"/>
  <c r="O2650" i="34"/>
  <c r="P2650" i="34"/>
  <c r="Q2650" i="34"/>
  <c r="R2650" i="34"/>
  <c r="S2650" i="34"/>
  <c r="T2650" i="34"/>
  <c r="U2650" i="34"/>
  <c r="V2650" i="34"/>
  <c r="W2650" i="34"/>
  <c r="X2650" i="34"/>
  <c r="Y2650" i="34"/>
  <c r="Z2650" i="34"/>
  <c r="N2651" i="34"/>
  <c r="O2651" i="34"/>
  <c r="P2651" i="34"/>
  <c r="Q2651" i="34"/>
  <c r="R2651" i="34"/>
  <c r="S2651" i="34"/>
  <c r="T2651" i="34"/>
  <c r="U2651" i="34"/>
  <c r="V2651" i="34"/>
  <c r="W2651" i="34"/>
  <c r="X2651" i="34"/>
  <c r="Y2651" i="34"/>
  <c r="Z2651" i="34"/>
  <c r="N2652" i="34"/>
  <c r="O2652" i="34"/>
  <c r="P2652" i="34"/>
  <c r="Q2652" i="34"/>
  <c r="R2652" i="34"/>
  <c r="S2652" i="34"/>
  <c r="T2652" i="34"/>
  <c r="U2652" i="34"/>
  <c r="V2652" i="34"/>
  <c r="W2652" i="34"/>
  <c r="X2652" i="34"/>
  <c r="Y2652" i="34"/>
  <c r="Z2652" i="34"/>
  <c r="N2653" i="34"/>
  <c r="O2653" i="34"/>
  <c r="P2653" i="34"/>
  <c r="Q2653" i="34"/>
  <c r="R2653" i="34"/>
  <c r="S2653" i="34"/>
  <c r="T2653" i="34"/>
  <c r="U2653" i="34"/>
  <c r="V2653" i="34"/>
  <c r="W2653" i="34"/>
  <c r="X2653" i="34"/>
  <c r="Y2653" i="34"/>
  <c r="Z2653" i="34"/>
  <c r="N2654" i="34"/>
  <c r="O2654" i="34"/>
  <c r="P2654" i="34"/>
  <c r="Q2654" i="34"/>
  <c r="R2654" i="34"/>
  <c r="S2654" i="34"/>
  <c r="T2654" i="34"/>
  <c r="U2654" i="34"/>
  <c r="V2654" i="34"/>
  <c r="W2654" i="34"/>
  <c r="X2654" i="34"/>
  <c r="Y2654" i="34"/>
  <c r="Z2654" i="34"/>
  <c r="N2655" i="34"/>
  <c r="O2655" i="34"/>
  <c r="P2655" i="34"/>
  <c r="Q2655" i="34"/>
  <c r="R2655" i="34"/>
  <c r="S2655" i="34"/>
  <c r="T2655" i="34"/>
  <c r="U2655" i="34"/>
  <c r="V2655" i="34"/>
  <c r="W2655" i="34"/>
  <c r="X2655" i="34"/>
  <c r="Y2655" i="34"/>
  <c r="Z2655" i="34"/>
  <c r="N2656" i="34"/>
  <c r="O2656" i="34"/>
  <c r="P2656" i="34"/>
  <c r="Q2656" i="34"/>
  <c r="R2656" i="34"/>
  <c r="S2656" i="34"/>
  <c r="T2656" i="34"/>
  <c r="U2656" i="34"/>
  <c r="V2656" i="34"/>
  <c r="W2656" i="34"/>
  <c r="X2656" i="34"/>
  <c r="Y2656" i="34"/>
  <c r="Z2656" i="34"/>
  <c r="N2657" i="34"/>
  <c r="O2657" i="34"/>
  <c r="P2657" i="34"/>
  <c r="Q2657" i="34"/>
  <c r="R2657" i="34"/>
  <c r="S2657" i="34"/>
  <c r="T2657" i="34"/>
  <c r="U2657" i="34"/>
  <c r="V2657" i="34"/>
  <c r="W2657" i="34"/>
  <c r="X2657" i="34"/>
  <c r="Y2657" i="34"/>
  <c r="Z2657" i="34"/>
  <c r="N2658" i="34"/>
  <c r="O2658" i="34"/>
  <c r="P2658" i="34"/>
  <c r="Q2658" i="34"/>
  <c r="R2658" i="34"/>
  <c r="S2658" i="34"/>
  <c r="T2658" i="34"/>
  <c r="U2658" i="34"/>
  <c r="V2658" i="34"/>
  <c r="W2658" i="34"/>
  <c r="X2658" i="34"/>
  <c r="Y2658" i="34"/>
  <c r="Z2658" i="34"/>
  <c r="N2659" i="34"/>
  <c r="O2659" i="34"/>
  <c r="P2659" i="34"/>
  <c r="Q2659" i="34"/>
  <c r="R2659" i="34"/>
  <c r="S2659" i="34"/>
  <c r="T2659" i="34"/>
  <c r="U2659" i="34"/>
  <c r="V2659" i="34"/>
  <c r="W2659" i="34"/>
  <c r="X2659" i="34"/>
  <c r="Y2659" i="34"/>
  <c r="Z2659" i="34"/>
  <c r="N2660" i="34"/>
  <c r="O2660" i="34"/>
  <c r="P2660" i="34"/>
  <c r="Q2660" i="34"/>
  <c r="R2660" i="34"/>
  <c r="S2660" i="34"/>
  <c r="T2660" i="34"/>
  <c r="U2660" i="34"/>
  <c r="V2660" i="34"/>
  <c r="W2660" i="34"/>
  <c r="X2660" i="34"/>
  <c r="Y2660" i="34"/>
  <c r="Z2660" i="34"/>
  <c r="N2661" i="34"/>
  <c r="O2661" i="34"/>
  <c r="P2661" i="34"/>
  <c r="Q2661" i="34"/>
  <c r="R2661" i="34"/>
  <c r="S2661" i="34"/>
  <c r="T2661" i="34"/>
  <c r="U2661" i="34"/>
  <c r="V2661" i="34"/>
  <c r="W2661" i="34"/>
  <c r="X2661" i="34"/>
  <c r="Y2661" i="34"/>
  <c r="Z2661" i="34"/>
  <c r="N2662" i="34"/>
  <c r="O2662" i="34"/>
  <c r="P2662" i="34"/>
  <c r="Q2662" i="34"/>
  <c r="R2662" i="34"/>
  <c r="S2662" i="34"/>
  <c r="T2662" i="34"/>
  <c r="U2662" i="34"/>
  <c r="V2662" i="34"/>
  <c r="W2662" i="34"/>
  <c r="X2662" i="34"/>
  <c r="Y2662" i="34"/>
  <c r="Z2662" i="34"/>
  <c r="N2663" i="34"/>
  <c r="O2663" i="34"/>
  <c r="P2663" i="34"/>
  <c r="Q2663" i="34"/>
  <c r="R2663" i="34"/>
  <c r="S2663" i="34"/>
  <c r="T2663" i="34"/>
  <c r="U2663" i="34"/>
  <c r="V2663" i="34"/>
  <c r="W2663" i="34"/>
  <c r="X2663" i="34"/>
  <c r="Y2663" i="34"/>
  <c r="Z2663" i="34"/>
  <c r="N2664" i="34"/>
  <c r="O2664" i="34"/>
  <c r="P2664" i="34"/>
  <c r="Q2664" i="34"/>
  <c r="R2664" i="34"/>
  <c r="S2664" i="34"/>
  <c r="T2664" i="34"/>
  <c r="U2664" i="34"/>
  <c r="V2664" i="34"/>
  <c r="W2664" i="34"/>
  <c r="X2664" i="34"/>
  <c r="Y2664" i="34"/>
  <c r="Z2664" i="34"/>
  <c r="N2665" i="34"/>
  <c r="O2665" i="34"/>
  <c r="P2665" i="34"/>
  <c r="Q2665" i="34"/>
  <c r="R2665" i="34"/>
  <c r="S2665" i="34"/>
  <c r="T2665" i="34"/>
  <c r="U2665" i="34"/>
  <c r="V2665" i="34"/>
  <c r="W2665" i="34"/>
  <c r="X2665" i="34"/>
  <c r="Y2665" i="34"/>
  <c r="Z2665" i="34"/>
  <c r="N2666" i="34"/>
  <c r="O2666" i="34"/>
  <c r="P2666" i="34"/>
  <c r="Q2666" i="34"/>
  <c r="R2666" i="34"/>
  <c r="S2666" i="34"/>
  <c r="T2666" i="34"/>
  <c r="U2666" i="34"/>
  <c r="V2666" i="34"/>
  <c r="W2666" i="34"/>
  <c r="X2666" i="34"/>
  <c r="Y2666" i="34"/>
  <c r="Z2666" i="34"/>
  <c r="N2667" i="34"/>
  <c r="O2667" i="34"/>
  <c r="P2667" i="34"/>
  <c r="Q2667" i="34"/>
  <c r="R2667" i="34"/>
  <c r="S2667" i="34"/>
  <c r="T2667" i="34"/>
  <c r="U2667" i="34"/>
  <c r="V2667" i="34"/>
  <c r="W2667" i="34"/>
  <c r="X2667" i="34"/>
  <c r="Y2667" i="34"/>
  <c r="Z2667" i="34"/>
  <c r="N2668" i="34"/>
  <c r="O2668" i="34"/>
  <c r="P2668" i="34"/>
  <c r="Q2668" i="34"/>
  <c r="R2668" i="34"/>
  <c r="S2668" i="34"/>
  <c r="T2668" i="34"/>
  <c r="U2668" i="34"/>
  <c r="V2668" i="34"/>
  <c r="W2668" i="34"/>
  <c r="X2668" i="34"/>
  <c r="Y2668" i="34"/>
  <c r="Z2668" i="34"/>
  <c r="N2669" i="34"/>
  <c r="O2669" i="34"/>
  <c r="P2669" i="34"/>
  <c r="Q2669" i="34"/>
  <c r="R2669" i="34"/>
  <c r="S2669" i="34"/>
  <c r="T2669" i="34"/>
  <c r="U2669" i="34"/>
  <c r="V2669" i="34"/>
  <c r="W2669" i="34"/>
  <c r="X2669" i="34"/>
  <c r="Y2669" i="34"/>
  <c r="Z2669" i="34"/>
  <c r="N2670" i="34"/>
  <c r="O2670" i="34"/>
  <c r="P2670" i="34"/>
  <c r="Q2670" i="34"/>
  <c r="R2670" i="34"/>
  <c r="S2670" i="34"/>
  <c r="T2670" i="34"/>
  <c r="U2670" i="34"/>
  <c r="V2670" i="34"/>
  <c r="W2670" i="34"/>
  <c r="X2670" i="34"/>
  <c r="Y2670" i="34"/>
  <c r="Z2670" i="34"/>
  <c r="N2671" i="34"/>
  <c r="O2671" i="34"/>
  <c r="P2671" i="34"/>
  <c r="Q2671" i="34"/>
  <c r="R2671" i="34"/>
  <c r="S2671" i="34"/>
  <c r="T2671" i="34"/>
  <c r="U2671" i="34"/>
  <c r="V2671" i="34"/>
  <c r="W2671" i="34"/>
  <c r="X2671" i="34"/>
  <c r="Y2671" i="34"/>
  <c r="Z2671" i="34"/>
  <c r="N2672" i="34"/>
  <c r="O2672" i="34"/>
  <c r="P2672" i="34"/>
  <c r="Q2672" i="34"/>
  <c r="R2672" i="34"/>
  <c r="S2672" i="34"/>
  <c r="T2672" i="34"/>
  <c r="U2672" i="34"/>
  <c r="V2672" i="34"/>
  <c r="W2672" i="34"/>
  <c r="X2672" i="34"/>
  <c r="Y2672" i="34"/>
  <c r="Z2672" i="34"/>
  <c r="N2673" i="34"/>
  <c r="O2673" i="34"/>
  <c r="P2673" i="34"/>
  <c r="Q2673" i="34"/>
  <c r="R2673" i="34"/>
  <c r="S2673" i="34"/>
  <c r="T2673" i="34"/>
  <c r="U2673" i="34"/>
  <c r="V2673" i="34"/>
  <c r="W2673" i="34"/>
  <c r="X2673" i="34"/>
  <c r="Y2673" i="34"/>
  <c r="Z2673" i="34"/>
  <c r="N2674" i="34"/>
  <c r="O2674" i="34"/>
  <c r="P2674" i="34"/>
  <c r="Q2674" i="34"/>
  <c r="R2674" i="34"/>
  <c r="S2674" i="34"/>
  <c r="T2674" i="34"/>
  <c r="U2674" i="34"/>
  <c r="V2674" i="34"/>
  <c r="W2674" i="34"/>
  <c r="X2674" i="34"/>
  <c r="Y2674" i="34"/>
  <c r="Z2674" i="34"/>
  <c r="N2675" i="34"/>
  <c r="O2675" i="34"/>
  <c r="P2675" i="34"/>
  <c r="Q2675" i="34"/>
  <c r="R2675" i="34"/>
  <c r="S2675" i="34"/>
  <c r="T2675" i="34"/>
  <c r="U2675" i="34"/>
  <c r="V2675" i="34"/>
  <c r="W2675" i="34"/>
  <c r="X2675" i="34"/>
  <c r="Y2675" i="34"/>
  <c r="Z2675" i="34"/>
  <c r="N2676" i="34"/>
  <c r="O2676" i="34"/>
  <c r="P2676" i="34"/>
  <c r="Q2676" i="34"/>
  <c r="R2676" i="34"/>
  <c r="S2676" i="34"/>
  <c r="T2676" i="34"/>
  <c r="U2676" i="34"/>
  <c r="V2676" i="34"/>
  <c r="W2676" i="34"/>
  <c r="X2676" i="34"/>
  <c r="Y2676" i="34"/>
  <c r="Z2676" i="34"/>
  <c r="N2677" i="34"/>
  <c r="O2677" i="34"/>
  <c r="P2677" i="34"/>
  <c r="Q2677" i="34"/>
  <c r="R2677" i="34"/>
  <c r="S2677" i="34"/>
  <c r="T2677" i="34"/>
  <c r="U2677" i="34"/>
  <c r="V2677" i="34"/>
  <c r="W2677" i="34"/>
  <c r="X2677" i="34"/>
  <c r="Y2677" i="34"/>
  <c r="Z2677" i="34"/>
  <c r="N2678" i="34"/>
  <c r="O2678" i="34"/>
  <c r="P2678" i="34"/>
  <c r="Q2678" i="34"/>
  <c r="R2678" i="34"/>
  <c r="S2678" i="34"/>
  <c r="T2678" i="34"/>
  <c r="U2678" i="34"/>
  <c r="V2678" i="34"/>
  <c r="W2678" i="34"/>
  <c r="X2678" i="34"/>
  <c r="Y2678" i="34"/>
  <c r="Z2678" i="34"/>
  <c r="N2679" i="34"/>
  <c r="O2679" i="34"/>
  <c r="P2679" i="34"/>
  <c r="Q2679" i="34"/>
  <c r="R2679" i="34"/>
  <c r="S2679" i="34"/>
  <c r="T2679" i="34"/>
  <c r="U2679" i="34"/>
  <c r="V2679" i="34"/>
  <c r="W2679" i="34"/>
  <c r="X2679" i="34"/>
  <c r="Y2679" i="34"/>
  <c r="Z2679" i="34"/>
  <c r="N2680" i="34"/>
  <c r="O2680" i="34"/>
  <c r="P2680" i="34"/>
  <c r="Q2680" i="34"/>
  <c r="R2680" i="34"/>
  <c r="S2680" i="34"/>
  <c r="T2680" i="34"/>
  <c r="U2680" i="34"/>
  <c r="V2680" i="34"/>
  <c r="W2680" i="34"/>
  <c r="X2680" i="34"/>
  <c r="Y2680" i="34"/>
  <c r="Z2680" i="34"/>
  <c r="N2681" i="34"/>
  <c r="O2681" i="34"/>
  <c r="P2681" i="34"/>
  <c r="Q2681" i="34"/>
  <c r="R2681" i="34"/>
  <c r="S2681" i="34"/>
  <c r="T2681" i="34"/>
  <c r="U2681" i="34"/>
  <c r="V2681" i="34"/>
  <c r="W2681" i="34"/>
  <c r="X2681" i="34"/>
  <c r="Y2681" i="34"/>
  <c r="Z2681" i="34"/>
  <c r="N2682" i="34"/>
  <c r="O2682" i="34"/>
  <c r="P2682" i="34"/>
  <c r="Q2682" i="34"/>
  <c r="R2682" i="34"/>
  <c r="S2682" i="34"/>
  <c r="T2682" i="34"/>
  <c r="U2682" i="34"/>
  <c r="V2682" i="34"/>
  <c r="W2682" i="34"/>
  <c r="X2682" i="34"/>
  <c r="Y2682" i="34"/>
  <c r="Z2682" i="34"/>
  <c r="N2683" i="34"/>
  <c r="O2683" i="34"/>
  <c r="P2683" i="34"/>
  <c r="Q2683" i="34"/>
  <c r="R2683" i="34"/>
  <c r="S2683" i="34"/>
  <c r="T2683" i="34"/>
  <c r="U2683" i="34"/>
  <c r="V2683" i="34"/>
  <c r="W2683" i="34"/>
  <c r="X2683" i="34"/>
  <c r="Y2683" i="34"/>
  <c r="Z2683" i="34"/>
  <c r="N2684" i="34"/>
  <c r="O2684" i="34"/>
  <c r="P2684" i="34"/>
  <c r="Q2684" i="34"/>
  <c r="R2684" i="34"/>
  <c r="S2684" i="34"/>
  <c r="T2684" i="34"/>
  <c r="U2684" i="34"/>
  <c r="V2684" i="34"/>
  <c r="W2684" i="34"/>
  <c r="X2684" i="34"/>
  <c r="Y2684" i="34"/>
  <c r="Z2684" i="34"/>
  <c r="N2685" i="34"/>
  <c r="O2685" i="34"/>
  <c r="P2685" i="34"/>
  <c r="Q2685" i="34"/>
  <c r="R2685" i="34"/>
  <c r="S2685" i="34"/>
  <c r="T2685" i="34"/>
  <c r="U2685" i="34"/>
  <c r="V2685" i="34"/>
  <c r="W2685" i="34"/>
  <c r="X2685" i="34"/>
  <c r="Y2685" i="34"/>
  <c r="Z2685" i="34"/>
  <c r="N2686" i="34"/>
  <c r="O2686" i="34"/>
  <c r="P2686" i="34"/>
  <c r="Q2686" i="34"/>
  <c r="R2686" i="34"/>
  <c r="S2686" i="34"/>
  <c r="T2686" i="34"/>
  <c r="U2686" i="34"/>
  <c r="V2686" i="34"/>
  <c r="W2686" i="34"/>
  <c r="X2686" i="34"/>
  <c r="Y2686" i="34"/>
  <c r="Z2686" i="34"/>
  <c r="N2687" i="34"/>
  <c r="O2687" i="34"/>
  <c r="P2687" i="34"/>
  <c r="Q2687" i="34"/>
  <c r="R2687" i="34"/>
  <c r="S2687" i="34"/>
  <c r="T2687" i="34"/>
  <c r="U2687" i="34"/>
  <c r="V2687" i="34"/>
  <c r="W2687" i="34"/>
  <c r="X2687" i="34"/>
  <c r="Y2687" i="34"/>
  <c r="Z2687" i="34"/>
  <c r="N2688" i="34"/>
  <c r="O2688" i="34"/>
  <c r="P2688" i="34"/>
  <c r="Q2688" i="34"/>
  <c r="R2688" i="34"/>
  <c r="S2688" i="34"/>
  <c r="T2688" i="34"/>
  <c r="U2688" i="34"/>
  <c r="V2688" i="34"/>
  <c r="W2688" i="34"/>
  <c r="X2688" i="34"/>
  <c r="Y2688" i="34"/>
  <c r="Z2688" i="34"/>
  <c r="N2689" i="34"/>
  <c r="O2689" i="34"/>
  <c r="P2689" i="34"/>
  <c r="Q2689" i="34"/>
  <c r="R2689" i="34"/>
  <c r="S2689" i="34"/>
  <c r="T2689" i="34"/>
  <c r="U2689" i="34"/>
  <c r="V2689" i="34"/>
  <c r="W2689" i="34"/>
  <c r="X2689" i="34"/>
  <c r="Y2689" i="34"/>
  <c r="Z2689" i="34"/>
  <c r="N2690" i="34"/>
  <c r="O2690" i="34"/>
  <c r="P2690" i="34"/>
  <c r="Q2690" i="34"/>
  <c r="R2690" i="34"/>
  <c r="S2690" i="34"/>
  <c r="T2690" i="34"/>
  <c r="U2690" i="34"/>
  <c r="V2690" i="34"/>
  <c r="W2690" i="34"/>
  <c r="X2690" i="34"/>
  <c r="Y2690" i="34"/>
  <c r="Z2690" i="34"/>
  <c r="N2691" i="34"/>
  <c r="O2691" i="34"/>
  <c r="P2691" i="34"/>
  <c r="Q2691" i="34"/>
  <c r="R2691" i="34"/>
  <c r="S2691" i="34"/>
  <c r="T2691" i="34"/>
  <c r="U2691" i="34"/>
  <c r="V2691" i="34"/>
  <c r="W2691" i="34"/>
  <c r="X2691" i="34"/>
  <c r="Y2691" i="34"/>
  <c r="Z2691" i="34"/>
  <c r="N2692" i="34"/>
  <c r="O2692" i="34"/>
  <c r="P2692" i="34"/>
  <c r="Q2692" i="34"/>
  <c r="R2692" i="34"/>
  <c r="S2692" i="34"/>
  <c r="T2692" i="34"/>
  <c r="U2692" i="34"/>
  <c r="V2692" i="34"/>
  <c r="W2692" i="34"/>
  <c r="X2692" i="34"/>
  <c r="Y2692" i="34"/>
  <c r="Z2692" i="34"/>
  <c r="N2693" i="34"/>
  <c r="O2693" i="34"/>
  <c r="P2693" i="34"/>
  <c r="Q2693" i="34"/>
  <c r="R2693" i="34"/>
  <c r="S2693" i="34"/>
  <c r="T2693" i="34"/>
  <c r="U2693" i="34"/>
  <c r="V2693" i="34"/>
  <c r="W2693" i="34"/>
  <c r="X2693" i="34"/>
  <c r="Y2693" i="34"/>
  <c r="Z2693" i="34"/>
  <c r="N2694" i="34"/>
  <c r="O2694" i="34"/>
  <c r="P2694" i="34"/>
  <c r="Q2694" i="34"/>
  <c r="R2694" i="34"/>
  <c r="S2694" i="34"/>
  <c r="T2694" i="34"/>
  <c r="U2694" i="34"/>
  <c r="V2694" i="34"/>
  <c r="W2694" i="34"/>
  <c r="X2694" i="34"/>
  <c r="Y2694" i="34"/>
  <c r="Z2694" i="34"/>
  <c r="N2695" i="34"/>
  <c r="O2695" i="34"/>
  <c r="P2695" i="34"/>
  <c r="Q2695" i="34"/>
  <c r="R2695" i="34"/>
  <c r="S2695" i="34"/>
  <c r="T2695" i="34"/>
  <c r="U2695" i="34"/>
  <c r="V2695" i="34"/>
  <c r="W2695" i="34"/>
  <c r="X2695" i="34"/>
  <c r="Y2695" i="34"/>
  <c r="Z2695" i="34"/>
  <c r="N2696" i="34"/>
  <c r="O2696" i="34"/>
  <c r="P2696" i="34"/>
  <c r="Q2696" i="34"/>
  <c r="R2696" i="34"/>
  <c r="S2696" i="34"/>
  <c r="T2696" i="34"/>
  <c r="U2696" i="34"/>
  <c r="V2696" i="34"/>
  <c r="W2696" i="34"/>
  <c r="X2696" i="34"/>
  <c r="Y2696" i="34"/>
  <c r="Z2696" i="34"/>
  <c r="N2697" i="34"/>
  <c r="O2697" i="34"/>
  <c r="P2697" i="34"/>
  <c r="Q2697" i="34"/>
  <c r="R2697" i="34"/>
  <c r="S2697" i="34"/>
  <c r="T2697" i="34"/>
  <c r="U2697" i="34"/>
  <c r="V2697" i="34"/>
  <c r="W2697" i="34"/>
  <c r="X2697" i="34"/>
  <c r="Y2697" i="34"/>
  <c r="Z2697" i="34"/>
  <c r="N2698" i="34"/>
  <c r="O2698" i="34"/>
  <c r="P2698" i="34"/>
  <c r="Q2698" i="34"/>
  <c r="R2698" i="34"/>
  <c r="S2698" i="34"/>
  <c r="T2698" i="34"/>
  <c r="U2698" i="34"/>
  <c r="V2698" i="34"/>
  <c r="W2698" i="34"/>
  <c r="X2698" i="34"/>
  <c r="Y2698" i="34"/>
  <c r="Z2698" i="34"/>
  <c r="N2699" i="34"/>
  <c r="O2699" i="34"/>
  <c r="P2699" i="34"/>
  <c r="Q2699" i="34"/>
  <c r="R2699" i="34"/>
  <c r="S2699" i="34"/>
  <c r="T2699" i="34"/>
  <c r="U2699" i="34"/>
  <c r="V2699" i="34"/>
  <c r="W2699" i="34"/>
  <c r="X2699" i="34"/>
  <c r="Y2699" i="34"/>
  <c r="Z2699" i="34"/>
  <c r="N2700" i="34"/>
  <c r="O2700" i="34"/>
  <c r="P2700" i="34"/>
  <c r="Q2700" i="34"/>
  <c r="R2700" i="34"/>
  <c r="S2700" i="34"/>
  <c r="T2700" i="34"/>
  <c r="U2700" i="34"/>
  <c r="V2700" i="34"/>
  <c r="W2700" i="34"/>
  <c r="X2700" i="34"/>
  <c r="Y2700" i="34"/>
  <c r="Z2700" i="34"/>
  <c r="N2701" i="34"/>
  <c r="O2701" i="34"/>
  <c r="P2701" i="34"/>
  <c r="Q2701" i="34"/>
  <c r="R2701" i="34"/>
  <c r="S2701" i="34"/>
  <c r="T2701" i="34"/>
  <c r="U2701" i="34"/>
  <c r="V2701" i="34"/>
  <c r="W2701" i="34"/>
  <c r="X2701" i="34"/>
  <c r="Y2701" i="34"/>
  <c r="Z2701" i="34"/>
  <c r="N2702" i="34"/>
  <c r="O2702" i="34"/>
  <c r="P2702" i="34"/>
  <c r="Q2702" i="34"/>
  <c r="R2702" i="34"/>
  <c r="S2702" i="34"/>
  <c r="T2702" i="34"/>
  <c r="U2702" i="34"/>
  <c r="V2702" i="34"/>
  <c r="W2702" i="34"/>
  <c r="X2702" i="34"/>
  <c r="Y2702" i="34"/>
  <c r="Z2702" i="34"/>
  <c r="N2703" i="34"/>
  <c r="O2703" i="34"/>
  <c r="P2703" i="34"/>
  <c r="Q2703" i="34"/>
  <c r="R2703" i="34"/>
  <c r="S2703" i="34"/>
  <c r="T2703" i="34"/>
  <c r="U2703" i="34"/>
  <c r="V2703" i="34"/>
  <c r="W2703" i="34"/>
  <c r="X2703" i="34"/>
  <c r="Y2703" i="34"/>
  <c r="Z2703" i="34"/>
  <c r="N2704" i="34"/>
  <c r="O2704" i="34"/>
  <c r="P2704" i="34"/>
  <c r="Q2704" i="34"/>
  <c r="R2704" i="34"/>
  <c r="S2704" i="34"/>
  <c r="T2704" i="34"/>
  <c r="U2704" i="34"/>
  <c r="V2704" i="34"/>
  <c r="W2704" i="34"/>
  <c r="X2704" i="34"/>
  <c r="Y2704" i="34"/>
  <c r="Z2704" i="34"/>
  <c r="N2705" i="34"/>
  <c r="O2705" i="34"/>
  <c r="P2705" i="34"/>
  <c r="Q2705" i="34"/>
  <c r="R2705" i="34"/>
  <c r="S2705" i="34"/>
  <c r="T2705" i="34"/>
  <c r="U2705" i="34"/>
  <c r="V2705" i="34"/>
  <c r="W2705" i="34"/>
  <c r="X2705" i="34"/>
  <c r="Y2705" i="34"/>
  <c r="Z2705" i="34"/>
  <c r="N2706" i="34"/>
  <c r="O2706" i="34"/>
  <c r="P2706" i="34"/>
  <c r="Q2706" i="34"/>
  <c r="R2706" i="34"/>
  <c r="S2706" i="34"/>
  <c r="T2706" i="34"/>
  <c r="U2706" i="34"/>
  <c r="V2706" i="34"/>
  <c r="W2706" i="34"/>
  <c r="X2706" i="34"/>
  <c r="Y2706" i="34"/>
  <c r="Z2706" i="34"/>
  <c r="N2707" i="34"/>
  <c r="O2707" i="34"/>
  <c r="P2707" i="34"/>
  <c r="Q2707" i="34"/>
  <c r="R2707" i="34"/>
  <c r="S2707" i="34"/>
  <c r="T2707" i="34"/>
  <c r="U2707" i="34"/>
  <c r="V2707" i="34"/>
  <c r="W2707" i="34"/>
  <c r="X2707" i="34"/>
  <c r="Y2707" i="34"/>
  <c r="Z2707" i="34"/>
  <c r="N2708" i="34"/>
  <c r="O2708" i="34"/>
  <c r="P2708" i="34"/>
  <c r="Q2708" i="34"/>
  <c r="R2708" i="34"/>
  <c r="S2708" i="34"/>
  <c r="T2708" i="34"/>
  <c r="U2708" i="34"/>
  <c r="V2708" i="34"/>
  <c r="W2708" i="34"/>
  <c r="X2708" i="34"/>
  <c r="Y2708" i="34"/>
  <c r="Z2708" i="34"/>
  <c r="N2709" i="34"/>
  <c r="O2709" i="34"/>
  <c r="P2709" i="34"/>
  <c r="Q2709" i="34"/>
  <c r="R2709" i="34"/>
  <c r="S2709" i="34"/>
  <c r="T2709" i="34"/>
  <c r="U2709" i="34"/>
  <c r="V2709" i="34"/>
  <c r="W2709" i="34"/>
  <c r="X2709" i="34"/>
  <c r="Y2709" i="34"/>
  <c r="Z2709" i="34"/>
  <c r="N2710" i="34"/>
  <c r="O2710" i="34"/>
  <c r="P2710" i="34"/>
  <c r="Q2710" i="34"/>
  <c r="R2710" i="34"/>
  <c r="S2710" i="34"/>
  <c r="T2710" i="34"/>
  <c r="U2710" i="34"/>
  <c r="V2710" i="34"/>
  <c r="W2710" i="34"/>
  <c r="X2710" i="34"/>
  <c r="Y2710" i="34"/>
  <c r="Z2710" i="34"/>
  <c r="N2711" i="34"/>
  <c r="O2711" i="34"/>
  <c r="P2711" i="34"/>
  <c r="Q2711" i="34"/>
  <c r="R2711" i="34"/>
  <c r="S2711" i="34"/>
  <c r="T2711" i="34"/>
  <c r="U2711" i="34"/>
  <c r="V2711" i="34"/>
  <c r="W2711" i="34"/>
  <c r="X2711" i="34"/>
  <c r="Y2711" i="34"/>
  <c r="Z2711" i="34"/>
  <c r="N2712" i="34"/>
  <c r="O2712" i="34"/>
  <c r="P2712" i="34"/>
  <c r="Q2712" i="34"/>
  <c r="R2712" i="34"/>
  <c r="S2712" i="34"/>
  <c r="T2712" i="34"/>
  <c r="U2712" i="34"/>
  <c r="V2712" i="34"/>
  <c r="W2712" i="34"/>
  <c r="X2712" i="34"/>
  <c r="Y2712" i="34"/>
  <c r="Z2712" i="34"/>
  <c r="N2713" i="34"/>
  <c r="O2713" i="34"/>
  <c r="P2713" i="34"/>
  <c r="Q2713" i="34"/>
  <c r="R2713" i="34"/>
  <c r="S2713" i="34"/>
  <c r="T2713" i="34"/>
  <c r="U2713" i="34"/>
  <c r="V2713" i="34"/>
  <c r="W2713" i="34"/>
  <c r="X2713" i="34"/>
  <c r="Y2713" i="34"/>
  <c r="Z2713" i="34"/>
  <c r="N2714" i="34"/>
  <c r="O2714" i="34"/>
  <c r="P2714" i="34"/>
  <c r="Q2714" i="34"/>
  <c r="R2714" i="34"/>
  <c r="S2714" i="34"/>
  <c r="T2714" i="34"/>
  <c r="U2714" i="34"/>
  <c r="V2714" i="34"/>
  <c r="W2714" i="34"/>
  <c r="X2714" i="34"/>
  <c r="Y2714" i="34"/>
  <c r="Z2714" i="34"/>
  <c r="N2715" i="34"/>
  <c r="O2715" i="34"/>
  <c r="P2715" i="34"/>
  <c r="Q2715" i="34"/>
  <c r="R2715" i="34"/>
  <c r="S2715" i="34"/>
  <c r="T2715" i="34"/>
  <c r="U2715" i="34"/>
  <c r="V2715" i="34"/>
  <c r="W2715" i="34"/>
  <c r="X2715" i="34"/>
  <c r="Y2715" i="34"/>
  <c r="Z2715" i="34"/>
  <c r="N2716" i="34"/>
  <c r="O2716" i="34"/>
  <c r="P2716" i="34"/>
  <c r="Q2716" i="34"/>
  <c r="R2716" i="34"/>
  <c r="S2716" i="34"/>
  <c r="T2716" i="34"/>
  <c r="U2716" i="34"/>
  <c r="V2716" i="34"/>
  <c r="W2716" i="34"/>
  <c r="X2716" i="34"/>
  <c r="Y2716" i="34"/>
  <c r="Z2716" i="34"/>
  <c r="N2717" i="34"/>
  <c r="O2717" i="34"/>
  <c r="P2717" i="34"/>
  <c r="Q2717" i="34"/>
  <c r="R2717" i="34"/>
  <c r="S2717" i="34"/>
  <c r="T2717" i="34"/>
  <c r="U2717" i="34"/>
  <c r="V2717" i="34"/>
  <c r="W2717" i="34"/>
  <c r="X2717" i="34"/>
  <c r="Y2717" i="34"/>
  <c r="Z2717" i="34"/>
  <c r="N2718" i="34"/>
  <c r="O2718" i="34"/>
  <c r="P2718" i="34"/>
  <c r="Q2718" i="34"/>
  <c r="R2718" i="34"/>
  <c r="S2718" i="34"/>
  <c r="T2718" i="34"/>
  <c r="U2718" i="34"/>
  <c r="V2718" i="34"/>
  <c r="W2718" i="34"/>
  <c r="X2718" i="34"/>
  <c r="Y2718" i="34"/>
  <c r="Z2718" i="34"/>
  <c r="N2719" i="34"/>
  <c r="O2719" i="34"/>
  <c r="P2719" i="34"/>
  <c r="Q2719" i="34"/>
  <c r="R2719" i="34"/>
  <c r="S2719" i="34"/>
  <c r="T2719" i="34"/>
  <c r="U2719" i="34"/>
  <c r="V2719" i="34"/>
  <c r="W2719" i="34"/>
  <c r="X2719" i="34"/>
  <c r="Y2719" i="34"/>
  <c r="Z2719" i="34"/>
  <c r="N2720" i="34"/>
  <c r="O2720" i="34"/>
  <c r="P2720" i="34"/>
  <c r="Q2720" i="34"/>
  <c r="R2720" i="34"/>
  <c r="S2720" i="34"/>
  <c r="T2720" i="34"/>
  <c r="U2720" i="34"/>
  <c r="V2720" i="34"/>
  <c r="W2720" i="34"/>
  <c r="X2720" i="34"/>
  <c r="Y2720" i="34"/>
  <c r="Z2720" i="34"/>
  <c r="N2721" i="34"/>
  <c r="O2721" i="34"/>
  <c r="P2721" i="34"/>
  <c r="Q2721" i="34"/>
  <c r="R2721" i="34"/>
  <c r="S2721" i="34"/>
  <c r="T2721" i="34"/>
  <c r="U2721" i="34"/>
  <c r="V2721" i="34"/>
  <c r="W2721" i="34"/>
  <c r="X2721" i="34"/>
  <c r="Y2721" i="34"/>
  <c r="Z2721" i="34"/>
  <c r="N2722" i="34"/>
  <c r="O2722" i="34"/>
  <c r="P2722" i="34"/>
  <c r="Q2722" i="34"/>
  <c r="R2722" i="34"/>
  <c r="S2722" i="34"/>
  <c r="T2722" i="34"/>
  <c r="U2722" i="34"/>
  <c r="V2722" i="34"/>
  <c r="W2722" i="34"/>
  <c r="X2722" i="34"/>
  <c r="Y2722" i="34"/>
  <c r="Z2722" i="34"/>
  <c r="N2723" i="34"/>
  <c r="O2723" i="34"/>
  <c r="P2723" i="34"/>
  <c r="Q2723" i="34"/>
  <c r="R2723" i="34"/>
  <c r="S2723" i="34"/>
  <c r="T2723" i="34"/>
  <c r="U2723" i="34"/>
  <c r="V2723" i="34"/>
  <c r="W2723" i="34"/>
  <c r="X2723" i="34"/>
  <c r="Y2723" i="34"/>
  <c r="Z2723" i="34"/>
  <c r="N2724" i="34"/>
  <c r="O2724" i="34"/>
  <c r="P2724" i="34"/>
  <c r="Q2724" i="34"/>
  <c r="R2724" i="34"/>
  <c r="S2724" i="34"/>
  <c r="T2724" i="34"/>
  <c r="U2724" i="34"/>
  <c r="V2724" i="34"/>
  <c r="W2724" i="34"/>
  <c r="X2724" i="34"/>
  <c r="Y2724" i="34"/>
  <c r="Z2724" i="34"/>
  <c r="N2725" i="34"/>
  <c r="O2725" i="34"/>
  <c r="P2725" i="34"/>
  <c r="Q2725" i="34"/>
  <c r="R2725" i="34"/>
  <c r="S2725" i="34"/>
  <c r="T2725" i="34"/>
  <c r="U2725" i="34"/>
  <c r="V2725" i="34"/>
  <c r="W2725" i="34"/>
  <c r="X2725" i="34"/>
  <c r="Y2725" i="34"/>
  <c r="Z2725" i="34"/>
  <c r="N2726" i="34"/>
  <c r="O2726" i="34"/>
  <c r="P2726" i="34"/>
  <c r="Q2726" i="34"/>
  <c r="R2726" i="34"/>
  <c r="S2726" i="34"/>
  <c r="T2726" i="34"/>
  <c r="U2726" i="34"/>
  <c r="V2726" i="34"/>
  <c r="W2726" i="34"/>
  <c r="X2726" i="34"/>
  <c r="Y2726" i="34"/>
  <c r="Z2726" i="34"/>
  <c r="N2727" i="34"/>
  <c r="O2727" i="34"/>
  <c r="P2727" i="34"/>
  <c r="Q2727" i="34"/>
  <c r="R2727" i="34"/>
  <c r="S2727" i="34"/>
  <c r="T2727" i="34"/>
  <c r="U2727" i="34"/>
  <c r="V2727" i="34"/>
  <c r="W2727" i="34"/>
  <c r="X2727" i="34"/>
  <c r="Y2727" i="34"/>
  <c r="Z2727" i="34"/>
  <c r="N2728" i="34"/>
  <c r="O2728" i="34"/>
  <c r="P2728" i="34"/>
  <c r="Q2728" i="34"/>
  <c r="R2728" i="34"/>
  <c r="S2728" i="34"/>
  <c r="T2728" i="34"/>
  <c r="U2728" i="34"/>
  <c r="V2728" i="34"/>
  <c r="W2728" i="34"/>
  <c r="X2728" i="34"/>
  <c r="Y2728" i="34"/>
  <c r="Z2728" i="34"/>
  <c r="N2729" i="34"/>
  <c r="O2729" i="34"/>
  <c r="P2729" i="34"/>
  <c r="Q2729" i="34"/>
  <c r="R2729" i="34"/>
  <c r="S2729" i="34"/>
  <c r="T2729" i="34"/>
  <c r="U2729" i="34"/>
  <c r="V2729" i="34"/>
  <c r="W2729" i="34"/>
  <c r="X2729" i="34"/>
  <c r="Y2729" i="34"/>
  <c r="Z2729" i="34"/>
  <c r="N2730" i="34"/>
  <c r="O2730" i="34"/>
  <c r="P2730" i="34"/>
  <c r="Q2730" i="34"/>
  <c r="R2730" i="34"/>
  <c r="S2730" i="34"/>
  <c r="T2730" i="34"/>
  <c r="U2730" i="34"/>
  <c r="V2730" i="34"/>
  <c r="W2730" i="34"/>
  <c r="X2730" i="34"/>
  <c r="Y2730" i="34"/>
  <c r="Z2730" i="34"/>
  <c r="N2731" i="34"/>
  <c r="O2731" i="34"/>
  <c r="P2731" i="34"/>
  <c r="Q2731" i="34"/>
  <c r="R2731" i="34"/>
  <c r="S2731" i="34"/>
  <c r="T2731" i="34"/>
  <c r="U2731" i="34"/>
  <c r="V2731" i="34"/>
  <c r="W2731" i="34"/>
  <c r="X2731" i="34"/>
  <c r="Y2731" i="34"/>
  <c r="Z2731" i="34"/>
  <c r="N2732" i="34"/>
  <c r="O2732" i="34"/>
  <c r="P2732" i="34"/>
  <c r="Q2732" i="34"/>
  <c r="R2732" i="34"/>
  <c r="S2732" i="34"/>
  <c r="T2732" i="34"/>
  <c r="U2732" i="34"/>
  <c r="V2732" i="34"/>
  <c r="W2732" i="34"/>
  <c r="X2732" i="34"/>
  <c r="Y2732" i="34"/>
  <c r="Z2732" i="34"/>
  <c r="N2733" i="34"/>
  <c r="O2733" i="34"/>
  <c r="P2733" i="34"/>
  <c r="Q2733" i="34"/>
  <c r="R2733" i="34"/>
  <c r="S2733" i="34"/>
  <c r="T2733" i="34"/>
  <c r="U2733" i="34"/>
  <c r="V2733" i="34"/>
  <c r="W2733" i="34"/>
  <c r="X2733" i="34"/>
  <c r="Y2733" i="34"/>
  <c r="Z2733" i="34"/>
  <c r="N2734" i="34"/>
  <c r="O2734" i="34"/>
  <c r="P2734" i="34"/>
  <c r="Q2734" i="34"/>
  <c r="R2734" i="34"/>
  <c r="S2734" i="34"/>
  <c r="T2734" i="34"/>
  <c r="U2734" i="34"/>
  <c r="V2734" i="34"/>
  <c r="W2734" i="34"/>
  <c r="X2734" i="34"/>
  <c r="Y2734" i="34"/>
  <c r="Z2734" i="34"/>
  <c r="N2735" i="34"/>
  <c r="O2735" i="34"/>
  <c r="P2735" i="34"/>
  <c r="Q2735" i="34"/>
  <c r="R2735" i="34"/>
  <c r="S2735" i="34"/>
  <c r="T2735" i="34"/>
  <c r="U2735" i="34"/>
  <c r="V2735" i="34"/>
  <c r="W2735" i="34"/>
  <c r="X2735" i="34"/>
  <c r="Y2735" i="34"/>
  <c r="Z2735" i="34"/>
  <c r="N2736" i="34"/>
  <c r="O2736" i="34"/>
  <c r="P2736" i="34"/>
  <c r="Q2736" i="34"/>
  <c r="R2736" i="34"/>
  <c r="S2736" i="34"/>
  <c r="T2736" i="34"/>
  <c r="U2736" i="34"/>
  <c r="V2736" i="34"/>
  <c r="W2736" i="34"/>
  <c r="X2736" i="34"/>
  <c r="Y2736" i="34"/>
  <c r="Z2736" i="34"/>
  <c r="N2737" i="34"/>
  <c r="O2737" i="34"/>
  <c r="P2737" i="34"/>
  <c r="Q2737" i="34"/>
  <c r="R2737" i="34"/>
  <c r="S2737" i="34"/>
  <c r="T2737" i="34"/>
  <c r="U2737" i="34"/>
  <c r="V2737" i="34"/>
  <c r="W2737" i="34"/>
  <c r="X2737" i="34"/>
  <c r="Y2737" i="34"/>
  <c r="Z2737" i="34"/>
  <c r="N2738" i="34"/>
  <c r="O2738" i="34"/>
  <c r="P2738" i="34"/>
  <c r="Q2738" i="34"/>
  <c r="R2738" i="34"/>
  <c r="S2738" i="34"/>
  <c r="T2738" i="34"/>
  <c r="U2738" i="34"/>
  <c r="V2738" i="34"/>
  <c r="W2738" i="34"/>
  <c r="X2738" i="34"/>
  <c r="Y2738" i="34"/>
  <c r="Z2738" i="34"/>
  <c r="N2739" i="34"/>
  <c r="O2739" i="34"/>
  <c r="P2739" i="34"/>
  <c r="Q2739" i="34"/>
  <c r="R2739" i="34"/>
  <c r="S2739" i="34"/>
  <c r="T2739" i="34"/>
  <c r="U2739" i="34"/>
  <c r="V2739" i="34"/>
  <c r="W2739" i="34"/>
  <c r="X2739" i="34"/>
  <c r="Y2739" i="34"/>
  <c r="Z2739" i="34"/>
  <c r="N2740" i="34"/>
  <c r="O2740" i="34"/>
  <c r="P2740" i="34"/>
  <c r="Q2740" i="34"/>
  <c r="R2740" i="34"/>
  <c r="S2740" i="34"/>
  <c r="T2740" i="34"/>
  <c r="U2740" i="34"/>
  <c r="V2740" i="34"/>
  <c r="W2740" i="34"/>
  <c r="X2740" i="34"/>
  <c r="Y2740" i="34"/>
  <c r="Z2740" i="34"/>
  <c r="N2741" i="34"/>
  <c r="O2741" i="34"/>
  <c r="P2741" i="34"/>
  <c r="Q2741" i="34"/>
  <c r="R2741" i="34"/>
  <c r="S2741" i="34"/>
  <c r="T2741" i="34"/>
  <c r="U2741" i="34"/>
  <c r="V2741" i="34"/>
  <c r="W2741" i="34"/>
  <c r="X2741" i="34"/>
  <c r="Y2741" i="34"/>
  <c r="Z2741" i="34"/>
  <c r="N2742" i="34"/>
  <c r="O2742" i="34"/>
  <c r="P2742" i="34"/>
  <c r="Q2742" i="34"/>
  <c r="R2742" i="34"/>
  <c r="S2742" i="34"/>
  <c r="T2742" i="34"/>
  <c r="U2742" i="34"/>
  <c r="V2742" i="34"/>
  <c r="W2742" i="34"/>
  <c r="X2742" i="34"/>
  <c r="Y2742" i="34"/>
  <c r="Z2742" i="34"/>
  <c r="N2743" i="34"/>
  <c r="O2743" i="34"/>
  <c r="P2743" i="34"/>
  <c r="Q2743" i="34"/>
  <c r="R2743" i="34"/>
  <c r="S2743" i="34"/>
  <c r="T2743" i="34"/>
  <c r="U2743" i="34"/>
  <c r="V2743" i="34"/>
  <c r="W2743" i="34"/>
  <c r="X2743" i="34"/>
  <c r="Y2743" i="34"/>
  <c r="Z2743" i="34"/>
  <c r="N2744" i="34"/>
  <c r="O2744" i="34"/>
  <c r="P2744" i="34"/>
  <c r="Q2744" i="34"/>
  <c r="R2744" i="34"/>
  <c r="S2744" i="34"/>
  <c r="T2744" i="34"/>
  <c r="U2744" i="34"/>
  <c r="V2744" i="34"/>
  <c r="W2744" i="34"/>
  <c r="X2744" i="34"/>
  <c r="Y2744" i="34"/>
  <c r="Z2744" i="34"/>
  <c r="N2745" i="34"/>
  <c r="O2745" i="34"/>
  <c r="P2745" i="34"/>
  <c r="Q2745" i="34"/>
  <c r="R2745" i="34"/>
  <c r="S2745" i="34"/>
  <c r="T2745" i="34"/>
  <c r="U2745" i="34"/>
  <c r="V2745" i="34"/>
  <c r="W2745" i="34"/>
  <c r="X2745" i="34"/>
  <c r="Y2745" i="34"/>
  <c r="Z2745" i="34"/>
  <c r="N2746" i="34"/>
  <c r="O2746" i="34"/>
  <c r="P2746" i="34"/>
  <c r="Q2746" i="34"/>
  <c r="R2746" i="34"/>
  <c r="S2746" i="34"/>
  <c r="T2746" i="34"/>
  <c r="U2746" i="34"/>
  <c r="V2746" i="34"/>
  <c r="W2746" i="34"/>
  <c r="X2746" i="34"/>
  <c r="Y2746" i="34"/>
  <c r="Z2746" i="34"/>
  <c r="N2747" i="34"/>
  <c r="O2747" i="34"/>
  <c r="P2747" i="34"/>
  <c r="Q2747" i="34"/>
  <c r="R2747" i="34"/>
  <c r="S2747" i="34"/>
  <c r="T2747" i="34"/>
  <c r="U2747" i="34"/>
  <c r="V2747" i="34"/>
  <c r="W2747" i="34"/>
  <c r="X2747" i="34"/>
  <c r="Y2747" i="34"/>
  <c r="Z2747" i="34"/>
  <c r="N2748" i="34"/>
  <c r="O2748" i="34"/>
  <c r="P2748" i="34"/>
  <c r="Q2748" i="34"/>
  <c r="R2748" i="34"/>
  <c r="S2748" i="34"/>
  <c r="T2748" i="34"/>
  <c r="U2748" i="34"/>
  <c r="V2748" i="34"/>
  <c r="W2748" i="34"/>
  <c r="X2748" i="34"/>
  <c r="Y2748" i="34"/>
  <c r="Z2748" i="34"/>
  <c r="N2749" i="34"/>
  <c r="O2749" i="34"/>
  <c r="P2749" i="34"/>
  <c r="Q2749" i="34"/>
  <c r="R2749" i="34"/>
  <c r="S2749" i="34"/>
  <c r="T2749" i="34"/>
  <c r="U2749" i="34"/>
  <c r="V2749" i="34"/>
  <c r="W2749" i="34"/>
  <c r="X2749" i="34"/>
  <c r="Y2749" i="34"/>
  <c r="Z2749" i="34"/>
  <c r="N2750" i="34"/>
  <c r="O2750" i="34"/>
  <c r="P2750" i="34"/>
  <c r="Q2750" i="34"/>
  <c r="R2750" i="34"/>
  <c r="S2750" i="34"/>
  <c r="T2750" i="34"/>
  <c r="U2750" i="34"/>
  <c r="V2750" i="34"/>
  <c r="W2750" i="34"/>
  <c r="X2750" i="34"/>
  <c r="Y2750" i="34"/>
  <c r="Z2750" i="34"/>
  <c r="N2751" i="34"/>
  <c r="O2751" i="34"/>
  <c r="P2751" i="34"/>
  <c r="Q2751" i="34"/>
  <c r="R2751" i="34"/>
  <c r="S2751" i="34"/>
  <c r="T2751" i="34"/>
  <c r="U2751" i="34"/>
  <c r="V2751" i="34"/>
  <c r="W2751" i="34"/>
  <c r="X2751" i="34"/>
  <c r="Y2751" i="34"/>
  <c r="Z2751" i="34"/>
  <c r="N2752" i="34"/>
  <c r="O2752" i="34"/>
  <c r="P2752" i="34"/>
  <c r="Q2752" i="34"/>
  <c r="R2752" i="34"/>
  <c r="S2752" i="34"/>
  <c r="T2752" i="34"/>
  <c r="U2752" i="34"/>
  <c r="V2752" i="34"/>
  <c r="W2752" i="34"/>
  <c r="X2752" i="34"/>
  <c r="Y2752" i="34"/>
  <c r="Z2752" i="34"/>
  <c r="N2753" i="34"/>
  <c r="O2753" i="34"/>
  <c r="P2753" i="34"/>
  <c r="Q2753" i="34"/>
  <c r="R2753" i="34"/>
  <c r="S2753" i="34"/>
  <c r="T2753" i="34"/>
  <c r="U2753" i="34"/>
  <c r="V2753" i="34"/>
  <c r="W2753" i="34"/>
  <c r="X2753" i="34"/>
  <c r="Y2753" i="34"/>
  <c r="Z2753" i="34"/>
  <c r="N2754" i="34"/>
  <c r="O2754" i="34"/>
  <c r="P2754" i="34"/>
  <c r="Q2754" i="34"/>
  <c r="R2754" i="34"/>
  <c r="S2754" i="34"/>
  <c r="T2754" i="34"/>
  <c r="U2754" i="34"/>
  <c r="V2754" i="34"/>
  <c r="W2754" i="34"/>
  <c r="X2754" i="34"/>
  <c r="Y2754" i="34"/>
  <c r="Z2754" i="34"/>
  <c r="N2755" i="34"/>
  <c r="O2755" i="34"/>
  <c r="P2755" i="34"/>
  <c r="Q2755" i="34"/>
  <c r="R2755" i="34"/>
  <c r="S2755" i="34"/>
  <c r="T2755" i="34"/>
  <c r="U2755" i="34"/>
  <c r="V2755" i="34"/>
  <c r="W2755" i="34"/>
  <c r="X2755" i="34"/>
  <c r="Y2755" i="34"/>
  <c r="Z2755" i="34"/>
  <c r="N2756" i="34"/>
  <c r="O2756" i="34"/>
  <c r="P2756" i="34"/>
  <c r="Q2756" i="34"/>
  <c r="R2756" i="34"/>
  <c r="S2756" i="34"/>
  <c r="T2756" i="34"/>
  <c r="U2756" i="34"/>
  <c r="V2756" i="34"/>
  <c r="W2756" i="34"/>
  <c r="X2756" i="34"/>
  <c r="Y2756" i="34"/>
  <c r="Z2756" i="34"/>
  <c r="N2757" i="34"/>
  <c r="O2757" i="34"/>
  <c r="P2757" i="34"/>
  <c r="Q2757" i="34"/>
  <c r="R2757" i="34"/>
  <c r="S2757" i="34"/>
  <c r="T2757" i="34"/>
  <c r="U2757" i="34"/>
  <c r="V2757" i="34"/>
  <c r="W2757" i="34"/>
  <c r="X2757" i="34"/>
  <c r="Y2757" i="34"/>
  <c r="Z2757" i="34"/>
  <c r="N2758" i="34"/>
  <c r="O2758" i="34"/>
  <c r="P2758" i="34"/>
  <c r="Q2758" i="34"/>
  <c r="R2758" i="34"/>
  <c r="S2758" i="34"/>
  <c r="T2758" i="34"/>
  <c r="U2758" i="34"/>
  <c r="V2758" i="34"/>
  <c r="W2758" i="34"/>
  <c r="X2758" i="34"/>
  <c r="Y2758" i="34"/>
  <c r="Z2758" i="34"/>
  <c r="N2759" i="34"/>
  <c r="O2759" i="34"/>
  <c r="P2759" i="34"/>
  <c r="Q2759" i="34"/>
  <c r="R2759" i="34"/>
  <c r="S2759" i="34"/>
  <c r="T2759" i="34"/>
  <c r="U2759" i="34"/>
  <c r="V2759" i="34"/>
  <c r="W2759" i="34"/>
  <c r="X2759" i="34"/>
  <c r="Y2759" i="34"/>
  <c r="Z2759" i="34"/>
  <c r="N2760" i="34"/>
  <c r="O2760" i="34"/>
  <c r="P2760" i="34"/>
  <c r="Q2760" i="34"/>
  <c r="R2760" i="34"/>
  <c r="S2760" i="34"/>
  <c r="T2760" i="34"/>
  <c r="U2760" i="34"/>
  <c r="V2760" i="34"/>
  <c r="W2760" i="34"/>
  <c r="X2760" i="34"/>
  <c r="Y2760" i="34"/>
  <c r="Z2760" i="34"/>
  <c r="N2761" i="34"/>
  <c r="O2761" i="34"/>
  <c r="P2761" i="34"/>
  <c r="Q2761" i="34"/>
  <c r="R2761" i="34"/>
  <c r="S2761" i="34"/>
  <c r="T2761" i="34"/>
  <c r="U2761" i="34"/>
  <c r="V2761" i="34"/>
  <c r="W2761" i="34"/>
  <c r="X2761" i="34"/>
  <c r="Y2761" i="34"/>
  <c r="Z2761" i="34"/>
  <c r="N2762" i="34"/>
  <c r="O2762" i="34"/>
  <c r="P2762" i="34"/>
  <c r="Q2762" i="34"/>
  <c r="R2762" i="34"/>
  <c r="S2762" i="34"/>
  <c r="T2762" i="34"/>
  <c r="U2762" i="34"/>
  <c r="V2762" i="34"/>
  <c r="W2762" i="34"/>
  <c r="X2762" i="34"/>
  <c r="Y2762" i="34"/>
  <c r="Z2762" i="34"/>
  <c r="N2763" i="34"/>
  <c r="O2763" i="34"/>
  <c r="P2763" i="34"/>
  <c r="Q2763" i="34"/>
  <c r="R2763" i="34"/>
  <c r="S2763" i="34"/>
  <c r="T2763" i="34"/>
  <c r="U2763" i="34"/>
  <c r="V2763" i="34"/>
  <c r="W2763" i="34"/>
  <c r="X2763" i="34"/>
  <c r="Y2763" i="34"/>
  <c r="Z2763" i="34"/>
  <c r="N2764" i="34"/>
  <c r="O2764" i="34"/>
  <c r="P2764" i="34"/>
  <c r="Q2764" i="34"/>
  <c r="R2764" i="34"/>
  <c r="S2764" i="34"/>
  <c r="T2764" i="34"/>
  <c r="U2764" i="34"/>
  <c r="V2764" i="34"/>
  <c r="W2764" i="34"/>
  <c r="X2764" i="34"/>
  <c r="Y2764" i="34"/>
  <c r="Z2764" i="34"/>
  <c r="N2765" i="34"/>
  <c r="O2765" i="34"/>
  <c r="P2765" i="34"/>
  <c r="Q2765" i="34"/>
  <c r="R2765" i="34"/>
  <c r="S2765" i="34"/>
  <c r="T2765" i="34"/>
  <c r="U2765" i="34"/>
  <c r="V2765" i="34"/>
  <c r="W2765" i="34"/>
  <c r="X2765" i="34"/>
  <c r="Y2765" i="34"/>
  <c r="Z2765" i="34"/>
  <c r="N2766" i="34"/>
  <c r="O2766" i="34"/>
  <c r="P2766" i="34"/>
  <c r="Q2766" i="34"/>
  <c r="R2766" i="34"/>
  <c r="S2766" i="34"/>
  <c r="T2766" i="34"/>
  <c r="U2766" i="34"/>
  <c r="V2766" i="34"/>
  <c r="W2766" i="34"/>
  <c r="X2766" i="34"/>
  <c r="Y2766" i="34"/>
  <c r="Z2766" i="34"/>
  <c r="N2767" i="34"/>
  <c r="O2767" i="34"/>
  <c r="P2767" i="34"/>
  <c r="Q2767" i="34"/>
  <c r="R2767" i="34"/>
  <c r="S2767" i="34"/>
  <c r="T2767" i="34"/>
  <c r="U2767" i="34"/>
  <c r="V2767" i="34"/>
  <c r="W2767" i="34"/>
  <c r="X2767" i="34"/>
  <c r="Y2767" i="34"/>
  <c r="Z2767" i="34"/>
  <c r="N2768" i="34"/>
  <c r="O2768" i="34"/>
  <c r="P2768" i="34"/>
  <c r="Q2768" i="34"/>
  <c r="R2768" i="34"/>
  <c r="S2768" i="34"/>
  <c r="T2768" i="34"/>
  <c r="U2768" i="34"/>
  <c r="V2768" i="34"/>
  <c r="W2768" i="34"/>
  <c r="X2768" i="34"/>
  <c r="Y2768" i="34"/>
  <c r="Z2768" i="34"/>
  <c r="N2769" i="34"/>
  <c r="O2769" i="34"/>
  <c r="P2769" i="34"/>
  <c r="Q2769" i="34"/>
  <c r="R2769" i="34"/>
  <c r="S2769" i="34"/>
  <c r="T2769" i="34"/>
  <c r="U2769" i="34"/>
  <c r="V2769" i="34"/>
  <c r="W2769" i="34"/>
  <c r="X2769" i="34"/>
  <c r="Y2769" i="34"/>
  <c r="Z2769" i="34"/>
  <c r="N2770" i="34"/>
  <c r="O2770" i="34"/>
  <c r="P2770" i="34"/>
  <c r="Q2770" i="34"/>
  <c r="R2770" i="34"/>
  <c r="S2770" i="34"/>
  <c r="T2770" i="34"/>
  <c r="U2770" i="34"/>
  <c r="V2770" i="34"/>
  <c r="W2770" i="34"/>
  <c r="X2770" i="34"/>
  <c r="Y2770" i="34"/>
  <c r="Z2770" i="34"/>
  <c r="N2771" i="34"/>
  <c r="O2771" i="34"/>
  <c r="P2771" i="34"/>
  <c r="Q2771" i="34"/>
  <c r="R2771" i="34"/>
  <c r="S2771" i="34"/>
  <c r="T2771" i="34"/>
  <c r="U2771" i="34"/>
  <c r="V2771" i="34"/>
  <c r="W2771" i="34"/>
  <c r="X2771" i="34"/>
  <c r="Y2771" i="34"/>
  <c r="Z2771" i="34"/>
  <c r="N2772" i="34"/>
  <c r="O2772" i="34"/>
  <c r="P2772" i="34"/>
  <c r="Q2772" i="34"/>
  <c r="R2772" i="34"/>
  <c r="S2772" i="34"/>
  <c r="T2772" i="34"/>
  <c r="U2772" i="34"/>
  <c r="V2772" i="34"/>
  <c r="W2772" i="34"/>
  <c r="X2772" i="34"/>
  <c r="Y2772" i="34"/>
  <c r="Z2772" i="34"/>
  <c r="N2773" i="34"/>
  <c r="O2773" i="34"/>
  <c r="P2773" i="34"/>
  <c r="Q2773" i="34"/>
  <c r="R2773" i="34"/>
  <c r="S2773" i="34"/>
  <c r="T2773" i="34"/>
  <c r="U2773" i="34"/>
  <c r="V2773" i="34"/>
  <c r="W2773" i="34"/>
  <c r="X2773" i="34"/>
  <c r="Y2773" i="34"/>
  <c r="Z2773" i="34"/>
  <c r="N2774" i="34"/>
  <c r="O2774" i="34"/>
  <c r="P2774" i="34"/>
  <c r="Q2774" i="34"/>
  <c r="R2774" i="34"/>
  <c r="S2774" i="34"/>
  <c r="T2774" i="34"/>
  <c r="U2774" i="34"/>
  <c r="V2774" i="34"/>
  <c r="W2774" i="34"/>
  <c r="X2774" i="34"/>
  <c r="Y2774" i="34"/>
  <c r="Z2774" i="34"/>
  <c r="N2775" i="34"/>
  <c r="O2775" i="34"/>
  <c r="P2775" i="34"/>
  <c r="Q2775" i="34"/>
  <c r="R2775" i="34"/>
  <c r="S2775" i="34"/>
  <c r="T2775" i="34"/>
  <c r="U2775" i="34"/>
  <c r="V2775" i="34"/>
  <c r="W2775" i="34"/>
  <c r="X2775" i="34"/>
  <c r="Y2775" i="34"/>
  <c r="Z2775" i="34"/>
  <c r="N2776" i="34"/>
  <c r="O2776" i="34"/>
  <c r="P2776" i="34"/>
  <c r="Q2776" i="34"/>
  <c r="R2776" i="34"/>
  <c r="S2776" i="34"/>
  <c r="T2776" i="34"/>
  <c r="U2776" i="34"/>
  <c r="V2776" i="34"/>
  <c r="W2776" i="34"/>
  <c r="X2776" i="34"/>
  <c r="Y2776" i="34"/>
  <c r="Z2776" i="34"/>
  <c r="N2777" i="34"/>
  <c r="O2777" i="34"/>
  <c r="P2777" i="34"/>
  <c r="Q2777" i="34"/>
  <c r="R2777" i="34"/>
  <c r="S2777" i="34"/>
  <c r="T2777" i="34"/>
  <c r="U2777" i="34"/>
  <c r="V2777" i="34"/>
  <c r="W2777" i="34"/>
  <c r="X2777" i="34"/>
  <c r="Y2777" i="34"/>
  <c r="Z2777" i="34"/>
  <c r="N2778" i="34"/>
  <c r="O2778" i="34"/>
  <c r="P2778" i="34"/>
  <c r="Q2778" i="34"/>
  <c r="R2778" i="34"/>
  <c r="S2778" i="34"/>
  <c r="T2778" i="34"/>
  <c r="U2778" i="34"/>
  <c r="V2778" i="34"/>
  <c r="W2778" i="34"/>
  <c r="X2778" i="34"/>
  <c r="Y2778" i="34"/>
  <c r="Z2778" i="34"/>
  <c r="N2779" i="34"/>
  <c r="O2779" i="34"/>
  <c r="P2779" i="34"/>
  <c r="Q2779" i="34"/>
  <c r="R2779" i="34"/>
  <c r="S2779" i="34"/>
  <c r="T2779" i="34"/>
  <c r="U2779" i="34"/>
  <c r="V2779" i="34"/>
  <c r="W2779" i="34"/>
  <c r="X2779" i="34"/>
  <c r="Y2779" i="34"/>
  <c r="Z2779" i="34"/>
  <c r="N2780" i="34"/>
  <c r="O2780" i="34"/>
  <c r="P2780" i="34"/>
  <c r="Q2780" i="34"/>
  <c r="R2780" i="34"/>
  <c r="S2780" i="34"/>
  <c r="T2780" i="34"/>
  <c r="U2780" i="34"/>
  <c r="V2780" i="34"/>
  <c r="W2780" i="34"/>
  <c r="X2780" i="34"/>
  <c r="Y2780" i="34"/>
  <c r="Z2780" i="34"/>
  <c r="N2781" i="34"/>
  <c r="O2781" i="34"/>
  <c r="P2781" i="34"/>
  <c r="Q2781" i="34"/>
  <c r="R2781" i="34"/>
  <c r="S2781" i="34"/>
  <c r="T2781" i="34"/>
  <c r="U2781" i="34"/>
  <c r="V2781" i="34"/>
  <c r="W2781" i="34"/>
  <c r="X2781" i="34"/>
  <c r="Y2781" i="34"/>
  <c r="Z2781" i="34"/>
  <c r="N2782" i="34"/>
  <c r="O2782" i="34"/>
  <c r="P2782" i="34"/>
  <c r="Q2782" i="34"/>
  <c r="R2782" i="34"/>
  <c r="S2782" i="34"/>
  <c r="T2782" i="34"/>
  <c r="U2782" i="34"/>
  <c r="V2782" i="34"/>
  <c r="W2782" i="34"/>
  <c r="X2782" i="34"/>
  <c r="Y2782" i="34"/>
  <c r="Z2782" i="34"/>
  <c r="N2783" i="34"/>
  <c r="O2783" i="34"/>
  <c r="P2783" i="34"/>
  <c r="Q2783" i="34"/>
  <c r="R2783" i="34"/>
  <c r="S2783" i="34"/>
  <c r="T2783" i="34"/>
  <c r="U2783" i="34"/>
  <c r="V2783" i="34"/>
  <c r="W2783" i="34"/>
  <c r="X2783" i="34"/>
  <c r="Y2783" i="34"/>
  <c r="Z2783" i="34"/>
  <c r="N2784" i="34"/>
  <c r="O2784" i="34"/>
  <c r="P2784" i="34"/>
  <c r="Q2784" i="34"/>
  <c r="R2784" i="34"/>
  <c r="S2784" i="34"/>
  <c r="T2784" i="34"/>
  <c r="U2784" i="34"/>
  <c r="V2784" i="34"/>
  <c r="W2784" i="34"/>
  <c r="X2784" i="34"/>
  <c r="Y2784" i="34"/>
  <c r="Z2784" i="34"/>
  <c r="N2785" i="34"/>
  <c r="O2785" i="34"/>
  <c r="P2785" i="34"/>
  <c r="Q2785" i="34"/>
  <c r="R2785" i="34"/>
  <c r="S2785" i="34"/>
  <c r="T2785" i="34"/>
  <c r="U2785" i="34"/>
  <c r="V2785" i="34"/>
  <c r="W2785" i="34"/>
  <c r="X2785" i="34"/>
  <c r="Y2785" i="34"/>
  <c r="Z2785" i="34"/>
  <c r="N2786" i="34"/>
  <c r="O2786" i="34"/>
  <c r="P2786" i="34"/>
  <c r="Q2786" i="34"/>
  <c r="R2786" i="34"/>
  <c r="S2786" i="34"/>
  <c r="T2786" i="34"/>
  <c r="U2786" i="34"/>
  <c r="V2786" i="34"/>
  <c r="W2786" i="34"/>
  <c r="X2786" i="34"/>
  <c r="Y2786" i="34"/>
  <c r="Z2786" i="34"/>
  <c r="N2787" i="34"/>
  <c r="O2787" i="34"/>
  <c r="P2787" i="34"/>
  <c r="Q2787" i="34"/>
  <c r="R2787" i="34"/>
  <c r="S2787" i="34"/>
  <c r="T2787" i="34"/>
  <c r="U2787" i="34"/>
  <c r="V2787" i="34"/>
  <c r="W2787" i="34"/>
  <c r="X2787" i="34"/>
  <c r="Y2787" i="34"/>
  <c r="Z2787" i="34"/>
  <c r="N2788" i="34"/>
  <c r="O2788" i="34"/>
  <c r="P2788" i="34"/>
  <c r="Q2788" i="34"/>
  <c r="R2788" i="34"/>
  <c r="S2788" i="34"/>
  <c r="T2788" i="34"/>
  <c r="U2788" i="34"/>
  <c r="V2788" i="34"/>
  <c r="W2788" i="34"/>
  <c r="X2788" i="34"/>
  <c r="Y2788" i="34"/>
  <c r="Z2788" i="34"/>
  <c r="N2789" i="34"/>
  <c r="O2789" i="34"/>
  <c r="P2789" i="34"/>
  <c r="Q2789" i="34"/>
  <c r="R2789" i="34"/>
  <c r="S2789" i="34"/>
  <c r="T2789" i="34"/>
  <c r="U2789" i="34"/>
  <c r="V2789" i="34"/>
  <c r="W2789" i="34"/>
  <c r="X2789" i="34"/>
  <c r="Y2789" i="34"/>
  <c r="Z2789" i="34"/>
  <c r="N2790" i="34"/>
  <c r="O2790" i="34"/>
  <c r="P2790" i="34"/>
  <c r="Q2790" i="34"/>
  <c r="R2790" i="34"/>
  <c r="S2790" i="34"/>
  <c r="T2790" i="34"/>
  <c r="U2790" i="34"/>
  <c r="V2790" i="34"/>
  <c r="W2790" i="34"/>
  <c r="X2790" i="34"/>
  <c r="Y2790" i="34"/>
  <c r="Z2790" i="34"/>
  <c r="N2791" i="34"/>
  <c r="O2791" i="34"/>
  <c r="P2791" i="34"/>
  <c r="Q2791" i="34"/>
  <c r="R2791" i="34"/>
  <c r="S2791" i="34"/>
  <c r="T2791" i="34"/>
  <c r="U2791" i="34"/>
  <c r="V2791" i="34"/>
  <c r="W2791" i="34"/>
  <c r="X2791" i="34"/>
  <c r="Y2791" i="34"/>
  <c r="Z2791" i="34"/>
  <c r="N2792" i="34"/>
  <c r="O2792" i="34"/>
  <c r="P2792" i="34"/>
  <c r="Q2792" i="34"/>
  <c r="R2792" i="34"/>
  <c r="S2792" i="34"/>
  <c r="T2792" i="34"/>
  <c r="U2792" i="34"/>
  <c r="V2792" i="34"/>
  <c r="W2792" i="34"/>
  <c r="X2792" i="34"/>
  <c r="Y2792" i="34"/>
  <c r="Z2792" i="34"/>
  <c r="N2793" i="34"/>
  <c r="O2793" i="34"/>
  <c r="P2793" i="34"/>
  <c r="Q2793" i="34"/>
  <c r="R2793" i="34"/>
  <c r="S2793" i="34"/>
  <c r="T2793" i="34"/>
  <c r="U2793" i="34"/>
  <c r="V2793" i="34"/>
  <c r="W2793" i="34"/>
  <c r="X2793" i="34"/>
  <c r="Y2793" i="34"/>
  <c r="Z2793" i="34"/>
  <c r="N2794" i="34"/>
  <c r="O2794" i="34"/>
  <c r="P2794" i="34"/>
  <c r="Q2794" i="34"/>
  <c r="R2794" i="34"/>
  <c r="S2794" i="34"/>
  <c r="T2794" i="34"/>
  <c r="U2794" i="34"/>
  <c r="V2794" i="34"/>
  <c r="W2794" i="34"/>
  <c r="X2794" i="34"/>
  <c r="Y2794" i="34"/>
  <c r="Z2794" i="34"/>
  <c r="N2795" i="34"/>
  <c r="O2795" i="34"/>
  <c r="P2795" i="34"/>
  <c r="Q2795" i="34"/>
  <c r="R2795" i="34"/>
  <c r="S2795" i="34"/>
  <c r="T2795" i="34"/>
  <c r="U2795" i="34"/>
  <c r="V2795" i="34"/>
  <c r="W2795" i="34"/>
  <c r="X2795" i="34"/>
  <c r="Y2795" i="34"/>
  <c r="Z2795" i="34"/>
  <c r="N2796" i="34"/>
  <c r="O2796" i="34"/>
  <c r="P2796" i="34"/>
  <c r="Q2796" i="34"/>
  <c r="R2796" i="34"/>
  <c r="S2796" i="34"/>
  <c r="T2796" i="34"/>
  <c r="U2796" i="34"/>
  <c r="V2796" i="34"/>
  <c r="W2796" i="34"/>
  <c r="X2796" i="34"/>
  <c r="Y2796" i="34"/>
  <c r="Z2796" i="34"/>
  <c r="N2797" i="34"/>
  <c r="O2797" i="34"/>
  <c r="P2797" i="34"/>
  <c r="Q2797" i="34"/>
  <c r="R2797" i="34"/>
  <c r="S2797" i="34"/>
  <c r="T2797" i="34"/>
  <c r="U2797" i="34"/>
  <c r="V2797" i="34"/>
  <c r="W2797" i="34"/>
  <c r="X2797" i="34"/>
  <c r="Y2797" i="34"/>
  <c r="Z2797" i="34"/>
  <c r="N2798" i="34"/>
  <c r="O2798" i="34"/>
  <c r="P2798" i="34"/>
  <c r="Q2798" i="34"/>
  <c r="R2798" i="34"/>
  <c r="S2798" i="34"/>
  <c r="T2798" i="34"/>
  <c r="U2798" i="34"/>
  <c r="V2798" i="34"/>
  <c r="W2798" i="34"/>
  <c r="X2798" i="34"/>
  <c r="Y2798" i="34"/>
  <c r="Z2798" i="34"/>
  <c r="N2799" i="34"/>
  <c r="O2799" i="34"/>
  <c r="P2799" i="34"/>
  <c r="Q2799" i="34"/>
  <c r="R2799" i="34"/>
  <c r="S2799" i="34"/>
  <c r="T2799" i="34"/>
  <c r="U2799" i="34"/>
  <c r="V2799" i="34"/>
  <c r="W2799" i="34"/>
  <c r="X2799" i="34"/>
  <c r="Y2799" i="34"/>
  <c r="Z2799" i="34"/>
  <c r="N2800" i="34"/>
  <c r="O2800" i="34"/>
  <c r="P2800" i="34"/>
  <c r="Q2800" i="34"/>
  <c r="R2800" i="34"/>
  <c r="S2800" i="34"/>
  <c r="T2800" i="34"/>
  <c r="U2800" i="34"/>
  <c r="V2800" i="34"/>
  <c r="W2800" i="34"/>
  <c r="X2800" i="34"/>
  <c r="Y2800" i="34"/>
  <c r="Z2800" i="34"/>
  <c r="N2801" i="34"/>
  <c r="O2801" i="34"/>
  <c r="P2801" i="34"/>
  <c r="Q2801" i="34"/>
  <c r="R2801" i="34"/>
  <c r="S2801" i="34"/>
  <c r="T2801" i="34"/>
  <c r="U2801" i="34"/>
  <c r="V2801" i="34"/>
  <c r="W2801" i="34"/>
  <c r="X2801" i="34"/>
  <c r="Y2801" i="34"/>
  <c r="Z2801" i="34"/>
  <c r="N2802" i="34"/>
  <c r="O2802" i="34"/>
  <c r="P2802" i="34"/>
  <c r="Q2802" i="34"/>
  <c r="R2802" i="34"/>
  <c r="S2802" i="34"/>
  <c r="T2802" i="34"/>
  <c r="U2802" i="34"/>
  <c r="V2802" i="34"/>
  <c r="W2802" i="34"/>
  <c r="X2802" i="34"/>
  <c r="Y2802" i="34"/>
  <c r="Z2802" i="34"/>
  <c r="N2803" i="34"/>
  <c r="O2803" i="34"/>
  <c r="P2803" i="34"/>
  <c r="Q2803" i="34"/>
  <c r="R2803" i="34"/>
  <c r="S2803" i="34"/>
  <c r="T2803" i="34"/>
  <c r="U2803" i="34"/>
  <c r="V2803" i="34"/>
  <c r="W2803" i="34"/>
  <c r="X2803" i="34"/>
  <c r="Y2803" i="34"/>
  <c r="Z2803" i="34"/>
  <c r="N2804" i="34"/>
  <c r="O2804" i="34"/>
  <c r="P2804" i="34"/>
  <c r="Q2804" i="34"/>
  <c r="R2804" i="34"/>
  <c r="S2804" i="34"/>
  <c r="T2804" i="34"/>
  <c r="U2804" i="34"/>
  <c r="V2804" i="34"/>
  <c r="W2804" i="34"/>
  <c r="X2804" i="34"/>
  <c r="Y2804" i="34"/>
  <c r="Z2804" i="34"/>
  <c r="N2805" i="34"/>
  <c r="O2805" i="34"/>
  <c r="P2805" i="34"/>
  <c r="Q2805" i="34"/>
  <c r="R2805" i="34"/>
  <c r="S2805" i="34"/>
  <c r="T2805" i="34"/>
  <c r="U2805" i="34"/>
  <c r="V2805" i="34"/>
  <c r="W2805" i="34"/>
  <c r="X2805" i="34"/>
  <c r="Y2805" i="34"/>
  <c r="Z2805" i="34"/>
  <c r="N2806" i="34"/>
  <c r="O2806" i="34"/>
  <c r="P2806" i="34"/>
  <c r="Q2806" i="34"/>
  <c r="R2806" i="34"/>
  <c r="S2806" i="34"/>
  <c r="T2806" i="34"/>
  <c r="U2806" i="34"/>
  <c r="V2806" i="34"/>
  <c r="W2806" i="34"/>
  <c r="X2806" i="34"/>
  <c r="Y2806" i="34"/>
  <c r="Z2806" i="34"/>
  <c r="N2807" i="34"/>
  <c r="O2807" i="34"/>
  <c r="P2807" i="34"/>
  <c r="Q2807" i="34"/>
  <c r="R2807" i="34"/>
  <c r="S2807" i="34"/>
  <c r="T2807" i="34"/>
  <c r="U2807" i="34"/>
  <c r="V2807" i="34"/>
  <c r="W2807" i="34"/>
  <c r="X2807" i="34"/>
  <c r="Y2807" i="34"/>
  <c r="Z2807" i="34"/>
  <c r="N2808" i="34"/>
  <c r="O2808" i="34"/>
  <c r="P2808" i="34"/>
  <c r="Q2808" i="34"/>
  <c r="R2808" i="34"/>
  <c r="S2808" i="34"/>
  <c r="T2808" i="34"/>
  <c r="U2808" i="34"/>
  <c r="V2808" i="34"/>
  <c r="W2808" i="34"/>
  <c r="X2808" i="34"/>
  <c r="Y2808" i="34"/>
  <c r="Z2808" i="34"/>
  <c r="N2809" i="34"/>
  <c r="O2809" i="34"/>
  <c r="P2809" i="34"/>
  <c r="Q2809" i="34"/>
  <c r="R2809" i="34"/>
  <c r="S2809" i="34"/>
  <c r="T2809" i="34"/>
  <c r="U2809" i="34"/>
  <c r="V2809" i="34"/>
  <c r="W2809" i="34"/>
  <c r="X2809" i="34"/>
  <c r="Y2809" i="34"/>
  <c r="Z2809" i="34"/>
  <c r="N2810" i="34"/>
  <c r="O2810" i="34"/>
  <c r="P2810" i="34"/>
  <c r="Q2810" i="34"/>
  <c r="R2810" i="34"/>
  <c r="S2810" i="34"/>
  <c r="T2810" i="34"/>
  <c r="U2810" i="34"/>
  <c r="V2810" i="34"/>
  <c r="W2810" i="34"/>
  <c r="X2810" i="34"/>
  <c r="Y2810" i="34"/>
  <c r="Z2810" i="34"/>
  <c r="N2811" i="34"/>
  <c r="O2811" i="34"/>
  <c r="P2811" i="34"/>
  <c r="Q2811" i="34"/>
  <c r="R2811" i="34"/>
  <c r="S2811" i="34"/>
  <c r="T2811" i="34"/>
  <c r="U2811" i="34"/>
  <c r="V2811" i="34"/>
  <c r="W2811" i="34"/>
  <c r="X2811" i="34"/>
  <c r="Y2811" i="34"/>
  <c r="Z2811" i="34"/>
  <c r="N2812" i="34"/>
  <c r="O2812" i="34"/>
  <c r="P2812" i="34"/>
  <c r="Q2812" i="34"/>
  <c r="R2812" i="34"/>
  <c r="S2812" i="34"/>
  <c r="T2812" i="34"/>
  <c r="U2812" i="34"/>
  <c r="V2812" i="34"/>
  <c r="W2812" i="34"/>
  <c r="X2812" i="34"/>
  <c r="Y2812" i="34"/>
  <c r="Z2812" i="34"/>
  <c r="N2813" i="34"/>
  <c r="O2813" i="34"/>
  <c r="P2813" i="34"/>
  <c r="Q2813" i="34"/>
  <c r="R2813" i="34"/>
  <c r="S2813" i="34"/>
  <c r="T2813" i="34"/>
  <c r="U2813" i="34"/>
  <c r="V2813" i="34"/>
  <c r="W2813" i="34"/>
  <c r="X2813" i="34"/>
  <c r="Y2813" i="34"/>
  <c r="Z2813" i="34"/>
  <c r="N2814" i="34"/>
  <c r="O2814" i="34"/>
  <c r="P2814" i="34"/>
  <c r="Q2814" i="34"/>
  <c r="R2814" i="34"/>
  <c r="S2814" i="34"/>
  <c r="T2814" i="34"/>
  <c r="U2814" i="34"/>
  <c r="V2814" i="34"/>
  <c r="W2814" i="34"/>
  <c r="X2814" i="34"/>
  <c r="Y2814" i="34"/>
  <c r="Z2814" i="34"/>
  <c r="N2815" i="34"/>
  <c r="O2815" i="34"/>
  <c r="P2815" i="34"/>
  <c r="Q2815" i="34"/>
  <c r="R2815" i="34"/>
  <c r="S2815" i="34"/>
  <c r="T2815" i="34"/>
  <c r="U2815" i="34"/>
  <c r="V2815" i="34"/>
  <c r="W2815" i="34"/>
  <c r="X2815" i="34"/>
  <c r="Y2815" i="34"/>
  <c r="Z2815" i="34"/>
  <c r="N2816" i="34"/>
  <c r="O2816" i="34"/>
  <c r="P2816" i="34"/>
  <c r="Q2816" i="34"/>
  <c r="R2816" i="34"/>
  <c r="S2816" i="34"/>
  <c r="T2816" i="34"/>
  <c r="U2816" i="34"/>
  <c r="V2816" i="34"/>
  <c r="W2816" i="34"/>
  <c r="X2816" i="34"/>
  <c r="Y2816" i="34"/>
  <c r="Z2816" i="34"/>
  <c r="N2817" i="34"/>
  <c r="O2817" i="34"/>
  <c r="P2817" i="34"/>
  <c r="Q2817" i="34"/>
  <c r="R2817" i="34"/>
  <c r="S2817" i="34"/>
  <c r="T2817" i="34"/>
  <c r="U2817" i="34"/>
  <c r="V2817" i="34"/>
  <c r="W2817" i="34"/>
  <c r="X2817" i="34"/>
  <c r="Y2817" i="34"/>
  <c r="Z2817" i="34"/>
  <c r="N2818" i="34"/>
  <c r="O2818" i="34"/>
  <c r="P2818" i="34"/>
  <c r="Q2818" i="34"/>
  <c r="R2818" i="34"/>
  <c r="S2818" i="34"/>
  <c r="T2818" i="34"/>
  <c r="U2818" i="34"/>
  <c r="V2818" i="34"/>
  <c r="W2818" i="34"/>
  <c r="X2818" i="34"/>
  <c r="Y2818" i="34"/>
  <c r="Z2818" i="34"/>
  <c r="N2819" i="34"/>
  <c r="O2819" i="34"/>
  <c r="P2819" i="34"/>
  <c r="Q2819" i="34"/>
  <c r="R2819" i="34"/>
  <c r="S2819" i="34"/>
  <c r="T2819" i="34"/>
  <c r="U2819" i="34"/>
  <c r="V2819" i="34"/>
  <c r="W2819" i="34"/>
  <c r="X2819" i="34"/>
  <c r="Y2819" i="34"/>
  <c r="Z2819" i="34"/>
  <c r="N2820" i="34"/>
  <c r="O2820" i="34"/>
  <c r="P2820" i="34"/>
  <c r="Q2820" i="34"/>
  <c r="R2820" i="34"/>
  <c r="S2820" i="34"/>
  <c r="T2820" i="34"/>
  <c r="U2820" i="34"/>
  <c r="V2820" i="34"/>
  <c r="W2820" i="34"/>
  <c r="X2820" i="34"/>
  <c r="Y2820" i="34"/>
  <c r="Z2820" i="34"/>
  <c r="N2821" i="34"/>
  <c r="O2821" i="34"/>
  <c r="P2821" i="34"/>
  <c r="Q2821" i="34"/>
  <c r="R2821" i="34"/>
  <c r="S2821" i="34"/>
  <c r="T2821" i="34"/>
  <c r="U2821" i="34"/>
  <c r="V2821" i="34"/>
  <c r="W2821" i="34"/>
  <c r="X2821" i="34"/>
  <c r="Y2821" i="34"/>
  <c r="Z2821" i="34"/>
  <c r="N2822" i="34"/>
  <c r="O2822" i="34"/>
  <c r="P2822" i="34"/>
  <c r="Q2822" i="34"/>
  <c r="R2822" i="34"/>
  <c r="S2822" i="34"/>
  <c r="T2822" i="34"/>
  <c r="U2822" i="34"/>
  <c r="V2822" i="34"/>
  <c r="W2822" i="34"/>
  <c r="X2822" i="34"/>
  <c r="Y2822" i="34"/>
  <c r="Z2822" i="34"/>
  <c r="N2823" i="34"/>
  <c r="O2823" i="34"/>
  <c r="P2823" i="34"/>
  <c r="Q2823" i="34"/>
  <c r="R2823" i="34"/>
  <c r="S2823" i="34"/>
  <c r="T2823" i="34"/>
  <c r="U2823" i="34"/>
  <c r="V2823" i="34"/>
  <c r="W2823" i="34"/>
  <c r="X2823" i="34"/>
  <c r="Y2823" i="34"/>
  <c r="Z2823" i="34"/>
  <c r="N2824" i="34"/>
  <c r="O2824" i="34"/>
  <c r="P2824" i="34"/>
  <c r="Q2824" i="34"/>
  <c r="R2824" i="34"/>
  <c r="S2824" i="34"/>
  <c r="T2824" i="34"/>
  <c r="U2824" i="34"/>
  <c r="V2824" i="34"/>
  <c r="W2824" i="34"/>
  <c r="X2824" i="34"/>
  <c r="Y2824" i="34"/>
  <c r="Z2824" i="34"/>
  <c r="N2825" i="34"/>
  <c r="O2825" i="34"/>
  <c r="P2825" i="34"/>
  <c r="Q2825" i="34"/>
  <c r="R2825" i="34"/>
  <c r="S2825" i="34"/>
  <c r="T2825" i="34"/>
  <c r="U2825" i="34"/>
  <c r="V2825" i="34"/>
  <c r="W2825" i="34"/>
  <c r="X2825" i="34"/>
  <c r="Y2825" i="34"/>
  <c r="Z2825" i="34"/>
  <c r="N2826" i="34"/>
  <c r="O2826" i="34"/>
  <c r="P2826" i="34"/>
  <c r="Q2826" i="34"/>
  <c r="R2826" i="34"/>
  <c r="S2826" i="34"/>
  <c r="T2826" i="34"/>
  <c r="U2826" i="34"/>
  <c r="V2826" i="34"/>
  <c r="W2826" i="34"/>
  <c r="X2826" i="34"/>
  <c r="Y2826" i="34"/>
  <c r="Z2826" i="34"/>
  <c r="N2827" i="34"/>
  <c r="O2827" i="34"/>
  <c r="P2827" i="34"/>
  <c r="Q2827" i="34"/>
  <c r="R2827" i="34"/>
  <c r="S2827" i="34"/>
  <c r="T2827" i="34"/>
  <c r="U2827" i="34"/>
  <c r="V2827" i="34"/>
  <c r="W2827" i="34"/>
  <c r="X2827" i="34"/>
  <c r="Y2827" i="34"/>
  <c r="Z2827" i="34"/>
  <c r="N2828" i="34"/>
  <c r="O2828" i="34"/>
  <c r="P2828" i="34"/>
  <c r="Q2828" i="34"/>
  <c r="R2828" i="34"/>
  <c r="S2828" i="34"/>
  <c r="T2828" i="34"/>
  <c r="U2828" i="34"/>
  <c r="V2828" i="34"/>
  <c r="W2828" i="34"/>
  <c r="X2828" i="34"/>
  <c r="Y2828" i="34"/>
  <c r="Z2828" i="34"/>
  <c r="N2829" i="34"/>
  <c r="O2829" i="34"/>
  <c r="P2829" i="34"/>
  <c r="Q2829" i="34"/>
  <c r="R2829" i="34"/>
  <c r="S2829" i="34"/>
  <c r="T2829" i="34"/>
  <c r="U2829" i="34"/>
  <c r="V2829" i="34"/>
  <c r="W2829" i="34"/>
  <c r="X2829" i="34"/>
  <c r="Y2829" i="34"/>
  <c r="Z2829" i="34"/>
  <c r="N2830" i="34"/>
  <c r="O2830" i="34"/>
  <c r="P2830" i="34"/>
  <c r="Q2830" i="34"/>
  <c r="R2830" i="34"/>
  <c r="S2830" i="34"/>
  <c r="T2830" i="34"/>
  <c r="U2830" i="34"/>
  <c r="V2830" i="34"/>
  <c r="W2830" i="34"/>
  <c r="X2830" i="34"/>
  <c r="Y2830" i="34"/>
  <c r="Z2830" i="34"/>
  <c r="N2831" i="34"/>
  <c r="O2831" i="34"/>
  <c r="P2831" i="34"/>
  <c r="Q2831" i="34"/>
  <c r="R2831" i="34"/>
  <c r="S2831" i="34"/>
  <c r="T2831" i="34"/>
  <c r="U2831" i="34"/>
  <c r="V2831" i="34"/>
  <c r="W2831" i="34"/>
  <c r="X2831" i="34"/>
  <c r="Y2831" i="34"/>
  <c r="Z2831" i="34"/>
  <c r="N2832" i="34"/>
  <c r="O2832" i="34"/>
  <c r="P2832" i="34"/>
  <c r="Q2832" i="34"/>
  <c r="R2832" i="34"/>
  <c r="S2832" i="34"/>
  <c r="T2832" i="34"/>
  <c r="U2832" i="34"/>
  <c r="V2832" i="34"/>
  <c r="W2832" i="34"/>
  <c r="X2832" i="34"/>
  <c r="Y2832" i="34"/>
  <c r="Z2832" i="34"/>
  <c r="N2833" i="34"/>
  <c r="O2833" i="34"/>
  <c r="P2833" i="34"/>
  <c r="Q2833" i="34"/>
  <c r="R2833" i="34"/>
  <c r="S2833" i="34"/>
  <c r="T2833" i="34"/>
  <c r="U2833" i="34"/>
  <c r="V2833" i="34"/>
  <c r="W2833" i="34"/>
  <c r="X2833" i="34"/>
  <c r="Y2833" i="34"/>
  <c r="Z2833" i="34"/>
  <c r="N2834" i="34"/>
  <c r="O2834" i="34"/>
  <c r="P2834" i="34"/>
  <c r="Q2834" i="34"/>
  <c r="R2834" i="34"/>
  <c r="S2834" i="34"/>
  <c r="T2834" i="34"/>
  <c r="U2834" i="34"/>
  <c r="V2834" i="34"/>
  <c r="W2834" i="34"/>
  <c r="X2834" i="34"/>
  <c r="Y2834" i="34"/>
  <c r="Z2834" i="34"/>
  <c r="N2835" i="34"/>
  <c r="O2835" i="34"/>
  <c r="P2835" i="34"/>
  <c r="Q2835" i="34"/>
  <c r="R2835" i="34"/>
  <c r="S2835" i="34"/>
  <c r="T2835" i="34"/>
  <c r="U2835" i="34"/>
  <c r="V2835" i="34"/>
  <c r="W2835" i="34"/>
  <c r="X2835" i="34"/>
  <c r="Y2835" i="34"/>
  <c r="Z2835" i="34"/>
  <c r="N2836" i="34"/>
  <c r="O2836" i="34"/>
  <c r="P2836" i="34"/>
  <c r="Q2836" i="34"/>
  <c r="R2836" i="34"/>
  <c r="S2836" i="34"/>
  <c r="T2836" i="34"/>
  <c r="U2836" i="34"/>
  <c r="V2836" i="34"/>
  <c r="W2836" i="34"/>
  <c r="X2836" i="34"/>
  <c r="Y2836" i="34"/>
  <c r="Z2836" i="34"/>
  <c r="N2837" i="34"/>
  <c r="O2837" i="34"/>
  <c r="P2837" i="34"/>
  <c r="Q2837" i="34"/>
  <c r="R2837" i="34"/>
  <c r="S2837" i="34"/>
  <c r="T2837" i="34"/>
  <c r="U2837" i="34"/>
  <c r="V2837" i="34"/>
  <c r="W2837" i="34"/>
  <c r="X2837" i="34"/>
  <c r="Y2837" i="34"/>
  <c r="Z2837" i="34"/>
  <c r="N2838" i="34"/>
  <c r="O2838" i="34"/>
  <c r="P2838" i="34"/>
  <c r="Q2838" i="34"/>
  <c r="R2838" i="34"/>
  <c r="S2838" i="34"/>
  <c r="T2838" i="34"/>
  <c r="U2838" i="34"/>
  <c r="V2838" i="34"/>
  <c r="W2838" i="34"/>
  <c r="X2838" i="34"/>
  <c r="Y2838" i="34"/>
  <c r="Z2838" i="34"/>
  <c r="N2839" i="34"/>
  <c r="O2839" i="34"/>
  <c r="P2839" i="34"/>
  <c r="Q2839" i="34"/>
  <c r="R2839" i="34"/>
  <c r="S2839" i="34"/>
  <c r="T2839" i="34"/>
  <c r="U2839" i="34"/>
  <c r="V2839" i="34"/>
  <c r="W2839" i="34"/>
  <c r="X2839" i="34"/>
  <c r="Y2839" i="34"/>
  <c r="Z2839" i="34"/>
  <c r="N2840" i="34"/>
  <c r="O2840" i="34"/>
  <c r="P2840" i="34"/>
  <c r="Q2840" i="34"/>
  <c r="R2840" i="34"/>
  <c r="S2840" i="34"/>
  <c r="T2840" i="34"/>
  <c r="U2840" i="34"/>
  <c r="V2840" i="34"/>
  <c r="W2840" i="34"/>
  <c r="X2840" i="34"/>
  <c r="Y2840" i="34"/>
  <c r="Z2840" i="34"/>
  <c r="N2841" i="34"/>
  <c r="O2841" i="34"/>
  <c r="P2841" i="34"/>
  <c r="Q2841" i="34"/>
  <c r="R2841" i="34"/>
  <c r="S2841" i="34"/>
  <c r="T2841" i="34"/>
  <c r="U2841" i="34"/>
  <c r="V2841" i="34"/>
  <c r="W2841" i="34"/>
  <c r="X2841" i="34"/>
  <c r="Y2841" i="34"/>
  <c r="Z2841" i="34"/>
  <c r="N2842" i="34"/>
  <c r="O2842" i="34"/>
  <c r="P2842" i="34"/>
  <c r="Q2842" i="34"/>
  <c r="R2842" i="34"/>
  <c r="S2842" i="34"/>
  <c r="T2842" i="34"/>
  <c r="U2842" i="34"/>
  <c r="V2842" i="34"/>
  <c r="W2842" i="34"/>
  <c r="X2842" i="34"/>
  <c r="Y2842" i="34"/>
  <c r="Z2842" i="34"/>
  <c r="N2843" i="34"/>
  <c r="O2843" i="34"/>
  <c r="P2843" i="34"/>
  <c r="Q2843" i="34"/>
  <c r="R2843" i="34"/>
  <c r="S2843" i="34"/>
  <c r="T2843" i="34"/>
  <c r="U2843" i="34"/>
  <c r="V2843" i="34"/>
  <c r="W2843" i="34"/>
  <c r="X2843" i="34"/>
  <c r="Y2843" i="34"/>
  <c r="Z2843" i="34"/>
  <c r="N2844" i="34"/>
  <c r="O2844" i="34"/>
  <c r="P2844" i="34"/>
  <c r="Q2844" i="34"/>
  <c r="R2844" i="34"/>
  <c r="S2844" i="34"/>
  <c r="T2844" i="34"/>
  <c r="U2844" i="34"/>
  <c r="V2844" i="34"/>
  <c r="W2844" i="34"/>
  <c r="X2844" i="34"/>
  <c r="Y2844" i="34"/>
  <c r="Z2844" i="34"/>
  <c r="N2845" i="34"/>
  <c r="O2845" i="34"/>
  <c r="P2845" i="34"/>
  <c r="Q2845" i="34"/>
  <c r="R2845" i="34"/>
  <c r="S2845" i="34"/>
  <c r="T2845" i="34"/>
  <c r="U2845" i="34"/>
  <c r="V2845" i="34"/>
  <c r="W2845" i="34"/>
  <c r="X2845" i="34"/>
  <c r="Y2845" i="34"/>
  <c r="Z2845" i="34"/>
  <c r="N2846" i="34"/>
  <c r="O2846" i="34"/>
  <c r="P2846" i="34"/>
  <c r="Q2846" i="34"/>
  <c r="R2846" i="34"/>
  <c r="S2846" i="34"/>
  <c r="T2846" i="34"/>
  <c r="U2846" i="34"/>
  <c r="V2846" i="34"/>
  <c r="W2846" i="34"/>
  <c r="X2846" i="34"/>
  <c r="Y2846" i="34"/>
  <c r="Z2846" i="34"/>
  <c r="N2847" i="34"/>
  <c r="O2847" i="34"/>
  <c r="P2847" i="34"/>
  <c r="Q2847" i="34"/>
  <c r="R2847" i="34"/>
  <c r="S2847" i="34"/>
  <c r="T2847" i="34"/>
  <c r="U2847" i="34"/>
  <c r="V2847" i="34"/>
  <c r="W2847" i="34"/>
  <c r="X2847" i="34"/>
  <c r="Y2847" i="34"/>
  <c r="Z2847" i="34"/>
  <c r="N2848" i="34"/>
  <c r="O2848" i="34"/>
  <c r="P2848" i="34"/>
  <c r="Q2848" i="34"/>
  <c r="R2848" i="34"/>
  <c r="S2848" i="34"/>
  <c r="T2848" i="34"/>
  <c r="U2848" i="34"/>
  <c r="V2848" i="34"/>
  <c r="W2848" i="34"/>
  <c r="X2848" i="34"/>
  <c r="Y2848" i="34"/>
  <c r="Z2848" i="34"/>
  <c r="N2849" i="34"/>
  <c r="O2849" i="34"/>
  <c r="P2849" i="34"/>
  <c r="Q2849" i="34"/>
  <c r="R2849" i="34"/>
  <c r="S2849" i="34"/>
  <c r="T2849" i="34"/>
  <c r="U2849" i="34"/>
  <c r="V2849" i="34"/>
  <c r="W2849" i="34"/>
  <c r="X2849" i="34"/>
  <c r="Y2849" i="34"/>
  <c r="Z2849" i="34"/>
  <c r="N2850" i="34"/>
  <c r="O2850" i="34"/>
  <c r="P2850" i="34"/>
  <c r="Q2850" i="34"/>
  <c r="R2850" i="34"/>
  <c r="S2850" i="34"/>
  <c r="T2850" i="34"/>
  <c r="U2850" i="34"/>
  <c r="V2850" i="34"/>
  <c r="W2850" i="34"/>
  <c r="X2850" i="34"/>
  <c r="Y2850" i="34"/>
  <c r="Z2850" i="34"/>
  <c r="N2851" i="34"/>
  <c r="O2851" i="34"/>
  <c r="P2851" i="34"/>
  <c r="Q2851" i="34"/>
  <c r="R2851" i="34"/>
  <c r="S2851" i="34"/>
  <c r="T2851" i="34"/>
  <c r="U2851" i="34"/>
  <c r="V2851" i="34"/>
  <c r="W2851" i="34"/>
  <c r="X2851" i="34"/>
  <c r="Y2851" i="34"/>
  <c r="Z2851" i="34"/>
  <c r="N2852" i="34"/>
  <c r="O2852" i="34"/>
  <c r="P2852" i="34"/>
  <c r="Q2852" i="34"/>
  <c r="R2852" i="34"/>
  <c r="S2852" i="34"/>
  <c r="T2852" i="34"/>
  <c r="U2852" i="34"/>
  <c r="V2852" i="34"/>
  <c r="W2852" i="34"/>
  <c r="X2852" i="34"/>
  <c r="Y2852" i="34"/>
  <c r="Z2852" i="34"/>
  <c r="N2853" i="34"/>
  <c r="O2853" i="34"/>
  <c r="P2853" i="34"/>
  <c r="Q2853" i="34"/>
  <c r="R2853" i="34"/>
  <c r="S2853" i="34"/>
  <c r="T2853" i="34"/>
  <c r="U2853" i="34"/>
  <c r="V2853" i="34"/>
  <c r="W2853" i="34"/>
  <c r="X2853" i="34"/>
  <c r="Y2853" i="34"/>
  <c r="Z2853" i="34"/>
  <c r="N2854" i="34"/>
  <c r="O2854" i="34"/>
  <c r="P2854" i="34"/>
  <c r="Q2854" i="34"/>
  <c r="R2854" i="34"/>
  <c r="S2854" i="34"/>
  <c r="T2854" i="34"/>
  <c r="U2854" i="34"/>
  <c r="V2854" i="34"/>
  <c r="W2854" i="34"/>
  <c r="X2854" i="34"/>
  <c r="Y2854" i="34"/>
  <c r="Z2854" i="34"/>
  <c r="N2855" i="34"/>
  <c r="O2855" i="34"/>
  <c r="P2855" i="34"/>
  <c r="Q2855" i="34"/>
  <c r="R2855" i="34"/>
  <c r="S2855" i="34"/>
  <c r="T2855" i="34"/>
  <c r="U2855" i="34"/>
  <c r="V2855" i="34"/>
  <c r="W2855" i="34"/>
  <c r="X2855" i="34"/>
  <c r="Y2855" i="34"/>
  <c r="Z2855" i="34"/>
  <c r="N2856" i="34"/>
  <c r="O2856" i="34"/>
  <c r="P2856" i="34"/>
  <c r="Q2856" i="34"/>
  <c r="R2856" i="34"/>
  <c r="S2856" i="34"/>
  <c r="T2856" i="34"/>
  <c r="U2856" i="34"/>
  <c r="V2856" i="34"/>
  <c r="W2856" i="34"/>
  <c r="X2856" i="34"/>
  <c r="Y2856" i="34"/>
  <c r="Z2856" i="34"/>
  <c r="N2857" i="34"/>
  <c r="O2857" i="34"/>
  <c r="P2857" i="34"/>
  <c r="Q2857" i="34"/>
  <c r="R2857" i="34"/>
  <c r="S2857" i="34"/>
  <c r="T2857" i="34"/>
  <c r="U2857" i="34"/>
  <c r="V2857" i="34"/>
  <c r="W2857" i="34"/>
  <c r="X2857" i="34"/>
  <c r="Y2857" i="34"/>
  <c r="Z2857" i="34"/>
  <c r="N2858" i="34"/>
  <c r="O2858" i="34"/>
  <c r="P2858" i="34"/>
  <c r="Q2858" i="34"/>
  <c r="R2858" i="34"/>
  <c r="S2858" i="34"/>
  <c r="T2858" i="34"/>
  <c r="U2858" i="34"/>
  <c r="V2858" i="34"/>
  <c r="W2858" i="34"/>
  <c r="X2858" i="34"/>
  <c r="Y2858" i="34"/>
  <c r="Z2858" i="34"/>
  <c r="N2859" i="34"/>
  <c r="O2859" i="34"/>
  <c r="P2859" i="34"/>
  <c r="Q2859" i="34"/>
  <c r="R2859" i="34"/>
  <c r="S2859" i="34"/>
  <c r="T2859" i="34"/>
  <c r="U2859" i="34"/>
  <c r="V2859" i="34"/>
  <c r="W2859" i="34"/>
  <c r="X2859" i="34"/>
  <c r="Y2859" i="34"/>
  <c r="Z2859" i="34"/>
  <c r="N2860" i="34"/>
  <c r="O2860" i="34"/>
  <c r="P2860" i="34"/>
  <c r="Q2860" i="34"/>
  <c r="R2860" i="34"/>
  <c r="S2860" i="34"/>
  <c r="T2860" i="34"/>
  <c r="U2860" i="34"/>
  <c r="V2860" i="34"/>
  <c r="W2860" i="34"/>
  <c r="X2860" i="34"/>
  <c r="Y2860" i="34"/>
  <c r="Z2860" i="34"/>
  <c r="N2861" i="34"/>
  <c r="O2861" i="34"/>
  <c r="P2861" i="34"/>
  <c r="Q2861" i="34"/>
  <c r="R2861" i="34"/>
  <c r="S2861" i="34"/>
  <c r="T2861" i="34"/>
  <c r="U2861" i="34"/>
  <c r="V2861" i="34"/>
  <c r="W2861" i="34"/>
  <c r="X2861" i="34"/>
  <c r="Y2861" i="34"/>
  <c r="Z2861" i="34"/>
  <c r="N2862" i="34"/>
  <c r="O2862" i="34"/>
  <c r="P2862" i="34"/>
  <c r="Q2862" i="34"/>
  <c r="R2862" i="34"/>
  <c r="S2862" i="34"/>
  <c r="T2862" i="34"/>
  <c r="U2862" i="34"/>
  <c r="V2862" i="34"/>
  <c r="W2862" i="34"/>
  <c r="X2862" i="34"/>
  <c r="Y2862" i="34"/>
  <c r="Z2862" i="34"/>
  <c r="N2863" i="34"/>
  <c r="O2863" i="34"/>
  <c r="P2863" i="34"/>
  <c r="Q2863" i="34"/>
  <c r="R2863" i="34"/>
  <c r="S2863" i="34"/>
  <c r="T2863" i="34"/>
  <c r="U2863" i="34"/>
  <c r="V2863" i="34"/>
  <c r="W2863" i="34"/>
  <c r="X2863" i="34"/>
  <c r="Y2863" i="34"/>
  <c r="Z2863" i="34"/>
  <c r="N2864" i="34"/>
  <c r="O2864" i="34"/>
  <c r="P2864" i="34"/>
  <c r="Q2864" i="34"/>
  <c r="R2864" i="34"/>
  <c r="S2864" i="34"/>
  <c r="T2864" i="34"/>
  <c r="U2864" i="34"/>
  <c r="V2864" i="34"/>
  <c r="W2864" i="34"/>
  <c r="X2864" i="34"/>
  <c r="Y2864" i="34"/>
  <c r="Z2864" i="34"/>
  <c r="N2865" i="34"/>
  <c r="O2865" i="34"/>
  <c r="P2865" i="34"/>
  <c r="Q2865" i="34"/>
  <c r="R2865" i="34"/>
  <c r="S2865" i="34"/>
  <c r="T2865" i="34"/>
  <c r="U2865" i="34"/>
  <c r="V2865" i="34"/>
  <c r="W2865" i="34"/>
  <c r="X2865" i="34"/>
  <c r="Y2865" i="34"/>
  <c r="Z2865" i="34"/>
  <c r="N2866" i="34"/>
  <c r="O2866" i="34"/>
  <c r="P2866" i="34"/>
  <c r="Q2866" i="34"/>
  <c r="R2866" i="34"/>
  <c r="S2866" i="34"/>
  <c r="T2866" i="34"/>
  <c r="U2866" i="34"/>
  <c r="V2866" i="34"/>
  <c r="W2866" i="34"/>
  <c r="X2866" i="34"/>
  <c r="Y2866" i="34"/>
  <c r="Z2866" i="34"/>
  <c r="N2867" i="34"/>
  <c r="O2867" i="34"/>
  <c r="P2867" i="34"/>
  <c r="Q2867" i="34"/>
  <c r="R2867" i="34"/>
  <c r="S2867" i="34"/>
  <c r="T2867" i="34"/>
  <c r="U2867" i="34"/>
  <c r="V2867" i="34"/>
  <c r="W2867" i="34"/>
  <c r="X2867" i="34"/>
  <c r="Y2867" i="34"/>
  <c r="Z2867" i="34"/>
  <c r="N2868" i="34"/>
  <c r="O2868" i="34"/>
  <c r="P2868" i="34"/>
  <c r="Q2868" i="34"/>
  <c r="R2868" i="34"/>
  <c r="S2868" i="34"/>
  <c r="T2868" i="34"/>
  <c r="U2868" i="34"/>
  <c r="V2868" i="34"/>
  <c r="W2868" i="34"/>
  <c r="X2868" i="34"/>
  <c r="Y2868" i="34"/>
  <c r="Z2868" i="34"/>
  <c r="N2869" i="34"/>
  <c r="O2869" i="34"/>
  <c r="P2869" i="34"/>
  <c r="Q2869" i="34"/>
  <c r="R2869" i="34"/>
  <c r="S2869" i="34"/>
  <c r="T2869" i="34"/>
  <c r="U2869" i="34"/>
  <c r="V2869" i="34"/>
  <c r="W2869" i="34"/>
  <c r="X2869" i="34"/>
  <c r="Y2869" i="34"/>
  <c r="Z2869" i="34"/>
  <c r="N2870" i="34"/>
  <c r="O2870" i="34"/>
  <c r="P2870" i="34"/>
  <c r="Q2870" i="34"/>
  <c r="R2870" i="34"/>
  <c r="S2870" i="34"/>
  <c r="T2870" i="34"/>
  <c r="U2870" i="34"/>
  <c r="V2870" i="34"/>
  <c r="W2870" i="34"/>
  <c r="X2870" i="34"/>
  <c r="Y2870" i="34"/>
  <c r="Z2870" i="34"/>
  <c r="N2871" i="34"/>
  <c r="O2871" i="34"/>
  <c r="P2871" i="34"/>
  <c r="Q2871" i="34"/>
  <c r="R2871" i="34"/>
  <c r="S2871" i="34"/>
  <c r="T2871" i="34"/>
  <c r="U2871" i="34"/>
  <c r="V2871" i="34"/>
  <c r="W2871" i="34"/>
  <c r="X2871" i="34"/>
  <c r="Y2871" i="34"/>
  <c r="Z2871" i="34"/>
  <c r="N2872" i="34"/>
  <c r="O2872" i="34"/>
  <c r="P2872" i="34"/>
  <c r="Q2872" i="34"/>
  <c r="R2872" i="34"/>
  <c r="S2872" i="34"/>
  <c r="T2872" i="34"/>
  <c r="U2872" i="34"/>
  <c r="V2872" i="34"/>
  <c r="W2872" i="34"/>
  <c r="X2872" i="34"/>
  <c r="Y2872" i="34"/>
  <c r="Z2872" i="34"/>
  <c r="N2873" i="34"/>
  <c r="O2873" i="34"/>
  <c r="P2873" i="34"/>
  <c r="Q2873" i="34"/>
  <c r="R2873" i="34"/>
  <c r="S2873" i="34"/>
  <c r="T2873" i="34"/>
  <c r="U2873" i="34"/>
  <c r="V2873" i="34"/>
  <c r="W2873" i="34"/>
  <c r="X2873" i="34"/>
  <c r="Y2873" i="34"/>
  <c r="Z2873" i="34"/>
  <c r="N2874" i="34"/>
  <c r="O2874" i="34"/>
  <c r="P2874" i="34"/>
  <c r="Q2874" i="34"/>
  <c r="R2874" i="34"/>
  <c r="S2874" i="34"/>
  <c r="T2874" i="34"/>
  <c r="U2874" i="34"/>
  <c r="V2874" i="34"/>
  <c r="W2874" i="34"/>
  <c r="X2874" i="34"/>
  <c r="Y2874" i="34"/>
  <c r="Z2874" i="34"/>
  <c r="N2875" i="34"/>
  <c r="O2875" i="34"/>
  <c r="P2875" i="34"/>
  <c r="Q2875" i="34"/>
  <c r="R2875" i="34"/>
  <c r="S2875" i="34"/>
  <c r="T2875" i="34"/>
  <c r="U2875" i="34"/>
  <c r="V2875" i="34"/>
  <c r="W2875" i="34"/>
  <c r="X2875" i="34"/>
  <c r="Y2875" i="34"/>
  <c r="Z2875" i="34"/>
  <c r="N2876" i="34"/>
  <c r="O2876" i="34"/>
  <c r="P2876" i="34"/>
  <c r="Q2876" i="34"/>
  <c r="R2876" i="34"/>
  <c r="S2876" i="34"/>
  <c r="T2876" i="34"/>
  <c r="U2876" i="34"/>
  <c r="V2876" i="34"/>
  <c r="W2876" i="34"/>
  <c r="X2876" i="34"/>
  <c r="Y2876" i="34"/>
  <c r="Z2876" i="34"/>
  <c r="N2877" i="34"/>
  <c r="O2877" i="34"/>
  <c r="P2877" i="34"/>
  <c r="Q2877" i="34"/>
  <c r="R2877" i="34"/>
  <c r="S2877" i="34"/>
  <c r="T2877" i="34"/>
  <c r="U2877" i="34"/>
  <c r="V2877" i="34"/>
  <c r="W2877" i="34"/>
  <c r="X2877" i="34"/>
  <c r="Y2877" i="34"/>
  <c r="Z2877" i="34"/>
  <c r="N2878" i="34"/>
  <c r="O2878" i="34"/>
  <c r="P2878" i="34"/>
  <c r="Q2878" i="34"/>
  <c r="R2878" i="34"/>
  <c r="S2878" i="34"/>
  <c r="T2878" i="34"/>
  <c r="U2878" i="34"/>
  <c r="V2878" i="34"/>
  <c r="W2878" i="34"/>
  <c r="X2878" i="34"/>
  <c r="Y2878" i="34"/>
  <c r="Z2878" i="34"/>
  <c r="N2879" i="34"/>
  <c r="O2879" i="34"/>
  <c r="P2879" i="34"/>
  <c r="Q2879" i="34"/>
  <c r="R2879" i="34"/>
  <c r="S2879" i="34"/>
  <c r="T2879" i="34"/>
  <c r="U2879" i="34"/>
  <c r="V2879" i="34"/>
  <c r="W2879" i="34"/>
  <c r="X2879" i="34"/>
  <c r="Y2879" i="34"/>
  <c r="Z2879" i="34"/>
  <c r="N2880" i="34"/>
  <c r="O2880" i="34"/>
  <c r="P2880" i="34"/>
  <c r="Q2880" i="34"/>
  <c r="R2880" i="34"/>
  <c r="S2880" i="34"/>
  <c r="T2880" i="34"/>
  <c r="U2880" i="34"/>
  <c r="V2880" i="34"/>
  <c r="W2880" i="34"/>
  <c r="X2880" i="34"/>
  <c r="Y2880" i="34"/>
  <c r="Z2880" i="34"/>
  <c r="N2881" i="34"/>
  <c r="O2881" i="34"/>
  <c r="P2881" i="34"/>
  <c r="Q2881" i="34"/>
  <c r="R2881" i="34"/>
  <c r="S2881" i="34"/>
  <c r="T2881" i="34"/>
  <c r="U2881" i="34"/>
  <c r="V2881" i="34"/>
  <c r="W2881" i="34"/>
  <c r="X2881" i="34"/>
  <c r="Y2881" i="34"/>
  <c r="Z2881" i="34"/>
  <c r="N2882" i="34"/>
  <c r="O2882" i="34"/>
  <c r="P2882" i="34"/>
  <c r="Q2882" i="34"/>
  <c r="R2882" i="34"/>
  <c r="S2882" i="34"/>
  <c r="T2882" i="34"/>
  <c r="U2882" i="34"/>
  <c r="V2882" i="34"/>
  <c r="W2882" i="34"/>
  <c r="X2882" i="34"/>
  <c r="Y2882" i="34"/>
  <c r="Z2882" i="34"/>
  <c r="N2883" i="34"/>
  <c r="O2883" i="34"/>
  <c r="P2883" i="34"/>
  <c r="Q2883" i="34"/>
  <c r="R2883" i="34"/>
  <c r="S2883" i="34"/>
  <c r="T2883" i="34"/>
  <c r="U2883" i="34"/>
  <c r="V2883" i="34"/>
  <c r="W2883" i="34"/>
  <c r="X2883" i="34"/>
  <c r="Y2883" i="34"/>
  <c r="Z2883" i="34"/>
  <c r="N2884" i="34"/>
  <c r="O2884" i="34"/>
  <c r="P2884" i="34"/>
  <c r="Q2884" i="34"/>
  <c r="R2884" i="34"/>
  <c r="S2884" i="34"/>
  <c r="T2884" i="34"/>
  <c r="U2884" i="34"/>
  <c r="V2884" i="34"/>
  <c r="W2884" i="34"/>
  <c r="X2884" i="34"/>
  <c r="Y2884" i="34"/>
  <c r="Z2884" i="34"/>
  <c r="N2885" i="34"/>
  <c r="O2885" i="34"/>
  <c r="P2885" i="34"/>
  <c r="Q2885" i="34"/>
  <c r="R2885" i="34"/>
  <c r="S2885" i="34"/>
  <c r="T2885" i="34"/>
  <c r="U2885" i="34"/>
  <c r="V2885" i="34"/>
  <c r="W2885" i="34"/>
  <c r="X2885" i="34"/>
  <c r="Y2885" i="34"/>
  <c r="Z2885" i="34"/>
  <c r="N2886" i="34"/>
  <c r="O2886" i="34"/>
  <c r="P2886" i="34"/>
  <c r="Q2886" i="34"/>
  <c r="R2886" i="34"/>
  <c r="S2886" i="34"/>
  <c r="T2886" i="34"/>
  <c r="U2886" i="34"/>
  <c r="V2886" i="34"/>
  <c r="W2886" i="34"/>
  <c r="X2886" i="34"/>
  <c r="Y2886" i="34"/>
  <c r="Z2886" i="34"/>
  <c r="N2887" i="34"/>
  <c r="O2887" i="34"/>
  <c r="P2887" i="34"/>
  <c r="Q2887" i="34"/>
  <c r="R2887" i="34"/>
  <c r="S2887" i="34"/>
  <c r="T2887" i="34"/>
  <c r="U2887" i="34"/>
  <c r="V2887" i="34"/>
  <c r="W2887" i="34"/>
  <c r="X2887" i="34"/>
  <c r="Y2887" i="34"/>
  <c r="Z2887" i="34"/>
  <c r="N2888" i="34"/>
  <c r="O2888" i="34"/>
  <c r="P2888" i="34"/>
  <c r="Q2888" i="34"/>
  <c r="R2888" i="34"/>
  <c r="S2888" i="34"/>
  <c r="T2888" i="34"/>
  <c r="U2888" i="34"/>
  <c r="V2888" i="34"/>
  <c r="W2888" i="34"/>
  <c r="X2888" i="34"/>
  <c r="Y2888" i="34"/>
  <c r="Z2888" i="34"/>
  <c r="N2889" i="34"/>
  <c r="O2889" i="34"/>
  <c r="P2889" i="34"/>
  <c r="Q2889" i="34"/>
  <c r="R2889" i="34"/>
  <c r="S2889" i="34"/>
  <c r="T2889" i="34"/>
  <c r="U2889" i="34"/>
  <c r="V2889" i="34"/>
  <c r="W2889" i="34"/>
  <c r="X2889" i="34"/>
  <c r="Y2889" i="34"/>
  <c r="Z2889" i="34"/>
  <c r="N2890" i="34"/>
  <c r="O2890" i="34"/>
  <c r="P2890" i="34"/>
  <c r="Q2890" i="34"/>
  <c r="R2890" i="34"/>
  <c r="S2890" i="34"/>
  <c r="T2890" i="34"/>
  <c r="U2890" i="34"/>
  <c r="V2890" i="34"/>
  <c r="W2890" i="34"/>
  <c r="X2890" i="34"/>
  <c r="Y2890" i="34"/>
  <c r="Z2890" i="34"/>
  <c r="N2891" i="34"/>
  <c r="O2891" i="34"/>
  <c r="P2891" i="34"/>
  <c r="Q2891" i="34"/>
  <c r="R2891" i="34"/>
  <c r="S2891" i="34"/>
  <c r="T2891" i="34"/>
  <c r="U2891" i="34"/>
  <c r="V2891" i="34"/>
  <c r="W2891" i="34"/>
  <c r="X2891" i="34"/>
  <c r="Y2891" i="34"/>
  <c r="Z2891" i="34"/>
  <c r="N2892" i="34"/>
  <c r="O2892" i="34"/>
  <c r="P2892" i="34"/>
  <c r="Q2892" i="34"/>
  <c r="R2892" i="34"/>
  <c r="S2892" i="34"/>
  <c r="T2892" i="34"/>
  <c r="U2892" i="34"/>
  <c r="V2892" i="34"/>
  <c r="W2892" i="34"/>
  <c r="X2892" i="34"/>
  <c r="Y2892" i="34"/>
  <c r="Z2892" i="34"/>
  <c r="N2893" i="34"/>
  <c r="O2893" i="34"/>
  <c r="P2893" i="34"/>
  <c r="Q2893" i="34"/>
  <c r="R2893" i="34"/>
  <c r="S2893" i="34"/>
  <c r="T2893" i="34"/>
  <c r="U2893" i="34"/>
  <c r="V2893" i="34"/>
  <c r="W2893" i="34"/>
  <c r="X2893" i="34"/>
  <c r="Y2893" i="34"/>
  <c r="Z2893" i="34"/>
  <c r="N2894" i="34"/>
  <c r="O2894" i="34"/>
  <c r="P2894" i="34"/>
  <c r="Q2894" i="34"/>
  <c r="R2894" i="34"/>
  <c r="S2894" i="34"/>
  <c r="T2894" i="34"/>
  <c r="U2894" i="34"/>
  <c r="V2894" i="34"/>
  <c r="W2894" i="34"/>
  <c r="X2894" i="34"/>
  <c r="Y2894" i="34"/>
  <c r="Z2894" i="34"/>
  <c r="N2895" i="34"/>
  <c r="O2895" i="34"/>
  <c r="P2895" i="34"/>
  <c r="Q2895" i="34"/>
  <c r="R2895" i="34"/>
  <c r="S2895" i="34"/>
  <c r="T2895" i="34"/>
  <c r="U2895" i="34"/>
  <c r="V2895" i="34"/>
  <c r="W2895" i="34"/>
  <c r="X2895" i="34"/>
  <c r="Y2895" i="34"/>
  <c r="Z2895" i="34"/>
  <c r="N2896" i="34"/>
  <c r="O2896" i="34"/>
  <c r="P2896" i="34"/>
  <c r="Q2896" i="34"/>
  <c r="R2896" i="34"/>
  <c r="S2896" i="34"/>
  <c r="T2896" i="34"/>
  <c r="U2896" i="34"/>
  <c r="V2896" i="34"/>
  <c r="W2896" i="34"/>
  <c r="X2896" i="34"/>
  <c r="Y2896" i="34"/>
  <c r="Z2896" i="34"/>
  <c r="N2897" i="34"/>
  <c r="O2897" i="34"/>
  <c r="P2897" i="34"/>
  <c r="Q2897" i="34"/>
  <c r="R2897" i="34"/>
  <c r="S2897" i="34"/>
  <c r="T2897" i="34"/>
  <c r="U2897" i="34"/>
  <c r="V2897" i="34"/>
  <c r="W2897" i="34"/>
  <c r="X2897" i="34"/>
  <c r="Y2897" i="34"/>
  <c r="Z2897" i="34"/>
  <c r="N2898" i="34"/>
  <c r="O2898" i="34"/>
  <c r="P2898" i="34"/>
  <c r="Q2898" i="34"/>
  <c r="R2898" i="34"/>
  <c r="S2898" i="34"/>
  <c r="T2898" i="34"/>
  <c r="U2898" i="34"/>
  <c r="V2898" i="34"/>
  <c r="W2898" i="34"/>
  <c r="X2898" i="34"/>
  <c r="Y2898" i="34"/>
  <c r="Z2898" i="34"/>
  <c r="N2899" i="34"/>
  <c r="O2899" i="34"/>
  <c r="P2899" i="34"/>
  <c r="Q2899" i="34"/>
  <c r="R2899" i="34"/>
  <c r="S2899" i="34"/>
  <c r="T2899" i="34"/>
  <c r="U2899" i="34"/>
  <c r="V2899" i="34"/>
  <c r="W2899" i="34"/>
  <c r="X2899" i="34"/>
  <c r="Y2899" i="34"/>
  <c r="Z2899" i="34"/>
  <c r="N2900" i="34"/>
  <c r="O2900" i="34"/>
  <c r="P2900" i="34"/>
  <c r="Q2900" i="34"/>
  <c r="R2900" i="34"/>
  <c r="S2900" i="34"/>
  <c r="T2900" i="34"/>
  <c r="U2900" i="34"/>
  <c r="V2900" i="34"/>
  <c r="W2900" i="34"/>
  <c r="X2900" i="34"/>
  <c r="Y2900" i="34"/>
  <c r="Z2900" i="34"/>
  <c r="N2901" i="34"/>
  <c r="O2901" i="34"/>
  <c r="P2901" i="34"/>
  <c r="Q2901" i="34"/>
  <c r="R2901" i="34"/>
  <c r="S2901" i="34"/>
  <c r="T2901" i="34"/>
  <c r="U2901" i="34"/>
  <c r="V2901" i="34"/>
  <c r="W2901" i="34"/>
  <c r="X2901" i="34"/>
  <c r="Y2901" i="34"/>
  <c r="Z2901" i="34"/>
  <c r="N2902" i="34"/>
  <c r="O2902" i="34"/>
  <c r="P2902" i="34"/>
  <c r="Q2902" i="34"/>
  <c r="R2902" i="34"/>
  <c r="S2902" i="34"/>
  <c r="T2902" i="34"/>
  <c r="U2902" i="34"/>
  <c r="V2902" i="34"/>
  <c r="W2902" i="34"/>
  <c r="X2902" i="34"/>
  <c r="Y2902" i="34"/>
  <c r="Z2902" i="34"/>
  <c r="N2903" i="34"/>
  <c r="O2903" i="34"/>
  <c r="P2903" i="34"/>
  <c r="Q2903" i="34"/>
  <c r="R2903" i="34"/>
  <c r="S2903" i="34"/>
  <c r="T2903" i="34"/>
  <c r="U2903" i="34"/>
  <c r="V2903" i="34"/>
  <c r="W2903" i="34"/>
  <c r="X2903" i="34"/>
  <c r="Y2903" i="34"/>
  <c r="Z2903" i="34"/>
  <c r="N2904" i="34"/>
  <c r="O2904" i="34"/>
  <c r="P2904" i="34"/>
  <c r="Q2904" i="34"/>
  <c r="R2904" i="34"/>
  <c r="S2904" i="34"/>
  <c r="T2904" i="34"/>
  <c r="U2904" i="34"/>
  <c r="V2904" i="34"/>
  <c r="W2904" i="34"/>
  <c r="X2904" i="34"/>
  <c r="Y2904" i="34"/>
  <c r="Z2904" i="34"/>
  <c r="N2905" i="34"/>
  <c r="O2905" i="34"/>
  <c r="P2905" i="34"/>
  <c r="Q2905" i="34"/>
  <c r="R2905" i="34"/>
  <c r="S2905" i="34"/>
  <c r="T2905" i="34"/>
  <c r="U2905" i="34"/>
  <c r="V2905" i="34"/>
  <c r="W2905" i="34"/>
  <c r="X2905" i="34"/>
  <c r="Y2905" i="34"/>
  <c r="Z2905" i="34"/>
  <c r="N2906" i="34"/>
  <c r="O2906" i="34"/>
  <c r="P2906" i="34"/>
  <c r="Q2906" i="34"/>
  <c r="R2906" i="34"/>
  <c r="S2906" i="34"/>
  <c r="T2906" i="34"/>
  <c r="U2906" i="34"/>
  <c r="V2906" i="34"/>
  <c r="W2906" i="34"/>
  <c r="X2906" i="34"/>
  <c r="Y2906" i="34"/>
  <c r="Z2906" i="34"/>
  <c r="N2907" i="34"/>
  <c r="O2907" i="34"/>
  <c r="P2907" i="34"/>
  <c r="Q2907" i="34"/>
  <c r="R2907" i="34"/>
  <c r="S2907" i="34"/>
  <c r="T2907" i="34"/>
  <c r="U2907" i="34"/>
  <c r="V2907" i="34"/>
  <c r="W2907" i="34"/>
  <c r="X2907" i="34"/>
  <c r="Y2907" i="34"/>
  <c r="Z2907" i="34"/>
  <c r="N2908" i="34"/>
  <c r="O2908" i="34"/>
  <c r="P2908" i="34"/>
  <c r="Q2908" i="34"/>
  <c r="R2908" i="34"/>
  <c r="S2908" i="34"/>
  <c r="T2908" i="34"/>
  <c r="U2908" i="34"/>
  <c r="V2908" i="34"/>
  <c r="W2908" i="34"/>
  <c r="X2908" i="34"/>
  <c r="Y2908" i="34"/>
  <c r="Z2908" i="34"/>
  <c r="N2909" i="34"/>
  <c r="O2909" i="34"/>
  <c r="P2909" i="34"/>
  <c r="Q2909" i="34"/>
  <c r="R2909" i="34"/>
  <c r="S2909" i="34"/>
  <c r="T2909" i="34"/>
  <c r="U2909" i="34"/>
  <c r="V2909" i="34"/>
  <c r="W2909" i="34"/>
  <c r="X2909" i="34"/>
  <c r="Y2909" i="34"/>
  <c r="Z2909" i="34"/>
  <c r="N2910" i="34"/>
  <c r="O2910" i="34"/>
  <c r="P2910" i="34"/>
  <c r="Q2910" i="34"/>
  <c r="R2910" i="34"/>
  <c r="S2910" i="34"/>
  <c r="T2910" i="34"/>
  <c r="U2910" i="34"/>
  <c r="V2910" i="34"/>
  <c r="W2910" i="34"/>
  <c r="X2910" i="34"/>
  <c r="Y2910" i="34"/>
  <c r="Z2910" i="34"/>
  <c r="N2911" i="34"/>
  <c r="O2911" i="34"/>
  <c r="P2911" i="34"/>
  <c r="Q2911" i="34"/>
  <c r="R2911" i="34"/>
  <c r="S2911" i="34"/>
  <c r="T2911" i="34"/>
  <c r="U2911" i="34"/>
  <c r="V2911" i="34"/>
  <c r="W2911" i="34"/>
  <c r="X2911" i="34"/>
  <c r="Y2911" i="34"/>
  <c r="Z2911" i="34"/>
  <c r="N2912" i="34"/>
  <c r="O2912" i="34"/>
  <c r="P2912" i="34"/>
  <c r="Q2912" i="34"/>
  <c r="R2912" i="34"/>
  <c r="S2912" i="34"/>
  <c r="T2912" i="34"/>
  <c r="U2912" i="34"/>
  <c r="V2912" i="34"/>
  <c r="W2912" i="34"/>
  <c r="X2912" i="34"/>
  <c r="Y2912" i="34"/>
  <c r="Z2912" i="34"/>
  <c r="N2913" i="34"/>
  <c r="O2913" i="34"/>
  <c r="P2913" i="34"/>
  <c r="Q2913" i="34"/>
  <c r="R2913" i="34"/>
  <c r="S2913" i="34"/>
  <c r="T2913" i="34"/>
  <c r="U2913" i="34"/>
  <c r="V2913" i="34"/>
  <c r="W2913" i="34"/>
  <c r="X2913" i="34"/>
  <c r="Y2913" i="34"/>
  <c r="Z2913" i="34"/>
  <c r="N2914" i="34"/>
  <c r="O2914" i="34"/>
  <c r="P2914" i="34"/>
  <c r="Q2914" i="34"/>
  <c r="R2914" i="34"/>
  <c r="S2914" i="34"/>
  <c r="T2914" i="34"/>
  <c r="U2914" i="34"/>
  <c r="V2914" i="34"/>
  <c r="W2914" i="34"/>
  <c r="X2914" i="34"/>
  <c r="Y2914" i="34"/>
  <c r="Z2914" i="34"/>
  <c r="N2915" i="34"/>
  <c r="O2915" i="34"/>
  <c r="P2915" i="34"/>
  <c r="Q2915" i="34"/>
  <c r="R2915" i="34"/>
  <c r="S2915" i="34"/>
  <c r="T2915" i="34"/>
  <c r="U2915" i="34"/>
  <c r="V2915" i="34"/>
  <c r="W2915" i="34"/>
  <c r="X2915" i="34"/>
  <c r="Y2915" i="34"/>
  <c r="Z2915" i="34"/>
  <c r="N2916" i="34"/>
  <c r="O2916" i="34"/>
  <c r="P2916" i="34"/>
  <c r="Q2916" i="34"/>
  <c r="R2916" i="34"/>
  <c r="S2916" i="34"/>
  <c r="T2916" i="34"/>
  <c r="U2916" i="34"/>
  <c r="V2916" i="34"/>
  <c r="W2916" i="34"/>
  <c r="X2916" i="34"/>
  <c r="Y2916" i="34"/>
  <c r="Z2916" i="34"/>
  <c r="N2917" i="34"/>
  <c r="O2917" i="34"/>
  <c r="P2917" i="34"/>
  <c r="Q2917" i="34"/>
  <c r="R2917" i="34"/>
  <c r="S2917" i="34"/>
  <c r="T2917" i="34"/>
  <c r="U2917" i="34"/>
  <c r="V2917" i="34"/>
  <c r="W2917" i="34"/>
  <c r="X2917" i="34"/>
  <c r="Y2917" i="34"/>
  <c r="Z2917" i="34"/>
  <c r="N2918" i="34"/>
  <c r="O2918" i="34"/>
  <c r="P2918" i="34"/>
  <c r="Q2918" i="34"/>
  <c r="R2918" i="34"/>
  <c r="S2918" i="34"/>
  <c r="T2918" i="34"/>
  <c r="U2918" i="34"/>
  <c r="V2918" i="34"/>
  <c r="W2918" i="34"/>
  <c r="X2918" i="34"/>
  <c r="Y2918" i="34"/>
  <c r="Z2918" i="34"/>
  <c r="N2919" i="34"/>
  <c r="O2919" i="34"/>
  <c r="P2919" i="34"/>
  <c r="Q2919" i="34"/>
  <c r="R2919" i="34"/>
  <c r="S2919" i="34"/>
  <c r="T2919" i="34"/>
  <c r="U2919" i="34"/>
  <c r="V2919" i="34"/>
  <c r="W2919" i="34"/>
  <c r="X2919" i="34"/>
  <c r="Y2919" i="34"/>
  <c r="Z2919" i="34"/>
  <c r="N2920" i="34"/>
  <c r="O2920" i="34"/>
  <c r="P2920" i="34"/>
  <c r="Q2920" i="34"/>
  <c r="R2920" i="34"/>
  <c r="S2920" i="34"/>
  <c r="T2920" i="34"/>
  <c r="U2920" i="34"/>
  <c r="V2920" i="34"/>
  <c r="W2920" i="34"/>
  <c r="X2920" i="34"/>
  <c r="Y2920" i="34"/>
  <c r="Z2920" i="34"/>
  <c r="N2921" i="34"/>
  <c r="O2921" i="34"/>
  <c r="P2921" i="34"/>
  <c r="Q2921" i="34"/>
  <c r="R2921" i="34"/>
  <c r="S2921" i="34"/>
  <c r="T2921" i="34"/>
  <c r="U2921" i="34"/>
  <c r="V2921" i="34"/>
  <c r="W2921" i="34"/>
  <c r="X2921" i="34"/>
  <c r="Y2921" i="34"/>
  <c r="Z2921" i="34"/>
  <c r="N2922" i="34"/>
  <c r="O2922" i="34"/>
  <c r="P2922" i="34"/>
  <c r="Q2922" i="34"/>
  <c r="R2922" i="34"/>
  <c r="S2922" i="34"/>
  <c r="T2922" i="34"/>
  <c r="U2922" i="34"/>
  <c r="V2922" i="34"/>
  <c r="W2922" i="34"/>
  <c r="X2922" i="34"/>
  <c r="Y2922" i="34"/>
  <c r="Z2922" i="34"/>
  <c r="N2923" i="34"/>
  <c r="O2923" i="34"/>
  <c r="P2923" i="34"/>
  <c r="Q2923" i="34"/>
  <c r="R2923" i="34"/>
  <c r="S2923" i="34"/>
  <c r="T2923" i="34"/>
  <c r="U2923" i="34"/>
  <c r="V2923" i="34"/>
  <c r="W2923" i="34"/>
  <c r="X2923" i="34"/>
  <c r="Y2923" i="34"/>
  <c r="Z2923" i="34"/>
  <c r="N2924" i="34"/>
  <c r="O2924" i="34"/>
  <c r="P2924" i="34"/>
  <c r="Q2924" i="34"/>
  <c r="R2924" i="34"/>
  <c r="S2924" i="34"/>
  <c r="T2924" i="34"/>
  <c r="U2924" i="34"/>
  <c r="V2924" i="34"/>
  <c r="W2924" i="34"/>
  <c r="X2924" i="34"/>
  <c r="Y2924" i="34"/>
  <c r="Z2924" i="34"/>
  <c r="N2925" i="34"/>
  <c r="O2925" i="34"/>
  <c r="P2925" i="34"/>
  <c r="Q2925" i="34"/>
  <c r="R2925" i="34"/>
  <c r="S2925" i="34"/>
  <c r="T2925" i="34"/>
  <c r="U2925" i="34"/>
  <c r="V2925" i="34"/>
  <c r="W2925" i="34"/>
  <c r="X2925" i="34"/>
  <c r="Y2925" i="34"/>
  <c r="Z2925" i="34"/>
  <c r="N2926" i="34"/>
  <c r="O2926" i="34"/>
  <c r="P2926" i="34"/>
  <c r="Q2926" i="34"/>
  <c r="R2926" i="34"/>
  <c r="S2926" i="34"/>
  <c r="T2926" i="34"/>
  <c r="U2926" i="34"/>
  <c r="V2926" i="34"/>
  <c r="W2926" i="34"/>
  <c r="X2926" i="34"/>
  <c r="Y2926" i="34"/>
  <c r="Z2926" i="34"/>
  <c r="N2927" i="34"/>
  <c r="O2927" i="34"/>
  <c r="P2927" i="34"/>
  <c r="Q2927" i="34"/>
  <c r="R2927" i="34"/>
  <c r="S2927" i="34"/>
  <c r="T2927" i="34"/>
  <c r="U2927" i="34"/>
  <c r="V2927" i="34"/>
  <c r="W2927" i="34"/>
  <c r="X2927" i="34"/>
  <c r="Y2927" i="34"/>
  <c r="Z2927" i="34"/>
  <c r="N2928" i="34"/>
  <c r="O2928" i="34"/>
  <c r="P2928" i="34"/>
  <c r="Q2928" i="34"/>
  <c r="R2928" i="34"/>
  <c r="S2928" i="34"/>
  <c r="T2928" i="34"/>
  <c r="U2928" i="34"/>
  <c r="V2928" i="34"/>
  <c r="W2928" i="34"/>
  <c r="X2928" i="34"/>
  <c r="Y2928" i="34"/>
  <c r="Z2928" i="34"/>
  <c r="N2929" i="34"/>
  <c r="O2929" i="34"/>
  <c r="P2929" i="34"/>
  <c r="Q2929" i="34"/>
  <c r="R2929" i="34"/>
  <c r="S2929" i="34"/>
  <c r="T2929" i="34"/>
  <c r="U2929" i="34"/>
  <c r="V2929" i="34"/>
  <c r="W2929" i="34"/>
  <c r="X2929" i="34"/>
  <c r="Y2929" i="34"/>
  <c r="Z2929" i="34"/>
  <c r="N2930" i="34"/>
  <c r="O2930" i="34"/>
  <c r="P2930" i="34"/>
  <c r="Q2930" i="34"/>
  <c r="R2930" i="34"/>
  <c r="S2930" i="34"/>
  <c r="T2930" i="34"/>
  <c r="U2930" i="34"/>
  <c r="V2930" i="34"/>
  <c r="W2930" i="34"/>
  <c r="X2930" i="34"/>
  <c r="Y2930" i="34"/>
  <c r="Z2930" i="34"/>
  <c r="N2931" i="34"/>
  <c r="O2931" i="34"/>
  <c r="P2931" i="34"/>
  <c r="Q2931" i="34"/>
  <c r="R2931" i="34"/>
  <c r="S2931" i="34"/>
  <c r="T2931" i="34"/>
  <c r="U2931" i="34"/>
  <c r="V2931" i="34"/>
  <c r="W2931" i="34"/>
  <c r="X2931" i="34"/>
  <c r="Y2931" i="34"/>
  <c r="Z2931" i="34"/>
  <c r="N2932" i="34"/>
  <c r="O2932" i="34"/>
  <c r="P2932" i="34"/>
  <c r="Q2932" i="34"/>
  <c r="R2932" i="34"/>
  <c r="S2932" i="34"/>
  <c r="T2932" i="34"/>
  <c r="U2932" i="34"/>
  <c r="V2932" i="34"/>
  <c r="W2932" i="34"/>
  <c r="X2932" i="34"/>
  <c r="Y2932" i="34"/>
  <c r="Z2932" i="34"/>
  <c r="N2933" i="34"/>
  <c r="O2933" i="34"/>
  <c r="P2933" i="34"/>
  <c r="Q2933" i="34"/>
  <c r="R2933" i="34"/>
  <c r="S2933" i="34"/>
  <c r="T2933" i="34"/>
  <c r="U2933" i="34"/>
  <c r="V2933" i="34"/>
  <c r="W2933" i="34"/>
  <c r="X2933" i="34"/>
  <c r="Y2933" i="34"/>
  <c r="Z2933" i="34"/>
  <c r="N2934" i="34"/>
  <c r="O2934" i="34"/>
  <c r="P2934" i="34"/>
  <c r="Q2934" i="34"/>
  <c r="R2934" i="34"/>
  <c r="S2934" i="34"/>
  <c r="T2934" i="34"/>
  <c r="U2934" i="34"/>
  <c r="V2934" i="34"/>
  <c r="W2934" i="34"/>
  <c r="X2934" i="34"/>
  <c r="Y2934" i="34"/>
  <c r="Z2934" i="34"/>
  <c r="N2935" i="34"/>
  <c r="O2935" i="34"/>
  <c r="P2935" i="34"/>
  <c r="Q2935" i="34"/>
  <c r="R2935" i="34"/>
  <c r="S2935" i="34"/>
  <c r="T2935" i="34"/>
  <c r="U2935" i="34"/>
  <c r="V2935" i="34"/>
  <c r="W2935" i="34"/>
  <c r="X2935" i="34"/>
  <c r="Y2935" i="34"/>
  <c r="Z2935" i="34"/>
  <c r="N2936" i="34"/>
  <c r="O2936" i="34"/>
  <c r="P2936" i="34"/>
  <c r="Q2936" i="34"/>
  <c r="R2936" i="34"/>
  <c r="S2936" i="34"/>
  <c r="T2936" i="34"/>
  <c r="U2936" i="34"/>
  <c r="V2936" i="34"/>
  <c r="W2936" i="34"/>
  <c r="X2936" i="34"/>
  <c r="Y2936" i="34"/>
  <c r="Z2936" i="34"/>
  <c r="N2937" i="34"/>
  <c r="O2937" i="34"/>
  <c r="P2937" i="34"/>
  <c r="Q2937" i="34"/>
  <c r="R2937" i="34"/>
  <c r="S2937" i="34"/>
  <c r="T2937" i="34"/>
  <c r="U2937" i="34"/>
  <c r="V2937" i="34"/>
  <c r="W2937" i="34"/>
  <c r="X2937" i="34"/>
  <c r="Y2937" i="34"/>
  <c r="Z2937" i="34"/>
  <c r="N2938" i="34"/>
  <c r="O2938" i="34"/>
  <c r="P2938" i="34"/>
  <c r="Q2938" i="34"/>
  <c r="R2938" i="34"/>
  <c r="S2938" i="34"/>
  <c r="T2938" i="34"/>
  <c r="U2938" i="34"/>
  <c r="V2938" i="34"/>
  <c r="W2938" i="34"/>
  <c r="X2938" i="34"/>
  <c r="Y2938" i="34"/>
  <c r="Z2938" i="34"/>
  <c r="N2939" i="34"/>
  <c r="O2939" i="34"/>
  <c r="P2939" i="34"/>
  <c r="Q2939" i="34"/>
  <c r="R2939" i="34"/>
  <c r="S2939" i="34"/>
  <c r="T2939" i="34"/>
  <c r="U2939" i="34"/>
  <c r="V2939" i="34"/>
  <c r="W2939" i="34"/>
  <c r="X2939" i="34"/>
  <c r="Y2939" i="34"/>
  <c r="Z2939" i="34"/>
  <c r="N2940" i="34"/>
  <c r="O2940" i="34"/>
  <c r="P2940" i="34"/>
  <c r="Q2940" i="34"/>
  <c r="R2940" i="34"/>
  <c r="S2940" i="34"/>
  <c r="T2940" i="34"/>
  <c r="U2940" i="34"/>
  <c r="V2940" i="34"/>
  <c r="W2940" i="34"/>
  <c r="X2940" i="34"/>
  <c r="Y2940" i="34"/>
  <c r="Z2940" i="34"/>
  <c r="N2941" i="34"/>
  <c r="O2941" i="34"/>
  <c r="P2941" i="34"/>
  <c r="Q2941" i="34"/>
  <c r="R2941" i="34"/>
  <c r="S2941" i="34"/>
  <c r="T2941" i="34"/>
  <c r="U2941" i="34"/>
  <c r="V2941" i="34"/>
  <c r="W2941" i="34"/>
  <c r="X2941" i="34"/>
  <c r="Y2941" i="34"/>
  <c r="Z2941" i="34"/>
  <c r="N2942" i="34"/>
  <c r="O2942" i="34"/>
  <c r="P2942" i="34"/>
  <c r="Q2942" i="34"/>
  <c r="R2942" i="34"/>
  <c r="S2942" i="34"/>
  <c r="T2942" i="34"/>
  <c r="U2942" i="34"/>
  <c r="V2942" i="34"/>
  <c r="W2942" i="34"/>
  <c r="X2942" i="34"/>
  <c r="Y2942" i="34"/>
  <c r="Z2942" i="34"/>
  <c r="N2943" i="34"/>
  <c r="O2943" i="34"/>
  <c r="P2943" i="34"/>
  <c r="Q2943" i="34"/>
  <c r="R2943" i="34"/>
  <c r="S2943" i="34"/>
  <c r="T2943" i="34"/>
  <c r="U2943" i="34"/>
  <c r="V2943" i="34"/>
  <c r="W2943" i="34"/>
  <c r="X2943" i="34"/>
  <c r="Y2943" i="34"/>
  <c r="Z2943" i="34"/>
  <c r="N2944" i="34"/>
  <c r="O2944" i="34"/>
  <c r="P2944" i="34"/>
  <c r="Q2944" i="34"/>
  <c r="R2944" i="34"/>
  <c r="S2944" i="34"/>
  <c r="T2944" i="34"/>
  <c r="U2944" i="34"/>
  <c r="V2944" i="34"/>
  <c r="W2944" i="34"/>
  <c r="X2944" i="34"/>
  <c r="Y2944" i="34"/>
  <c r="Z2944" i="34"/>
  <c r="N2945" i="34"/>
  <c r="O2945" i="34"/>
  <c r="P2945" i="34"/>
  <c r="Q2945" i="34"/>
  <c r="R2945" i="34"/>
  <c r="S2945" i="34"/>
  <c r="T2945" i="34"/>
  <c r="U2945" i="34"/>
  <c r="V2945" i="34"/>
  <c r="W2945" i="34"/>
  <c r="X2945" i="34"/>
  <c r="Y2945" i="34"/>
  <c r="Z2945" i="34"/>
  <c r="N2946" i="34"/>
  <c r="O2946" i="34"/>
  <c r="P2946" i="34"/>
  <c r="Q2946" i="34"/>
  <c r="R2946" i="34"/>
  <c r="S2946" i="34"/>
  <c r="T2946" i="34"/>
  <c r="U2946" i="34"/>
  <c r="V2946" i="34"/>
  <c r="W2946" i="34"/>
  <c r="X2946" i="34"/>
  <c r="Y2946" i="34"/>
  <c r="Z2946" i="34"/>
  <c r="N2947" i="34"/>
  <c r="O2947" i="34"/>
  <c r="P2947" i="34"/>
  <c r="Q2947" i="34"/>
  <c r="R2947" i="34"/>
  <c r="S2947" i="34"/>
  <c r="T2947" i="34"/>
  <c r="U2947" i="34"/>
  <c r="V2947" i="34"/>
  <c r="W2947" i="34"/>
  <c r="X2947" i="34"/>
  <c r="Y2947" i="34"/>
  <c r="Z2947" i="34"/>
  <c r="N2948" i="34"/>
  <c r="O2948" i="34"/>
  <c r="P2948" i="34"/>
  <c r="Q2948" i="34"/>
  <c r="R2948" i="34"/>
  <c r="S2948" i="34"/>
  <c r="T2948" i="34"/>
  <c r="U2948" i="34"/>
  <c r="V2948" i="34"/>
  <c r="W2948" i="34"/>
  <c r="X2948" i="34"/>
  <c r="Y2948" i="34"/>
  <c r="Z2948" i="34"/>
  <c r="N2949" i="34"/>
  <c r="O2949" i="34"/>
  <c r="P2949" i="34"/>
  <c r="Q2949" i="34"/>
  <c r="R2949" i="34"/>
  <c r="S2949" i="34"/>
  <c r="T2949" i="34"/>
  <c r="U2949" i="34"/>
  <c r="V2949" i="34"/>
  <c r="W2949" i="34"/>
  <c r="X2949" i="34"/>
  <c r="Y2949" i="34"/>
  <c r="Z2949" i="34"/>
  <c r="N2950" i="34"/>
  <c r="O2950" i="34"/>
  <c r="P2950" i="34"/>
  <c r="Q2950" i="34"/>
  <c r="R2950" i="34"/>
  <c r="S2950" i="34"/>
  <c r="T2950" i="34"/>
  <c r="U2950" i="34"/>
  <c r="V2950" i="34"/>
  <c r="W2950" i="34"/>
  <c r="X2950" i="34"/>
  <c r="Y2950" i="34"/>
  <c r="Z2950" i="34"/>
  <c r="N2951" i="34"/>
  <c r="O2951" i="34"/>
  <c r="P2951" i="34"/>
  <c r="Q2951" i="34"/>
  <c r="R2951" i="34"/>
  <c r="S2951" i="34"/>
  <c r="T2951" i="34"/>
  <c r="U2951" i="34"/>
  <c r="V2951" i="34"/>
  <c r="W2951" i="34"/>
  <c r="X2951" i="34"/>
  <c r="Y2951" i="34"/>
  <c r="Z2951" i="34"/>
  <c r="N2952" i="34"/>
  <c r="O2952" i="34"/>
  <c r="P2952" i="34"/>
  <c r="Q2952" i="34"/>
  <c r="R2952" i="34"/>
  <c r="S2952" i="34"/>
  <c r="T2952" i="34"/>
  <c r="U2952" i="34"/>
  <c r="V2952" i="34"/>
  <c r="W2952" i="34"/>
  <c r="X2952" i="34"/>
  <c r="Y2952" i="34"/>
  <c r="Z2952" i="34"/>
  <c r="N2953" i="34"/>
  <c r="O2953" i="34"/>
  <c r="P2953" i="34"/>
  <c r="Q2953" i="34"/>
  <c r="R2953" i="34"/>
  <c r="S2953" i="34"/>
  <c r="T2953" i="34"/>
  <c r="U2953" i="34"/>
  <c r="V2953" i="34"/>
  <c r="W2953" i="34"/>
  <c r="X2953" i="34"/>
  <c r="Y2953" i="34"/>
  <c r="Z2953" i="34"/>
  <c r="N2954" i="34"/>
  <c r="O2954" i="34"/>
  <c r="P2954" i="34"/>
  <c r="Q2954" i="34"/>
  <c r="R2954" i="34"/>
  <c r="S2954" i="34"/>
  <c r="T2954" i="34"/>
  <c r="U2954" i="34"/>
  <c r="V2954" i="34"/>
  <c r="W2954" i="34"/>
  <c r="X2954" i="34"/>
  <c r="Y2954" i="34"/>
  <c r="Z2954" i="34"/>
  <c r="N2955" i="34"/>
  <c r="O2955" i="34"/>
  <c r="P2955" i="34"/>
  <c r="Q2955" i="34"/>
  <c r="R2955" i="34"/>
  <c r="S2955" i="34"/>
  <c r="T2955" i="34"/>
  <c r="U2955" i="34"/>
  <c r="V2955" i="34"/>
  <c r="W2955" i="34"/>
  <c r="X2955" i="34"/>
  <c r="Y2955" i="34"/>
  <c r="Z2955" i="34"/>
  <c r="N2956" i="34"/>
  <c r="O2956" i="34"/>
  <c r="P2956" i="34"/>
  <c r="Q2956" i="34"/>
  <c r="R2956" i="34"/>
  <c r="S2956" i="34"/>
  <c r="T2956" i="34"/>
  <c r="U2956" i="34"/>
  <c r="V2956" i="34"/>
  <c r="W2956" i="34"/>
  <c r="X2956" i="34"/>
  <c r="Y2956" i="34"/>
  <c r="Z2956" i="34"/>
  <c r="N2957" i="34"/>
  <c r="O2957" i="34"/>
  <c r="P2957" i="34"/>
  <c r="Q2957" i="34"/>
  <c r="R2957" i="34"/>
  <c r="S2957" i="34"/>
  <c r="T2957" i="34"/>
  <c r="U2957" i="34"/>
  <c r="V2957" i="34"/>
  <c r="W2957" i="34"/>
  <c r="X2957" i="34"/>
  <c r="Y2957" i="34"/>
  <c r="Z2957" i="34"/>
  <c r="N2958" i="34"/>
  <c r="O2958" i="34"/>
  <c r="P2958" i="34"/>
  <c r="Q2958" i="34"/>
  <c r="R2958" i="34"/>
  <c r="S2958" i="34"/>
  <c r="T2958" i="34"/>
  <c r="U2958" i="34"/>
  <c r="V2958" i="34"/>
  <c r="W2958" i="34"/>
  <c r="X2958" i="34"/>
  <c r="Y2958" i="34"/>
  <c r="Z2958" i="34"/>
  <c r="N2959" i="34"/>
  <c r="O2959" i="34"/>
  <c r="P2959" i="34"/>
  <c r="Q2959" i="34"/>
  <c r="R2959" i="34"/>
  <c r="S2959" i="34"/>
  <c r="T2959" i="34"/>
  <c r="U2959" i="34"/>
  <c r="V2959" i="34"/>
  <c r="W2959" i="34"/>
  <c r="X2959" i="34"/>
  <c r="Y2959" i="34"/>
  <c r="Z2959" i="34"/>
  <c r="N2960" i="34"/>
  <c r="O2960" i="34"/>
  <c r="P2960" i="34"/>
  <c r="Q2960" i="34"/>
  <c r="R2960" i="34"/>
  <c r="S2960" i="34"/>
  <c r="T2960" i="34"/>
  <c r="U2960" i="34"/>
  <c r="V2960" i="34"/>
  <c r="W2960" i="34"/>
  <c r="X2960" i="34"/>
  <c r="Y2960" i="34"/>
  <c r="Z2960" i="34"/>
  <c r="N2961" i="34"/>
  <c r="O2961" i="34"/>
  <c r="P2961" i="34"/>
  <c r="Q2961" i="34"/>
  <c r="R2961" i="34"/>
  <c r="S2961" i="34"/>
  <c r="T2961" i="34"/>
  <c r="U2961" i="34"/>
  <c r="V2961" i="34"/>
  <c r="W2961" i="34"/>
  <c r="X2961" i="34"/>
  <c r="Y2961" i="34"/>
  <c r="Z2961" i="34"/>
  <c r="N2962" i="34"/>
  <c r="O2962" i="34"/>
  <c r="P2962" i="34"/>
  <c r="Q2962" i="34"/>
  <c r="R2962" i="34"/>
  <c r="S2962" i="34"/>
  <c r="T2962" i="34"/>
  <c r="U2962" i="34"/>
  <c r="V2962" i="34"/>
  <c r="W2962" i="34"/>
  <c r="X2962" i="34"/>
  <c r="Y2962" i="34"/>
  <c r="Z2962" i="34"/>
  <c r="N2963" i="34"/>
  <c r="O2963" i="34"/>
  <c r="P2963" i="34"/>
  <c r="Q2963" i="34"/>
  <c r="R2963" i="34"/>
  <c r="S2963" i="34"/>
  <c r="T2963" i="34"/>
  <c r="U2963" i="34"/>
  <c r="V2963" i="34"/>
  <c r="W2963" i="34"/>
  <c r="X2963" i="34"/>
  <c r="Y2963" i="34"/>
  <c r="Z2963" i="34"/>
  <c r="N2964" i="34"/>
  <c r="O2964" i="34"/>
  <c r="P2964" i="34"/>
  <c r="Q2964" i="34"/>
  <c r="R2964" i="34"/>
  <c r="S2964" i="34"/>
  <c r="T2964" i="34"/>
  <c r="U2964" i="34"/>
  <c r="V2964" i="34"/>
  <c r="W2964" i="34"/>
  <c r="X2964" i="34"/>
  <c r="Y2964" i="34"/>
  <c r="Z2964" i="34"/>
  <c r="N2965" i="34"/>
  <c r="O2965" i="34"/>
  <c r="P2965" i="34"/>
  <c r="Q2965" i="34"/>
  <c r="R2965" i="34"/>
  <c r="S2965" i="34"/>
  <c r="T2965" i="34"/>
  <c r="U2965" i="34"/>
  <c r="V2965" i="34"/>
  <c r="W2965" i="34"/>
  <c r="X2965" i="34"/>
  <c r="Y2965" i="34"/>
  <c r="Z2965" i="34"/>
  <c r="N2966" i="34"/>
  <c r="O2966" i="34"/>
  <c r="P2966" i="34"/>
  <c r="Q2966" i="34"/>
  <c r="R2966" i="34"/>
  <c r="S2966" i="34"/>
  <c r="T2966" i="34"/>
  <c r="U2966" i="34"/>
  <c r="V2966" i="34"/>
  <c r="W2966" i="34"/>
  <c r="X2966" i="34"/>
  <c r="Y2966" i="34"/>
  <c r="Z2966" i="34"/>
  <c r="N2967" i="34"/>
  <c r="O2967" i="34"/>
  <c r="P2967" i="34"/>
  <c r="Q2967" i="34"/>
  <c r="R2967" i="34"/>
  <c r="S2967" i="34"/>
  <c r="T2967" i="34"/>
  <c r="U2967" i="34"/>
  <c r="V2967" i="34"/>
  <c r="W2967" i="34"/>
  <c r="X2967" i="34"/>
  <c r="Y2967" i="34"/>
  <c r="Z2967" i="34"/>
  <c r="N2968" i="34"/>
  <c r="O2968" i="34"/>
  <c r="P2968" i="34"/>
  <c r="Q2968" i="34"/>
  <c r="R2968" i="34"/>
  <c r="S2968" i="34"/>
  <c r="T2968" i="34"/>
  <c r="U2968" i="34"/>
  <c r="V2968" i="34"/>
  <c r="W2968" i="34"/>
  <c r="X2968" i="34"/>
  <c r="Y2968" i="34"/>
  <c r="Z2968" i="34"/>
  <c r="N2969" i="34"/>
  <c r="O2969" i="34"/>
  <c r="P2969" i="34"/>
  <c r="Q2969" i="34"/>
  <c r="R2969" i="34"/>
  <c r="S2969" i="34"/>
  <c r="T2969" i="34"/>
  <c r="U2969" i="34"/>
  <c r="V2969" i="34"/>
  <c r="W2969" i="34"/>
  <c r="X2969" i="34"/>
  <c r="Y2969" i="34"/>
  <c r="Z2969" i="34"/>
  <c r="N2970" i="34"/>
  <c r="O2970" i="34"/>
  <c r="P2970" i="34"/>
  <c r="Q2970" i="34"/>
  <c r="R2970" i="34"/>
  <c r="S2970" i="34"/>
  <c r="T2970" i="34"/>
  <c r="U2970" i="34"/>
  <c r="V2970" i="34"/>
  <c r="W2970" i="34"/>
  <c r="X2970" i="34"/>
  <c r="Y2970" i="34"/>
  <c r="Z2970" i="34"/>
  <c r="N2971" i="34"/>
  <c r="O2971" i="34"/>
  <c r="P2971" i="34"/>
  <c r="Q2971" i="34"/>
  <c r="R2971" i="34"/>
  <c r="S2971" i="34"/>
  <c r="T2971" i="34"/>
  <c r="U2971" i="34"/>
  <c r="V2971" i="34"/>
  <c r="W2971" i="34"/>
  <c r="X2971" i="34"/>
  <c r="Y2971" i="34"/>
  <c r="Z2971" i="34"/>
  <c r="N2972" i="34"/>
  <c r="O2972" i="34"/>
  <c r="P2972" i="34"/>
  <c r="Q2972" i="34"/>
  <c r="R2972" i="34"/>
  <c r="S2972" i="34"/>
  <c r="T2972" i="34"/>
  <c r="U2972" i="34"/>
  <c r="V2972" i="34"/>
  <c r="W2972" i="34"/>
  <c r="X2972" i="34"/>
  <c r="Y2972" i="34"/>
  <c r="Z2972" i="34"/>
  <c r="N2973" i="34"/>
  <c r="O2973" i="34"/>
  <c r="P2973" i="34"/>
  <c r="Q2973" i="34"/>
  <c r="R2973" i="34"/>
  <c r="S2973" i="34"/>
  <c r="T2973" i="34"/>
  <c r="U2973" i="34"/>
  <c r="V2973" i="34"/>
  <c r="W2973" i="34"/>
  <c r="X2973" i="34"/>
  <c r="Y2973" i="34"/>
  <c r="Z2973" i="34"/>
  <c r="N2974" i="34"/>
  <c r="O2974" i="34"/>
  <c r="P2974" i="34"/>
  <c r="Q2974" i="34"/>
  <c r="R2974" i="34"/>
  <c r="S2974" i="34"/>
  <c r="T2974" i="34"/>
  <c r="U2974" i="34"/>
  <c r="V2974" i="34"/>
  <c r="W2974" i="34"/>
  <c r="X2974" i="34"/>
  <c r="Y2974" i="34"/>
  <c r="Z2974" i="34"/>
  <c r="N2975" i="34"/>
  <c r="O2975" i="34"/>
  <c r="P2975" i="34"/>
  <c r="Q2975" i="34"/>
  <c r="R2975" i="34"/>
  <c r="S2975" i="34"/>
  <c r="T2975" i="34"/>
  <c r="U2975" i="34"/>
  <c r="V2975" i="34"/>
  <c r="W2975" i="34"/>
  <c r="X2975" i="34"/>
  <c r="Y2975" i="34"/>
  <c r="Z2975" i="34"/>
  <c r="N2976" i="34"/>
  <c r="O2976" i="34"/>
  <c r="P2976" i="34"/>
  <c r="Q2976" i="34"/>
  <c r="R2976" i="34"/>
  <c r="S2976" i="34"/>
  <c r="T2976" i="34"/>
  <c r="U2976" i="34"/>
  <c r="V2976" i="34"/>
  <c r="W2976" i="34"/>
  <c r="X2976" i="34"/>
  <c r="Y2976" i="34"/>
  <c r="Z2976" i="34"/>
  <c r="N2977" i="34"/>
  <c r="O2977" i="34"/>
  <c r="P2977" i="34"/>
  <c r="Q2977" i="34"/>
  <c r="R2977" i="34"/>
  <c r="S2977" i="34"/>
  <c r="T2977" i="34"/>
  <c r="U2977" i="34"/>
  <c r="V2977" i="34"/>
  <c r="W2977" i="34"/>
  <c r="X2977" i="34"/>
  <c r="Y2977" i="34"/>
  <c r="Z2977" i="34"/>
  <c r="N2978" i="34"/>
  <c r="O2978" i="34"/>
  <c r="P2978" i="34"/>
  <c r="Q2978" i="34"/>
  <c r="R2978" i="34"/>
  <c r="S2978" i="34"/>
  <c r="T2978" i="34"/>
  <c r="U2978" i="34"/>
  <c r="V2978" i="34"/>
  <c r="W2978" i="34"/>
  <c r="X2978" i="34"/>
  <c r="Y2978" i="34"/>
  <c r="Z2978" i="34"/>
  <c r="N2979" i="34"/>
  <c r="O2979" i="34"/>
  <c r="P2979" i="34"/>
  <c r="Q2979" i="34"/>
  <c r="R2979" i="34"/>
  <c r="S2979" i="34"/>
  <c r="T2979" i="34"/>
  <c r="U2979" i="34"/>
  <c r="V2979" i="34"/>
  <c r="W2979" i="34"/>
  <c r="X2979" i="34"/>
  <c r="Y2979" i="34"/>
  <c r="Z2979" i="34"/>
  <c r="N2980" i="34"/>
  <c r="O2980" i="34"/>
  <c r="P2980" i="34"/>
  <c r="Q2980" i="34"/>
  <c r="R2980" i="34"/>
  <c r="S2980" i="34"/>
  <c r="T2980" i="34"/>
  <c r="U2980" i="34"/>
  <c r="V2980" i="34"/>
  <c r="W2980" i="34"/>
  <c r="X2980" i="34"/>
  <c r="Y2980" i="34"/>
  <c r="Z2980" i="34"/>
  <c r="N2981" i="34"/>
  <c r="O2981" i="34"/>
  <c r="P2981" i="34"/>
  <c r="Q2981" i="34"/>
  <c r="R2981" i="34"/>
  <c r="S2981" i="34"/>
  <c r="T2981" i="34"/>
  <c r="U2981" i="34"/>
  <c r="V2981" i="34"/>
  <c r="W2981" i="34"/>
  <c r="X2981" i="34"/>
  <c r="Y2981" i="34"/>
  <c r="Z2981" i="34"/>
  <c r="N2982" i="34"/>
  <c r="O2982" i="34"/>
  <c r="P2982" i="34"/>
  <c r="Q2982" i="34"/>
  <c r="R2982" i="34"/>
  <c r="S2982" i="34"/>
  <c r="T2982" i="34"/>
  <c r="U2982" i="34"/>
  <c r="V2982" i="34"/>
  <c r="W2982" i="34"/>
  <c r="X2982" i="34"/>
  <c r="Y2982" i="34"/>
  <c r="Z2982" i="34"/>
  <c r="N2983" i="34"/>
  <c r="O2983" i="34"/>
  <c r="P2983" i="34"/>
  <c r="Q2983" i="34"/>
  <c r="R2983" i="34"/>
  <c r="S2983" i="34"/>
  <c r="T2983" i="34"/>
  <c r="U2983" i="34"/>
  <c r="V2983" i="34"/>
  <c r="W2983" i="34"/>
  <c r="X2983" i="34"/>
  <c r="Y2983" i="34"/>
  <c r="Z2983" i="34"/>
  <c r="N2984" i="34"/>
  <c r="O2984" i="34"/>
  <c r="P2984" i="34"/>
  <c r="Q2984" i="34"/>
  <c r="R2984" i="34"/>
  <c r="S2984" i="34"/>
  <c r="T2984" i="34"/>
  <c r="U2984" i="34"/>
  <c r="V2984" i="34"/>
  <c r="W2984" i="34"/>
  <c r="X2984" i="34"/>
  <c r="Y2984" i="34"/>
  <c r="Z2984" i="34"/>
  <c r="N2985" i="34"/>
  <c r="O2985" i="34"/>
  <c r="P2985" i="34"/>
  <c r="Q2985" i="34"/>
  <c r="R2985" i="34"/>
  <c r="S2985" i="34"/>
  <c r="T2985" i="34"/>
  <c r="U2985" i="34"/>
  <c r="V2985" i="34"/>
  <c r="W2985" i="34"/>
  <c r="X2985" i="34"/>
  <c r="Y2985" i="34"/>
  <c r="Z2985" i="34"/>
  <c r="N2986" i="34"/>
  <c r="O2986" i="34"/>
  <c r="P2986" i="34"/>
  <c r="Q2986" i="34"/>
  <c r="R2986" i="34"/>
  <c r="S2986" i="34"/>
  <c r="T2986" i="34"/>
  <c r="U2986" i="34"/>
  <c r="V2986" i="34"/>
  <c r="W2986" i="34"/>
  <c r="X2986" i="34"/>
  <c r="Y2986" i="34"/>
  <c r="Z2986" i="34"/>
  <c r="N2987" i="34"/>
  <c r="O2987" i="34"/>
  <c r="P2987" i="34"/>
  <c r="Q2987" i="34"/>
  <c r="R2987" i="34"/>
  <c r="S2987" i="34"/>
  <c r="T2987" i="34"/>
  <c r="U2987" i="34"/>
  <c r="V2987" i="34"/>
  <c r="W2987" i="34"/>
  <c r="X2987" i="34"/>
  <c r="Y2987" i="34"/>
  <c r="Z2987" i="34"/>
  <c r="N2988" i="34"/>
  <c r="O2988" i="34"/>
  <c r="P2988" i="34"/>
  <c r="Q2988" i="34"/>
  <c r="R2988" i="34"/>
  <c r="S2988" i="34"/>
  <c r="T2988" i="34"/>
  <c r="U2988" i="34"/>
  <c r="V2988" i="34"/>
  <c r="W2988" i="34"/>
  <c r="X2988" i="34"/>
  <c r="Y2988" i="34"/>
  <c r="Z2988" i="34"/>
  <c r="N2989" i="34"/>
  <c r="O2989" i="34"/>
  <c r="P2989" i="34"/>
  <c r="Q2989" i="34"/>
  <c r="R2989" i="34"/>
  <c r="S2989" i="34"/>
  <c r="T2989" i="34"/>
  <c r="U2989" i="34"/>
  <c r="V2989" i="34"/>
  <c r="W2989" i="34"/>
  <c r="X2989" i="34"/>
  <c r="Y2989" i="34"/>
  <c r="Z2989" i="34"/>
  <c r="N2990" i="34"/>
  <c r="O2990" i="34"/>
  <c r="P2990" i="34"/>
  <c r="Q2990" i="34"/>
  <c r="R2990" i="34"/>
  <c r="S2990" i="34"/>
  <c r="T2990" i="34"/>
  <c r="U2990" i="34"/>
  <c r="V2990" i="34"/>
  <c r="W2990" i="34"/>
  <c r="X2990" i="34"/>
  <c r="Y2990" i="34"/>
  <c r="Z2990" i="34"/>
  <c r="N2991" i="34"/>
  <c r="O2991" i="34"/>
  <c r="P2991" i="34"/>
  <c r="Q2991" i="34"/>
  <c r="R2991" i="34"/>
  <c r="S2991" i="34"/>
  <c r="T2991" i="34"/>
  <c r="U2991" i="34"/>
  <c r="V2991" i="34"/>
  <c r="W2991" i="34"/>
  <c r="X2991" i="34"/>
  <c r="Y2991" i="34"/>
  <c r="Z2991" i="34"/>
  <c r="N2992" i="34"/>
  <c r="O2992" i="34"/>
  <c r="P2992" i="34"/>
  <c r="Q2992" i="34"/>
  <c r="R2992" i="34"/>
  <c r="S2992" i="34"/>
  <c r="T2992" i="34"/>
  <c r="U2992" i="34"/>
  <c r="V2992" i="34"/>
  <c r="W2992" i="34"/>
  <c r="X2992" i="34"/>
  <c r="Y2992" i="34"/>
  <c r="Z2992" i="34"/>
  <c r="N2993" i="34"/>
  <c r="O2993" i="34"/>
  <c r="P2993" i="34"/>
  <c r="Q2993" i="34"/>
  <c r="R2993" i="34"/>
  <c r="S2993" i="34"/>
  <c r="T2993" i="34"/>
  <c r="U2993" i="34"/>
  <c r="V2993" i="34"/>
  <c r="W2993" i="34"/>
  <c r="X2993" i="34"/>
  <c r="Y2993" i="34"/>
  <c r="Z2993" i="34"/>
  <c r="N2994" i="34"/>
  <c r="O2994" i="34"/>
  <c r="P2994" i="34"/>
  <c r="Q2994" i="34"/>
  <c r="R2994" i="34"/>
  <c r="S2994" i="34"/>
  <c r="T2994" i="34"/>
  <c r="U2994" i="34"/>
  <c r="V2994" i="34"/>
  <c r="W2994" i="34"/>
  <c r="X2994" i="34"/>
  <c r="Y2994" i="34"/>
  <c r="Z2994" i="34"/>
  <c r="N2995" i="34"/>
  <c r="O2995" i="34"/>
  <c r="P2995" i="34"/>
  <c r="Q2995" i="34"/>
  <c r="R2995" i="34"/>
  <c r="S2995" i="34"/>
  <c r="T2995" i="34"/>
  <c r="U2995" i="34"/>
  <c r="V2995" i="34"/>
  <c r="W2995" i="34"/>
  <c r="X2995" i="34"/>
  <c r="Y2995" i="34"/>
  <c r="Z2995" i="34"/>
  <c r="N2996" i="34"/>
  <c r="O2996" i="34"/>
  <c r="P2996" i="34"/>
  <c r="Q2996" i="34"/>
  <c r="R2996" i="34"/>
  <c r="S2996" i="34"/>
  <c r="T2996" i="34"/>
  <c r="U2996" i="34"/>
  <c r="V2996" i="34"/>
  <c r="W2996" i="34"/>
  <c r="X2996" i="34"/>
  <c r="Y2996" i="34"/>
  <c r="Z2996" i="34"/>
  <c r="N2997" i="34"/>
  <c r="O2997" i="34"/>
  <c r="P2997" i="34"/>
  <c r="Q2997" i="34"/>
  <c r="R2997" i="34"/>
  <c r="S2997" i="34"/>
  <c r="T2997" i="34"/>
  <c r="U2997" i="34"/>
  <c r="V2997" i="34"/>
  <c r="W2997" i="34"/>
  <c r="X2997" i="34"/>
  <c r="Y2997" i="34"/>
  <c r="Z2997" i="34"/>
  <c r="N2998" i="34"/>
  <c r="O2998" i="34"/>
  <c r="P2998" i="34"/>
  <c r="Q2998" i="34"/>
  <c r="R2998" i="34"/>
  <c r="S2998" i="34"/>
  <c r="T2998" i="34"/>
  <c r="U2998" i="34"/>
  <c r="V2998" i="34"/>
  <c r="W2998" i="34"/>
  <c r="X2998" i="34"/>
  <c r="Y2998" i="34"/>
  <c r="Z2998" i="34"/>
  <c r="N2999" i="34"/>
  <c r="O2999" i="34"/>
  <c r="P2999" i="34"/>
  <c r="Q2999" i="34"/>
  <c r="R2999" i="34"/>
  <c r="S2999" i="34"/>
  <c r="T2999" i="34"/>
  <c r="U2999" i="34"/>
  <c r="V2999" i="34"/>
  <c r="W2999" i="34"/>
  <c r="X2999" i="34"/>
  <c r="Y2999" i="34"/>
  <c r="Z2999" i="34"/>
  <c r="N3000" i="34"/>
  <c r="O3000" i="34"/>
  <c r="P3000" i="34"/>
  <c r="Q3000" i="34"/>
  <c r="R3000" i="34"/>
  <c r="S3000" i="34"/>
  <c r="T3000" i="34"/>
  <c r="U3000" i="34"/>
  <c r="V3000" i="34"/>
  <c r="W3000" i="34"/>
  <c r="X3000" i="34"/>
  <c r="Y3000" i="34"/>
  <c r="Z3000" i="34"/>
  <c r="N3001" i="34"/>
  <c r="O3001" i="34"/>
  <c r="P3001" i="34"/>
  <c r="Q3001" i="34"/>
  <c r="R3001" i="34"/>
  <c r="S3001" i="34"/>
  <c r="T3001" i="34"/>
  <c r="U3001" i="34"/>
  <c r="V3001" i="34"/>
  <c r="W3001" i="34"/>
  <c r="X3001" i="34"/>
  <c r="Y3001" i="34"/>
  <c r="Z3001" i="34"/>
  <c r="N3002" i="34"/>
  <c r="O3002" i="34"/>
  <c r="P3002" i="34"/>
  <c r="Q3002" i="34"/>
  <c r="R3002" i="34"/>
  <c r="S3002" i="34"/>
  <c r="T3002" i="34"/>
  <c r="U3002" i="34"/>
  <c r="V3002" i="34"/>
  <c r="W3002" i="34"/>
  <c r="X3002" i="34"/>
  <c r="Y3002" i="34"/>
  <c r="Z3002" i="34"/>
  <c r="N3003" i="34"/>
  <c r="O3003" i="34"/>
  <c r="P3003" i="34"/>
  <c r="Q3003" i="34"/>
  <c r="R3003" i="34"/>
  <c r="S3003" i="34"/>
  <c r="T3003" i="34"/>
  <c r="U3003" i="34"/>
  <c r="V3003" i="34"/>
  <c r="W3003" i="34"/>
  <c r="X3003" i="34"/>
  <c r="Y3003" i="34"/>
  <c r="Z3003" i="34"/>
  <c r="N3004" i="34"/>
  <c r="O3004" i="34"/>
  <c r="P3004" i="34"/>
  <c r="Q3004" i="34"/>
  <c r="R3004" i="34"/>
  <c r="S3004" i="34"/>
  <c r="T3004" i="34"/>
  <c r="U3004" i="34"/>
  <c r="V3004" i="34"/>
  <c r="W3004" i="34"/>
  <c r="X3004" i="34"/>
  <c r="Y3004" i="34"/>
  <c r="Z3004" i="34"/>
  <c r="N3005" i="34"/>
  <c r="O3005" i="34"/>
  <c r="P3005" i="34"/>
  <c r="Q3005" i="34"/>
  <c r="R3005" i="34"/>
  <c r="S3005" i="34"/>
  <c r="T3005" i="34"/>
  <c r="U3005" i="34"/>
  <c r="V3005" i="34"/>
  <c r="W3005" i="34"/>
  <c r="X3005" i="34"/>
  <c r="Y3005" i="34"/>
  <c r="Z3005" i="34"/>
  <c r="N3006" i="34"/>
  <c r="O3006" i="34"/>
  <c r="P3006" i="34"/>
  <c r="Q3006" i="34"/>
  <c r="R3006" i="34"/>
  <c r="S3006" i="34"/>
  <c r="T3006" i="34"/>
  <c r="U3006" i="34"/>
  <c r="V3006" i="34"/>
  <c r="W3006" i="34"/>
  <c r="X3006" i="34"/>
  <c r="Y3006" i="34"/>
  <c r="Z3006" i="34"/>
  <c r="N3007" i="34"/>
  <c r="O3007" i="34"/>
  <c r="P3007" i="34"/>
  <c r="Q3007" i="34"/>
  <c r="R3007" i="34"/>
  <c r="S3007" i="34"/>
  <c r="T3007" i="34"/>
  <c r="U3007" i="34"/>
  <c r="V3007" i="34"/>
  <c r="W3007" i="34"/>
  <c r="X3007" i="34"/>
  <c r="Y3007" i="34"/>
  <c r="Z3007" i="34"/>
  <c r="N3008" i="34"/>
  <c r="O3008" i="34"/>
  <c r="P3008" i="34"/>
  <c r="Q3008" i="34"/>
  <c r="R3008" i="34"/>
  <c r="S3008" i="34"/>
  <c r="T3008" i="34"/>
  <c r="U3008" i="34"/>
  <c r="V3008" i="34"/>
  <c r="W3008" i="34"/>
  <c r="X3008" i="34"/>
  <c r="Y3008" i="34"/>
  <c r="Z3008" i="34"/>
  <c r="N3009" i="34"/>
  <c r="O3009" i="34"/>
  <c r="P3009" i="34"/>
  <c r="Q3009" i="34"/>
  <c r="R3009" i="34"/>
  <c r="S3009" i="34"/>
  <c r="T3009" i="34"/>
  <c r="U3009" i="34"/>
  <c r="V3009" i="34"/>
  <c r="W3009" i="34"/>
  <c r="X3009" i="34"/>
  <c r="Y3009" i="34"/>
  <c r="Z3009" i="34"/>
  <c r="N3010" i="34"/>
  <c r="O3010" i="34"/>
  <c r="P3010" i="34"/>
  <c r="Q3010" i="34"/>
  <c r="R3010" i="34"/>
  <c r="S3010" i="34"/>
  <c r="T3010" i="34"/>
  <c r="U3010" i="34"/>
  <c r="V3010" i="34"/>
  <c r="W3010" i="34"/>
  <c r="X3010" i="34"/>
  <c r="Y3010" i="34"/>
  <c r="Z3010" i="34"/>
  <c r="N3011" i="34"/>
  <c r="O3011" i="34"/>
  <c r="P3011" i="34"/>
  <c r="Q3011" i="34"/>
  <c r="R3011" i="34"/>
  <c r="S3011" i="34"/>
  <c r="T3011" i="34"/>
  <c r="U3011" i="34"/>
  <c r="V3011" i="34"/>
  <c r="W3011" i="34"/>
  <c r="X3011" i="34"/>
  <c r="Y3011" i="34"/>
  <c r="Z3011" i="34"/>
  <c r="N3012" i="34"/>
  <c r="O3012" i="34"/>
  <c r="P3012" i="34"/>
  <c r="Q3012" i="34"/>
  <c r="R3012" i="34"/>
  <c r="S3012" i="34"/>
  <c r="T3012" i="34"/>
  <c r="U3012" i="34"/>
  <c r="V3012" i="34"/>
  <c r="W3012" i="34"/>
  <c r="X3012" i="34"/>
  <c r="Y3012" i="34"/>
  <c r="Z3012" i="34"/>
  <c r="N3013" i="34"/>
  <c r="O3013" i="34"/>
  <c r="P3013" i="34"/>
  <c r="Q3013" i="34"/>
  <c r="R3013" i="34"/>
  <c r="S3013" i="34"/>
  <c r="T3013" i="34"/>
  <c r="U3013" i="34"/>
  <c r="V3013" i="34"/>
  <c r="W3013" i="34"/>
  <c r="X3013" i="34"/>
  <c r="Y3013" i="34"/>
  <c r="Z3013" i="34"/>
  <c r="N3014" i="34"/>
  <c r="O3014" i="34"/>
  <c r="P3014" i="34"/>
  <c r="Q3014" i="34"/>
  <c r="R3014" i="34"/>
  <c r="S3014" i="34"/>
  <c r="T3014" i="34"/>
  <c r="U3014" i="34"/>
  <c r="V3014" i="34"/>
  <c r="W3014" i="34"/>
  <c r="X3014" i="34"/>
  <c r="Y3014" i="34"/>
  <c r="Z3014" i="34"/>
  <c r="N3015" i="34"/>
  <c r="O3015" i="34"/>
  <c r="P3015" i="34"/>
  <c r="Q3015" i="34"/>
  <c r="R3015" i="34"/>
  <c r="S3015" i="34"/>
  <c r="T3015" i="34"/>
  <c r="U3015" i="34"/>
  <c r="V3015" i="34"/>
  <c r="W3015" i="34"/>
  <c r="X3015" i="34"/>
  <c r="Y3015" i="34"/>
  <c r="Z3015" i="34"/>
  <c r="N3016" i="34"/>
  <c r="O3016" i="34"/>
  <c r="P3016" i="34"/>
  <c r="Q3016" i="34"/>
  <c r="R3016" i="34"/>
  <c r="S3016" i="34"/>
  <c r="T3016" i="34"/>
  <c r="U3016" i="34"/>
  <c r="V3016" i="34"/>
  <c r="W3016" i="34"/>
  <c r="X3016" i="34"/>
  <c r="Y3016" i="34"/>
  <c r="Z3016" i="34"/>
  <c r="N3017" i="34"/>
  <c r="O3017" i="34"/>
  <c r="P3017" i="34"/>
  <c r="Q3017" i="34"/>
  <c r="R3017" i="34"/>
  <c r="S3017" i="34"/>
  <c r="T3017" i="34"/>
  <c r="U3017" i="34"/>
  <c r="V3017" i="34"/>
  <c r="W3017" i="34"/>
  <c r="X3017" i="34"/>
  <c r="Y3017" i="34"/>
  <c r="Z3017" i="34"/>
  <c r="N3018" i="34"/>
  <c r="O3018" i="34"/>
  <c r="P3018" i="34"/>
  <c r="Q3018" i="34"/>
  <c r="R3018" i="34"/>
  <c r="S3018" i="34"/>
  <c r="T3018" i="34"/>
  <c r="U3018" i="34"/>
  <c r="V3018" i="34"/>
  <c r="W3018" i="34"/>
  <c r="X3018" i="34"/>
  <c r="Y3018" i="34"/>
  <c r="Z3018" i="34"/>
  <c r="N3019" i="34"/>
  <c r="O3019" i="34"/>
  <c r="P3019" i="34"/>
  <c r="Q3019" i="34"/>
  <c r="R3019" i="34"/>
  <c r="S3019" i="34"/>
  <c r="T3019" i="34"/>
  <c r="U3019" i="34"/>
  <c r="V3019" i="34"/>
  <c r="W3019" i="34"/>
  <c r="X3019" i="34"/>
  <c r="Y3019" i="34"/>
  <c r="Z3019" i="34"/>
  <c r="N3020" i="34"/>
  <c r="O3020" i="34"/>
  <c r="P3020" i="34"/>
  <c r="Q3020" i="34"/>
  <c r="R3020" i="34"/>
  <c r="S3020" i="34"/>
  <c r="T3020" i="34"/>
  <c r="U3020" i="34"/>
  <c r="V3020" i="34"/>
  <c r="W3020" i="34"/>
  <c r="X3020" i="34"/>
  <c r="Y3020" i="34"/>
  <c r="Z3020" i="34"/>
  <c r="N3021" i="34"/>
  <c r="O3021" i="34"/>
  <c r="P3021" i="34"/>
  <c r="Q3021" i="34"/>
  <c r="R3021" i="34"/>
  <c r="S3021" i="34"/>
  <c r="T3021" i="34"/>
  <c r="U3021" i="34"/>
  <c r="V3021" i="34"/>
  <c r="W3021" i="34"/>
  <c r="X3021" i="34"/>
  <c r="Y3021" i="34"/>
  <c r="Z3021" i="34"/>
  <c r="N3022" i="34"/>
  <c r="O3022" i="34"/>
  <c r="P3022" i="34"/>
  <c r="Q3022" i="34"/>
  <c r="R3022" i="34"/>
  <c r="S3022" i="34"/>
  <c r="T3022" i="34"/>
  <c r="U3022" i="34"/>
  <c r="V3022" i="34"/>
  <c r="W3022" i="34"/>
  <c r="X3022" i="34"/>
  <c r="Y3022" i="34"/>
  <c r="Z3022" i="34"/>
  <c r="N3023" i="34"/>
  <c r="O3023" i="34"/>
  <c r="P3023" i="34"/>
  <c r="Q3023" i="34"/>
  <c r="R3023" i="34"/>
  <c r="S3023" i="34"/>
  <c r="T3023" i="34"/>
  <c r="U3023" i="34"/>
  <c r="V3023" i="34"/>
  <c r="W3023" i="34"/>
  <c r="X3023" i="34"/>
  <c r="Y3023" i="34"/>
  <c r="Z3023" i="34"/>
  <c r="N3024" i="34"/>
  <c r="O3024" i="34"/>
  <c r="P3024" i="34"/>
  <c r="Q3024" i="34"/>
  <c r="R3024" i="34"/>
  <c r="S3024" i="34"/>
  <c r="T3024" i="34"/>
  <c r="U3024" i="34"/>
  <c r="V3024" i="34"/>
  <c r="W3024" i="34"/>
  <c r="X3024" i="34"/>
  <c r="Y3024" i="34"/>
  <c r="Z3024" i="34"/>
  <c r="N3025" i="34"/>
  <c r="O3025" i="34"/>
  <c r="P3025" i="34"/>
  <c r="Q3025" i="34"/>
  <c r="R3025" i="34"/>
  <c r="S3025" i="34"/>
  <c r="T3025" i="34"/>
  <c r="U3025" i="34"/>
  <c r="V3025" i="34"/>
  <c r="W3025" i="34"/>
  <c r="X3025" i="34"/>
  <c r="Y3025" i="34"/>
  <c r="Z3025" i="34"/>
  <c r="N3026" i="34"/>
  <c r="O3026" i="34"/>
  <c r="P3026" i="34"/>
  <c r="Q3026" i="34"/>
  <c r="R3026" i="34"/>
  <c r="S3026" i="34"/>
  <c r="T3026" i="34"/>
  <c r="U3026" i="34"/>
  <c r="V3026" i="34"/>
  <c r="W3026" i="34"/>
  <c r="X3026" i="34"/>
  <c r="Y3026" i="34"/>
  <c r="Z3026" i="34"/>
  <c r="N3027" i="34"/>
  <c r="O3027" i="34"/>
  <c r="P3027" i="34"/>
  <c r="Q3027" i="34"/>
  <c r="R3027" i="34"/>
  <c r="S3027" i="34"/>
  <c r="T3027" i="34"/>
  <c r="U3027" i="34"/>
  <c r="V3027" i="34"/>
  <c r="W3027" i="34"/>
  <c r="X3027" i="34"/>
  <c r="Y3027" i="34"/>
  <c r="Z3027" i="34"/>
  <c r="N3028" i="34"/>
  <c r="O3028" i="34"/>
  <c r="P3028" i="34"/>
  <c r="Q3028" i="34"/>
  <c r="R3028" i="34"/>
  <c r="S3028" i="34"/>
  <c r="T3028" i="34"/>
  <c r="U3028" i="34"/>
  <c r="V3028" i="34"/>
  <c r="W3028" i="34"/>
  <c r="X3028" i="34"/>
  <c r="Y3028" i="34"/>
  <c r="Z3028" i="34"/>
  <c r="N3029" i="34"/>
  <c r="O3029" i="34"/>
  <c r="P3029" i="34"/>
  <c r="Q3029" i="34"/>
  <c r="R3029" i="34"/>
  <c r="S3029" i="34"/>
  <c r="T3029" i="34"/>
  <c r="U3029" i="34"/>
  <c r="V3029" i="34"/>
  <c r="W3029" i="34"/>
  <c r="X3029" i="34"/>
  <c r="Y3029" i="34"/>
  <c r="Z3029" i="34"/>
  <c r="N3030" i="34"/>
  <c r="O3030" i="34"/>
  <c r="P3030" i="34"/>
  <c r="Q3030" i="34"/>
  <c r="R3030" i="34"/>
  <c r="S3030" i="34"/>
  <c r="T3030" i="34"/>
  <c r="U3030" i="34"/>
  <c r="V3030" i="34"/>
  <c r="W3030" i="34"/>
  <c r="X3030" i="34"/>
  <c r="Y3030" i="34"/>
  <c r="Z3030" i="34"/>
  <c r="N3031" i="34"/>
  <c r="O3031" i="34"/>
  <c r="P3031" i="34"/>
  <c r="Q3031" i="34"/>
  <c r="R3031" i="34"/>
  <c r="S3031" i="34"/>
  <c r="T3031" i="34"/>
  <c r="U3031" i="34"/>
  <c r="V3031" i="34"/>
  <c r="W3031" i="34"/>
  <c r="X3031" i="34"/>
  <c r="Y3031" i="34"/>
  <c r="Z3031" i="34"/>
  <c r="N3032" i="34"/>
  <c r="O3032" i="34"/>
  <c r="P3032" i="34"/>
  <c r="Q3032" i="34"/>
  <c r="R3032" i="34"/>
  <c r="S3032" i="34"/>
  <c r="T3032" i="34"/>
  <c r="U3032" i="34"/>
  <c r="V3032" i="34"/>
  <c r="W3032" i="34"/>
  <c r="X3032" i="34"/>
  <c r="Y3032" i="34"/>
  <c r="Z3032" i="34"/>
  <c r="N3033" i="34"/>
  <c r="O3033" i="34"/>
  <c r="P3033" i="34"/>
  <c r="Q3033" i="34"/>
  <c r="R3033" i="34"/>
  <c r="S3033" i="34"/>
  <c r="T3033" i="34"/>
  <c r="U3033" i="34"/>
  <c r="V3033" i="34"/>
  <c r="W3033" i="34"/>
  <c r="X3033" i="34"/>
  <c r="Y3033" i="34"/>
  <c r="Z3033" i="34"/>
  <c r="N3034" i="34"/>
  <c r="O3034" i="34"/>
  <c r="P3034" i="34"/>
  <c r="Q3034" i="34"/>
  <c r="R3034" i="34"/>
  <c r="S3034" i="34"/>
  <c r="T3034" i="34"/>
  <c r="U3034" i="34"/>
  <c r="V3034" i="34"/>
  <c r="W3034" i="34"/>
  <c r="X3034" i="34"/>
  <c r="Y3034" i="34"/>
  <c r="Z3034" i="34"/>
  <c r="N3035" i="34"/>
  <c r="O3035" i="34"/>
  <c r="P3035" i="34"/>
  <c r="Q3035" i="34"/>
  <c r="R3035" i="34"/>
  <c r="S3035" i="34"/>
  <c r="T3035" i="34"/>
  <c r="U3035" i="34"/>
  <c r="V3035" i="34"/>
  <c r="W3035" i="34"/>
  <c r="X3035" i="34"/>
  <c r="Y3035" i="34"/>
  <c r="Z3035" i="34"/>
  <c r="N3036" i="34"/>
  <c r="O3036" i="34"/>
  <c r="P3036" i="34"/>
  <c r="Q3036" i="34"/>
  <c r="R3036" i="34"/>
  <c r="S3036" i="34"/>
  <c r="T3036" i="34"/>
  <c r="U3036" i="34"/>
  <c r="V3036" i="34"/>
  <c r="W3036" i="34"/>
  <c r="X3036" i="34"/>
  <c r="Y3036" i="34"/>
  <c r="Z3036" i="34"/>
  <c r="N3037" i="34"/>
  <c r="O3037" i="34"/>
  <c r="P3037" i="34"/>
  <c r="Q3037" i="34"/>
  <c r="R3037" i="34"/>
  <c r="S3037" i="34"/>
  <c r="T3037" i="34"/>
  <c r="U3037" i="34"/>
  <c r="V3037" i="34"/>
  <c r="W3037" i="34"/>
  <c r="X3037" i="34"/>
  <c r="Y3037" i="34"/>
  <c r="Z3037" i="34"/>
  <c r="N3038" i="34"/>
  <c r="O3038" i="34"/>
  <c r="P3038" i="34"/>
  <c r="Q3038" i="34"/>
  <c r="R3038" i="34"/>
  <c r="S3038" i="34"/>
  <c r="T3038" i="34"/>
  <c r="U3038" i="34"/>
  <c r="V3038" i="34"/>
  <c r="W3038" i="34"/>
  <c r="X3038" i="34"/>
  <c r="Y3038" i="34"/>
  <c r="Z3038" i="34"/>
  <c r="N3039" i="34"/>
  <c r="O3039" i="34"/>
  <c r="P3039" i="34"/>
  <c r="Q3039" i="34"/>
  <c r="R3039" i="34"/>
  <c r="S3039" i="34"/>
  <c r="T3039" i="34"/>
  <c r="U3039" i="34"/>
  <c r="V3039" i="34"/>
  <c r="W3039" i="34"/>
  <c r="X3039" i="34"/>
  <c r="Y3039" i="34"/>
  <c r="Z3039" i="34"/>
  <c r="N3040" i="34"/>
  <c r="O3040" i="34"/>
  <c r="P3040" i="34"/>
  <c r="Q3040" i="34"/>
  <c r="R3040" i="34"/>
  <c r="S3040" i="34"/>
  <c r="T3040" i="34"/>
  <c r="U3040" i="34"/>
  <c r="V3040" i="34"/>
  <c r="W3040" i="34"/>
  <c r="X3040" i="34"/>
  <c r="Y3040" i="34"/>
  <c r="Z3040" i="34"/>
  <c r="N3041" i="34"/>
  <c r="O3041" i="34"/>
  <c r="P3041" i="34"/>
  <c r="Q3041" i="34"/>
  <c r="R3041" i="34"/>
  <c r="S3041" i="34"/>
  <c r="T3041" i="34"/>
  <c r="U3041" i="34"/>
  <c r="V3041" i="34"/>
  <c r="W3041" i="34"/>
  <c r="X3041" i="34"/>
  <c r="Y3041" i="34"/>
  <c r="Z3041" i="34"/>
  <c r="N3042" i="34"/>
  <c r="O3042" i="34"/>
  <c r="P3042" i="34"/>
  <c r="Q3042" i="34"/>
  <c r="R3042" i="34"/>
  <c r="S3042" i="34"/>
  <c r="T3042" i="34"/>
  <c r="U3042" i="34"/>
  <c r="V3042" i="34"/>
  <c r="W3042" i="34"/>
  <c r="X3042" i="34"/>
  <c r="Y3042" i="34"/>
  <c r="Z3042" i="34"/>
  <c r="N3043" i="34"/>
  <c r="O3043" i="34"/>
  <c r="P3043" i="34"/>
  <c r="Q3043" i="34"/>
  <c r="R3043" i="34"/>
  <c r="S3043" i="34"/>
  <c r="T3043" i="34"/>
  <c r="U3043" i="34"/>
  <c r="V3043" i="34"/>
  <c r="W3043" i="34"/>
  <c r="X3043" i="34"/>
  <c r="Y3043" i="34"/>
  <c r="Z3043" i="34"/>
  <c r="N3044" i="34"/>
  <c r="O3044" i="34"/>
  <c r="P3044" i="34"/>
  <c r="Q3044" i="34"/>
  <c r="R3044" i="34"/>
  <c r="S3044" i="34"/>
  <c r="T3044" i="34"/>
  <c r="U3044" i="34"/>
  <c r="V3044" i="34"/>
  <c r="W3044" i="34"/>
  <c r="X3044" i="34"/>
  <c r="Y3044" i="34"/>
  <c r="Z3044" i="34"/>
  <c r="N3045" i="34"/>
  <c r="O3045" i="34"/>
  <c r="P3045" i="34"/>
  <c r="Q3045" i="34"/>
  <c r="R3045" i="34"/>
  <c r="S3045" i="34"/>
  <c r="T3045" i="34"/>
  <c r="U3045" i="34"/>
  <c r="V3045" i="34"/>
  <c r="W3045" i="34"/>
  <c r="X3045" i="34"/>
  <c r="Y3045" i="34"/>
  <c r="Z3045" i="34"/>
  <c r="N3046" i="34"/>
  <c r="O3046" i="34"/>
  <c r="P3046" i="34"/>
  <c r="Q3046" i="34"/>
  <c r="R3046" i="34"/>
  <c r="S3046" i="34"/>
  <c r="T3046" i="34"/>
  <c r="U3046" i="34"/>
  <c r="V3046" i="34"/>
  <c r="W3046" i="34"/>
  <c r="X3046" i="34"/>
  <c r="Y3046" i="34"/>
  <c r="Z3046" i="34"/>
  <c r="N3047" i="34"/>
  <c r="O3047" i="34"/>
  <c r="P3047" i="34"/>
  <c r="Q3047" i="34"/>
  <c r="R3047" i="34"/>
  <c r="S3047" i="34"/>
  <c r="T3047" i="34"/>
  <c r="U3047" i="34"/>
  <c r="V3047" i="34"/>
  <c r="W3047" i="34"/>
  <c r="X3047" i="34"/>
  <c r="Y3047" i="34"/>
  <c r="Z3047" i="34"/>
  <c r="N3048" i="34"/>
  <c r="O3048" i="34"/>
  <c r="P3048" i="34"/>
  <c r="Q3048" i="34"/>
  <c r="R3048" i="34"/>
  <c r="S3048" i="34"/>
  <c r="T3048" i="34"/>
  <c r="U3048" i="34"/>
  <c r="V3048" i="34"/>
  <c r="W3048" i="34"/>
  <c r="X3048" i="34"/>
  <c r="Y3048" i="34"/>
  <c r="Z3048" i="34"/>
  <c r="N3049" i="34"/>
  <c r="O3049" i="34"/>
  <c r="P3049" i="34"/>
  <c r="Q3049" i="34"/>
  <c r="R3049" i="34"/>
  <c r="S3049" i="34"/>
  <c r="T3049" i="34"/>
  <c r="U3049" i="34"/>
  <c r="V3049" i="34"/>
  <c r="W3049" i="34"/>
  <c r="X3049" i="34"/>
  <c r="Y3049" i="34"/>
  <c r="Z3049" i="34"/>
  <c r="N3050" i="34"/>
  <c r="O3050" i="34"/>
  <c r="P3050" i="34"/>
  <c r="Q3050" i="34"/>
  <c r="R3050" i="34"/>
  <c r="S3050" i="34"/>
  <c r="T3050" i="34"/>
  <c r="U3050" i="34"/>
  <c r="V3050" i="34"/>
  <c r="W3050" i="34"/>
  <c r="X3050" i="34"/>
  <c r="Y3050" i="34"/>
  <c r="Z3050" i="34"/>
  <c r="N3051" i="34"/>
  <c r="O3051" i="34"/>
  <c r="P3051" i="34"/>
  <c r="Q3051" i="34"/>
  <c r="R3051" i="34"/>
  <c r="S3051" i="34"/>
  <c r="T3051" i="34"/>
  <c r="U3051" i="34"/>
  <c r="V3051" i="34"/>
  <c r="W3051" i="34"/>
  <c r="X3051" i="34"/>
  <c r="Y3051" i="34"/>
  <c r="Z3051" i="34"/>
  <c r="N3052" i="34"/>
  <c r="O3052" i="34"/>
  <c r="P3052" i="34"/>
  <c r="Q3052" i="34"/>
  <c r="R3052" i="34"/>
  <c r="S3052" i="34"/>
  <c r="T3052" i="34"/>
  <c r="U3052" i="34"/>
  <c r="V3052" i="34"/>
  <c r="W3052" i="34"/>
  <c r="X3052" i="34"/>
  <c r="Y3052" i="34"/>
  <c r="Z3052" i="34"/>
  <c r="N3053" i="34"/>
  <c r="O3053" i="34"/>
  <c r="P3053" i="34"/>
  <c r="Q3053" i="34"/>
  <c r="R3053" i="34"/>
  <c r="S3053" i="34"/>
  <c r="T3053" i="34"/>
  <c r="U3053" i="34"/>
  <c r="V3053" i="34"/>
  <c r="W3053" i="34"/>
  <c r="X3053" i="34"/>
  <c r="Y3053" i="34"/>
  <c r="Z3053" i="34"/>
  <c r="N3054" i="34"/>
  <c r="O3054" i="34"/>
  <c r="P3054" i="34"/>
  <c r="Q3054" i="34"/>
  <c r="R3054" i="34"/>
  <c r="S3054" i="34"/>
  <c r="T3054" i="34"/>
  <c r="U3054" i="34"/>
  <c r="V3054" i="34"/>
  <c r="W3054" i="34"/>
  <c r="X3054" i="34"/>
  <c r="Y3054" i="34"/>
  <c r="Z3054" i="34"/>
  <c r="N3055" i="34"/>
  <c r="O3055" i="34"/>
  <c r="P3055" i="34"/>
  <c r="Q3055" i="34"/>
  <c r="R3055" i="34"/>
  <c r="S3055" i="34"/>
  <c r="T3055" i="34"/>
  <c r="U3055" i="34"/>
  <c r="V3055" i="34"/>
  <c r="W3055" i="34"/>
  <c r="X3055" i="34"/>
  <c r="Y3055" i="34"/>
  <c r="Z3055" i="34"/>
  <c r="N3056" i="34"/>
  <c r="O3056" i="34"/>
  <c r="P3056" i="34"/>
  <c r="Q3056" i="34"/>
  <c r="R3056" i="34"/>
  <c r="S3056" i="34"/>
  <c r="T3056" i="34"/>
  <c r="U3056" i="34"/>
  <c r="V3056" i="34"/>
  <c r="W3056" i="34"/>
  <c r="X3056" i="34"/>
  <c r="Y3056" i="34"/>
  <c r="Z3056" i="34"/>
  <c r="N3057" i="34"/>
  <c r="O3057" i="34"/>
  <c r="P3057" i="34"/>
  <c r="Q3057" i="34"/>
  <c r="R3057" i="34"/>
  <c r="S3057" i="34"/>
  <c r="T3057" i="34"/>
  <c r="U3057" i="34"/>
  <c r="V3057" i="34"/>
  <c r="W3057" i="34"/>
  <c r="X3057" i="34"/>
  <c r="Y3057" i="34"/>
  <c r="Z3057" i="34"/>
  <c r="N3058" i="34"/>
  <c r="O3058" i="34"/>
  <c r="P3058" i="34"/>
  <c r="Q3058" i="34"/>
  <c r="R3058" i="34"/>
  <c r="S3058" i="34"/>
  <c r="T3058" i="34"/>
  <c r="U3058" i="34"/>
  <c r="V3058" i="34"/>
  <c r="W3058" i="34"/>
  <c r="X3058" i="34"/>
  <c r="Y3058" i="34"/>
  <c r="Z3058" i="34"/>
  <c r="N3059" i="34"/>
  <c r="O3059" i="34"/>
  <c r="P3059" i="34"/>
  <c r="Q3059" i="34"/>
  <c r="R3059" i="34"/>
  <c r="S3059" i="34"/>
  <c r="T3059" i="34"/>
  <c r="U3059" i="34"/>
  <c r="V3059" i="34"/>
  <c r="W3059" i="34"/>
  <c r="X3059" i="34"/>
  <c r="Y3059" i="34"/>
  <c r="Z3059" i="34"/>
  <c r="N3060" i="34"/>
  <c r="O3060" i="34"/>
  <c r="P3060" i="34"/>
  <c r="Q3060" i="34"/>
  <c r="R3060" i="34"/>
  <c r="S3060" i="34"/>
  <c r="T3060" i="34"/>
  <c r="U3060" i="34"/>
  <c r="V3060" i="34"/>
  <c r="W3060" i="34"/>
  <c r="X3060" i="34"/>
  <c r="Y3060" i="34"/>
  <c r="Z3060" i="34"/>
  <c r="N3061" i="34"/>
  <c r="O3061" i="34"/>
  <c r="P3061" i="34"/>
  <c r="Q3061" i="34"/>
  <c r="R3061" i="34"/>
  <c r="S3061" i="34"/>
  <c r="T3061" i="34"/>
  <c r="U3061" i="34"/>
  <c r="V3061" i="34"/>
  <c r="W3061" i="34"/>
  <c r="X3061" i="34"/>
  <c r="Y3061" i="34"/>
  <c r="Z3061" i="34"/>
  <c r="N3062" i="34"/>
  <c r="O3062" i="34"/>
  <c r="P3062" i="34"/>
  <c r="Q3062" i="34"/>
  <c r="R3062" i="34"/>
  <c r="S3062" i="34"/>
  <c r="T3062" i="34"/>
  <c r="U3062" i="34"/>
  <c r="V3062" i="34"/>
  <c r="W3062" i="34"/>
  <c r="X3062" i="34"/>
  <c r="Y3062" i="34"/>
  <c r="Z3062" i="34"/>
  <c r="N3063" i="34"/>
  <c r="O3063" i="34"/>
  <c r="P3063" i="34"/>
  <c r="Q3063" i="34"/>
  <c r="R3063" i="34"/>
  <c r="S3063" i="34"/>
  <c r="T3063" i="34"/>
  <c r="U3063" i="34"/>
  <c r="V3063" i="34"/>
  <c r="W3063" i="34"/>
  <c r="X3063" i="34"/>
  <c r="Y3063" i="34"/>
  <c r="Z3063" i="34"/>
  <c r="N3064" i="34"/>
  <c r="O3064" i="34"/>
  <c r="P3064" i="34"/>
  <c r="Q3064" i="34"/>
  <c r="R3064" i="34"/>
  <c r="S3064" i="34"/>
  <c r="T3064" i="34"/>
  <c r="U3064" i="34"/>
  <c r="V3064" i="34"/>
  <c r="W3064" i="34"/>
  <c r="X3064" i="34"/>
  <c r="Y3064" i="34"/>
  <c r="Z3064" i="34"/>
  <c r="N3065" i="34"/>
  <c r="O3065" i="34"/>
  <c r="P3065" i="34"/>
  <c r="Q3065" i="34"/>
  <c r="R3065" i="34"/>
  <c r="S3065" i="34"/>
  <c r="T3065" i="34"/>
  <c r="U3065" i="34"/>
  <c r="V3065" i="34"/>
  <c r="W3065" i="34"/>
  <c r="X3065" i="34"/>
  <c r="Y3065" i="34"/>
  <c r="Z3065" i="34"/>
  <c r="N3066" i="34"/>
  <c r="O3066" i="34"/>
  <c r="P3066" i="34"/>
  <c r="Q3066" i="34"/>
  <c r="R3066" i="34"/>
  <c r="S3066" i="34"/>
  <c r="T3066" i="34"/>
  <c r="U3066" i="34"/>
  <c r="V3066" i="34"/>
  <c r="W3066" i="34"/>
  <c r="X3066" i="34"/>
  <c r="Y3066" i="34"/>
  <c r="Z3066" i="34"/>
  <c r="N3067" i="34"/>
  <c r="O3067" i="34"/>
  <c r="P3067" i="34"/>
  <c r="Q3067" i="34"/>
  <c r="R3067" i="34"/>
  <c r="S3067" i="34"/>
  <c r="T3067" i="34"/>
  <c r="U3067" i="34"/>
  <c r="V3067" i="34"/>
  <c r="W3067" i="34"/>
  <c r="X3067" i="34"/>
  <c r="Y3067" i="34"/>
  <c r="Z3067" i="34"/>
  <c r="N3068" i="34"/>
  <c r="O3068" i="34"/>
  <c r="P3068" i="34"/>
  <c r="Q3068" i="34"/>
  <c r="R3068" i="34"/>
  <c r="S3068" i="34"/>
  <c r="T3068" i="34"/>
  <c r="U3068" i="34"/>
  <c r="V3068" i="34"/>
  <c r="W3068" i="34"/>
  <c r="X3068" i="34"/>
  <c r="Y3068" i="34"/>
  <c r="Z3068" i="34"/>
  <c r="N3069" i="34"/>
  <c r="O3069" i="34"/>
  <c r="P3069" i="34"/>
  <c r="Q3069" i="34"/>
  <c r="R3069" i="34"/>
  <c r="S3069" i="34"/>
  <c r="T3069" i="34"/>
  <c r="U3069" i="34"/>
  <c r="V3069" i="34"/>
  <c r="W3069" i="34"/>
  <c r="X3069" i="34"/>
  <c r="Y3069" i="34"/>
  <c r="Z3069" i="34"/>
  <c r="N3070" i="34"/>
  <c r="O3070" i="34"/>
  <c r="P3070" i="34"/>
  <c r="Q3070" i="34"/>
  <c r="R3070" i="34"/>
  <c r="S3070" i="34"/>
  <c r="T3070" i="34"/>
  <c r="U3070" i="34"/>
  <c r="V3070" i="34"/>
  <c r="W3070" i="34"/>
  <c r="X3070" i="34"/>
  <c r="Y3070" i="34"/>
  <c r="Z3070" i="34"/>
  <c r="N3071" i="34"/>
  <c r="O3071" i="34"/>
  <c r="P3071" i="34"/>
  <c r="Q3071" i="34"/>
  <c r="R3071" i="34"/>
  <c r="S3071" i="34"/>
  <c r="T3071" i="34"/>
  <c r="U3071" i="34"/>
  <c r="V3071" i="34"/>
  <c r="W3071" i="34"/>
  <c r="X3071" i="34"/>
  <c r="Y3071" i="34"/>
  <c r="Z3071" i="34"/>
  <c r="N3072" i="34"/>
  <c r="O3072" i="34"/>
  <c r="P3072" i="34"/>
  <c r="Q3072" i="34"/>
  <c r="R3072" i="34"/>
  <c r="S3072" i="34"/>
  <c r="T3072" i="34"/>
  <c r="U3072" i="34"/>
  <c r="V3072" i="34"/>
  <c r="W3072" i="34"/>
  <c r="X3072" i="34"/>
  <c r="Y3072" i="34"/>
  <c r="Z3072" i="34"/>
  <c r="N3073" i="34"/>
  <c r="O3073" i="34"/>
  <c r="P3073" i="34"/>
  <c r="Q3073" i="34"/>
  <c r="R3073" i="34"/>
  <c r="S3073" i="34"/>
  <c r="T3073" i="34"/>
  <c r="U3073" i="34"/>
  <c r="V3073" i="34"/>
  <c r="W3073" i="34"/>
  <c r="X3073" i="34"/>
  <c r="Y3073" i="34"/>
  <c r="Z3073" i="34"/>
  <c r="N3074" i="34"/>
  <c r="O3074" i="34"/>
  <c r="P3074" i="34"/>
  <c r="Q3074" i="34"/>
  <c r="R3074" i="34"/>
  <c r="S3074" i="34"/>
  <c r="T3074" i="34"/>
  <c r="U3074" i="34"/>
  <c r="V3074" i="34"/>
  <c r="W3074" i="34"/>
  <c r="X3074" i="34"/>
  <c r="Y3074" i="34"/>
  <c r="Z3074" i="34"/>
  <c r="N3075" i="34"/>
  <c r="O3075" i="34"/>
  <c r="P3075" i="34"/>
  <c r="Q3075" i="34"/>
  <c r="R3075" i="34"/>
  <c r="S3075" i="34"/>
  <c r="T3075" i="34"/>
  <c r="U3075" i="34"/>
  <c r="V3075" i="34"/>
  <c r="W3075" i="34"/>
  <c r="X3075" i="34"/>
  <c r="Y3075" i="34"/>
  <c r="Z3075" i="34"/>
  <c r="N3076" i="34"/>
  <c r="O3076" i="34"/>
  <c r="P3076" i="34"/>
  <c r="Q3076" i="34"/>
  <c r="R3076" i="34"/>
  <c r="S3076" i="34"/>
  <c r="T3076" i="34"/>
  <c r="U3076" i="34"/>
  <c r="V3076" i="34"/>
  <c r="W3076" i="34"/>
  <c r="X3076" i="34"/>
  <c r="Y3076" i="34"/>
  <c r="Z3076" i="34"/>
  <c r="N3077" i="34"/>
  <c r="O3077" i="34"/>
  <c r="P3077" i="34"/>
  <c r="Q3077" i="34"/>
  <c r="R3077" i="34"/>
  <c r="S3077" i="34"/>
  <c r="T3077" i="34"/>
  <c r="U3077" i="34"/>
  <c r="V3077" i="34"/>
  <c r="W3077" i="34"/>
  <c r="X3077" i="34"/>
  <c r="Y3077" i="34"/>
  <c r="Z3077" i="34"/>
  <c r="N3078" i="34"/>
  <c r="O3078" i="34"/>
  <c r="P3078" i="34"/>
  <c r="Q3078" i="34"/>
  <c r="R3078" i="34"/>
  <c r="S3078" i="34"/>
  <c r="T3078" i="34"/>
  <c r="U3078" i="34"/>
  <c r="V3078" i="34"/>
  <c r="W3078" i="34"/>
  <c r="X3078" i="34"/>
  <c r="Y3078" i="34"/>
  <c r="Z3078" i="34"/>
  <c r="N3079" i="34"/>
  <c r="O3079" i="34"/>
  <c r="P3079" i="34"/>
  <c r="Q3079" i="34"/>
  <c r="R3079" i="34"/>
  <c r="S3079" i="34"/>
  <c r="T3079" i="34"/>
  <c r="U3079" i="34"/>
  <c r="V3079" i="34"/>
  <c r="W3079" i="34"/>
  <c r="X3079" i="34"/>
  <c r="Y3079" i="34"/>
  <c r="Z3079" i="34"/>
  <c r="N3080" i="34"/>
  <c r="O3080" i="34"/>
  <c r="P3080" i="34"/>
  <c r="Q3080" i="34"/>
  <c r="R3080" i="34"/>
  <c r="S3080" i="34"/>
  <c r="T3080" i="34"/>
  <c r="U3080" i="34"/>
  <c r="V3080" i="34"/>
  <c r="W3080" i="34"/>
  <c r="X3080" i="34"/>
  <c r="Y3080" i="34"/>
  <c r="Z3080" i="34"/>
  <c r="N3081" i="34"/>
  <c r="O3081" i="34"/>
  <c r="P3081" i="34"/>
  <c r="Q3081" i="34"/>
  <c r="R3081" i="34"/>
  <c r="S3081" i="34"/>
  <c r="T3081" i="34"/>
  <c r="U3081" i="34"/>
  <c r="V3081" i="34"/>
  <c r="W3081" i="34"/>
  <c r="X3081" i="34"/>
  <c r="Y3081" i="34"/>
  <c r="Z3081" i="34"/>
  <c r="N3082" i="34"/>
  <c r="O3082" i="34"/>
  <c r="P3082" i="34"/>
  <c r="Q3082" i="34"/>
  <c r="R3082" i="34"/>
  <c r="S3082" i="34"/>
  <c r="T3082" i="34"/>
  <c r="U3082" i="34"/>
  <c r="V3082" i="34"/>
  <c r="W3082" i="34"/>
  <c r="X3082" i="34"/>
  <c r="Y3082" i="34"/>
  <c r="Z3082" i="34"/>
  <c r="N3083" i="34"/>
  <c r="O3083" i="34"/>
  <c r="P3083" i="34"/>
  <c r="Q3083" i="34"/>
  <c r="R3083" i="34"/>
  <c r="S3083" i="34"/>
  <c r="T3083" i="34"/>
  <c r="U3083" i="34"/>
  <c r="V3083" i="34"/>
  <c r="W3083" i="34"/>
  <c r="X3083" i="34"/>
  <c r="Y3083" i="34"/>
  <c r="Z3083" i="34"/>
  <c r="N3084" i="34"/>
  <c r="O3084" i="34"/>
  <c r="P3084" i="34"/>
  <c r="Q3084" i="34"/>
  <c r="R3084" i="34"/>
  <c r="S3084" i="34"/>
  <c r="T3084" i="34"/>
  <c r="U3084" i="34"/>
  <c r="V3084" i="34"/>
  <c r="W3084" i="34"/>
  <c r="X3084" i="34"/>
  <c r="Y3084" i="34"/>
  <c r="Z3084" i="34"/>
  <c r="N3085" i="34"/>
  <c r="O3085" i="34"/>
  <c r="P3085" i="34"/>
  <c r="Q3085" i="34"/>
  <c r="R3085" i="34"/>
  <c r="S3085" i="34"/>
  <c r="T3085" i="34"/>
  <c r="U3085" i="34"/>
  <c r="V3085" i="34"/>
  <c r="W3085" i="34"/>
  <c r="X3085" i="34"/>
  <c r="Y3085" i="34"/>
  <c r="Z3085" i="34"/>
  <c r="N3086" i="34"/>
  <c r="O3086" i="34"/>
  <c r="P3086" i="34"/>
  <c r="Q3086" i="34"/>
  <c r="R3086" i="34"/>
  <c r="S3086" i="34"/>
  <c r="T3086" i="34"/>
  <c r="U3086" i="34"/>
  <c r="V3086" i="34"/>
  <c r="W3086" i="34"/>
  <c r="X3086" i="34"/>
  <c r="Y3086" i="34"/>
  <c r="Z3086" i="34"/>
  <c r="N3087" i="34"/>
  <c r="O3087" i="34"/>
  <c r="P3087" i="34"/>
  <c r="Q3087" i="34"/>
  <c r="R3087" i="34"/>
  <c r="S3087" i="34"/>
  <c r="T3087" i="34"/>
  <c r="U3087" i="34"/>
  <c r="V3087" i="34"/>
  <c r="W3087" i="34"/>
  <c r="X3087" i="34"/>
  <c r="Y3087" i="34"/>
  <c r="Z3087" i="34"/>
  <c r="N3088" i="34"/>
  <c r="O3088" i="34"/>
  <c r="P3088" i="34"/>
  <c r="Q3088" i="34"/>
  <c r="R3088" i="34"/>
  <c r="S3088" i="34"/>
  <c r="T3088" i="34"/>
  <c r="U3088" i="34"/>
  <c r="V3088" i="34"/>
  <c r="W3088" i="34"/>
  <c r="X3088" i="34"/>
  <c r="Y3088" i="34"/>
  <c r="Z3088" i="34"/>
  <c r="N3089" i="34"/>
  <c r="O3089" i="34"/>
  <c r="P3089" i="34"/>
  <c r="Q3089" i="34"/>
  <c r="R3089" i="34"/>
  <c r="S3089" i="34"/>
  <c r="T3089" i="34"/>
  <c r="U3089" i="34"/>
  <c r="V3089" i="34"/>
  <c r="W3089" i="34"/>
  <c r="X3089" i="34"/>
  <c r="Y3089" i="34"/>
  <c r="Z3089" i="34"/>
  <c r="N3090" i="34"/>
  <c r="O3090" i="34"/>
  <c r="P3090" i="34"/>
  <c r="Q3090" i="34"/>
  <c r="R3090" i="34"/>
  <c r="S3090" i="34"/>
  <c r="T3090" i="34"/>
  <c r="U3090" i="34"/>
  <c r="V3090" i="34"/>
  <c r="W3090" i="34"/>
  <c r="X3090" i="34"/>
  <c r="Y3090" i="34"/>
  <c r="Z3090" i="34"/>
  <c r="N3091" i="34"/>
  <c r="O3091" i="34"/>
  <c r="P3091" i="34"/>
  <c r="Q3091" i="34"/>
  <c r="R3091" i="34"/>
  <c r="S3091" i="34"/>
  <c r="T3091" i="34"/>
  <c r="U3091" i="34"/>
  <c r="V3091" i="34"/>
  <c r="W3091" i="34"/>
  <c r="X3091" i="34"/>
  <c r="Y3091" i="34"/>
  <c r="Z3091" i="34"/>
  <c r="N3092" i="34"/>
  <c r="O3092" i="34"/>
  <c r="P3092" i="34"/>
  <c r="Q3092" i="34"/>
  <c r="R3092" i="34"/>
  <c r="S3092" i="34"/>
  <c r="T3092" i="34"/>
  <c r="U3092" i="34"/>
  <c r="V3092" i="34"/>
  <c r="W3092" i="34"/>
  <c r="X3092" i="34"/>
  <c r="Y3092" i="34"/>
  <c r="Z3092" i="34"/>
  <c r="N3093" i="34"/>
  <c r="O3093" i="34"/>
  <c r="P3093" i="34"/>
  <c r="Q3093" i="34"/>
  <c r="R3093" i="34"/>
  <c r="S3093" i="34"/>
  <c r="T3093" i="34"/>
  <c r="U3093" i="34"/>
  <c r="V3093" i="34"/>
  <c r="W3093" i="34"/>
  <c r="X3093" i="34"/>
  <c r="Y3093" i="34"/>
  <c r="Z3093" i="34"/>
  <c r="N3094" i="34"/>
  <c r="O3094" i="34"/>
  <c r="P3094" i="34"/>
  <c r="Q3094" i="34"/>
  <c r="R3094" i="34"/>
  <c r="S3094" i="34"/>
  <c r="T3094" i="34"/>
  <c r="U3094" i="34"/>
  <c r="V3094" i="34"/>
  <c r="W3094" i="34"/>
  <c r="X3094" i="34"/>
  <c r="Y3094" i="34"/>
  <c r="Z3094" i="34"/>
  <c r="N3095" i="34"/>
  <c r="O3095" i="34"/>
  <c r="P3095" i="34"/>
  <c r="Q3095" i="34"/>
  <c r="R3095" i="34"/>
  <c r="S3095" i="34"/>
  <c r="T3095" i="34"/>
  <c r="U3095" i="34"/>
  <c r="V3095" i="34"/>
  <c r="W3095" i="34"/>
  <c r="X3095" i="34"/>
  <c r="Y3095" i="34"/>
  <c r="Z3095" i="34"/>
  <c r="N3096" i="34"/>
  <c r="O3096" i="34"/>
  <c r="P3096" i="34"/>
  <c r="Q3096" i="34"/>
  <c r="R3096" i="34"/>
  <c r="S3096" i="34"/>
  <c r="T3096" i="34"/>
  <c r="U3096" i="34"/>
  <c r="V3096" i="34"/>
  <c r="W3096" i="34"/>
  <c r="X3096" i="34"/>
  <c r="Y3096" i="34"/>
  <c r="Z3096" i="34"/>
  <c r="N3097" i="34"/>
  <c r="O3097" i="34"/>
  <c r="P3097" i="34"/>
  <c r="Q3097" i="34"/>
  <c r="R3097" i="34"/>
  <c r="S3097" i="34"/>
  <c r="T3097" i="34"/>
  <c r="U3097" i="34"/>
  <c r="V3097" i="34"/>
  <c r="W3097" i="34"/>
  <c r="X3097" i="34"/>
  <c r="Y3097" i="34"/>
  <c r="Z3097" i="34"/>
  <c r="N3098" i="34"/>
  <c r="O3098" i="34"/>
  <c r="P3098" i="34"/>
  <c r="Q3098" i="34"/>
  <c r="R3098" i="34"/>
  <c r="S3098" i="34"/>
  <c r="T3098" i="34"/>
  <c r="U3098" i="34"/>
  <c r="V3098" i="34"/>
  <c r="W3098" i="34"/>
  <c r="X3098" i="34"/>
  <c r="Y3098" i="34"/>
  <c r="Z3098" i="34"/>
  <c r="N3099" i="34"/>
  <c r="O3099" i="34"/>
  <c r="P3099" i="34"/>
  <c r="Q3099" i="34"/>
  <c r="R3099" i="34"/>
  <c r="S3099" i="34"/>
  <c r="T3099" i="34"/>
  <c r="U3099" i="34"/>
  <c r="V3099" i="34"/>
  <c r="W3099" i="34"/>
  <c r="X3099" i="34"/>
  <c r="Y3099" i="34"/>
  <c r="Z3099" i="34"/>
  <c r="N3100" i="34"/>
  <c r="O3100" i="34"/>
  <c r="P3100" i="34"/>
  <c r="Q3100" i="34"/>
  <c r="R3100" i="34"/>
  <c r="S3100" i="34"/>
  <c r="T3100" i="34"/>
  <c r="U3100" i="34"/>
  <c r="V3100" i="34"/>
  <c r="W3100" i="34"/>
  <c r="X3100" i="34"/>
  <c r="Y3100" i="34"/>
  <c r="Z3100" i="34"/>
  <c r="N3101" i="34"/>
  <c r="O3101" i="34"/>
  <c r="P3101" i="34"/>
  <c r="Q3101" i="34"/>
  <c r="R3101" i="34"/>
  <c r="S3101" i="34"/>
  <c r="T3101" i="34"/>
  <c r="U3101" i="34"/>
  <c r="V3101" i="34"/>
  <c r="W3101" i="34"/>
  <c r="X3101" i="34"/>
  <c r="Y3101" i="34"/>
  <c r="Z3101" i="34"/>
  <c r="N3102" i="34"/>
  <c r="O3102" i="34"/>
  <c r="P3102" i="34"/>
  <c r="Q3102" i="34"/>
  <c r="R3102" i="34"/>
  <c r="S3102" i="34"/>
  <c r="T3102" i="34"/>
  <c r="U3102" i="34"/>
  <c r="V3102" i="34"/>
  <c r="W3102" i="34"/>
  <c r="X3102" i="34"/>
  <c r="Y3102" i="34"/>
  <c r="Z3102" i="34"/>
  <c r="N3103" i="34"/>
  <c r="O3103" i="34"/>
  <c r="P3103" i="34"/>
  <c r="Q3103" i="34"/>
  <c r="R3103" i="34"/>
  <c r="S3103" i="34"/>
  <c r="T3103" i="34"/>
  <c r="U3103" i="34"/>
  <c r="V3103" i="34"/>
  <c r="W3103" i="34"/>
  <c r="X3103" i="34"/>
  <c r="Y3103" i="34"/>
  <c r="Z3103" i="34"/>
  <c r="N3104" i="34"/>
  <c r="O3104" i="34"/>
  <c r="P3104" i="34"/>
  <c r="Q3104" i="34"/>
  <c r="R3104" i="34"/>
  <c r="S3104" i="34"/>
  <c r="T3104" i="34"/>
  <c r="U3104" i="34"/>
  <c r="V3104" i="34"/>
  <c r="W3104" i="34"/>
  <c r="X3104" i="34"/>
  <c r="Y3104" i="34"/>
  <c r="Z3104" i="34"/>
  <c r="N3105" i="34"/>
  <c r="O3105" i="34"/>
  <c r="P3105" i="34"/>
  <c r="Q3105" i="34"/>
  <c r="R3105" i="34"/>
  <c r="S3105" i="34"/>
  <c r="T3105" i="34"/>
  <c r="U3105" i="34"/>
  <c r="V3105" i="34"/>
  <c r="W3105" i="34"/>
  <c r="X3105" i="34"/>
  <c r="Y3105" i="34"/>
  <c r="Z3105" i="34"/>
  <c r="N3106" i="34"/>
  <c r="O3106" i="34"/>
  <c r="P3106" i="34"/>
  <c r="Q3106" i="34"/>
  <c r="R3106" i="34"/>
  <c r="S3106" i="34"/>
  <c r="T3106" i="34"/>
  <c r="U3106" i="34"/>
  <c r="V3106" i="34"/>
  <c r="W3106" i="34"/>
  <c r="X3106" i="34"/>
  <c r="Y3106" i="34"/>
  <c r="Z3106" i="34"/>
  <c r="N3107" i="34"/>
  <c r="O3107" i="34"/>
  <c r="P3107" i="34"/>
  <c r="Q3107" i="34"/>
  <c r="R3107" i="34"/>
  <c r="S3107" i="34"/>
  <c r="T3107" i="34"/>
  <c r="U3107" i="34"/>
  <c r="V3107" i="34"/>
  <c r="W3107" i="34"/>
  <c r="X3107" i="34"/>
  <c r="Y3107" i="34"/>
  <c r="Z3107" i="34"/>
  <c r="N3108" i="34"/>
  <c r="O3108" i="34"/>
  <c r="P3108" i="34"/>
  <c r="Q3108" i="34"/>
  <c r="R3108" i="34"/>
  <c r="S3108" i="34"/>
  <c r="T3108" i="34"/>
  <c r="U3108" i="34"/>
  <c r="V3108" i="34"/>
  <c r="W3108" i="34"/>
  <c r="X3108" i="34"/>
  <c r="Y3108" i="34"/>
  <c r="Z3108" i="34"/>
  <c r="N3109" i="34"/>
  <c r="O3109" i="34"/>
  <c r="P3109" i="34"/>
  <c r="Q3109" i="34"/>
  <c r="R3109" i="34"/>
  <c r="S3109" i="34"/>
  <c r="T3109" i="34"/>
  <c r="U3109" i="34"/>
  <c r="V3109" i="34"/>
  <c r="W3109" i="34"/>
  <c r="X3109" i="34"/>
  <c r="Y3109" i="34"/>
  <c r="Z3109" i="34"/>
  <c r="N3110" i="34"/>
  <c r="O3110" i="34"/>
  <c r="P3110" i="34"/>
  <c r="Q3110" i="34"/>
  <c r="R3110" i="34"/>
  <c r="S3110" i="34"/>
  <c r="T3110" i="34"/>
  <c r="U3110" i="34"/>
  <c r="V3110" i="34"/>
  <c r="W3110" i="34"/>
  <c r="X3110" i="34"/>
  <c r="Y3110" i="34"/>
  <c r="Z3110" i="34"/>
  <c r="N3111" i="34"/>
  <c r="O3111" i="34"/>
  <c r="P3111" i="34"/>
  <c r="Q3111" i="34"/>
  <c r="R3111" i="34"/>
  <c r="S3111" i="34"/>
  <c r="T3111" i="34"/>
  <c r="U3111" i="34"/>
  <c r="V3111" i="34"/>
  <c r="W3111" i="34"/>
  <c r="X3111" i="34"/>
  <c r="Y3111" i="34"/>
  <c r="Z3111" i="34"/>
  <c r="N3112" i="34"/>
  <c r="O3112" i="34"/>
  <c r="P3112" i="34"/>
  <c r="Q3112" i="34"/>
  <c r="R3112" i="34"/>
  <c r="S3112" i="34"/>
  <c r="T3112" i="34"/>
  <c r="U3112" i="34"/>
  <c r="V3112" i="34"/>
  <c r="W3112" i="34"/>
  <c r="X3112" i="34"/>
  <c r="Y3112" i="34"/>
  <c r="Z3112" i="34"/>
  <c r="N3113" i="34"/>
  <c r="O3113" i="34"/>
  <c r="P3113" i="34"/>
  <c r="Q3113" i="34"/>
  <c r="R3113" i="34"/>
  <c r="S3113" i="34"/>
  <c r="T3113" i="34"/>
  <c r="U3113" i="34"/>
  <c r="V3113" i="34"/>
  <c r="W3113" i="34"/>
  <c r="X3113" i="34"/>
  <c r="Y3113" i="34"/>
  <c r="Z3113" i="34"/>
  <c r="N3114" i="34"/>
  <c r="O3114" i="34"/>
  <c r="P3114" i="34"/>
  <c r="Q3114" i="34"/>
  <c r="R3114" i="34"/>
  <c r="S3114" i="34"/>
  <c r="T3114" i="34"/>
  <c r="U3114" i="34"/>
  <c r="V3114" i="34"/>
  <c r="W3114" i="34"/>
  <c r="X3114" i="34"/>
  <c r="Y3114" i="34"/>
  <c r="Z3114" i="34"/>
  <c r="N3115" i="34"/>
  <c r="O3115" i="34"/>
  <c r="P3115" i="34"/>
  <c r="Q3115" i="34"/>
  <c r="R3115" i="34"/>
  <c r="S3115" i="34"/>
  <c r="T3115" i="34"/>
  <c r="U3115" i="34"/>
  <c r="V3115" i="34"/>
  <c r="W3115" i="34"/>
  <c r="X3115" i="34"/>
  <c r="Y3115" i="34"/>
  <c r="Z3115" i="34"/>
  <c r="N3116" i="34"/>
  <c r="O3116" i="34"/>
  <c r="P3116" i="34"/>
  <c r="Q3116" i="34"/>
  <c r="R3116" i="34"/>
  <c r="S3116" i="34"/>
  <c r="T3116" i="34"/>
  <c r="U3116" i="34"/>
  <c r="V3116" i="34"/>
  <c r="W3116" i="34"/>
  <c r="X3116" i="34"/>
  <c r="Y3116" i="34"/>
  <c r="Z3116" i="34"/>
  <c r="N3117" i="34"/>
  <c r="O3117" i="34"/>
  <c r="P3117" i="34"/>
  <c r="Q3117" i="34"/>
  <c r="R3117" i="34"/>
  <c r="S3117" i="34"/>
  <c r="T3117" i="34"/>
  <c r="U3117" i="34"/>
  <c r="V3117" i="34"/>
  <c r="W3117" i="34"/>
  <c r="X3117" i="34"/>
  <c r="Y3117" i="34"/>
  <c r="Z3117" i="34"/>
  <c r="N3118" i="34"/>
  <c r="O3118" i="34"/>
  <c r="P3118" i="34"/>
  <c r="Q3118" i="34"/>
  <c r="R3118" i="34"/>
  <c r="S3118" i="34"/>
  <c r="T3118" i="34"/>
  <c r="U3118" i="34"/>
  <c r="V3118" i="34"/>
  <c r="W3118" i="34"/>
  <c r="X3118" i="34"/>
  <c r="Y3118" i="34"/>
  <c r="Z3118" i="34"/>
  <c r="N3119" i="34"/>
  <c r="O3119" i="34"/>
  <c r="P3119" i="34"/>
  <c r="Q3119" i="34"/>
  <c r="R3119" i="34"/>
  <c r="S3119" i="34"/>
  <c r="T3119" i="34"/>
  <c r="U3119" i="34"/>
  <c r="V3119" i="34"/>
  <c r="W3119" i="34"/>
  <c r="X3119" i="34"/>
  <c r="Y3119" i="34"/>
  <c r="Z3119" i="34"/>
  <c r="N3120" i="34"/>
  <c r="O3120" i="34"/>
  <c r="P3120" i="34"/>
  <c r="Q3120" i="34"/>
  <c r="R3120" i="34"/>
  <c r="S3120" i="34"/>
  <c r="T3120" i="34"/>
  <c r="U3120" i="34"/>
  <c r="V3120" i="34"/>
  <c r="W3120" i="34"/>
  <c r="X3120" i="34"/>
  <c r="Y3120" i="34"/>
  <c r="Z3120" i="34"/>
  <c r="N3121" i="34"/>
  <c r="O3121" i="34"/>
  <c r="P3121" i="34"/>
  <c r="Q3121" i="34"/>
  <c r="R3121" i="34"/>
  <c r="S3121" i="34"/>
  <c r="T3121" i="34"/>
  <c r="U3121" i="34"/>
  <c r="V3121" i="34"/>
  <c r="W3121" i="34"/>
  <c r="X3121" i="34"/>
  <c r="Y3121" i="34"/>
  <c r="Z3121" i="34"/>
  <c r="N3122" i="34"/>
  <c r="O3122" i="34"/>
  <c r="P3122" i="34"/>
  <c r="Q3122" i="34"/>
  <c r="R3122" i="34"/>
  <c r="S3122" i="34"/>
  <c r="T3122" i="34"/>
  <c r="U3122" i="34"/>
  <c r="V3122" i="34"/>
  <c r="W3122" i="34"/>
  <c r="X3122" i="34"/>
  <c r="Y3122" i="34"/>
  <c r="Z3122" i="34"/>
  <c r="N3123" i="34"/>
  <c r="O3123" i="34"/>
  <c r="P3123" i="34"/>
  <c r="Q3123" i="34"/>
  <c r="R3123" i="34"/>
  <c r="S3123" i="34"/>
  <c r="T3123" i="34"/>
  <c r="U3123" i="34"/>
  <c r="V3123" i="34"/>
  <c r="W3123" i="34"/>
  <c r="X3123" i="34"/>
  <c r="Y3123" i="34"/>
  <c r="Z3123" i="34"/>
  <c r="N3124" i="34"/>
  <c r="O3124" i="34"/>
  <c r="P3124" i="34"/>
  <c r="Q3124" i="34"/>
  <c r="R3124" i="34"/>
  <c r="S3124" i="34"/>
  <c r="T3124" i="34"/>
  <c r="U3124" i="34"/>
  <c r="V3124" i="34"/>
  <c r="W3124" i="34"/>
  <c r="X3124" i="34"/>
  <c r="Y3124" i="34"/>
  <c r="Z3124" i="34"/>
  <c r="N3125" i="34"/>
  <c r="O3125" i="34"/>
  <c r="P3125" i="34"/>
  <c r="Q3125" i="34"/>
  <c r="R3125" i="34"/>
  <c r="S3125" i="34"/>
  <c r="T3125" i="34"/>
  <c r="U3125" i="34"/>
  <c r="V3125" i="34"/>
  <c r="W3125" i="34"/>
  <c r="X3125" i="34"/>
  <c r="Y3125" i="34"/>
  <c r="Z3125" i="34"/>
  <c r="N3126" i="34"/>
  <c r="O3126" i="34"/>
  <c r="P3126" i="34"/>
  <c r="Q3126" i="34"/>
  <c r="R3126" i="34"/>
  <c r="S3126" i="34"/>
  <c r="T3126" i="34"/>
  <c r="U3126" i="34"/>
  <c r="V3126" i="34"/>
  <c r="W3126" i="34"/>
  <c r="X3126" i="34"/>
  <c r="Y3126" i="34"/>
  <c r="Z3126" i="34"/>
  <c r="N3127" i="34"/>
  <c r="O3127" i="34"/>
  <c r="P3127" i="34"/>
  <c r="Q3127" i="34"/>
  <c r="R3127" i="34"/>
  <c r="S3127" i="34"/>
  <c r="T3127" i="34"/>
  <c r="U3127" i="34"/>
  <c r="V3127" i="34"/>
  <c r="W3127" i="34"/>
  <c r="X3127" i="34"/>
  <c r="Y3127" i="34"/>
  <c r="Z3127" i="34"/>
  <c r="N3128" i="34"/>
  <c r="O3128" i="34"/>
  <c r="P3128" i="34"/>
  <c r="Q3128" i="34"/>
  <c r="R3128" i="34"/>
  <c r="S3128" i="34"/>
  <c r="T3128" i="34"/>
  <c r="U3128" i="34"/>
  <c r="V3128" i="34"/>
  <c r="W3128" i="34"/>
  <c r="X3128" i="34"/>
  <c r="Y3128" i="34"/>
  <c r="Z3128" i="34"/>
  <c r="N3129" i="34"/>
  <c r="O3129" i="34"/>
  <c r="P3129" i="34"/>
  <c r="Q3129" i="34"/>
  <c r="R3129" i="34"/>
  <c r="S3129" i="34"/>
  <c r="T3129" i="34"/>
  <c r="U3129" i="34"/>
  <c r="V3129" i="34"/>
  <c r="W3129" i="34"/>
  <c r="X3129" i="34"/>
  <c r="Y3129" i="34"/>
  <c r="Z3129" i="34"/>
  <c r="N3130" i="34"/>
  <c r="O3130" i="34"/>
  <c r="P3130" i="34"/>
  <c r="Q3130" i="34"/>
  <c r="R3130" i="34"/>
  <c r="S3130" i="34"/>
  <c r="T3130" i="34"/>
  <c r="U3130" i="34"/>
  <c r="V3130" i="34"/>
  <c r="W3130" i="34"/>
  <c r="X3130" i="34"/>
  <c r="Y3130" i="34"/>
  <c r="Z3130" i="34"/>
  <c r="N3131" i="34"/>
  <c r="O3131" i="34"/>
  <c r="P3131" i="34"/>
  <c r="Q3131" i="34"/>
  <c r="R3131" i="34"/>
  <c r="S3131" i="34"/>
  <c r="T3131" i="34"/>
  <c r="U3131" i="34"/>
  <c r="V3131" i="34"/>
  <c r="W3131" i="34"/>
  <c r="X3131" i="34"/>
  <c r="Y3131" i="34"/>
  <c r="Z3131" i="34"/>
  <c r="N3132" i="34"/>
  <c r="O3132" i="34"/>
  <c r="P3132" i="34"/>
  <c r="Q3132" i="34"/>
  <c r="R3132" i="34"/>
  <c r="S3132" i="34"/>
  <c r="T3132" i="34"/>
  <c r="U3132" i="34"/>
  <c r="V3132" i="34"/>
  <c r="W3132" i="34"/>
  <c r="X3132" i="34"/>
  <c r="Y3132" i="34"/>
  <c r="Z3132" i="34"/>
  <c r="N3133" i="34"/>
  <c r="O3133" i="34"/>
  <c r="P3133" i="34"/>
  <c r="Q3133" i="34"/>
  <c r="R3133" i="34"/>
  <c r="S3133" i="34"/>
  <c r="T3133" i="34"/>
  <c r="U3133" i="34"/>
  <c r="V3133" i="34"/>
  <c r="W3133" i="34"/>
  <c r="X3133" i="34"/>
  <c r="Y3133" i="34"/>
  <c r="Z3133" i="34"/>
  <c r="N3134" i="34"/>
  <c r="O3134" i="34"/>
  <c r="P3134" i="34"/>
  <c r="Q3134" i="34"/>
  <c r="R3134" i="34"/>
  <c r="S3134" i="34"/>
  <c r="T3134" i="34"/>
  <c r="U3134" i="34"/>
  <c r="V3134" i="34"/>
  <c r="W3134" i="34"/>
  <c r="X3134" i="34"/>
  <c r="Y3134" i="34"/>
  <c r="Z3134" i="34"/>
  <c r="N3135" i="34"/>
  <c r="O3135" i="34"/>
  <c r="P3135" i="34"/>
  <c r="Q3135" i="34"/>
  <c r="R3135" i="34"/>
  <c r="S3135" i="34"/>
  <c r="T3135" i="34"/>
  <c r="U3135" i="34"/>
  <c r="V3135" i="34"/>
  <c r="W3135" i="34"/>
  <c r="X3135" i="34"/>
  <c r="Y3135" i="34"/>
  <c r="Z3135" i="34"/>
  <c r="N3136" i="34"/>
  <c r="O3136" i="34"/>
  <c r="P3136" i="34"/>
  <c r="Q3136" i="34"/>
  <c r="R3136" i="34"/>
  <c r="S3136" i="34"/>
  <c r="T3136" i="34"/>
  <c r="U3136" i="34"/>
  <c r="V3136" i="34"/>
  <c r="W3136" i="34"/>
  <c r="X3136" i="34"/>
  <c r="Y3136" i="34"/>
  <c r="Z3136" i="34"/>
  <c r="N3137" i="34"/>
  <c r="O3137" i="34"/>
  <c r="P3137" i="34"/>
  <c r="Q3137" i="34"/>
  <c r="R3137" i="34"/>
  <c r="S3137" i="34"/>
  <c r="T3137" i="34"/>
  <c r="U3137" i="34"/>
  <c r="V3137" i="34"/>
  <c r="W3137" i="34"/>
  <c r="X3137" i="34"/>
  <c r="Y3137" i="34"/>
  <c r="Z3137" i="34"/>
  <c r="N3138" i="34"/>
  <c r="O3138" i="34"/>
  <c r="P3138" i="34"/>
  <c r="Q3138" i="34"/>
  <c r="R3138" i="34"/>
  <c r="S3138" i="34"/>
  <c r="T3138" i="34"/>
  <c r="U3138" i="34"/>
  <c r="V3138" i="34"/>
  <c r="W3138" i="34"/>
  <c r="X3138" i="34"/>
  <c r="Y3138" i="34"/>
  <c r="Z3138" i="34"/>
  <c r="N3139" i="34"/>
  <c r="O3139" i="34"/>
  <c r="P3139" i="34"/>
  <c r="Q3139" i="34"/>
  <c r="R3139" i="34"/>
  <c r="S3139" i="34"/>
  <c r="T3139" i="34"/>
  <c r="U3139" i="34"/>
  <c r="V3139" i="34"/>
  <c r="W3139" i="34"/>
  <c r="X3139" i="34"/>
  <c r="Y3139" i="34"/>
  <c r="Z3139" i="34"/>
  <c r="N3140" i="34"/>
  <c r="O3140" i="34"/>
  <c r="P3140" i="34"/>
  <c r="Q3140" i="34"/>
  <c r="R3140" i="34"/>
  <c r="S3140" i="34"/>
  <c r="T3140" i="34"/>
  <c r="U3140" i="34"/>
  <c r="V3140" i="34"/>
  <c r="W3140" i="34"/>
  <c r="X3140" i="34"/>
  <c r="Y3140" i="34"/>
  <c r="Z3140" i="34"/>
  <c r="N3141" i="34"/>
  <c r="O3141" i="34"/>
  <c r="P3141" i="34"/>
  <c r="Q3141" i="34"/>
  <c r="R3141" i="34"/>
  <c r="S3141" i="34"/>
  <c r="T3141" i="34"/>
  <c r="U3141" i="34"/>
  <c r="V3141" i="34"/>
  <c r="W3141" i="34"/>
  <c r="X3141" i="34"/>
  <c r="Y3141" i="34"/>
  <c r="Z3141" i="34"/>
  <c r="N3142" i="34"/>
  <c r="O3142" i="34"/>
  <c r="P3142" i="34"/>
  <c r="Q3142" i="34"/>
  <c r="R3142" i="34"/>
  <c r="S3142" i="34"/>
  <c r="T3142" i="34"/>
  <c r="U3142" i="34"/>
  <c r="V3142" i="34"/>
  <c r="W3142" i="34"/>
  <c r="X3142" i="34"/>
  <c r="Y3142" i="34"/>
  <c r="Z3142" i="34"/>
  <c r="N3143" i="34"/>
  <c r="O3143" i="34"/>
  <c r="P3143" i="34"/>
  <c r="Q3143" i="34"/>
  <c r="R3143" i="34"/>
  <c r="S3143" i="34"/>
  <c r="T3143" i="34"/>
  <c r="U3143" i="34"/>
  <c r="V3143" i="34"/>
  <c r="W3143" i="34"/>
  <c r="X3143" i="34"/>
  <c r="Y3143" i="34"/>
  <c r="Z3143" i="34"/>
  <c r="N3144" i="34"/>
  <c r="O3144" i="34"/>
  <c r="P3144" i="34"/>
  <c r="Q3144" i="34"/>
  <c r="R3144" i="34"/>
  <c r="S3144" i="34"/>
  <c r="T3144" i="34"/>
  <c r="U3144" i="34"/>
  <c r="V3144" i="34"/>
  <c r="W3144" i="34"/>
  <c r="X3144" i="34"/>
  <c r="Y3144" i="34"/>
  <c r="Z3144" i="34"/>
  <c r="N3145" i="34"/>
  <c r="O3145" i="34"/>
  <c r="P3145" i="34"/>
  <c r="Q3145" i="34"/>
  <c r="R3145" i="34"/>
  <c r="S3145" i="34"/>
  <c r="T3145" i="34"/>
  <c r="U3145" i="34"/>
  <c r="V3145" i="34"/>
  <c r="W3145" i="34"/>
  <c r="X3145" i="34"/>
  <c r="Y3145" i="34"/>
  <c r="Z3145" i="34"/>
  <c r="N3146" i="34"/>
  <c r="O3146" i="34"/>
  <c r="P3146" i="34"/>
  <c r="Q3146" i="34"/>
  <c r="R3146" i="34"/>
  <c r="S3146" i="34"/>
  <c r="T3146" i="34"/>
  <c r="U3146" i="34"/>
  <c r="V3146" i="34"/>
  <c r="W3146" i="34"/>
  <c r="X3146" i="34"/>
  <c r="Y3146" i="34"/>
  <c r="Z3146" i="34"/>
  <c r="N3147" i="34"/>
  <c r="O3147" i="34"/>
  <c r="P3147" i="34"/>
  <c r="Q3147" i="34"/>
  <c r="R3147" i="34"/>
  <c r="S3147" i="34"/>
  <c r="T3147" i="34"/>
  <c r="U3147" i="34"/>
  <c r="V3147" i="34"/>
  <c r="W3147" i="34"/>
  <c r="X3147" i="34"/>
  <c r="Y3147" i="34"/>
  <c r="Z3147" i="34"/>
  <c r="N3148" i="34"/>
  <c r="O3148" i="34"/>
  <c r="P3148" i="34"/>
  <c r="Q3148" i="34"/>
  <c r="R3148" i="34"/>
  <c r="S3148" i="34"/>
  <c r="T3148" i="34"/>
  <c r="U3148" i="34"/>
  <c r="V3148" i="34"/>
  <c r="W3148" i="34"/>
  <c r="X3148" i="34"/>
  <c r="Y3148" i="34"/>
  <c r="Z3148" i="34"/>
  <c r="N3149" i="34"/>
  <c r="O3149" i="34"/>
  <c r="P3149" i="34"/>
  <c r="Q3149" i="34"/>
  <c r="R3149" i="34"/>
  <c r="S3149" i="34"/>
  <c r="T3149" i="34"/>
  <c r="U3149" i="34"/>
  <c r="V3149" i="34"/>
  <c r="W3149" i="34"/>
  <c r="X3149" i="34"/>
  <c r="Y3149" i="34"/>
  <c r="Z3149" i="34"/>
  <c r="N3150" i="34"/>
  <c r="O3150" i="34"/>
  <c r="P3150" i="34"/>
  <c r="Q3150" i="34"/>
  <c r="R3150" i="34"/>
  <c r="S3150" i="34"/>
  <c r="T3150" i="34"/>
  <c r="U3150" i="34"/>
  <c r="V3150" i="34"/>
  <c r="W3150" i="34"/>
  <c r="X3150" i="34"/>
  <c r="Y3150" i="34"/>
  <c r="Z3150" i="34"/>
  <c r="N3151" i="34"/>
  <c r="O3151" i="34"/>
  <c r="P3151" i="34"/>
  <c r="Q3151" i="34"/>
  <c r="R3151" i="34"/>
  <c r="S3151" i="34"/>
  <c r="T3151" i="34"/>
  <c r="U3151" i="34"/>
  <c r="V3151" i="34"/>
  <c r="W3151" i="34"/>
  <c r="X3151" i="34"/>
  <c r="Y3151" i="34"/>
  <c r="Z3151" i="34"/>
  <c r="N3152" i="34"/>
  <c r="O3152" i="34"/>
  <c r="P3152" i="34"/>
  <c r="Q3152" i="34"/>
  <c r="R3152" i="34"/>
  <c r="S3152" i="34"/>
  <c r="T3152" i="34"/>
  <c r="U3152" i="34"/>
  <c r="V3152" i="34"/>
  <c r="W3152" i="34"/>
  <c r="X3152" i="34"/>
  <c r="Y3152" i="34"/>
  <c r="Z3152" i="34"/>
  <c r="N3153" i="34"/>
  <c r="O3153" i="34"/>
  <c r="P3153" i="34"/>
  <c r="Q3153" i="34"/>
  <c r="R3153" i="34"/>
  <c r="S3153" i="34"/>
  <c r="T3153" i="34"/>
  <c r="U3153" i="34"/>
  <c r="V3153" i="34"/>
  <c r="W3153" i="34"/>
  <c r="X3153" i="34"/>
  <c r="Y3153" i="34"/>
  <c r="Z3153" i="34"/>
  <c r="N3154" i="34"/>
  <c r="O3154" i="34"/>
  <c r="P3154" i="34"/>
  <c r="Q3154" i="34"/>
  <c r="R3154" i="34"/>
  <c r="S3154" i="34"/>
  <c r="T3154" i="34"/>
  <c r="U3154" i="34"/>
  <c r="V3154" i="34"/>
  <c r="W3154" i="34"/>
  <c r="X3154" i="34"/>
  <c r="Y3154" i="34"/>
  <c r="Z3154" i="34"/>
  <c r="N3155" i="34"/>
  <c r="O3155" i="34"/>
  <c r="P3155" i="34"/>
  <c r="Q3155" i="34"/>
  <c r="R3155" i="34"/>
  <c r="S3155" i="34"/>
  <c r="T3155" i="34"/>
  <c r="U3155" i="34"/>
  <c r="V3155" i="34"/>
  <c r="W3155" i="34"/>
  <c r="X3155" i="34"/>
  <c r="Y3155" i="34"/>
  <c r="Z3155" i="34"/>
  <c r="N3156" i="34"/>
  <c r="O3156" i="34"/>
  <c r="P3156" i="34"/>
  <c r="Q3156" i="34"/>
  <c r="R3156" i="34"/>
  <c r="S3156" i="34"/>
  <c r="T3156" i="34"/>
  <c r="U3156" i="34"/>
  <c r="V3156" i="34"/>
  <c r="W3156" i="34"/>
  <c r="X3156" i="34"/>
  <c r="Y3156" i="34"/>
  <c r="Z3156" i="34"/>
  <c r="N3157" i="34"/>
  <c r="O3157" i="34"/>
  <c r="P3157" i="34"/>
  <c r="Q3157" i="34"/>
  <c r="R3157" i="34"/>
  <c r="S3157" i="34"/>
  <c r="T3157" i="34"/>
  <c r="U3157" i="34"/>
  <c r="V3157" i="34"/>
  <c r="W3157" i="34"/>
  <c r="X3157" i="34"/>
  <c r="Y3157" i="34"/>
  <c r="Z3157" i="34"/>
  <c r="N3158" i="34"/>
  <c r="O3158" i="34"/>
  <c r="P3158" i="34"/>
  <c r="Q3158" i="34"/>
  <c r="R3158" i="34"/>
  <c r="S3158" i="34"/>
  <c r="T3158" i="34"/>
  <c r="U3158" i="34"/>
  <c r="V3158" i="34"/>
  <c r="W3158" i="34"/>
  <c r="X3158" i="34"/>
  <c r="Y3158" i="34"/>
  <c r="Z3158" i="34"/>
  <c r="N3159" i="34"/>
  <c r="O3159" i="34"/>
  <c r="P3159" i="34"/>
  <c r="Q3159" i="34"/>
  <c r="R3159" i="34"/>
  <c r="S3159" i="34"/>
  <c r="T3159" i="34"/>
  <c r="U3159" i="34"/>
  <c r="V3159" i="34"/>
  <c r="W3159" i="34"/>
  <c r="X3159" i="34"/>
  <c r="Y3159" i="34"/>
  <c r="Z3159" i="34"/>
  <c r="N3160" i="34"/>
  <c r="O3160" i="34"/>
  <c r="P3160" i="34"/>
  <c r="Q3160" i="34"/>
  <c r="R3160" i="34"/>
  <c r="S3160" i="34"/>
  <c r="T3160" i="34"/>
  <c r="U3160" i="34"/>
  <c r="V3160" i="34"/>
  <c r="W3160" i="34"/>
  <c r="X3160" i="34"/>
  <c r="Y3160" i="34"/>
  <c r="Z3160" i="34"/>
  <c r="N3161" i="34"/>
  <c r="O3161" i="34"/>
  <c r="P3161" i="34"/>
  <c r="Q3161" i="34"/>
  <c r="R3161" i="34"/>
  <c r="S3161" i="34"/>
  <c r="T3161" i="34"/>
  <c r="U3161" i="34"/>
  <c r="V3161" i="34"/>
  <c r="W3161" i="34"/>
  <c r="X3161" i="34"/>
  <c r="Y3161" i="34"/>
  <c r="Z3161" i="34"/>
  <c r="N3162" i="34"/>
  <c r="O3162" i="34"/>
  <c r="P3162" i="34"/>
  <c r="Q3162" i="34"/>
  <c r="R3162" i="34"/>
  <c r="S3162" i="34"/>
  <c r="T3162" i="34"/>
  <c r="U3162" i="34"/>
  <c r="V3162" i="34"/>
  <c r="W3162" i="34"/>
  <c r="X3162" i="34"/>
  <c r="Y3162" i="34"/>
  <c r="Z3162" i="34"/>
  <c r="N3163" i="34"/>
  <c r="O3163" i="34"/>
  <c r="P3163" i="34"/>
  <c r="Q3163" i="34"/>
  <c r="R3163" i="34"/>
  <c r="S3163" i="34"/>
  <c r="T3163" i="34"/>
  <c r="U3163" i="34"/>
  <c r="V3163" i="34"/>
  <c r="W3163" i="34"/>
  <c r="X3163" i="34"/>
  <c r="Y3163" i="34"/>
  <c r="Z3163" i="34"/>
  <c r="N3164" i="34"/>
  <c r="O3164" i="34"/>
  <c r="P3164" i="34"/>
  <c r="Q3164" i="34"/>
  <c r="R3164" i="34"/>
  <c r="S3164" i="34"/>
  <c r="T3164" i="34"/>
  <c r="U3164" i="34"/>
  <c r="V3164" i="34"/>
  <c r="W3164" i="34"/>
  <c r="X3164" i="34"/>
  <c r="Y3164" i="34"/>
  <c r="Z3164" i="34"/>
  <c r="N3165" i="34"/>
  <c r="O3165" i="34"/>
  <c r="P3165" i="34"/>
  <c r="Q3165" i="34"/>
  <c r="R3165" i="34"/>
  <c r="S3165" i="34"/>
  <c r="T3165" i="34"/>
  <c r="U3165" i="34"/>
  <c r="V3165" i="34"/>
  <c r="W3165" i="34"/>
  <c r="X3165" i="34"/>
  <c r="Y3165" i="34"/>
  <c r="Z3165" i="34"/>
  <c r="N3166" i="34"/>
  <c r="O3166" i="34"/>
  <c r="P3166" i="34"/>
  <c r="Q3166" i="34"/>
  <c r="R3166" i="34"/>
  <c r="S3166" i="34"/>
  <c r="T3166" i="34"/>
  <c r="U3166" i="34"/>
  <c r="V3166" i="34"/>
  <c r="W3166" i="34"/>
  <c r="X3166" i="34"/>
  <c r="Y3166" i="34"/>
  <c r="Z3166" i="34"/>
  <c r="N3167" i="34"/>
  <c r="O3167" i="34"/>
  <c r="P3167" i="34"/>
  <c r="Q3167" i="34"/>
  <c r="R3167" i="34"/>
  <c r="S3167" i="34"/>
  <c r="T3167" i="34"/>
  <c r="U3167" i="34"/>
  <c r="V3167" i="34"/>
  <c r="W3167" i="34"/>
  <c r="X3167" i="34"/>
  <c r="Y3167" i="34"/>
  <c r="Z3167" i="34"/>
  <c r="N3168" i="34"/>
  <c r="O3168" i="34"/>
  <c r="P3168" i="34"/>
  <c r="Q3168" i="34"/>
  <c r="R3168" i="34"/>
  <c r="S3168" i="34"/>
  <c r="T3168" i="34"/>
  <c r="U3168" i="34"/>
  <c r="V3168" i="34"/>
  <c r="W3168" i="34"/>
  <c r="X3168" i="34"/>
  <c r="Y3168" i="34"/>
  <c r="Z3168" i="34"/>
  <c r="N3169" i="34"/>
  <c r="O3169" i="34"/>
  <c r="P3169" i="34"/>
  <c r="Q3169" i="34"/>
  <c r="R3169" i="34"/>
  <c r="S3169" i="34"/>
  <c r="T3169" i="34"/>
  <c r="U3169" i="34"/>
  <c r="V3169" i="34"/>
  <c r="W3169" i="34"/>
  <c r="X3169" i="34"/>
  <c r="Y3169" i="34"/>
  <c r="Z3169" i="34"/>
  <c r="N3170" i="34"/>
  <c r="O3170" i="34"/>
  <c r="P3170" i="34"/>
  <c r="Q3170" i="34"/>
  <c r="R3170" i="34"/>
  <c r="S3170" i="34"/>
  <c r="T3170" i="34"/>
  <c r="U3170" i="34"/>
  <c r="V3170" i="34"/>
  <c r="W3170" i="34"/>
  <c r="X3170" i="34"/>
  <c r="Y3170" i="34"/>
  <c r="Z3170" i="34"/>
  <c r="N3171" i="34"/>
  <c r="O3171" i="34"/>
  <c r="P3171" i="34"/>
  <c r="Q3171" i="34"/>
  <c r="R3171" i="34"/>
  <c r="S3171" i="34"/>
  <c r="T3171" i="34"/>
  <c r="U3171" i="34"/>
  <c r="V3171" i="34"/>
  <c r="W3171" i="34"/>
  <c r="X3171" i="34"/>
  <c r="Y3171" i="34"/>
  <c r="Z3171" i="34"/>
  <c r="N3172" i="34"/>
  <c r="O3172" i="34"/>
  <c r="P3172" i="34"/>
  <c r="Q3172" i="34"/>
  <c r="R3172" i="34"/>
  <c r="S3172" i="34"/>
  <c r="T3172" i="34"/>
  <c r="U3172" i="34"/>
  <c r="V3172" i="34"/>
  <c r="W3172" i="34"/>
  <c r="X3172" i="34"/>
  <c r="Y3172" i="34"/>
  <c r="Z3172" i="34"/>
  <c r="N3173" i="34"/>
  <c r="O3173" i="34"/>
  <c r="P3173" i="34"/>
  <c r="Q3173" i="34"/>
  <c r="R3173" i="34"/>
  <c r="S3173" i="34"/>
  <c r="T3173" i="34"/>
  <c r="U3173" i="34"/>
  <c r="V3173" i="34"/>
  <c r="W3173" i="34"/>
  <c r="X3173" i="34"/>
  <c r="Y3173" i="34"/>
  <c r="Z3173" i="34"/>
  <c r="N3174" i="34"/>
  <c r="O3174" i="34"/>
  <c r="P3174" i="34"/>
  <c r="Q3174" i="34"/>
  <c r="R3174" i="34"/>
  <c r="S3174" i="34"/>
  <c r="T3174" i="34"/>
  <c r="U3174" i="34"/>
  <c r="V3174" i="34"/>
  <c r="W3174" i="34"/>
  <c r="X3174" i="34"/>
  <c r="Y3174" i="34"/>
  <c r="Z3174" i="34"/>
  <c r="N3175" i="34"/>
  <c r="O3175" i="34"/>
  <c r="P3175" i="34"/>
  <c r="Q3175" i="34"/>
  <c r="R3175" i="34"/>
  <c r="S3175" i="34"/>
  <c r="T3175" i="34"/>
  <c r="U3175" i="34"/>
  <c r="V3175" i="34"/>
  <c r="W3175" i="34"/>
  <c r="X3175" i="34"/>
  <c r="Y3175" i="34"/>
  <c r="Z3175" i="34"/>
  <c r="N3176" i="34"/>
  <c r="O3176" i="34"/>
  <c r="P3176" i="34"/>
  <c r="Q3176" i="34"/>
  <c r="R3176" i="34"/>
  <c r="S3176" i="34"/>
  <c r="T3176" i="34"/>
  <c r="U3176" i="34"/>
  <c r="V3176" i="34"/>
  <c r="W3176" i="34"/>
  <c r="X3176" i="34"/>
  <c r="Y3176" i="34"/>
  <c r="Z3176" i="34"/>
  <c r="N3177" i="34"/>
  <c r="O3177" i="34"/>
  <c r="P3177" i="34"/>
  <c r="Q3177" i="34"/>
  <c r="R3177" i="34"/>
  <c r="S3177" i="34"/>
  <c r="T3177" i="34"/>
  <c r="U3177" i="34"/>
  <c r="V3177" i="34"/>
  <c r="W3177" i="34"/>
  <c r="X3177" i="34"/>
  <c r="Y3177" i="34"/>
  <c r="Z3177" i="34"/>
  <c r="N3178" i="34"/>
  <c r="O3178" i="34"/>
  <c r="P3178" i="34"/>
  <c r="Q3178" i="34"/>
  <c r="R3178" i="34"/>
  <c r="S3178" i="34"/>
  <c r="T3178" i="34"/>
  <c r="U3178" i="34"/>
  <c r="V3178" i="34"/>
  <c r="W3178" i="34"/>
  <c r="X3178" i="34"/>
  <c r="Y3178" i="34"/>
  <c r="Z3178" i="34"/>
  <c r="N3179" i="34"/>
  <c r="O3179" i="34"/>
  <c r="P3179" i="34"/>
  <c r="Q3179" i="34"/>
  <c r="R3179" i="34"/>
  <c r="S3179" i="34"/>
  <c r="T3179" i="34"/>
  <c r="U3179" i="34"/>
  <c r="V3179" i="34"/>
  <c r="W3179" i="34"/>
  <c r="X3179" i="34"/>
  <c r="Y3179" i="34"/>
  <c r="Z3179" i="34"/>
  <c r="N3180" i="34"/>
  <c r="O3180" i="34"/>
  <c r="P3180" i="34"/>
  <c r="Q3180" i="34"/>
  <c r="R3180" i="34"/>
  <c r="S3180" i="34"/>
  <c r="T3180" i="34"/>
  <c r="U3180" i="34"/>
  <c r="V3180" i="34"/>
  <c r="W3180" i="34"/>
  <c r="X3180" i="34"/>
  <c r="Y3180" i="34"/>
  <c r="Z3180" i="34"/>
  <c r="N3181" i="34"/>
  <c r="O3181" i="34"/>
  <c r="P3181" i="34"/>
  <c r="Q3181" i="34"/>
  <c r="R3181" i="34"/>
  <c r="S3181" i="34"/>
  <c r="T3181" i="34"/>
  <c r="U3181" i="34"/>
  <c r="V3181" i="34"/>
  <c r="W3181" i="34"/>
  <c r="X3181" i="34"/>
  <c r="Y3181" i="34"/>
  <c r="Z3181" i="34"/>
  <c r="N3182" i="34"/>
  <c r="O3182" i="34"/>
  <c r="P3182" i="34"/>
  <c r="Q3182" i="34"/>
  <c r="R3182" i="34"/>
  <c r="S3182" i="34"/>
  <c r="T3182" i="34"/>
  <c r="U3182" i="34"/>
  <c r="V3182" i="34"/>
  <c r="W3182" i="34"/>
  <c r="X3182" i="34"/>
  <c r="Y3182" i="34"/>
  <c r="Z3182" i="34"/>
  <c r="N3183" i="34"/>
  <c r="O3183" i="34"/>
  <c r="P3183" i="34"/>
  <c r="Q3183" i="34"/>
  <c r="R3183" i="34"/>
  <c r="S3183" i="34"/>
  <c r="T3183" i="34"/>
  <c r="U3183" i="34"/>
  <c r="V3183" i="34"/>
  <c r="W3183" i="34"/>
  <c r="X3183" i="34"/>
  <c r="Y3183" i="34"/>
  <c r="Z3183" i="34"/>
  <c r="N3184" i="34"/>
  <c r="O3184" i="34"/>
  <c r="P3184" i="34"/>
  <c r="Q3184" i="34"/>
  <c r="R3184" i="34"/>
  <c r="S3184" i="34"/>
  <c r="T3184" i="34"/>
  <c r="U3184" i="34"/>
  <c r="V3184" i="34"/>
  <c r="W3184" i="34"/>
  <c r="X3184" i="34"/>
  <c r="Y3184" i="34"/>
  <c r="Z3184" i="34"/>
  <c r="N3185" i="34"/>
  <c r="O3185" i="34"/>
  <c r="P3185" i="34"/>
  <c r="Q3185" i="34"/>
  <c r="R3185" i="34"/>
  <c r="S3185" i="34"/>
  <c r="T3185" i="34"/>
  <c r="U3185" i="34"/>
  <c r="V3185" i="34"/>
  <c r="W3185" i="34"/>
  <c r="X3185" i="34"/>
  <c r="Y3185" i="34"/>
  <c r="Z3185" i="34"/>
  <c r="N3186" i="34"/>
  <c r="O3186" i="34"/>
  <c r="P3186" i="34"/>
  <c r="Q3186" i="34"/>
  <c r="R3186" i="34"/>
  <c r="S3186" i="34"/>
  <c r="T3186" i="34"/>
  <c r="U3186" i="34"/>
  <c r="V3186" i="34"/>
  <c r="W3186" i="34"/>
  <c r="X3186" i="34"/>
  <c r="Y3186" i="34"/>
  <c r="Z3186" i="34"/>
  <c r="N3187" i="34"/>
  <c r="O3187" i="34"/>
  <c r="P3187" i="34"/>
  <c r="Q3187" i="34"/>
  <c r="R3187" i="34"/>
  <c r="S3187" i="34"/>
  <c r="T3187" i="34"/>
  <c r="U3187" i="34"/>
  <c r="V3187" i="34"/>
  <c r="W3187" i="34"/>
  <c r="X3187" i="34"/>
  <c r="Y3187" i="34"/>
  <c r="Z3187" i="34"/>
  <c r="N3188" i="34"/>
  <c r="O3188" i="34"/>
  <c r="P3188" i="34"/>
  <c r="Q3188" i="34"/>
  <c r="R3188" i="34"/>
  <c r="S3188" i="34"/>
  <c r="T3188" i="34"/>
  <c r="U3188" i="34"/>
  <c r="V3188" i="34"/>
  <c r="W3188" i="34"/>
  <c r="X3188" i="34"/>
  <c r="Y3188" i="34"/>
  <c r="Z3188" i="34"/>
  <c r="N3189" i="34"/>
  <c r="O3189" i="34"/>
  <c r="P3189" i="34"/>
  <c r="Q3189" i="34"/>
  <c r="R3189" i="34"/>
  <c r="S3189" i="34"/>
  <c r="T3189" i="34"/>
  <c r="U3189" i="34"/>
  <c r="V3189" i="34"/>
  <c r="W3189" i="34"/>
  <c r="X3189" i="34"/>
  <c r="Y3189" i="34"/>
  <c r="Z3189" i="34"/>
  <c r="N3190" i="34"/>
  <c r="O3190" i="34"/>
  <c r="P3190" i="34"/>
  <c r="Q3190" i="34"/>
  <c r="R3190" i="34"/>
  <c r="S3190" i="34"/>
  <c r="T3190" i="34"/>
  <c r="U3190" i="34"/>
  <c r="V3190" i="34"/>
  <c r="W3190" i="34"/>
  <c r="X3190" i="34"/>
  <c r="Y3190" i="34"/>
  <c r="Z3190" i="34"/>
  <c r="N3191" i="34"/>
  <c r="O3191" i="34"/>
  <c r="P3191" i="34"/>
  <c r="Q3191" i="34"/>
  <c r="R3191" i="34"/>
  <c r="S3191" i="34"/>
  <c r="T3191" i="34"/>
  <c r="U3191" i="34"/>
  <c r="V3191" i="34"/>
  <c r="W3191" i="34"/>
  <c r="X3191" i="34"/>
  <c r="Y3191" i="34"/>
  <c r="Z3191" i="34"/>
  <c r="N3192" i="34"/>
  <c r="O3192" i="34"/>
  <c r="P3192" i="34"/>
  <c r="Q3192" i="34"/>
  <c r="R3192" i="34"/>
  <c r="S3192" i="34"/>
  <c r="T3192" i="34"/>
  <c r="U3192" i="34"/>
  <c r="V3192" i="34"/>
  <c r="W3192" i="34"/>
  <c r="X3192" i="34"/>
  <c r="Y3192" i="34"/>
  <c r="Z3192" i="34"/>
  <c r="N3193" i="34"/>
  <c r="O3193" i="34"/>
  <c r="P3193" i="34"/>
  <c r="Q3193" i="34"/>
  <c r="R3193" i="34"/>
  <c r="S3193" i="34"/>
  <c r="T3193" i="34"/>
  <c r="U3193" i="34"/>
  <c r="V3193" i="34"/>
  <c r="W3193" i="34"/>
  <c r="X3193" i="34"/>
  <c r="Y3193" i="34"/>
  <c r="Z3193" i="34"/>
  <c r="N3194" i="34"/>
  <c r="O3194" i="34"/>
  <c r="P3194" i="34"/>
  <c r="Q3194" i="34"/>
  <c r="R3194" i="34"/>
  <c r="S3194" i="34"/>
  <c r="T3194" i="34"/>
  <c r="U3194" i="34"/>
  <c r="V3194" i="34"/>
  <c r="W3194" i="34"/>
  <c r="X3194" i="34"/>
  <c r="Y3194" i="34"/>
  <c r="Z3194" i="34"/>
  <c r="N3195" i="34"/>
  <c r="O3195" i="34"/>
  <c r="P3195" i="34"/>
  <c r="Q3195" i="34"/>
  <c r="R3195" i="34"/>
  <c r="S3195" i="34"/>
  <c r="T3195" i="34"/>
  <c r="U3195" i="34"/>
  <c r="V3195" i="34"/>
  <c r="W3195" i="34"/>
  <c r="X3195" i="34"/>
  <c r="Y3195" i="34"/>
  <c r="Z3195" i="34"/>
  <c r="N3196" i="34"/>
  <c r="O3196" i="34"/>
  <c r="P3196" i="34"/>
  <c r="Q3196" i="34"/>
  <c r="R3196" i="34"/>
  <c r="S3196" i="34"/>
  <c r="T3196" i="34"/>
  <c r="U3196" i="34"/>
  <c r="V3196" i="34"/>
  <c r="W3196" i="34"/>
  <c r="X3196" i="34"/>
  <c r="Y3196" i="34"/>
  <c r="Z3196" i="34"/>
  <c r="N3197" i="34"/>
  <c r="O3197" i="34"/>
  <c r="P3197" i="34"/>
  <c r="Q3197" i="34"/>
  <c r="R3197" i="34"/>
  <c r="S3197" i="34"/>
  <c r="T3197" i="34"/>
  <c r="U3197" i="34"/>
  <c r="V3197" i="34"/>
  <c r="W3197" i="34"/>
  <c r="X3197" i="34"/>
  <c r="Y3197" i="34"/>
  <c r="Z3197" i="34"/>
  <c r="N3198" i="34"/>
  <c r="O3198" i="34"/>
  <c r="P3198" i="34"/>
  <c r="Q3198" i="34"/>
  <c r="R3198" i="34"/>
  <c r="S3198" i="34"/>
  <c r="T3198" i="34"/>
  <c r="U3198" i="34"/>
  <c r="V3198" i="34"/>
  <c r="W3198" i="34"/>
  <c r="X3198" i="34"/>
  <c r="Y3198" i="34"/>
  <c r="Z3198" i="34"/>
  <c r="N3199" i="34"/>
  <c r="O3199" i="34"/>
  <c r="P3199" i="34"/>
  <c r="Q3199" i="34"/>
  <c r="R3199" i="34"/>
  <c r="S3199" i="34"/>
  <c r="T3199" i="34"/>
  <c r="U3199" i="34"/>
  <c r="V3199" i="34"/>
  <c r="W3199" i="34"/>
  <c r="X3199" i="34"/>
  <c r="Y3199" i="34"/>
  <c r="Z3199" i="34"/>
  <c r="N3200" i="34"/>
  <c r="O3200" i="34"/>
  <c r="P3200" i="34"/>
  <c r="Q3200" i="34"/>
  <c r="R3200" i="34"/>
  <c r="S3200" i="34"/>
  <c r="T3200" i="34"/>
  <c r="U3200" i="34"/>
  <c r="V3200" i="34"/>
  <c r="W3200" i="34"/>
  <c r="X3200" i="34"/>
  <c r="Y3200" i="34"/>
  <c r="Z3200" i="34"/>
  <c r="N3201" i="34"/>
  <c r="O3201" i="34"/>
  <c r="P3201" i="34"/>
  <c r="Q3201" i="34"/>
  <c r="R3201" i="34"/>
  <c r="S3201" i="34"/>
  <c r="T3201" i="34"/>
  <c r="U3201" i="34"/>
  <c r="V3201" i="34"/>
  <c r="W3201" i="34"/>
  <c r="X3201" i="34"/>
  <c r="Y3201" i="34"/>
  <c r="Z3201" i="34"/>
  <c r="N3202" i="34"/>
  <c r="O3202" i="34"/>
  <c r="P3202" i="34"/>
  <c r="Q3202" i="34"/>
  <c r="R3202" i="34"/>
  <c r="S3202" i="34"/>
  <c r="T3202" i="34"/>
  <c r="U3202" i="34"/>
  <c r="V3202" i="34"/>
  <c r="W3202" i="34"/>
  <c r="X3202" i="34"/>
  <c r="Y3202" i="34"/>
  <c r="Z3202" i="34"/>
  <c r="N3203" i="34"/>
  <c r="O3203" i="34"/>
  <c r="P3203" i="34"/>
  <c r="Q3203" i="34"/>
  <c r="R3203" i="34"/>
  <c r="S3203" i="34"/>
  <c r="T3203" i="34"/>
  <c r="U3203" i="34"/>
  <c r="V3203" i="34"/>
  <c r="W3203" i="34"/>
  <c r="X3203" i="34"/>
  <c r="Y3203" i="34"/>
  <c r="Z3203" i="34"/>
  <c r="N3204" i="34"/>
  <c r="O3204" i="34"/>
  <c r="P3204" i="34"/>
  <c r="Q3204" i="34"/>
  <c r="R3204" i="34"/>
  <c r="S3204" i="34"/>
  <c r="T3204" i="34"/>
  <c r="U3204" i="34"/>
  <c r="V3204" i="34"/>
  <c r="W3204" i="34"/>
  <c r="X3204" i="34"/>
  <c r="Y3204" i="34"/>
  <c r="Z3204" i="34"/>
  <c r="N3205" i="34"/>
  <c r="O3205" i="34"/>
  <c r="P3205" i="34"/>
  <c r="Q3205" i="34"/>
  <c r="R3205" i="34"/>
  <c r="S3205" i="34"/>
  <c r="T3205" i="34"/>
  <c r="U3205" i="34"/>
  <c r="V3205" i="34"/>
  <c r="W3205" i="34"/>
  <c r="X3205" i="34"/>
  <c r="Y3205" i="34"/>
  <c r="Z3205" i="34"/>
  <c r="N3206" i="34"/>
  <c r="O3206" i="34"/>
  <c r="P3206" i="34"/>
  <c r="Q3206" i="34"/>
  <c r="R3206" i="34"/>
  <c r="S3206" i="34"/>
  <c r="T3206" i="34"/>
  <c r="U3206" i="34"/>
  <c r="V3206" i="34"/>
  <c r="W3206" i="34"/>
  <c r="X3206" i="34"/>
  <c r="Y3206" i="34"/>
  <c r="Z3206" i="34"/>
  <c r="N3207" i="34"/>
  <c r="O3207" i="34"/>
  <c r="P3207" i="34"/>
  <c r="Q3207" i="34"/>
  <c r="R3207" i="34"/>
  <c r="S3207" i="34"/>
  <c r="T3207" i="34"/>
  <c r="U3207" i="34"/>
  <c r="V3207" i="34"/>
  <c r="W3207" i="34"/>
  <c r="X3207" i="34"/>
  <c r="Y3207" i="34"/>
  <c r="Z3207" i="34"/>
  <c r="N3208" i="34"/>
  <c r="O3208" i="34"/>
  <c r="P3208" i="34"/>
  <c r="Q3208" i="34"/>
  <c r="R3208" i="34"/>
  <c r="S3208" i="34"/>
  <c r="T3208" i="34"/>
  <c r="U3208" i="34"/>
  <c r="V3208" i="34"/>
  <c r="W3208" i="34"/>
  <c r="X3208" i="34"/>
  <c r="Y3208" i="34"/>
  <c r="Z3208" i="34"/>
  <c r="N3209" i="34"/>
  <c r="O3209" i="34"/>
  <c r="P3209" i="34"/>
  <c r="Q3209" i="34"/>
  <c r="R3209" i="34"/>
  <c r="S3209" i="34"/>
  <c r="T3209" i="34"/>
  <c r="U3209" i="34"/>
  <c r="V3209" i="34"/>
  <c r="W3209" i="34"/>
  <c r="X3209" i="34"/>
  <c r="Y3209" i="34"/>
  <c r="Z3209" i="34"/>
  <c r="N3210" i="34"/>
  <c r="O3210" i="34"/>
  <c r="P3210" i="34"/>
  <c r="Q3210" i="34"/>
  <c r="R3210" i="34"/>
  <c r="S3210" i="34"/>
  <c r="T3210" i="34"/>
  <c r="U3210" i="34"/>
  <c r="V3210" i="34"/>
  <c r="W3210" i="34"/>
  <c r="X3210" i="34"/>
  <c r="Y3210" i="34"/>
  <c r="Z3210" i="34"/>
  <c r="N3211" i="34"/>
  <c r="O3211" i="34"/>
  <c r="P3211" i="34"/>
  <c r="Q3211" i="34"/>
  <c r="R3211" i="34"/>
  <c r="S3211" i="34"/>
  <c r="T3211" i="34"/>
  <c r="U3211" i="34"/>
  <c r="V3211" i="34"/>
  <c r="W3211" i="34"/>
  <c r="X3211" i="34"/>
  <c r="Y3211" i="34"/>
  <c r="Z3211" i="34"/>
  <c r="N3212" i="34"/>
  <c r="O3212" i="34"/>
  <c r="P3212" i="34"/>
  <c r="Q3212" i="34"/>
  <c r="R3212" i="34"/>
  <c r="S3212" i="34"/>
  <c r="T3212" i="34"/>
  <c r="U3212" i="34"/>
  <c r="V3212" i="34"/>
  <c r="W3212" i="34"/>
  <c r="X3212" i="34"/>
  <c r="Y3212" i="34"/>
  <c r="Z3212" i="34"/>
  <c r="N3213" i="34"/>
  <c r="O3213" i="34"/>
  <c r="P3213" i="34"/>
  <c r="Q3213" i="34"/>
  <c r="R3213" i="34"/>
  <c r="S3213" i="34"/>
  <c r="T3213" i="34"/>
  <c r="U3213" i="34"/>
  <c r="V3213" i="34"/>
  <c r="W3213" i="34"/>
  <c r="X3213" i="34"/>
  <c r="Y3213" i="34"/>
  <c r="Z3213" i="34"/>
  <c r="N3214" i="34"/>
  <c r="O3214" i="34"/>
  <c r="P3214" i="34"/>
  <c r="Q3214" i="34"/>
  <c r="R3214" i="34"/>
  <c r="S3214" i="34"/>
  <c r="T3214" i="34"/>
  <c r="U3214" i="34"/>
  <c r="V3214" i="34"/>
  <c r="W3214" i="34"/>
  <c r="X3214" i="34"/>
  <c r="Y3214" i="34"/>
  <c r="Z3214" i="34"/>
  <c r="N3215" i="34"/>
  <c r="O3215" i="34"/>
  <c r="P3215" i="34"/>
  <c r="Q3215" i="34"/>
  <c r="R3215" i="34"/>
  <c r="S3215" i="34"/>
  <c r="T3215" i="34"/>
  <c r="U3215" i="34"/>
  <c r="V3215" i="34"/>
  <c r="W3215" i="34"/>
  <c r="X3215" i="34"/>
  <c r="Y3215" i="34"/>
  <c r="Z3215" i="34"/>
  <c r="N3216" i="34"/>
  <c r="O3216" i="34"/>
  <c r="P3216" i="34"/>
  <c r="Q3216" i="34"/>
  <c r="R3216" i="34"/>
  <c r="S3216" i="34"/>
  <c r="T3216" i="34"/>
  <c r="U3216" i="34"/>
  <c r="V3216" i="34"/>
  <c r="W3216" i="34"/>
  <c r="X3216" i="34"/>
  <c r="Y3216" i="34"/>
  <c r="Z3216" i="34"/>
  <c r="N3217" i="34"/>
  <c r="O3217" i="34"/>
  <c r="P3217" i="34"/>
  <c r="Q3217" i="34"/>
  <c r="R3217" i="34"/>
  <c r="S3217" i="34"/>
  <c r="T3217" i="34"/>
  <c r="U3217" i="34"/>
  <c r="V3217" i="34"/>
  <c r="W3217" i="34"/>
  <c r="X3217" i="34"/>
  <c r="Y3217" i="34"/>
  <c r="Z3217" i="34"/>
  <c r="N3218" i="34"/>
  <c r="O3218" i="34"/>
  <c r="P3218" i="34"/>
  <c r="Q3218" i="34"/>
  <c r="R3218" i="34"/>
  <c r="S3218" i="34"/>
  <c r="T3218" i="34"/>
  <c r="U3218" i="34"/>
  <c r="V3218" i="34"/>
  <c r="W3218" i="34"/>
  <c r="X3218" i="34"/>
  <c r="Y3218" i="34"/>
  <c r="Z3218" i="34"/>
  <c r="N3219" i="34"/>
  <c r="O3219" i="34"/>
  <c r="P3219" i="34"/>
  <c r="Q3219" i="34"/>
  <c r="R3219" i="34"/>
  <c r="S3219" i="34"/>
  <c r="T3219" i="34"/>
  <c r="U3219" i="34"/>
  <c r="V3219" i="34"/>
  <c r="W3219" i="34"/>
  <c r="X3219" i="34"/>
  <c r="Y3219" i="34"/>
  <c r="Z3219" i="34"/>
  <c r="N3220" i="34"/>
  <c r="O3220" i="34"/>
  <c r="P3220" i="34"/>
  <c r="Q3220" i="34"/>
  <c r="R3220" i="34"/>
  <c r="S3220" i="34"/>
  <c r="T3220" i="34"/>
  <c r="U3220" i="34"/>
  <c r="V3220" i="34"/>
  <c r="W3220" i="34"/>
  <c r="X3220" i="34"/>
  <c r="Y3220" i="34"/>
  <c r="Z3220" i="34"/>
  <c r="N3221" i="34"/>
  <c r="O3221" i="34"/>
  <c r="P3221" i="34"/>
  <c r="Q3221" i="34"/>
  <c r="R3221" i="34"/>
  <c r="S3221" i="34"/>
  <c r="T3221" i="34"/>
  <c r="U3221" i="34"/>
  <c r="V3221" i="34"/>
  <c r="W3221" i="34"/>
  <c r="X3221" i="34"/>
  <c r="Y3221" i="34"/>
  <c r="Z3221" i="34"/>
  <c r="N3222" i="34"/>
  <c r="O3222" i="34"/>
  <c r="P3222" i="34"/>
  <c r="Q3222" i="34"/>
  <c r="R3222" i="34"/>
  <c r="S3222" i="34"/>
  <c r="T3222" i="34"/>
  <c r="U3222" i="34"/>
  <c r="V3222" i="34"/>
  <c r="W3222" i="34"/>
  <c r="X3222" i="34"/>
  <c r="Y3222" i="34"/>
  <c r="Z3222" i="34"/>
  <c r="N3223" i="34"/>
  <c r="O3223" i="34"/>
  <c r="P3223" i="34"/>
  <c r="Q3223" i="34"/>
  <c r="R3223" i="34"/>
  <c r="S3223" i="34"/>
  <c r="T3223" i="34"/>
  <c r="U3223" i="34"/>
  <c r="V3223" i="34"/>
  <c r="W3223" i="34"/>
  <c r="X3223" i="34"/>
  <c r="Y3223" i="34"/>
  <c r="Z3223" i="34"/>
  <c r="N3224" i="34"/>
  <c r="O3224" i="34"/>
  <c r="P3224" i="34"/>
  <c r="Q3224" i="34"/>
  <c r="R3224" i="34"/>
  <c r="S3224" i="34"/>
  <c r="T3224" i="34"/>
  <c r="U3224" i="34"/>
  <c r="V3224" i="34"/>
  <c r="W3224" i="34"/>
  <c r="X3224" i="34"/>
  <c r="Y3224" i="34"/>
  <c r="Z3224" i="34"/>
  <c r="N3225" i="34"/>
  <c r="O3225" i="34"/>
  <c r="P3225" i="34"/>
  <c r="Q3225" i="34"/>
  <c r="R3225" i="34"/>
  <c r="S3225" i="34"/>
  <c r="T3225" i="34"/>
  <c r="U3225" i="34"/>
  <c r="V3225" i="34"/>
  <c r="W3225" i="34"/>
  <c r="X3225" i="34"/>
  <c r="Y3225" i="34"/>
  <c r="Z3225" i="34"/>
  <c r="N3226" i="34"/>
  <c r="O3226" i="34"/>
  <c r="P3226" i="34"/>
  <c r="Q3226" i="34"/>
  <c r="R3226" i="34"/>
  <c r="S3226" i="34"/>
  <c r="T3226" i="34"/>
  <c r="U3226" i="34"/>
  <c r="V3226" i="34"/>
  <c r="W3226" i="34"/>
  <c r="X3226" i="34"/>
  <c r="Y3226" i="34"/>
  <c r="Z3226" i="34"/>
  <c r="N3227" i="34"/>
  <c r="O3227" i="34"/>
  <c r="P3227" i="34"/>
  <c r="Q3227" i="34"/>
  <c r="R3227" i="34"/>
  <c r="S3227" i="34"/>
  <c r="T3227" i="34"/>
  <c r="U3227" i="34"/>
  <c r="V3227" i="34"/>
  <c r="W3227" i="34"/>
  <c r="X3227" i="34"/>
  <c r="Y3227" i="34"/>
  <c r="Z3227" i="34"/>
  <c r="N3228" i="34"/>
  <c r="O3228" i="34"/>
  <c r="P3228" i="34"/>
  <c r="Q3228" i="34"/>
  <c r="R3228" i="34"/>
  <c r="S3228" i="34"/>
  <c r="T3228" i="34"/>
  <c r="U3228" i="34"/>
  <c r="V3228" i="34"/>
  <c r="W3228" i="34"/>
  <c r="X3228" i="34"/>
  <c r="Y3228" i="34"/>
  <c r="Z3228" i="34"/>
  <c r="N3229" i="34"/>
  <c r="O3229" i="34"/>
  <c r="P3229" i="34"/>
  <c r="Q3229" i="34"/>
  <c r="R3229" i="34"/>
  <c r="S3229" i="34"/>
  <c r="T3229" i="34"/>
  <c r="U3229" i="34"/>
  <c r="V3229" i="34"/>
  <c r="W3229" i="34"/>
  <c r="X3229" i="34"/>
  <c r="Y3229" i="34"/>
  <c r="Z3229" i="34"/>
  <c r="N3230" i="34"/>
  <c r="O3230" i="34"/>
  <c r="P3230" i="34"/>
  <c r="Q3230" i="34"/>
  <c r="R3230" i="34"/>
  <c r="S3230" i="34"/>
  <c r="T3230" i="34"/>
  <c r="U3230" i="34"/>
  <c r="V3230" i="34"/>
  <c r="W3230" i="34"/>
  <c r="X3230" i="34"/>
  <c r="Y3230" i="34"/>
  <c r="Z3230" i="34"/>
  <c r="N3231" i="34"/>
  <c r="O3231" i="34"/>
  <c r="P3231" i="34"/>
  <c r="Q3231" i="34"/>
  <c r="R3231" i="34"/>
  <c r="S3231" i="34"/>
  <c r="T3231" i="34"/>
  <c r="U3231" i="34"/>
  <c r="V3231" i="34"/>
  <c r="W3231" i="34"/>
  <c r="X3231" i="34"/>
  <c r="Y3231" i="34"/>
  <c r="Z3231" i="34"/>
  <c r="N3232" i="34"/>
  <c r="O3232" i="34"/>
  <c r="P3232" i="34"/>
  <c r="Q3232" i="34"/>
  <c r="R3232" i="34"/>
  <c r="S3232" i="34"/>
  <c r="T3232" i="34"/>
  <c r="U3232" i="34"/>
  <c r="V3232" i="34"/>
  <c r="W3232" i="34"/>
  <c r="X3232" i="34"/>
  <c r="Y3232" i="34"/>
  <c r="Z3232" i="34"/>
  <c r="N3233" i="34"/>
  <c r="O3233" i="34"/>
  <c r="P3233" i="34"/>
  <c r="Q3233" i="34"/>
  <c r="R3233" i="34"/>
  <c r="S3233" i="34"/>
  <c r="T3233" i="34"/>
  <c r="U3233" i="34"/>
  <c r="V3233" i="34"/>
  <c r="W3233" i="34"/>
  <c r="X3233" i="34"/>
  <c r="Y3233" i="34"/>
  <c r="Z3233" i="34"/>
  <c r="N3234" i="34"/>
  <c r="O3234" i="34"/>
  <c r="P3234" i="34"/>
  <c r="Q3234" i="34"/>
  <c r="R3234" i="34"/>
  <c r="S3234" i="34"/>
  <c r="T3234" i="34"/>
  <c r="U3234" i="34"/>
  <c r="V3234" i="34"/>
  <c r="W3234" i="34"/>
  <c r="X3234" i="34"/>
  <c r="Y3234" i="34"/>
  <c r="Z3234" i="34"/>
  <c r="N3235" i="34"/>
  <c r="O3235" i="34"/>
  <c r="P3235" i="34"/>
  <c r="Q3235" i="34"/>
  <c r="R3235" i="34"/>
  <c r="S3235" i="34"/>
  <c r="T3235" i="34"/>
  <c r="U3235" i="34"/>
  <c r="V3235" i="34"/>
  <c r="W3235" i="34"/>
  <c r="X3235" i="34"/>
  <c r="Y3235" i="34"/>
  <c r="Z3235" i="34"/>
  <c r="N3236" i="34"/>
  <c r="O3236" i="34"/>
  <c r="P3236" i="34"/>
  <c r="Q3236" i="34"/>
  <c r="R3236" i="34"/>
  <c r="S3236" i="34"/>
  <c r="T3236" i="34"/>
  <c r="U3236" i="34"/>
  <c r="V3236" i="34"/>
  <c r="W3236" i="34"/>
  <c r="X3236" i="34"/>
  <c r="Y3236" i="34"/>
  <c r="Z3236" i="34"/>
  <c r="N3237" i="34"/>
  <c r="O3237" i="34"/>
  <c r="P3237" i="34"/>
  <c r="Q3237" i="34"/>
  <c r="R3237" i="34"/>
  <c r="S3237" i="34"/>
  <c r="T3237" i="34"/>
  <c r="U3237" i="34"/>
  <c r="V3237" i="34"/>
  <c r="W3237" i="34"/>
  <c r="X3237" i="34"/>
  <c r="Y3237" i="34"/>
  <c r="Z3237" i="34"/>
  <c r="N3238" i="34"/>
  <c r="O3238" i="34"/>
  <c r="P3238" i="34"/>
  <c r="Q3238" i="34"/>
  <c r="R3238" i="34"/>
  <c r="S3238" i="34"/>
  <c r="T3238" i="34"/>
  <c r="U3238" i="34"/>
  <c r="V3238" i="34"/>
  <c r="W3238" i="34"/>
  <c r="X3238" i="34"/>
  <c r="Y3238" i="34"/>
  <c r="Z3238" i="34"/>
  <c r="N3239" i="34"/>
  <c r="O3239" i="34"/>
  <c r="P3239" i="34"/>
  <c r="Q3239" i="34"/>
  <c r="R3239" i="34"/>
  <c r="S3239" i="34"/>
  <c r="T3239" i="34"/>
  <c r="U3239" i="34"/>
  <c r="V3239" i="34"/>
  <c r="W3239" i="34"/>
  <c r="X3239" i="34"/>
  <c r="Y3239" i="34"/>
  <c r="Z3239" i="34"/>
  <c r="N3240" i="34"/>
  <c r="O3240" i="34"/>
  <c r="P3240" i="34"/>
  <c r="Q3240" i="34"/>
  <c r="R3240" i="34"/>
  <c r="S3240" i="34"/>
  <c r="T3240" i="34"/>
  <c r="U3240" i="34"/>
  <c r="V3240" i="34"/>
  <c r="W3240" i="34"/>
  <c r="X3240" i="34"/>
  <c r="Y3240" i="34"/>
  <c r="Z3240" i="34"/>
  <c r="N3241" i="34"/>
  <c r="O3241" i="34"/>
  <c r="P3241" i="34"/>
  <c r="Q3241" i="34"/>
  <c r="R3241" i="34"/>
  <c r="S3241" i="34"/>
  <c r="T3241" i="34"/>
  <c r="U3241" i="34"/>
  <c r="V3241" i="34"/>
  <c r="W3241" i="34"/>
  <c r="X3241" i="34"/>
  <c r="Y3241" i="34"/>
  <c r="Z3241" i="34"/>
  <c r="N3242" i="34"/>
  <c r="O3242" i="34"/>
  <c r="P3242" i="34"/>
  <c r="Q3242" i="34"/>
  <c r="R3242" i="34"/>
  <c r="S3242" i="34"/>
  <c r="T3242" i="34"/>
  <c r="U3242" i="34"/>
  <c r="V3242" i="34"/>
  <c r="W3242" i="34"/>
  <c r="X3242" i="34"/>
  <c r="Y3242" i="34"/>
  <c r="Z3242" i="34"/>
  <c r="N3243" i="34"/>
  <c r="O3243" i="34"/>
  <c r="P3243" i="34"/>
  <c r="Q3243" i="34"/>
  <c r="R3243" i="34"/>
  <c r="S3243" i="34"/>
  <c r="T3243" i="34"/>
  <c r="U3243" i="34"/>
  <c r="V3243" i="34"/>
  <c r="W3243" i="34"/>
  <c r="X3243" i="34"/>
  <c r="Y3243" i="34"/>
  <c r="Z3243" i="34"/>
  <c r="N3244" i="34"/>
  <c r="O3244" i="34"/>
  <c r="P3244" i="34"/>
  <c r="Q3244" i="34"/>
  <c r="R3244" i="34"/>
  <c r="S3244" i="34"/>
  <c r="T3244" i="34"/>
  <c r="U3244" i="34"/>
  <c r="V3244" i="34"/>
  <c r="W3244" i="34"/>
  <c r="X3244" i="34"/>
  <c r="Y3244" i="34"/>
  <c r="Z3244" i="34"/>
  <c r="N3245" i="34"/>
  <c r="O3245" i="34"/>
  <c r="P3245" i="34"/>
  <c r="Q3245" i="34"/>
  <c r="R3245" i="34"/>
  <c r="S3245" i="34"/>
  <c r="T3245" i="34"/>
  <c r="U3245" i="34"/>
  <c r="V3245" i="34"/>
  <c r="W3245" i="34"/>
  <c r="X3245" i="34"/>
  <c r="Y3245" i="34"/>
  <c r="Z3245" i="34"/>
  <c r="N3246" i="34"/>
  <c r="O3246" i="34"/>
  <c r="P3246" i="34"/>
  <c r="Q3246" i="34"/>
  <c r="R3246" i="34"/>
  <c r="S3246" i="34"/>
  <c r="T3246" i="34"/>
  <c r="U3246" i="34"/>
  <c r="V3246" i="34"/>
  <c r="W3246" i="34"/>
  <c r="X3246" i="34"/>
  <c r="Y3246" i="34"/>
  <c r="Z3246" i="34"/>
  <c r="N3247" i="34"/>
  <c r="O3247" i="34"/>
  <c r="P3247" i="34"/>
  <c r="Q3247" i="34"/>
  <c r="R3247" i="34"/>
  <c r="S3247" i="34"/>
  <c r="T3247" i="34"/>
  <c r="U3247" i="34"/>
  <c r="V3247" i="34"/>
  <c r="W3247" i="34"/>
  <c r="X3247" i="34"/>
  <c r="Y3247" i="34"/>
  <c r="Z3247" i="34"/>
  <c r="N3248" i="34"/>
  <c r="O3248" i="34"/>
  <c r="P3248" i="34"/>
  <c r="Q3248" i="34"/>
  <c r="R3248" i="34"/>
  <c r="S3248" i="34"/>
  <c r="T3248" i="34"/>
  <c r="U3248" i="34"/>
  <c r="V3248" i="34"/>
  <c r="W3248" i="34"/>
  <c r="X3248" i="34"/>
  <c r="Y3248" i="34"/>
  <c r="Z3248" i="34"/>
  <c r="N3249" i="34"/>
  <c r="O3249" i="34"/>
  <c r="P3249" i="34"/>
  <c r="Q3249" i="34"/>
  <c r="R3249" i="34"/>
  <c r="S3249" i="34"/>
  <c r="T3249" i="34"/>
  <c r="U3249" i="34"/>
  <c r="V3249" i="34"/>
  <c r="W3249" i="34"/>
  <c r="X3249" i="34"/>
  <c r="Y3249" i="34"/>
  <c r="Z3249" i="34"/>
  <c r="N3250" i="34"/>
  <c r="O3250" i="34"/>
  <c r="P3250" i="34"/>
  <c r="Q3250" i="34"/>
  <c r="R3250" i="34"/>
  <c r="S3250" i="34"/>
  <c r="T3250" i="34"/>
  <c r="U3250" i="34"/>
  <c r="V3250" i="34"/>
  <c r="W3250" i="34"/>
  <c r="X3250" i="34"/>
  <c r="Y3250" i="34"/>
  <c r="Z3250" i="34"/>
  <c r="N3251" i="34"/>
  <c r="O3251" i="34"/>
  <c r="P3251" i="34"/>
  <c r="Q3251" i="34"/>
  <c r="R3251" i="34"/>
  <c r="S3251" i="34"/>
  <c r="T3251" i="34"/>
  <c r="U3251" i="34"/>
  <c r="V3251" i="34"/>
  <c r="W3251" i="34"/>
  <c r="X3251" i="34"/>
  <c r="Y3251" i="34"/>
  <c r="Z3251" i="34"/>
  <c r="N3252" i="34"/>
  <c r="O3252" i="34"/>
  <c r="P3252" i="34"/>
  <c r="Q3252" i="34"/>
  <c r="R3252" i="34"/>
  <c r="S3252" i="34"/>
  <c r="T3252" i="34"/>
  <c r="U3252" i="34"/>
  <c r="V3252" i="34"/>
  <c r="W3252" i="34"/>
  <c r="X3252" i="34"/>
  <c r="Y3252" i="34"/>
  <c r="Z3252" i="34"/>
  <c r="N3253" i="34"/>
  <c r="O3253" i="34"/>
  <c r="P3253" i="34"/>
  <c r="Q3253" i="34"/>
  <c r="R3253" i="34"/>
  <c r="S3253" i="34"/>
  <c r="T3253" i="34"/>
  <c r="U3253" i="34"/>
  <c r="V3253" i="34"/>
  <c r="W3253" i="34"/>
  <c r="X3253" i="34"/>
  <c r="Y3253" i="34"/>
  <c r="Z3253" i="34"/>
  <c r="N3254" i="34"/>
  <c r="O3254" i="34"/>
  <c r="P3254" i="34"/>
  <c r="Q3254" i="34"/>
  <c r="R3254" i="34"/>
  <c r="S3254" i="34"/>
  <c r="T3254" i="34"/>
  <c r="U3254" i="34"/>
  <c r="V3254" i="34"/>
  <c r="W3254" i="34"/>
  <c r="X3254" i="34"/>
  <c r="Y3254" i="34"/>
  <c r="Z3254" i="34"/>
  <c r="N3255" i="34"/>
  <c r="O3255" i="34"/>
  <c r="P3255" i="34"/>
  <c r="Q3255" i="34"/>
  <c r="R3255" i="34"/>
  <c r="S3255" i="34"/>
  <c r="T3255" i="34"/>
  <c r="U3255" i="34"/>
  <c r="V3255" i="34"/>
  <c r="W3255" i="34"/>
  <c r="X3255" i="34"/>
  <c r="Y3255" i="34"/>
  <c r="Z3255" i="34"/>
  <c r="N3256" i="34"/>
  <c r="O3256" i="34"/>
  <c r="P3256" i="34"/>
  <c r="Q3256" i="34"/>
  <c r="R3256" i="34"/>
  <c r="S3256" i="34"/>
  <c r="T3256" i="34"/>
  <c r="U3256" i="34"/>
  <c r="V3256" i="34"/>
  <c r="W3256" i="34"/>
  <c r="X3256" i="34"/>
  <c r="Y3256" i="34"/>
  <c r="Z3256" i="34"/>
  <c r="N3257" i="34"/>
  <c r="O3257" i="34"/>
  <c r="P3257" i="34"/>
  <c r="Q3257" i="34"/>
  <c r="R3257" i="34"/>
  <c r="S3257" i="34"/>
  <c r="T3257" i="34"/>
  <c r="U3257" i="34"/>
  <c r="V3257" i="34"/>
  <c r="W3257" i="34"/>
  <c r="X3257" i="34"/>
  <c r="Y3257" i="34"/>
  <c r="Z3257" i="34"/>
  <c r="N3258" i="34"/>
  <c r="O3258" i="34"/>
  <c r="P3258" i="34"/>
  <c r="Q3258" i="34"/>
  <c r="R3258" i="34"/>
  <c r="S3258" i="34"/>
  <c r="T3258" i="34"/>
  <c r="U3258" i="34"/>
  <c r="V3258" i="34"/>
  <c r="W3258" i="34"/>
  <c r="X3258" i="34"/>
  <c r="Y3258" i="34"/>
  <c r="Z3258" i="34"/>
  <c r="N3259" i="34"/>
  <c r="O3259" i="34"/>
  <c r="P3259" i="34"/>
  <c r="Q3259" i="34"/>
  <c r="R3259" i="34"/>
  <c r="S3259" i="34"/>
  <c r="T3259" i="34"/>
  <c r="U3259" i="34"/>
  <c r="V3259" i="34"/>
  <c r="W3259" i="34"/>
  <c r="X3259" i="34"/>
  <c r="Y3259" i="34"/>
  <c r="Z3259" i="34"/>
  <c r="N3260" i="34"/>
  <c r="O3260" i="34"/>
  <c r="P3260" i="34"/>
  <c r="Q3260" i="34"/>
  <c r="R3260" i="34"/>
  <c r="S3260" i="34"/>
  <c r="T3260" i="34"/>
  <c r="U3260" i="34"/>
  <c r="V3260" i="34"/>
  <c r="W3260" i="34"/>
  <c r="X3260" i="34"/>
  <c r="Y3260" i="34"/>
  <c r="Z3260" i="34"/>
  <c r="N3261" i="34"/>
  <c r="O3261" i="34"/>
  <c r="P3261" i="34"/>
  <c r="Q3261" i="34"/>
  <c r="R3261" i="34"/>
  <c r="S3261" i="34"/>
  <c r="T3261" i="34"/>
  <c r="U3261" i="34"/>
  <c r="V3261" i="34"/>
  <c r="W3261" i="34"/>
  <c r="X3261" i="34"/>
  <c r="Y3261" i="34"/>
  <c r="Z3261" i="34"/>
  <c r="N3262" i="34"/>
  <c r="O3262" i="34"/>
  <c r="P3262" i="34"/>
  <c r="Q3262" i="34"/>
  <c r="R3262" i="34"/>
  <c r="S3262" i="34"/>
  <c r="T3262" i="34"/>
  <c r="U3262" i="34"/>
  <c r="V3262" i="34"/>
  <c r="W3262" i="34"/>
  <c r="X3262" i="34"/>
  <c r="Y3262" i="34"/>
  <c r="Z3262" i="34"/>
  <c r="N3263" i="34"/>
  <c r="O3263" i="34"/>
  <c r="P3263" i="34"/>
  <c r="Q3263" i="34"/>
  <c r="R3263" i="34"/>
  <c r="S3263" i="34"/>
  <c r="T3263" i="34"/>
  <c r="U3263" i="34"/>
  <c r="V3263" i="34"/>
  <c r="W3263" i="34"/>
  <c r="X3263" i="34"/>
  <c r="Y3263" i="34"/>
  <c r="Z3263" i="34"/>
  <c r="N3264" i="34"/>
  <c r="O3264" i="34"/>
  <c r="P3264" i="34"/>
  <c r="Q3264" i="34"/>
  <c r="R3264" i="34"/>
  <c r="S3264" i="34"/>
  <c r="T3264" i="34"/>
  <c r="U3264" i="34"/>
  <c r="V3264" i="34"/>
  <c r="W3264" i="34"/>
  <c r="X3264" i="34"/>
  <c r="Y3264" i="34"/>
  <c r="Z3264" i="34"/>
  <c r="N3265" i="34"/>
  <c r="O3265" i="34"/>
  <c r="P3265" i="34"/>
  <c r="Q3265" i="34"/>
  <c r="R3265" i="34"/>
  <c r="S3265" i="34"/>
  <c r="T3265" i="34"/>
  <c r="U3265" i="34"/>
  <c r="V3265" i="34"/>
  <c r="W3265" i="34"/>
  <c r="X3265" i="34"/>
  <c r="Y3265" i="34"/>
  <c r="Z3265" i="34"/>
  <c r="N3266" i="34"/>
  <c r="O3266" i="34"/>
  <c r="P3266" i="34"/>
  <c r="Q3266" i="34"/>
  <c r="R3266" i="34"/>
  <c r="S3266" i="34"/>
  <c r="T3266" i="34"/>
  <c r="U3266" i="34"/>
  <c r="V3266" i="34"/>
  <c r="W3266" i="34"/>
  <c r="X3266" i="34"/>
  <c r="Y3266" i="34"/>
  <c r="Z3266" i="34"/>
  <c r="N3267" i="34"/>
  <c r="O3267" i="34"/>
  <c r="P3267" i="34"/>
  <c r="Q3267" i="34"/>
  <c r="R3267" i="34"/>
  <c r="S3267" i="34"/>
  <c r="T3267" i="34"/>
  <c r="U3267" i="34"/>
  <c r="V3267" i="34"/>
  <c r="W3267" i="34"/>
  <c r="X3267" i="34"/>
  <c r="Y3267" i="34"/>
  <c r="Z3267" i="34"/>
  <c r="N3268" i="34"/>
  <c r="O3268" i="34"/>
  <c r="P3268" i="34"/>
  <c r="Q3268" i="34"/>
  <c r="R3268" i="34"/>
  <c r="S3268" i="34"/>
  <c r="T3268" i="34"/>
  <c r="U3268" i="34"/>
  <c r="V3268" i="34"/>
  <c r="W3268" i="34"/>
  <c r="X3268" i="34"/>
  <c r="Y3268" i="34"/>
  <c r="Z3268" i="34"/>
  <c r="N3269" i="34"/>
  <c r="O3269" i="34"/>
  <c r="P3269" i="34"/>
  <c r="Q3269" i="34"/>
  <c r="R3269" i="34"/>
  <c r="S3269" i="34"/>
  <c r="T3269" i="34"/>
  <c r="U3269" i="34"/>
  <c r="V3269" i="34"/>
  <c r="W3269" i="34"/>
  <c r="X3269" i="34"/>
  <c r="Y3269" i="34"/>
  <c r="Z3269" i="34"/>
  <c r="N3270" i="34"/>
  <c r="O3270" i="34"/>
  <c r="P3270" i="34"/>
  <c r="Q3270" i="34"/>
  <c r="R3270" i="34"/>
  <c r="S3270" i="34"/>
  <c r="T3270" i="34"/>
  <c r="U3270" i="34"/>
  <c r="V3270" i="34"/>
  <c r="W3270" i="34"/>
  <c r="X3270" i="34"/>
  <c r="Y3270" i="34"/>
  <c r="Z3270" i="34"/>
  <c r="N3271" i="34"/>
  <c r="O3271" i="34"/>
  <c r="P3271" i="34"/>
  <c r="Q3271" i="34"/>
  <c r="R3271" i="34"/>
  <c r="S3271" i="34"/>
  <c r="T3271" i="34"/>
  <c r="U3271" i="34"/>
  <c r="V3271" i="34"/>
  <c r="W3271" i="34"/>
  <c r="X3271" i="34"/>
  <c r="Y3271" i="34"/>
  <c r="Z3271" i="34"/>
  <c r="N3272" i="34"/>
  <c r="O3272" i="34"/>
  <c r="P3272" i="34"/>
  <c r="Q3272" i="34"/>
  <c r="R3272" i="34"/>
  <c r="S3272" i="34"/>
  <c r="T3272" i="34"/>
  <c r="U3272" i="34"/>
  <c r="V3272" i="34"/>
  <c r="W3272" i="34"/>
  <c r="X3272" i="34"/>
  <c r="Y3272" i="34"/>
  <c r="Z3272" i="34"/>
  <c r="N3273" i="34"/>
  <c r="O3273" i="34"/>
  <c r="P3273" i="34"/>
  <c r="Q3273" i="34"/>
  <c r="R3273" i="34"/>
  <c r="S3273" i="34"/>
  <c r="T3273" i="34"/>
  <c r="U3273" i="34"/>
  <c r="V3273" i="34"/>
  <c r="W3273" i="34"/>
  <c r="X3273" i="34"/>
  <c r="Y3273" i="34"/>
  <c r="Z3273" i="34"/>
  <c r="N3274" i="34"/>
  <c r="O3274" i="34"/>
  <c r="P3274" i="34"/>
  <c r="Q3274" i="34"/>
  <c r="R3274" i="34"/>
  <c r="S3274" i="34"/>
  <c r="T3274" i="34"/>
  <c r="U3274" i="34"/>
  <c r="V3274" i="34"/>
  <c r="W3274" i="34"/>
  <c r="X3274" i="34"/>
  <c r="Y3274" i="34"/>
  <c r="Z3274" i="34"/>
  <c r="N3275" i="34"/>
  <c r="O3275" i="34"/>
  <c r="P3275" i="34"/>
  <c r="Q3275" i="34"/>
  <c r="R3275" i="34"/>
  <c r="S3275" i="34"/>
  <c r="T3275" i="34"/>
  <c r="U3275" i="34"/>
  <c r="V3275" i="34"/>
  <c r="W3275" i="34"/>
  <c r="X3275" i="34"/>
  <c r="Y3275" i="34"/>
  <c r="Z3275" i="34"/>
  <c r="N3276" i="34"/>
  <c r="O3276" i="34"/>
  <c r="P3276" i="34"/>
  <c r="Q3276" i="34"/>
  <c r="R3276" i="34"/>
  <c r="S3276" i="34"/>
  <c r="T3276" i="34"/>
  <c r="U3276" i="34"/>
  <c r="V3276" i="34"/>
  <c r="W3276" i="34"/>
  <c r="X3276" i="34"/>
  <c r="Y3276" i="34"/>
  <c r="Z3276" i="34"/>
  <c r="N3277" i="34"/>
  <c r="O3277" i="34"/>
  <c r="P3277" i="34"/>
  <c r="Q3277" i="34"/>
  <c r="R3277" i="34"/>
  <c r="S3277" i="34"/>
  <c r="T3277" i="34"/>
  <c r="U3277" i="34"/>
  <c r="V3277" i="34"/>
  <c r="W3277" i="34"/>
  <c r="X3277" i="34"/>
  <c r="Y3277" i="34"/>
  <c r="Z3277" i="34"/>
  <c r="N3278" i="34"/>
  <c r="O3278" i="34"/>
  <c r="P3278" i="34"/>
  <c r="Q3278" i="34"/>
  <c r="R3278" i="34"/>
  <c r="S3278" i="34"/>
  <c r="T3278" i="34"/>
  <c r="U3278" i="34"/>
  <c r="V3278" i="34"/>
  <c r="W3278" i="34"/>
  <c r="X3278" i="34"/>
  <c r="Y3278" i="34"/>
  <c r="Z3278" i="34"/>
  <c r="N3279" i="34"/>
  <c r="O3279" i="34"/>
  <c r="P3279" i="34"/>
  <c r="Q3279" i="34"/>
  <c r="R3279" i="34"/>
  <c r="S3279" i="34"/>
  <c r="T3279" i="34"/>
  <c r="U3279" i="34"/>
  <c r="V3279" i="34"/>
  <c r="W3279" i="34"/>
  <c r="X3279" i="34"/>
  <c r="Y3279" i="34"/>
  <c r="Z3279" i="34"/>
  <c r="N3280" i="34"/>
  <c r="O3280" i="34"/>
  <c r="P3280" i="34"/>
  <c r="Q3280" i="34"/>
  <c r="R3280" i="34"/>
  <c r="S3280" i="34"/>
  <c r="T3280" i="34"/>
  <c r="U3280" i="34"/>
  <c r="V3280" i="34"/>
  <c r="W3280" i="34"/>
  <c r="X3280" i="34"/>
  <c r="Y3280" i="34"/>
  <c r="Z3280" i="34"/>
  <c r="N3281" i="34"/>
  <c r="O3281" i="34"/>
  <c r="P3281" i="34"/>
  <c r="Q3281" i="34"/>
  <c r="R3281" i="34"/>
  <c r="S3281" i="34"/>
  <c r="T3281" i="34"/>
  <c r="U3281" i="34"/>
  <c r="V3281" i="34"/>
  <c r="W3281" i="34"/>
  <c r="X3281" i="34"/>
  <c r="Y3281" i="34"/>
  <c r="Z3281" i="34"/>
  <c r="N3282" i="34"/>
  <c r="O3282" i="34"/>
  <c r="P3282" i="34"/>
  <c r="Q3282" i="34"/>
  <c r="R3282" i="34"/>
  <c r="S3282" i="34"/>
  <c r="T3282" i="34"/>
  <c r="U3282" i="34"/>
  <c r="V3282" i="34"/>
  <c r="W3282" i="34"/>
  <c r="X3282" i="34"/>
  <c r="Y3282" i="34"/>
  <c r="Z3282" i="34"/>
  <c r="N3283" i="34"/>
  <c r="O3283" i="34"/>
  <c r="P3283" i="34"/>
  <c r="Q3283" i="34"/>
  <c r="R3283" i="34"/>
  <c r="S3283" i="34"/>
  <c r="T3283" i="34"/>
  <c r="U3283" i="34"/>
  <c r="V3283" i="34"/>
  <c r="W3283" i="34"/>
  <c r="X3283" i="34"/>
  <c r="Y3283" i="34"/>
  <c r="Z3283" i="34"/>
  <c r="N3284" i="34"/>
  <c r="O3284" i="34"/>
  <c r="P3284" i="34"/>
  <c r="Q3284" i="34"/>
  <c r="R3284" i="34"/>
  <c r="S3284" i="34"/>
  <c r="T3284" i="34"/>
  <c r="U3284" i="34"/>
  <c r="V3284" i="34"/>
  <c r="W3284" i="34"/>
  <c r="X3284" i="34"/>
  <c r="Y3284" i="34"/>
  <c r="Z3284" i="34"/>
  <c r="N3285" i="34"/>
  <c r="O3285" i="34"/>
  <c r="P3285" i="34"/>
  <c r="Q3285" i="34"/>
  <c r="R3285" i="34"/>
  <c r="S3285" i="34"/>
  <c r="T3285" i="34"/>
  <c r="U3285" i="34"/>
  <c r="V3285" i="34"/>
  <c r="W3285" i="34"/>
  <c r="X3285" i="34"/>
  <c r="Y3285" i="34"/>
  <c r="Z3285" i="34"/>
  <c r="N3286" i="34"/>
  <c r="O3286" i="34"/>
  <c r="P3286" i="34"/>
  <c r="Q3286" i="34"/>
  <c r="R3286" i="34"/>
  <c r="S3286" i="34"/>
  <c r="T3286" i="34"/>
  <c r="U3286" i="34"/>
  <c r="V3286" i="34"/>
  <c r="W3286" i="34"/>
  <c r="X3286" i="34"/>
  <c r="Y3286" i="34"/>
  <c r="Z3286" i="34"/>
  <c r="N3287" i="34"/>
  <c r="O3287" i="34"/>
  <c r="P3287" i="34"/>
  <c r="Q3287" i="34"/>
  <c r="R3287" i="34"/>
  <c r="S3287" i="34"/>
  <c r="T3287" i="34"/>
  <c r="U3287" i="34"/>
  <c r="V3287" i="34"/>
  <c r="W3287" i="34"/>
  <c r="X3287" i="34"/>
  <c r="Y3287" i="34"/>
  <c r="Z3287" i="34"/>
  <c r="N3288" i="34"/>
  <c r="O3288" i="34"/>
  <c r="P3288" i="34"/>
  <c r="Q3288" i="34"/>
  <c r="R3288" i="34"/>
  <c r="S3288" i="34"/>
  <c r="T3288" i="34"/>
  <c r="U3288" i="34"/>
  <c r="V3288" i="34"/>
  <c r="W3288" i="34"/>
  <c r="X3288" i="34"/>
  <c r="Y3288" i="34"/>
  <c r="Z3288" i="34"/>
  <c r="N3289" i="34"/>
  <c r="O3289" i="34"/>
  <c r="P3289" i="34"/>
  <c r="Q3289" i="34"/>
  <c r="R3289" i="34"/>
  <c r="S3289" i="34"/>
  <c r="T3289" i="34"/>
  <c r="U3289" i="34"/>
  <c r="V3289" i="34"/>
  <c r="W3289" i="34"/>
  <c r="X3289" i="34"/>
  <c r="Y3289" i="34"/>
  <c r="Z3289" i="34"/>
  <c r="N3290" i="34"/>
  <c r="O3290" i="34"/>
  <c r="P3290" i="34"/>
  <c r="Q3290" i="34"/>
  <c r="R3290" i="34"/>
  <c r="S3290" i="34"/>
  <c r="T3290" i="34"/>
  <c r="U3290" i="34"/>
  <c r="V3290" i="34"/>
  <c r="W3290" i="34"/>
  <c r="X3290" i="34"/>
  <c r="Y3290" i="34"/>
  <c r="Z3290" i="34"/>
  <c r="N3291" i="34"/>
  <c r="O3291" i="34"/>
  <c r="P3291" i="34"/>
  <c r="Q3291" i="34"/>
  <c r="R3291" i="34"/>
  <c r="S3291" i="34"/>
  <c r="T3291" i="34"/>
  <c r="U3291" i="34"/>
  <c r="V3291" i="34"/>
  <c r="W3291" i="34"/>
  <c r="X3291" i="34"/>
  <c r="Y3291" i="34"/>
  <c r="Z3291" i="34"/>
  <c r="N3292" i="34"/>
  <c r="O3292" i="34"/>
  <c r="P3292" i="34"/>
  <c r="Q3292" i="34"/>
  <c r="R3292" i="34"/>
  <c r="S3292" i="34"/>
  <c r="T3292" i="34"/>
  <c r="U3292" i="34"/>
  <c r="V3292" i="34"/>
  <c r="W3292" i="34"/>
  <c r="X3292" i="34"/>
  <c r="Y3292" i="34"/>
  <c r="Z3292" i="34"/>
  <c r="N3293" i="34"/>
  <c r="O3293" i="34"/>
  <c r="P3293" i="34"/>
  <c r="Q3293" i="34"/>
  <c r="R3293" i="34"/>
  <c r="S3293" i="34"/>
  <c r="T3293" i="34"/>
  <c r="U3293" i="34"/>
  <c r="V3293" i="34"/>
  <c r="W3293" i="34"/>
  <c r="X3293" i="34"/>
  <c r="Y3293" i="34"/>
  <c r="Z3293" i="34"/>
  <c r="N3294" i="34"/>
  <c r="O3294" i="34"/>
  <c r="P3294" i="34"/>
  <c r="Q3294" i="34"/>
  <c r="R3294" i="34"/>
  <c r="S3294" i="34"/>
  <c r="T3294" i="34"/>
  <c r="U3294" i="34"/>
  <c r="V3294" i="34"/>
  <c r="W3294" i="34"/>
  <c r="X3294" i="34"/>
  <c r="Y3294" i="34"/>
  <c r="Z3294" i="34"/>
  <c r="N3295" i="34"/>
  <c r="O3295" i="34"/>
  <c r="P3295" i="34"/>
  <c r="Q3295" i="34"/>
  <c r="R3295" i="34"/>
  <c r="S3295" i="34"/>
  <c r="T3295" i="34"/>
  <c r="U3295" i="34"/>
  <c r="V3295" i="34"/>
  <c r="W3295" i="34"/>
  <c r="X3295" i="34"/>
  <c r="Y3295" i="34"/>
  <c r="Z3295" i="34"/>
  <c r="N3296" i="34"/>
  <c r="O3296" i="34"/>
  <c r="P3296" i="34"/>
  <c r="Q3296" i="34"/>
  <c r="R3296" i="34"/>
  <c r="S3296" i="34"/>
  <c r="T3296" i="34"/>
  <c r="U3296" i="34"/>
  <c r="V3296" i="34"/>
  <c r="W3296" i="34"/>
  <c r="X3296" i="34"/>
  <c r="Y3296" i="34"/>
  <c r="Z3296" i="34"/>
  <c r="N3297" i="34"/>
  <c r="O3297" i="34"/>
  <c r="P3297" i="34"/>
  <c r="Q3297" i="34"/>
  <c r="R3297" i="34"/>
  <c r="S3297" i="34"/>
  <c r="T3297" i="34"/>
  <c r="U3297" i="34"/>
  <c r="V3297" i="34"/>
  <c r="W3297" i="34"/>
  <c r="X3297" i="34"/>
  <c r="Y3297" i="34"/>
  <c r="Z3297" i="34"/>
  <c r="N3298" i="34"/>
  <c r="O3298" i="34"/>
  <c r="P3298" i="34"/>
  <c r="Q3298" i="34"/>
  <c r="R3298" i="34"/>
  <c r="S3298" i="34"/>
  <c r="T3298" i="34"/>
  <c r="U3298" i="34"/>
  <c r="V3298" i="34"/>
  <c r="W3298" i="34"/>
  <c r="X3298" i="34"/>
  <c r="Y3298" i="34"/>
  <c r="Z3298" i="34"/>
  <c r="N3299" i="34"/>
  <c r="O3299" i="34"/>
  <c r="P3299" i="34"/>
  <c r="Q3299" i="34"/>
  <c r="R3299" i="34"/>
  <c r="S3299" i="34"/>
  <c r="T3299" i="34"/>
  <c r="U3299" i="34"/>
  <c r="V3299" i="34"/>
  <c r="W3299" i="34"/>
  <c r="X3299" i="34"/>
  <c r="Y3299" i="34"/>
  <c r="Z3299" i="34"/>
  <c r="N3300" i="34"/>
  <c r="O3300" i="34"/>
  <c r="P3300" i="34"/>
  <c r="Q3300" i="34"/>
  <c r="R3300" i="34"/>
  <c r="S3300" i="34"/>
  <c r="T3300" i="34"/>
  <c r="U3300" i="34"/>
  <c r="V3300" i="34"/>
  <c r="W3300" i="34"/>
  <c r="X3300" i="34"/>
  <c r="Y3300" i="34"/>
  <c r="Z3300" i="34"/>
  <c r="N3301" i="34"/>
  <c r="O3301" i="34"/>
  <c r="P3301" i="34"/>
  <c r="Q3301" i="34"/>
  <c r="R3301" i="34"/>
  <c r="S3301" i="34"/>
  <c r="T3301" i="34"/>
  <c r="U3301" i="34"/>
  <c r="V3301" i="34"/>
  <c r="W3301" i="34"/>
  <c r="X3301" i="34"/>
  <c r="Y3301" i="34"/>
  <c r="Z3301" i="34"/>
  <c r="N3302" i="34"/>
  <c r="O3302" i="34"/>
  <c r="P3302" i="34"/>
  <c r="Q3302" i="34"/>
  <c r="R3302" i="34"/>
  <c r="S3302" i="34"/>
  <c r="T3302" i="34"/>
  <c r="U3302" i="34"/>
  <c r="V3302" i="34"/>
  <c r="W3302" i="34"/>
  <c r="X3302" i="34"/>
  <c r="Y3302" i="34"/>
  <c r="Z3302" i="34"/>
  <c r="N3303" i="34"/>
  <c r="O3303" i="34"/>
  <c r="P3303" i="34"/>
  <c r="Q3303" i="34"/>
  <c r="R3303" i="34"/>
  <c r="S3303" i="34"/>
  <c r="T3303" i="34"/>
  <c r="U3303" i="34"/>
  <c r="V3303" i="34"/>
  <c r="W3303" i="34"/>
  <c r="X3303" i="34"/>
  <c r="Y3303" i="34"/>
  <c r="Z3303" i="34"/>
  <c r="N3304" i="34"/>
  <c r="O3304" i="34"/>
  <c r="P3304" i="34"/>
  <c r="Q3304" i="34"/>
  <c r="R3304" i="34"/>
  <c r="S3304" i="34"/>
  <c r="T3304" i="34"/>
  <c r="U3304" i="34"/>
  <c r="V3304" i="34"/>
  <c r="W3304" i="34"/>
  <c r="X3304" i="34"/>
  <c r="Y3304" i="34"/>
  <c r="Z3304" i="34"/>
  <c r="N3305" i="34"/>
  <c r="O3305" i="34"/>
  <c r="P3305" i="34"/>
  <c r="Q3305" i="34"/>
  <c r="R3305" i="34"/>
  <c r="S3305" i="34"/>
  <c r="T3305" i="34"/>
  <c r="U3305" i="34"/>
  <c r="V3305" i="34"/>
  <c r="W3305" i="34"/>
  <c r="X3305" i="34"/>
  <c r="Y3305" i="34"/>
  <c r="Z3305" i="34"/>
  <c r="N3306" i="34"/>
  <c r="O3306" i="34"/>
  <c r="P3306" i="34"/>
  <c r="Q3306" i="34"/>
  <c r="R3306" i="34"/>
  <c r="S3306" i="34"/>
  <c r="T3306" i="34"/>
  <c r="U3306" i="34"/>
  <c r="V3306" i="34"/>
  <c r="W3306" i="34"/>
  <c r="X3306" i="34"/>
  <c r="Y3306" i="34"/>
  <c r="Z3306" i="34"/>
  <c r="N3307" i="34"/>
  <c r="O3307" i="34"/>
  <c r="P3307" i="34"/>
  <c r="Q3307" i="34"/>
  <c r="R3307" i="34"/>
  <c r="S3307" i="34"/>
  <c r="T3307" i="34"/>
  <c r="U3307" i="34"/>
  <c r="V3307" i="34"/>
  <c r="W3307" i="34"/>
  <c r="X3307" i="34"/>
  <c r="Y3307" i="34"/>
  <c r="Z3307" i="34"/>
  <c r="N3308" i="34"/>
  <c r="O3308" i="34"/>
  <c r="P3308" i="34"/>
  <c r="Q3308" i="34"/>
  <c r="R3308" i="34"/>
  <c r="S3308" i="34"/>
  <c r="T3308" i="34"/>
  <c r="U3308" i="34"/>
  <c r="V3308" i="34"/>
  <c r="W3308" i="34"/>
  <c r="X3308" i="34"/>
  <c r="Y3308" i="34"/>
  <c r="Z3308" i="34"/>
  <c r="N3309" i="34"/>
  <c r="O3309" i="34"/>
  <c r="P3309" i="34"/>
  <c r="Q3309" i="34"/>
  <c r="R3309" i="34"/>
  <c r="S3309" i="34"/>
  <c r="T3309" i="34"/>
  <c r="U3309" i="34"/>
  <c r="V3309" i="34"/>
  <c r="W3309" i="34"/>
  <c r="X3309" i="34"/>
  <c r="Y3309" i="34"/>
  <c r="Z3309" i="34"/>
  <c r="N3310" i="34"/>
  <c r="O3310" i="34"/>
  <c r="P3310" i="34"/>
  <c r="Q3310" i="34"/>
  <c r="R3310" i="34"/>
  <c r="S3310" i="34"/>
  <c r="T3310" i="34"/>
  <c r="U3310" i="34"/>
  <c r="V3310" i="34"/>
  <c r="W3310" i="34"/>
  <c r="X3310" i="34"/>
  <c r="Y3310" i="34"/>
  <c r="Z3310" i="34"/>
  <c r="N3311" i="34"/>
  <c r="O3311" i="34"/>
  <c r="P3311" i="34"/>
  <c r="Q3311" i="34"/>
  <c r="R3311" i="34"/>
  <c r="S3311" i="34"/>
  <c r="T3311" i="34"/>
  <c r="U3311" i="34"/>
  <c r="V3311" i="34"/>
  <c r="W3311" i="34"/>
  <c r="X3311" i="34"/>
  <c r="Y3311" i="34"/>
  <c r="Z3311" i="34"/>
  <c r="N3312" i="34"/>
  <c r="O3312" i="34"/>
  <c r="P3312" i="34"/>
  <c r="Q3312" i="34"/>
  <c r="R3312" i="34"/>
  <c r="S3312" i="34"/>
  <c r="T3312" i="34"/>
  <c r="U3312" i="34"/>
  <c r="V3312" i="34"/>
  <c r="W3312" i="34"/>
  <c r="X3312" i="34"/>
  <c r="Y3312" i="34"/>
  <c r="Z3312" i="34"/>
  <c r="N3313" i="34"/>
  <c r="O3313" i="34"/>
  <c r="P3313" i="34"/>
  <c r="Q3313" i="34"/>
  <c r="R3313" i="34"/>
  <c r="S3313" i="34"/>
  <c r="T3313" i="34"/>
  <c r="U3313" i="34"/>
  <c r="V3313" i="34"/>
  <c r="W3313" i="34"/>
  <c r="X3313" i="34"/>
  <c r="Y3313" i="34"/>
  <c r="Z3313" i="34"/>
  <c r="N3314" i="34"/>
  <c r="O3314" i="34"/>
  <c r="P3314" i="34"/>
  <c r="Q3314" i="34"/>
  <c r="R3314" i="34"/>
  <c r="S3314" i="34"/>
  <c r="T3314" i="34"/>
  <c r="U3314" i="34"/>
  <c r="V3314" i="34"/>
  <c r="W3314" i="34"/>
  <c r="X3314" i="34"/>
  <c r="Y3314" i="34"/>
  <c r="Z3314" i="34"/>
  <c r="N3315" i="34"/>
  <c r="O3315" i="34"/>
  <c r="P3315" i="34"/>
  <c r="Q3315" i="34"/>
  <c r="R3315" i="34"/>
  <c r="S3315" i="34"/>
  <c r="T3315" i="34"/>
  <c r="U3315" i="34"/>
  <c r="V3315" i="34"/>
  <c r="W3315" i="34"/>
  <c r="X3315" i="34"/>
  <c r="Y3315" i="34"/>
  <c r="Z3315" i="34"/>
  <c r="N3316" i="34"/>
  <c r="O3316" i="34"/>
  <c r="P3316" i="34"/>
  <c r="Q3316" i="34"/>
  <c r="R3316" i="34"/>
  <c r="S3316" i="34"/>
  <c r="T3316" i="34"/>
  <c r="U3316" i="34"/>
  <c r="V3316" i="34"/>
  <c r="W3316" i="34"/>
  <c r="X3316" i="34"/>
  <c r="Y3316" i="34"/>
  <c r="Z3316" i="34"/>
  <c r="N3317" i="34"/>
  <c r="O3317" i="34"/>
  <c r="P3317" i="34"/>
  <c r="Q3317" i="34"/>
  <c r="R3317" i="34"/>
  <c r="S3317" i="34"/>
  <c r="T3317" i="34"/>
  <c r="U3317" i="34"/>
  <c r="V3317" i="34"/>
  <c r="W3317" i="34"/>
  <c r="X3317" i="34"/>
  <c r="Y3317" i="34"/>
  <c r="Z3317" i="34"/>
  <c r="N3318" i="34"/>
  <c r="O3318" i="34"/>
  <c r="P3318" i="34"/>
  <c r="Q3318" i="34"/>
  <c r="R3318" i="34"/>
  <c r="S3318" i="34"/>
  <c r="T3318" i="34"/>
  <c r="U3318" i="34"/>
  <c r="V3318" i="34"/>
  <c r="W3318" i="34"/>
  <c r="X3318" i="34"/>
  <c r="Y3318" i="34"/>
  <c r="Z3318" i="34"/>
  <c r="N3319" i="34"/>
  <c r="O3319" i="34"/>
  <c r="P3319" i="34"/>
  <c r="Q3319" i="34"/>
  <c r="R3319" i="34"/>
  <c r="S3319" i="34"/>
  <c r="T3319" i="34"/>
  <c r="U3319" i="34"/>
  <c r="V3319" i="34"/>
  <c r="W3319" i="34"/>
  <c r="X3319" i="34"/>
  <c r="Y3319" i="34"/>
  <c r="Z3319" i="34"/>
  <c r="N3320" i="34"/>
  <c r="O3320" i="34"/>
  <c r="P3320" i="34"/>
  <c r="Q3320" i="34"/>
  <c r="R3320" i="34"/>
  <c r="S3320" i="34"/>
  <c r="T3320" i="34"/>
  <c r="U3320" i="34"/>
  <c r="V3320" i="34"/>
  <c r="W3320" i="34"/>
  <c r="X3320" i="34"/>
  <c r="Y3320" i="34"/>
  <c r="Z3320" i="34"/>
  <c r="N3321" i="34"/>
  <c r="O3321" i="34"/>
  <c r="P3321" i="34"/>
  <c r="Q3321" i="34"/>
  <c r="R3321" i="34"/>
  <c r="S3321" i="34"/>
  <c r="T3321" i="34"/>
  <c r="U3321" i="34"/>
  <c r="V3321" i="34"/>
  <c r="W3321" i="34"/>
  <c r="X3321" i="34"/>
  <c r="Y3321" i="34"/>
  <c r="Z3321" i="34"/>
  <c r="N3322" i="34"/>
  <c r="O3322" i="34"/>
  <c r="P3322" i="34"/>
  <c r="Q3322" i="34"/>
  <c r="R3322" i="34"/>
  <c r="S3322" i="34"/>
  <c r="T3322" i="34"/>
  <c r="U3322" i="34"/>
  <c r="V3322" i="34"/>
  <c r="W3322" i="34"/>
  <c r="X3322" i="34"/>
  <c r="Y3322" i="34"/>
  <c r="Z3322" i="34"/>
  <c r="N3323" i="34"/>
  <c r="O3323" i="34"/>
  <c r="P3323" i="34"/>
  <c r="Q3323" i="34"/>
  <c r="R3323" i="34"/>
  <c r="S3323" i="34"/>
  <c r="T3323" i="34"/>
  <c r="U3323" i="34"/>
  <c r="V3323" i="34"/>
  <c r="W3323" i="34"/>
  <c r="X3323" i="34"/>
  <c r="Y3323" i="34"/>
  <c r="Z3323" i="34"/>
  <c r="N3324" i="34"/>
  <c r="O3324" i="34"/>
  <c r="P3324" i="34"/>
  <c r="Q3324" i="34"/>
  <c r="R3324" i="34"/>
  <c r="S3324" i="34"/>
  <c r="T3324" i="34"/>
  <c r="U3324" i="34"/>
  <c r="V3324" i="34"/>
  <c r="W3324" i="34"/>
  <c r="X3324" i="34"/>
  <c r="Y3324" i="34"/>
  <c r="Z3324" i="34"/>
  <c r="N3325" i="34"/>
  <c r="O3325" i="34"/>
  <c r="P3325" i="34"/>
  <c r="Q3325" i="34"/>
  <c r="R3325" i="34"/>
  <c r="S3325" i="34"/>
  <c r="T3325" i="34"/>
  <c r="U3325" i="34"/>
  <c r="V3325" i="34"/>
  <c r="W3325" i="34"/>
  <c r="X3325" i="34"/>
  <c r="Y3325" i="34"/>
  <c r="Z3325" i="34"/>
  <c r="N3326" i="34"/>
  <c r="O3326" i="34"/>
  <c r="P3326" i="34"/>
  <c r="Q3326" i="34"/>
  <c r="R3326" i="34"/>
  <c r="S3326" i="34"/>
  <c r="T3326" i="34"/>
  <c r="U3326" i="34"/>
  <c r="V3326" i="34"/>
  <c r="W3326" i="34"/>
  <c r="X3326" i="34"/>
  <c r="Y3326" i="34"/>
  <c r="Z3326" i="34"/>
  <c r="N3327" i="34"/>
  <c r="O3327" i="34"/>
  <c r="P3327" i="34"/>
  <c r="Q3327" i="34"/>
  <c r="R3327" i="34"/>
  <c r="S3327" i="34"/>
  <c r="T3327" i="34"/>
  <c r="U3327" i="34"/>
  <c r="V3327" i="34"/>
  <c r="W3327" i="34"/>
  <c r="X3327" i="34"/>
  <c r="Y3327" i="34"/>
  <c r="Z3327" i="34"/>
  <c r="N3328" i="34"/>
  <c r="O3328" i="34"/>
  <c r="P3328" i="34"/>
  <c r="Q3328" i="34"/>
  <c r="R3328" i="34"/>
  <c r="S3328" i="34"/>
  <c r="T3328" i="34"/>
  <c r="U3328" i="34"/>
  <c r="V3328" i="34"/>
  <c r="W3328" i="34"/>
  <c r="X3328" i="34"/>
  <c r="Y3328" i="34"/>
  <c r="Z3328" i="34"/>
  <c r="N3329" i="34"/>
  <c r="O3329" i="34"/>
  <c r="P3329" i="34"/>
  <c r="Q3329" i="34"/>
  <c r="R3329" i="34"/>
  <c r="S3329" i="34"/>
  <c r="T3329" i="34"/>
  <c r="U3329" i="34"/>
  <c r="V3329" i="34"/>
  <c r="W3329" i="34"/>
  <c r="X3329" i="34"/>
  <c r="Y3329" i="34"/>
  <c r="Z3329" i="34"/>
  <c r="N3330" i="34"/>
  <c r="O3330" i="34"/>
  <c r="P3330" i="34"/>
  <c r="Q3330" i="34"/>
  <c r="R3330" i="34"/>
  <c r="S3330" i="34"/>
  <c r="T3330" i="34"/>
  <c r="U3330" i="34"/>
  <c r="V3330" i="34"/>
  <c r="W3330" i="34"/>
  <c r="X3330" i="34"/>
  <c r="Y3330" i="34"/>
  <c r="Z3330" i="34"/>
  <c r="N3331" i="34"/>
  <c r="O3331" i="34"/>
  <c r="P3331" i="34"/>
  <c r="Q3331" i="34"/>
  <c r="R3331" i="34"/>
  <c r="S3331" i="34"/>
  <c r="T3331" i="34"/>
  <c r="U3331" i="34"/>
  <c r="V3331" i="34"/>
  <c r="W3331" i="34"/>
  <c r="X3331" i="34"/>
  <c r="Y3331" i="34"/>
  <c r="Z3331" i="34"/>
  <c r="N3332" i="34"/>
  <c r="O3332" i="34"/>
  <c r="P3332" i="34"/>
  <c r="Q3332" i="34"/>
  <c r="R3332" i="34"/>
  <c r="S3332" i="34"/>
  <c r="T3332" i="34"/>
  <c r="U3332" i="34"/>
  <c r="V3332" i="34"/>
  <c r="W3332" i="34"/>
  <c r="X3332" i="34"/>
  <c r="Y3332" i="34"/>
  <c r="Z3332" i="34"/>
  <c r="N3333" i="34"/>
  <c r="O3333" i="34"/>
  <c r="P3333" i="34"/>
  <c r="Q3333" i="34"/>
  <c r="R3333" i="34"/>
  <c r="S3333" i="34"/>
  <c r="T3333" i="34"/>
  <c r="U3333" i="34"/>
  <c r="V3333" i="34"/>
  <c r="W3333" i="34"/>
  <c r="X3333" i="34"/>
  <c r="Y3333" i="34"/>
  <c r="Z3333" i="34"/>
  <c r="N3334" i="34"/>
  <c r="O3334" i="34"/>
  <c r="P3334" i="34"/>
  <c r="Q3334" i="34"/>
  <c r="R3334" i="34"/>
  <c r="S3334" i="34"/>
  <c r="T3334" i="34"/>
  <c r="U3334" i="34"/>
  <c r="V3334" i="34"/>
  <c r="W3334" i="34"/>
  <c r="X3334" i="34"/>
  <c r="Y3334" i="34"/>
  <c r="Z3334" i="34"/>
  <c r="N3335" i="34"/>
  <c r="O3335" i="34"/>
  <c r="P3335" i="34"/>
  <c r="Q3335" i="34"/>
  <c r="R3335" i="34"/>
  <c r="S3335" i="34"/>
  <c r="T3335" i="34"/>
  <c r="U3335" i="34"/>
  <c r="V3335" i="34"/>
  <c r="W3335" i="34"/>
  <c r="X3335" i="34"/>
  <c r="Y3335" i="34"/>
  <c r="Z3335" i="34"/>
  <c r="N3336" i="34"/>
  <c r="O3336" i="34"/>
  <c r="P3336" i="34"/>
  <c r="Q3336" i="34"/>
  <c r="R3336" i="34"/>
  <c r="S3336" i="34"/>
  <c r="T3336" i="34"/>
  <c r="U3336" i="34"/>
  <c r="V3336" i="34"/>
  <c r="W3336" i="34"/>
  <c r="X3336" i="34"/>
  <c r="Y3336" i="34"/>
  <c r="Z3336" i="34"/>
  <c r="N3337" i="34"/>
  <c r="O3337" i="34"/>
  <c r="P3337" i="34"/>
  <c r="Q3337" i="34"/>
  <c r="R3337" i="34"/>
  <c r="S3337" i="34"/>
  <c r="T3337" i="34"/>
  <c r="U3337" i="34"/>
  <c r="V3337" i="34"/>
  <c r="W3337" i="34"/>
  <c r="X3337" i="34"/>
  <c r="Y3337" i="34"/>
  <c r="Z3337" i="34"/>
  <c r="N3338" i="34"/>
  <c r="O3338" i="34"/>
  <c r="P3338" i="34"/>
  <c r="Q3338" i="34"/>
  <c r="R3338" i="34"/>
  <c r="S3338" i="34"/>
  <c r="T3338" i="34"/>
  <c r="U3338" i="34"/>
  <c r="V3338" i="34"/>
  <c r="W3338" i="34"/>
  <c r="X3338" i="34"/>
  <c r="Y3338" i="34"/>
  <c r="Z3338" i="34"/>
  <c r="N3339" i="34"/>
  <c r="O3339" i="34"/>
  <c r="P3339" i="34"/>
  <c r="Q3339" i="34"/>
  <c r="R3339" i="34"/>
  <c r="S3339" i="34"/>
  <c r="T3339" i="34"/>
  <c r="U3339" i="34"/>
  <c r="V3339" i="34"/>
  <c r="W3339" i="34"/>
  <c r="X3339" i="34"/>
  <c r="Y3339" i="34"/>
  <c r="Z3339" i="34"/>
  <c r="N3340" i="34"/>
  <c r="O3340" i="34"/>
  <c r="P3340" i="34"/>
  <c r="Q3340" i="34"/>
  <c r="R3340" i="34"/>
  <c r="S3340" i="34"/>
  <c r="T3340" i="34"/>
  <c r="U3340" i="34"/>
  <c r="V3340" i="34"/>
  <c r="W3340" i="34"/>
  <c r="X3340" i="34"/>
  <c r="Y3340" i="34"/>
  <c r="Z3340" i="34"/>
  <c r="N3341" i="34"/>
  <c r="O3341" i="34"/>
  <c r="P3341" i="34"/>
  <c r="Q3341" i="34"/>
  <c r="R3341" i="34"/>
  <c r="S3341" i="34"/>
  <c r="T3341" i="34"/>
  <c r="U3341" i="34"/>
  <c r="V3341" i="34"/>
  <c r="W3341" i="34"/>
  <c r="X3341" i="34"/>
  <c r="Y3341" i="34"/>
  <c r="Z3341" i="34"/>
  <c r="N3342" i="34"/>
  <c r="O3342" i="34"/>
  <c r="P3342" i="34"/>
  <c r="Q3342" i="34"/>
  <c r="R3342" i="34"/>
  <c r="S3342" i="34"/>
  <c r="T3342" i="34"/>
  <c r="U3342" i="34"/>
  <c r="V3342" i="34"/>
  <c r="W3342" i="34"/>
  <c r="X3342" i="34"/>
  <c r="Y3342" i="34"/>
  <c r="Z3342" i="34"/>
  <c r="N3343" i="34"/>
  <c r="O3343" i="34"/>
  <c r="P3343" i="34"/>
  <c r="Q3343" i="34"/>
  <c r="R3343" i="34"/>
  <c r="S3343" i="34"/>
  <c r="T3343" i="34"/>
  <c r="U3343" i="34"/>
  <c r="V3343" i="34"/>
  <c r="W3343" i="34"/>
  <c r="X3343" i="34"/>
  <c r="Y3343" i="34"/>
  <c r="Z3343" i="34"/>
  <c r="N3344" i="34"/>
  <c r="O3344" i="34"/>
  <c r="P3344" i="34"/>
  <c r="Q3344" i="34"/>
  <c r="R3344" i="34"/>
  <c r="S3344" i="34"/>
  <c r="T3344" i="34"/>
  <c r="U3344" i="34"/>
  <c r="V3344" i="34"/>
  <c r="W3344" i="34"/>
  <c r="X3344" i="34"/>
  <c r="Y3344" i="34"/>
  <c r="Z3344" i="34"/>
  <c r="N3345" i="34"/>
  <c r="O3345" i="34"/>
  <c r="P3345" i="34"/>
  <c r="Q3345" i="34"/>
  <c r="R3345" i="34"/>
  <c r="S3345" i="34"/>
  <c r="T3345" i="34"/>
  <c r="U3345" i="34"/>
  <c r="V3345" i="34"/>
  <c r="W3345" i="34"/>
  <c r="X3345" i="34"/>
  <c r="Y3345" i="34"/>
  <c r="Z3345" i="34"/>
  <c r="N3346" i="34"/>
  <c r="O3346" i="34"/>
  <c r="P3346" i="34"/>
  <c r="Q3346" i="34"/>
  <c r="R3346" i="34"/>
  <c r="S3346" i="34"/>
  <c r="T3346" i="34"/>
  <c r="U3346" i="34"/>
  <c r="V3346" i="34"/>
  <c r="W3346" i="34"/>
  <c r="X3346" i="34"/>
  <c r="Y3346" i="34"/>
  <c r="Z3346" i="34"/>
  <c r="N3347" i="34"/>
  <c r="O3347" i="34"/>
  <c r="P3347" i="34"/>
  <c r="Q3347" i="34"/>
  <c r="R3347" i="34"/>
  <c r="S3347" i="34"/>
  <c r="T3347" i="34"/>
  <c r="U3347" i="34"/>
  <c r="V3347" i="34"/>
  <c r="W3347" i="34"/>
  <c r="X3347" i="34"/>
  <c r="Y3347" i="34"/>
  <c r="Z3347" i="34"/>
  <c r="N3348" i="34"/>
  <c r="O3348" i="34"/>
  <c r="P3348" i="34"/>
  <c r="Q3348" i="34"/>
  <c r="R3348" i="34"/>
  <c r="S3348" i="34"/>
  <c r="T3348" i="34"/>
  <c r="U3348" i="34"/>
  <c r="V3348" i="34"/>
  <c r="W3348" i="34"/>
  <c r="X3348" i="34"/>
  <c r="Y3348" i="34"/>
  <c r="Z3348" i="34"/>
  <c r="N3349" i="34"/>
  <c r="O3349" i="34"/>
  <c r="P3349" i="34"/>
  <c r="Q3349" i="34"/>
  <c r="R3349" i="34"/>
  <c r="S3349" i="34"/>
  <c r="T3349" i="34"/>
  <c r="U3349" i="34"/>
  <c r="V3349" i="34"/>
  <c r="W3349" i="34"/>
  <c r="X3349" i="34"/>
  <c r="Y3349" i="34"/>
  <c r="Z3349" i="34"/>
  <c r="N3350" i="34"/>
  <c r="O3350" i="34"/>
  <c r="P3350" i="34"/>
  <c r="Q3350" i="34"/>
  <c r="R3350" i="34"/>
  <c r="S3350" i="34"/>
  <c r="T3350" i="34"/>
  <c r="U3350" i="34"/>
  <c r="V3350" i="34"/>
  <c r="W3350" i="34"/>
  <c r="X3350" i="34"/>
  <c r="Y3350" i="34"/>
  <c r="Z3350" i="34"/>
  <c r="N3351" i="34"/>
  <c r="O3351" i="34"/>
  <c r="P3351" i="34"/>
  <c r="Q3351" i="34"/>
  <c r="R3351" i="34"/>
  <c r="S3351" i="34"/>
  <c r="T3351" i="34"/>
  <c r="U3351" i="34"/>
  <c r="V3351" i="34"/>
  <c r="W3351" i="34"/>
  <c r="X3351" i="34"/>
  <c r="Y3351" i="34"/>
  <c r="Z3351" i="34"/>
  <c r="N3352" i="34"/>
  <c r="O3352" i="34"/>
  <c r="P3352" i="34"/>
  <c r="Q3352" i="34"/>
  <c r="R3352" i="34"/>
  <c r="S3352" i="34"/>
  <c r="T3352" i="34"/>
  <c r="U3352" i="34"/>
  <c r="V3352" i="34"/>
  <c r="W3352" i="34"/>
  <c r="X3352" i="34"/>
  <c r="Y3352" i="34"/>
  <c r="Z3352" i="34"/>
  <c r="N3353" i="34"/>
  <c r="O3353" i="34"/>
  <c r="P3353" i="34"/>
  <c r="Q3353" i="34"/>
  <c r="R3353" i="34"/>
  <c r="S3353" i="34"/>
  <c r="T3353" i="34"/>
  <c r="U3353" i="34"/>
  <c r="V3353" i="34"/>
  <c r="W3353" i="34"/>
  <c r="X3353" i="34"/>
  <c r="Y3353" i="34"/>
  <c r="Z3353" i="34"/>
  <c r="N3354" i="34"/>
  <c r="O3354" i="34"/>
  <c r="P3354" i="34"/>
  <c r="Q3354" i="34"/>
  <c r="R3354" i="34"/>
  <c r="S3354" i="34"/>
  <c r="T3354" i="34"/>
  <c r="U3354" i="34"/>
  <c r="V3354" i="34"/>
  <c r="W3354" i="34"/>
  <c r="X3354" i="34"/>
  <c r="Y3354" i="34"/>
  <c r="Z3354" i="34"/>
  <c r="N3355" i="34"/>
  <c r="O3355" i="34"/>
  <c r="P3355" i="34"/>
  <c r="Q3355" i="34"/>
  <c r="R3355" i="34"/>
  <c r="S3355" i="34"/>
  <c r="T3355" i="34"/>
  <c r="U3355" i="34"/>
  <c r="V3355" i="34"/>
  <c r="W3355" i="34"/>
  <c r="X3355" i="34"/>
  <c r="Y3355" i="34"/>
  <c r="Z3355" i="34"/>
  <c r="N3356" i="34"/>
  <c r="O3356" i="34"/>
  <c r="P3356" i="34"/>
  <c r="Q3356" i="34"/>
  <c r="R3356" i="34"/>
  <c r="S3356" i="34"/>
  <c r="T3356" i="34"/>
  <c r="U3356" i="34"/>
  <c r="V3356" i="34"/>
  <c r="W3356" i="34"/>
  <c r="X3356" i="34"/>
  <c r="Y3356" i="34"/>
  <c r="Z3356" i="34"/>
  <c r="N3357" i="34"/>
  <c r="O3357" i="34"/>
  <c r="P3357" i="34"/>
  <c r="Q3357" i="34"/>
  <c r="R3357" i="34"/>
  <c r="S3357" i="34"/>
  <c r="T3357" i="34"/>
  <c r="U3357" i="34"/>
  <c r="V3357" i="34"/>
  <c r="W3357" i="34"/>
  <c r="X3357" i="34"/>
  <c r="Y3357" i="34"/>
  <c r="Z3357" i="34"/>
  <c r="N3358" i="34"/>
  <c r="O3358" i="34"/>
  <c r="P3358" i="34"/>
  <c r="Q3358" i="34"/>
  <c r="R3358" i="34"/>
  <c r="S3358" i="34"/>
  <c r="T3358" i="34"/>
  <c r="U3358" i="34"/>
  <c r="V3358" i="34"/>
  <c r="W3358" i="34"/>
  <c r="X3358" i="34"/>
  <c r="Y3358" i="34"/>
  <c r="Z3358" i="34"/>
  <c r="N3359" i="34"/>
  <c r="O3359" i="34"/>
  <c r="P3359" i="34"/>
  <c r="Q3359" i="34"/>
  <c r="R3359" i="34"/>
  <c r="S3359" i="34"/>
  <c r="T3359" i="34"/>
  <c r="U3359" i="34"/>
  <c r="V3359" i="34"/>
  <c r="W3359" i="34"/>
  <c r="X3359" i="34"/>
  <c r="Y3359" i="34"/>
  <c r="Z3359" i="34"/>
  <c r="N3360" i="34"/>
  <c r="O3360" i="34"/>
  <c r="P3360" i="34"/>
  <c r="Q3360" i="34"/>
  <c r="R3360" i="34"/>
  <c r="S3360" i="34"/>
  <c r="T3360" i="34"/>
  <c r="U3360" i="34"/>
  <c r="V3360" i="34"/>
  <c r="W3360" i="34"/>
  <c r="X3360" i="34"/>
  <c r="Y3360" i="34"/>
  <c r="Z3360" i="34"/>
  <c r="N3361" i="34"/>
  <c r="O3361" i="34"/>
  <c r="P3361" i="34"/>
  <c r="Q3361" i="34"/>
  <c r="R3361" i="34"/>
  <c r="S3361" i="34"/>
  <c r="T3361" i="34"/>
  <c r="U3361" i="34"/>
  <c r="V3361" i="34"/>
  <c r="W3361" i="34"/>
  <c r="X3361" i="34"/>
  <c r="Y3361" i="34"/>
  <c r="Z3361" i="34"/>
  <c r="N3362" i="34"/>
  <c r="O3362" i="34"/>
  <c r="P3362" i="34"/>
  <c r="Q3362" i="34"/>
  <c r="R3362" i="34"/>
  <c r="S3362" i="34"/>
  <c r="T3362" i="34"/>
  <c r="U3362" i="34"/>
  <c r="V3362" i="34"/>
  <c r="W3362" i="34"/>
  <c r="X3362" i="34"/>
  <c r="Y3362" i="34"/>
  <c r="Z3362" i="34"/>
  <c r="N3363" i="34"/>
  <c r="O3363" i="34"/>
  <c r="P3363" i="34"/>
  <c r="Q3363" i="34"/>
  <c r="R3363" i="34"/>
  <c r="S3363" i="34"/>
  <c r="T3363" i="34"/>
  <c r="U3363" i="34"/>
  <c r="V3363" i="34"/>
  <c r="W3363" i="34"/>
  <c r="X3363" i="34"/>
  <c r="Y3363" i="34"/>
  <c r="Z3363" i="34"/>
  <c r="N3364" i="34"/>
  <c r="O3364" i="34"/>
  <c r="P3364" i="34"/>
  <c r="Q3364" i="34"/>
  <c r="R3364" i="34"/>
  <c r="S3364" i="34"/>
  <c r="T3364" i="34"/>
  <c r="U3364" i="34"/>
  <c r="V3364" i="34"/>
  <c r="W3364" i="34"/>
  <c r="X3364" i="34"/>
  <c r="Y3364" i="34"/>
  <c r="Z3364" i="34"/>
  <c r="N3365" i="34"/>
  <c r="O3365" i="34"/>
  <c r="P3365" i="34"/>
  <c r="Q3365" i="34"/>
  <c r="R3365" i="34"/>
  <c r="S3365" i="34"/>
  <c r="T3365" i="34"/>
  <c r="U3365" i="34"/>
  <c r="V3365" i="34"/>
  <c r="W3365" i="34"/>
  <c r="X3365" i="34"/>
  <c r="Y3365" i="34"/>
  <c r="Z3365" i="34"/>
  <c r="N3366" i="34"/>
  <c r="O3366" i="34"/>
  <c r="P3366" i="34"/>
  <c r="Q3366" i="34"/>
  <c r="R3366" i="34"/>
  <c r="S3366" i="34"/>
  <c r="T3366" i="34"/>
  <c r="U3366" i="34"/>
  <c r="V3366" i="34"/>
  <c r="W3366" i="34"/>
  <c r="X3366" i="34"/>
  <c r="Y3366" i="34"/>
  <c r="Z3366" i="34"/>
  <c r="N3367" i="34"/>
  <c r="O3367" i="34"/>
  <c r="P3367" i="34"/>
  <c r="Q3367" i="34"/>
  <c r="R3367" i="34"/>
  <c r="S3367" i="34"/>
  <c r="T3367" i="34"/>
  <c r="U3367" i="34"/>
  <c r="V3367" i="34"/>
  <c r="W3367" i="34"/>
  <c r="X3367" i="34"/>
  <c r="Y3367" i="34"/>
  <c r="Z3367" i="34"/>
  <c r="N3368" i="34"/>
  <c r="O3368" i="34"/>
  <c r="P3368" i="34"/>
  <c r="Q3368" i="34"/>
  <c r="R3368" i="34"/>
  <c r="S3368" i="34"/>
  <c r="T3368" i="34"/>
  <c r="U3368" i="34"/>
  <c r="V3368" i="34"/>
  <c r="W3368" i="34"/>
  <c r="X3368" i="34"/>
  <c r="Y3368" i="34"/>
  <c r="Z3368" i="34"/>
  <c r="N3369" i="34"/>
  <c r="O3369" i="34"/>
  <c r="P3369" i="34"/>
  <c r="Q3369" i="34"/>
  <c r="R3369" i="34"/>
  <c r="S3369" i="34"/>
  <c r="T3369" i="34"/>
  <c r="U3369" i="34"/>
  <c r="V3369" i="34"/>
  <c r="W3369" i="34"/>
  <c r="X3369" i="34"/>
  <c r="Y3369" i="34"/>
  <c r="Z3369" i="34"/>
  <c r="N3370" i="34"/>
  <c r="O3370" i="34"/>
  <c r="P3370" i="34"/>
  <c r="Q3370" i="34"/>
  <c r="R3370" i="34"/>
  <c r="S3370" i="34"/>
  <c r="T3370" i="34"/>
  <c r="U3370" i="34"/>
  <c r="V3370" i="34"/>
  <c r="W3370" i="34"/>
  <c r="X3370" i="34"/>
  <c r="Y3370" i="34"/>
  <c r="Z3370" i="34"/>
  <c r="N3371" i="34"/>
  <c r="O3371" i="34"/>
  <c r="P3371" i="34"/>
  <c r="Q3371" i="34"/>
  <c r="R3371" i="34"/>
  <c r="S3371" i="34"/>
  <c r="T3371" i="34"/>
  <c r="U3371" i="34"/>
  <c r="V3371" i="34"/>
  <c r="W3371" i="34"/>
  <c r="X3371" i="34"/>
  <c r="Y3371" i="34"/>
  <c r="Z3371" i="34"/>
  <c r="N3372" i="34"/>
  <c r="O3372" i="34"/>
  <c r="P3372" i="34"/>
  <c r="Q3372" i="34"/>
  <c r="R3372" i="34"/>
  <c r="S3372" i="34"/>
  <c r="T3372" i="34"/>
  <c r="U3372" i="34"/>
  <c r="V3372" i="34"/>
  <c r="W3372" i="34"/>
  <c r="X3372" i="34"/>
  <c r="Y3372" i="34"/>
  <c r="Z3372" i="34"/>
  <c r="N3373" i="34"/>
  <c r="O3373" i="34"/>
  <c r="P3373" i="34"/>
  <c r="Q3373" i="34"/>
  <c r="R3373" i="34"/>
  <c r="S3373" i="34"/>
  <c r="T3373" i="34"/>
  <c r="U3373" i="34"/>
  <c r="V3373" i="34"/>
  <c r="W3373" i="34"/>
  <c r="X3373" i="34"/>
  <c r="Y3373" i="34"/>
  <c r="Z3373" i="34"/>
  <c r="N3374" i="34"/>
  <c r="O3374" i="34"/>
  <c r="P3374" i="34"/>
  <c r="Q3374" i="34"/>
  <c r="R3374" i="34"/>
  <c r="S3374" i="34"/>
  <c r="T3374" i="34"/>
  <c r="U3374" i="34"/>
  <c r="V3374" i="34"/>
  <c r="W3374" i="34"/>
  <c r="X3374" i="34"/>
  <c r="Y3374" i="34"/>
  <c r="Z3374" i="34"/>
  <c r="N3375" i="34"/>
  <c r="O3375" i="34"/>
  <c r="P3375" i="34"/>
  <c r="Q3375" i="34"/>
  <c r="R3375" i="34"/>
  <c r="S3375" i="34"/>
  <c r="T3375" i="34"/>
  <c r="U3375" i="34"/>
  <c r="V3375" i="34"/>
  <c r="W3375" i="34"/>
  <c r="X3375" i="34"/>
  <c r="Y3375" i="34"/>
  <c r="Z3375" i="34"/>
  <c r="N3376" i="34"/>
  <c r="O3376" i="34"/>
  <c r="P3376" i="34"/>
  <c r="Q3376" i="34"/>
  <c r="R3376" i="34"/>
  <c r="S3376" i="34"/>
  <c r="T3376" i="34"/>
  <c r="U3376" i="34"/>
  <c r="V3376" i="34"/>
  <c r="W3376" i="34"/>
  <c r="X3376" i="34"/>
  <c r="Y3376" i="34"/>
  <c r="Z3376" i="34"/>
  <c r="N3377" i="34"/>
  <c r="O3377" i="34"/>
  <c r="P3377" i="34"/>
  <c r="Q3377" i="34"/>
  <c r="R3377" i="34"/>
  <c r="S3377" i="34"/>
  <c r="T3377" i="34"/>
  <c r="U3377" i="34"/>
  <c r="V3377" i="34"/>
  <c r="W3377" i="34"/>
  <c r="X3377" i="34"/>
  <c r="Y3377" i="34"/>
  <c r="Z3377" i="34"/>
  <c r="N3378" i="34"/>
  <c r="O3378" i="34"/>
  <c r="P3378" i="34"/>
  <c r="Q3378" i="34"/>
  <c r="R3378" i="34"/>
  <c r="S3378" i="34"/>
  <c r="T3378" i="34"/>
  <c r="U3378" i="34"/>
  <c r="V3378" i="34"/>
  <c r="W3378" i="34"/>
  <c r="X3378" i="34"/>
  <c r="Y3378" i="34"/>
  <c r="Z3378" i="34"/>
  <c r="N3379" i="34"/>
  <c r="O3379" i="34"/>
  <c r="P3379" i="34"/>
  <c r="Q3379" i="34"/>
  <c r="R3379" i="34"/>
  <c r="S3379" i="34"/>
  <c r="T3379" i="34"/>
  <c r="U3379" i="34"/>
  <c r="V3379" i="34"/>
  <c r="W3379" i="34"/>
  <c r="X3379" i="34"/>
  <c r="Y3379" i="34"/>
  <c r="Z3379" i="34"/>
  <c r="N3380" i="34"/>
  <c r="O3380" i="34"/>
  <c r="P3380" i="34"/>
  <c r="Q3380" i="34"/>
  <c r="R3380" i="34"/>
  <c r="S3380" i="34"/>
  <c r="T3380" i="34"/>
  <c r="U3380" i="34"/>
  <c r="V3380" i="34"/>
  <c r="W3380" i="34"/>
  <c r="X3380" i="34"/>
  <c r="Y3380" i="34"/>
  <c r="Z3380" i="34"/>
  <c r="N3381" i="34"/>
  <c r="O3381" i="34"/>
  <c r="P3381" i="34"/>
  <c r="Q3381" i="34"/>
  <c r="R3381" i="34"/>
  <c r="S3381" i="34"/>
  <c r="T3381" i="34"/>
  <c r="U3381" i="34"/>
  <c r="V3381" i="34"/>
  <c r="W3381" i="34"/>
  <c r="X3381" i="34"/>
  <c r="Y3381" i="34"/>
  <c r="Z3381" i="34"/>
  <c r="N3382" i="34"/>
  <c r="O3382" i="34"/>
  <c r="P3382" i="34"/>
  <c r="Q3382" i="34"/>
  <c r="R3382" i="34"/>
  <c r="S3382" i="34"/>
  <c r="T3382" i="34"/>
  <c r="U3382" i="34"/>
  <c r="V3382" i="34"/>
  <c r="W3382" i="34"/>
  <c r="X3382" i="34"/>
  <c r="Y3382" i="34"/>
  <c r="Z3382" i="34"/>
  <c r="N3383" i="34"/>
  <c r="O3383" i="34"/>
  <c r="P3383" i="34"/>
  <c r="Q3383" i="34"/>
  <c r="R3383" i="34"/>
  <c r="S3383" i="34"/>
  <c r="T3383" i="34"/>
  <c r="U3383" i="34"/>
  <c r="V3383" i="34"/>
  <c r="W3383" i="34"/>
  <c r="X3383" i="34"/>
  <c r="Y3383" i="34"/>
  <c r="Z3383" i="34"/>
  <c r="N3384" i="34"/>
  <c r="O3384" i="34"/>
  <c r="P3384" i="34"/>
  <c r="Q3384" i="34"/>
  <c r="R3384" i="34"/>
  <c r="S3384" i="34"/>
  <c r="T3384" i="34"/>
  <c r="U3384" i="34"/>
  <c r="V3384" i="34"/>
  <c r="W3384" i="34"/>
  <c r="X3384" i="34"/>
  <c r="Y3384" i="34"/>
  <c r="Z3384" i="34"/>
  <c r="N3385" i="34"/>
  <c r="O3385" i="34"/>
  <c r="P3385" i="34"/>
  <c r="Q3385" i="34"/>
  <c r="R3385" i="34"/>
  <c r="S3385" i="34"/>
  <c r="T3385" i="34"/>
  <c r="U3385" i="34"/>
  <c r="V3385" i="34"/>
  <c r="W3385" i="34"/>
  <c r="X3385" i="34"/>
  <c r="Y3385" i="34"/>
  <c r="Z3385" i="34"/>
  <c r="N3386" i="34"/>
  <c r="O3386" i="34"/>
  <c r="P3386" i="34"/>
  <c r="Q3386" i="34"/>
  <c r="R3386" i="34"/>
  <c r="S3386" i="34"/>
  <c r="T3386" i="34"/>
  <c r="U3386" i="34"/>
  <c r="V3386" i="34"/>
  <c r="W3386" i="34"/>
  <c r="X3386" i="34"/>
  <c r="Y3386" i="34"/>
  <c r="Z3386" i="34"/>
  <c r="N3387" i="34"/>
  <c r="O3387" i="34"/>
  <c r="P3387" i="34"/>
  <c r="Q3387" i="34"/>
  <c r="R3387" i="34"/>
  <c r="S3387" i="34"/>
  <c r="T3387" i="34"/>
  <c r="U3387" i="34"/>
  <c r="V3387" i="34"/>
  <c r="W3387" i="34"/>
  <c r="X3387" i="34"/>
  <c r="Y3387" i="34"/>
  <c r="Z3387" i="34"/>
  <c r="N3388" i="34"/>
  <c r="O3388" i="34"/>
  <c r="P3388" i="34"/>
  <c r="Q3388" i="34"/>
  <c r="R3388" i="34"/>
  <c r="S3388" i="34"/>
  <c r="T3388" i="34"/>
  <c r="U3388" i="34"/>
  <c r="V3388" i="34"/>
  <c r="W3388" i="34"/>
  <c r="X3388" i="34"/>
  <c r="Y3388" i="34"/>
  <c r="Z3388" i="34"/>
  <c r="N3389" i="34"/>
  <c r="O3389" i="34"/>
  <c r="P3389" i="34"/>
  <c r="Q3389" i="34"/>
  <c r="R3389" i="34"/>
  <c r="S3389" i="34"/>
  <c r="T3389" i="34"/>
  <c r="U3389" i="34"/>
  <c r="V3389" i="34"/>
  <c r="W3389" i="34"/>
  <c r="X3389" i="34"/>
  <c r="Y3389" i="34"/>
  <c r="Z3389" i="34"/>
  <c r="N3390" i="34"/>
  <c r="O3390" i="34"/>
  <c r="P3390" i="34"/>
  <c r="Q3390" i="34"/>
  <c r="R3390" i="34"/>
  <c r="S3390" i="34"/>
  <c r="T3390" i="34"/>
  <c r="U3390" i="34"/>
  <c r="V3390" i="34"/>
  <c r="W3390" i="34"/>
  <c r="X3390" i="34"/>
  <c r="Y3390" i="34"/>
  <c r="Z3390" i="34"/>
  <c r="N3391" i="34"/>
  <c r="O3391" i="34"/>
  <c r="P3391" i="34"/>
  <c r="Q3391" i="34"/>
  <c r="R3391" i="34"/>
  <c r="S3391" i="34"/>
  <c r="T3391" i="34"/>
  <c r="U3391" i="34"/>
  <c r="V3391" i="34"/>
  <c r="W3391" i="34"/>
  <c r="X3391" i="34"/>
  <c r="Y3391" i="34"/>
  <c r="Z3391" i="34"/>
  <c r="N3392" i="34"/>
  <c r="O3392" i="34"/>
  <c r="P3392" i="34"/>
  <c r="Q3392" i="34"/>
  <c r="R3392" i="34"/>
  <c r="S3392" i="34"/>
  <c r="T3392" i="34"/>
  <c r="U3392" i="34"/>
  <c r="V3392" i="34"/>
  <c r="W3392" i="34"/>
  <c r="X3392" i="34"/>
  <c r="Y3392" i="34"/>
  <c r="Z3392" i="34"/>
  <c r="N3393" i="34"/>
  <c r="O3393" i="34"/>
  <c r="P3393" i="34"/>
  <c r="Q3393" i="34"/>
  <c r="R3393" i="34"/>
  <c r="S3393" i="34"/>
  <c r="T3393" i="34"/>
  <c r="U3393" i="34"/>
  <c r="V3393" i="34"/>
  <c r="W3393" i="34"/>
  <c r="X3393" i="34"/>
  <c r="Y3393" i="34"/>
  <c r="Z3393" i="34"/>
  <c r="N3394" i="34"/>
  <c r="O3394" i="34"/>
  <c r="P3394" i="34"/>
  <c r="Q3394" i="34"/>
  <c r="R3394" i="34"/>
  <c r="S3394" i="34"/>
  <c r="T3394" i="34"/>
  <c r="U3394" i="34"/>
  <c r="V3394" i="34"/>
  <c r="W3394" i="34"/>
  <c r="X3394" i="34"/>
  <c r="Y3394" i="34"/>
  <c r="Z3394" i="34"/>
  <c r="N3395" i="34"/>
  <c r="O3395" i="34"/>
  <c r="P3395" i="34"/>
  <c r="Q3395" i="34"/>
  <c r="R3395" i="34"/>
  <c r="S3395" i="34"/>
  <c r="T3395" i="34"/>
  <c r="U3395" i="34"/>
  <c r="V3395" i="34"/>
  <c r="W3395" i="34"/>
  <c r="X3395" i="34"/>
  <c r="Y3395" i="34"/>
  <c r="Z3395" i="34"/>
  <c r="N3396" i="34"/>
  <c r="O3396" i="34"/>
  <c r="P3396" i="34"/>
  <c r="Q3396" i="34"/>
  <c r="R3396" i="34"/>
  <c r="S3396" i="34"/>
  <c r="T3396" i="34"/>
  <c r="U3396" i="34"/>
  <c r="V3396" i="34"/>
  <c r="W3396" i="34"/>
  <c r="X3396" i="34"/>
  <c r="Y3396" i="34"/>
  <c r="Z3396" i="34"/>
  <c r="N3397" i="34"/>
  <c r="O3397" i="34"/>
  <c r="P3397" i="34"/>
  <c r="Q3397" i="34"/>
  <c r="R3397" i="34"/>
  <c r="S3397" i="34"/>
  <c r="T3397" i="34"/>
  <c r="U3397" i="34"/>
  <c r="V3397" i="34"/>
  <c r="W3397" i="34"/>
  <c r="X3397" i="34"/>
  <c r="Y3397" i="34"/>
  <c r="Z3397" i="34"/>
  <c r="N3398" i="34"/>
  <c r="O3398" i="34"/>
  <c r="P3398" i="34"/>
  <c r="Q3398" i="34"/>
  <c r="R3398" i="34"/>
  <c r="S3398" i="34"/>
  <c r="T3398" i="34"/>
  <c r="U3398" i="34"/>
  <c r="V3398" i="34"/>
  <c r="W3398" i="34"/>
  <c r="X3398" i="34"/>
  <c r="Y3398" i="34"/>
  <c r="Z3398" i="34"/>
  <c r="N3399" i="34"/>
  <c r="O3399" i="34"/>
  <c r="P3399" i="34"/>
  <c r="Q3399" i="34"/>
  <c r="R3399" i="34"/>
  <c r="S3399" i="34"/>
  <c r="T3399" i="34"/>
  <c r="U3399" i="34"/>
  <c r="V3399" i="34"/>
  <c r="W3399" i="34"/>
  <c r="X3399" i="34"/>
  <c r="Y3399" i="34"/>
  <c r="Z3399" i="34"/>
  <c r="N3400" i="34"/>
  <c r="O3400" i="34"/>
  <c r="P3400" i="34"/>
  <c r="Q3400" i="34"/>
  <c r="R3400" i="34"/>
  <c r="S3400" i="34"/>
  <c r="T3400" i="34"/>
  <c r="U3400" i="34"/>
  <c r="V3400" i="34"/>
  <c r="W3400" i="34"/>
  <c r="X3400" i="34"/>
  <c r="Y3400" i="34"/>
  <c r="Z3400" i="34"/>
  <c r="N3401" i="34"/>
  <c r="O3401" i="34"/>
  <c r="P3401" i="34"/>
  <c r="Q3401" i="34"/>
  <c r="R3401" i="34"/>
  <c r="S3401" i="34"/>
  <c r="T3401" i="34"/>
  <c r="U3401" i="34"/>
  <c r="V3401" i="34"/>
  <c r="W3401" i="34"/>
  <c r="X3401" i="34"/>
  <c r="Y3401" i="34"/>
  <c r="Z3401" i="34"/>
  <c r="N3402" i="34"/>
  <c r="O3402" i="34"/>
  <c r="P3402" i="34"/>
  <c r="Q3402" i="34"/>
  <c r="R3402" i="34"/>
  <c r="S3402" i="34"/>
  <c r="T3402" i="34"/>
  <c r="U3402" i="34"/>
  <c r="V3402" i="34"/>
  <c r="W3402" i="34"/>
  <c r="X3402" i="34"/>
  <c r="Y3402" i="34"/>
  <c r="Z3402" i="34"/>
  <c r="N3403" i="34"/>
  <c r="O3403" i="34"/>
  <c r="P3403" i="34"/>
  <c r="Q3403" i="34"/>
  <c r="R3403" i="34"/>
  <c r="S3403" i="34"/>
  <c r="T3403" i="34"/>
  <c r="U3403" i="34"/>
  <c r="V3403" i="34"/>
  <c r="W3403" i="34"/>
  <c r="X3403" i="34"/>
  <c r="Y3403" i="34"/>
  <c r="Z3403" i="34"/>
  <c r="N3404" i="34"/>
  <c r="O3404" i="34"/>
  <c r="P3404" i="34"/>
  <c r="Q3404" i="34"/>
  <c r="R3404" i="34"/>
  <c r="S3404" i="34"/>
  <c r="T3404" i="34"/>
  <c r="U3404" i="34"/>
  <c r="V3404" i="34"/>
  <c r="W3404" i="34"/>
  <c r="X3404" i="34"/>
  <c r="Y3404" i="34"/>
  <c r="Z3404" i="34"/>
  <c r="N3405" i="34"/>
  <c r="O3405" i="34"/>
  <c r="P3405" i="34"/>
  <c r="Q3405" i="34"/>
  <c r="R3405" i="34"/>
  <c r="S3405" i="34"/>
  <c r="T3405" i="34"/>
  <c r="U3405" i="34"/>
  <c r="V3405" i="34"/>
  <c r="W3405" i="34"/>
  <c r="X3405" i="34"/>
  <c r="Y3405" i="34"/>
  <c r="Z3405" i="34"/>
  <c r="N3406" i="34"/>
  <c r="O3406" i="34"/>
  <c r="P3406" i="34"/>
  <c r="Q3406" i="34"/>
  <c r="R3406" i="34"/>
  <c r="S3406" i="34"/>
  <c r="T3406" i="34"/>
  <c r="U3406" i="34"/>
  <c r="V3406" i="34"/>
  <c r="W3406" i="34"/>
  <c r="X3406" i="34"/>
  <c r="Y3406" i="34"/>
  <c r="Z3406" i="34"/>
  <c r="N3407" i="34"/>
  <c r="O3407" i="34"/>
  <c r="P3407" i="34"/>
  <c r="Q3407" i="34"/>
  <c r="R3407" i="34"/>
  <c r="S3407" i="34"/>
  <c r="T3407" i="34"/>
  <c r="U3407" i="34"/>
  <c r="V3407" i="34"/>
  <c r="W3407" i="34"/>
  <c r="X3407" i="34"/>
  <c r="Y3407" i="34"/>
  <c r="Z3407" i="34"/>
  <c r="N3408" i="34"/>
  <c r="O3408" i="34"/>
  <c r="P3408" i="34"/>
  <c r="Q3408" i="34"/>
  <c r="R3408" i="34"/>
  <c r="S3408" i="34"/>
  <c r="T3408" i="34"/>
  <c r="U3408" i="34"/>
  <c r="V3408" i="34"/>
  <c r="W3408" i="34"/>
  <c r="X3408" i="34"/>
  <c r="Y3408" i="34"/>
  <c r="Z3408" i="34"/>
  <c r="N3409" i="34"/>
  <c r="O3409" i="34"/>
  <c r="P3409" i="34"/>
  <c r="Q3409" i="34"/>
  <c r="R3409" i="34"/>
  <c r="S3409" i="34"/>
  <c r="T3409" i="34"/>
  <c r="U3409" i="34"/>
  <c r="V3409" i="34"/>
  <c r="W3409" i="34"/>
  <c r="X3409" i="34"/>
  <c r="Y3409" i="34"/>
  <c r="Z3409" i="34"/>
  <c r="N3410" i="34"/>
  <c r="O3410" i="34"/>
  <c r="P3410" i="34"/>
  <c r="Q3410" i="34"/>
  <c r="R3410" i="34"/>
  <c r="S3410" i="34"/>
  <c r="T3410" i="34"/>
  <c r="U3410" i="34"/>
  <c r="V3410" i="34"/>
  <c r="W3410" i="34"/>
  <c r="X3410" i="34"/>
  <c r="Y3410" i="34"/>
  <c r="Z3410" i="34"/>
  <c r="N3411" i="34"/>
  <c r="O3411" i="34"/>
  <c r="P3411" i="34"/>
  <c r="Q3411" i="34"/>
  <c r="R3411" i="34"/>
  <c r="S3411" i="34"/>
  <c r="T3411" i="34"/>
  <c r="U3411" i="34"/>
  <c r="V3411" i="34"/>
  <c r="W3411" i="34"/>
  <c r="X3411" i="34"/>
  <c r="Y3411" i="34"/>
  <c r="Z3411" i="34"/>
  <c r="N3412" i="34"/>
  <c r="O3412" i="34"/>
  <c r="P3412" i="34"/>
  <c r="Q3412" i="34"/>
  <c r="R3412" i="34"/>
  <c r="S3412" i="34"/>
  <c r="T3412" i="34"/>
  <c r="U3412" i="34"/>
  <c r="V3412" i="34"/>
  <c r="W3412" i="34"/>
  <c r="X3412" i="34"/>
  <c r="Y3412" i="34"/>
  <c r="Z3412" i="34"/>
  <c r="N3413" i="34"/>
  <c r="O3413" i="34"/>
  <c r="P3413" i="34"/>
  <c r="Q3413" i="34"/>
  <c r="R3413" i="34"/>
  <c r="S3413" i="34"/>
  <c r="T3413" i="34"/>
  <c r="U3413" i="34"/>
  <c r="V3413" i="34"/>
  <c r="W3413" i="34"/>
  <c r="X3413" i="34"/>
  <c r="Y3413" i="34"/>
  <c r="Z3413" i="34"/>
  <c r="N3414" i="34"/>
  <c r="O3414" i="34"/>
  <c r="P3414" i="34"/>
  <c r="Q3414" i="34"/>
  <c r="R3414" i="34"/>
  <c r="S3414" i="34"/>
  <c r="T3414" i="34"/>
  <c r="U3414" i="34"/>
  <c r="V3414" i="34"/>
  <c r="W3414" i="34"/>
  <c r="X3414" i="34"/>
  <c r="Y3414" i="34"/>
  <c r="Z3414" i="34"/>
  <c r="N3415" i="34"/>
  <c r="O3415" i="34"/>
  <c r="P3415" i="34"/>
  <c r="Q3415" i="34"/>
  <c r="R3415" i="34"/>
  <c r="S3415" i="34"/>
  <c r="T3415" i="34"/>
  <c r="U3415" i="34"/>
  <c r="V3415" i="34"/>
  <c r="W3415" i="34"/>
  <c r="X3415" i="34"/>
  <c r="Y3415" i="34"/>
  <c r="Z3415" i="34"/>
  <c r="N3416" i="34"/>
  <c r="O3416" i="34"/>
  <c r="P3416" i="34"/>
  <c r="Q3416" i="34"/>
  <c r="R3416" i="34"/>
  <c r="S3416" i="34"/>
  <c r="T3416" i="34"/>
  <c r="U3416" i="34"/>
  <c r="V3416" i="34"/>
  <c r="W3416" i="34"/>
  <c r="X3416" i="34"/>
  <c r="Y3416" i="34"/>
  <c r="Z3416" i="34"/>
  <c r="N3417" i="34"/>
  <c r="O3417" i="34"/>
  <c r="P3417" i="34"/>
  <c r="Q3417" i="34"/>
  <c r="R3417" i="34"/>
  <c r="S3417" i="34"/>
  <c r="T3417" i="34"/>
  <c r="U3417" i="34"/>
  <c r="V3417" i="34"/>
  <c r="W3417" i="34"/>
  <c r="X3417" i="34"/>
  <c r="Y3417" i="34"/>
  <c r="Z3417" i="34"/>
  <c r="N3418" i="34"/>
  <c r="O3418" i="34"/>
  <c r="P3418" i="34"/>
  <c r="Q3418" i="34"/>
  <c r="R3418" i="34"/>
  <c r="S3418" i="34"/>
  <c r="T3418" i="34"/>
  <c r="U3418" i="34"/>
  <c r="V3418" i="34"/>
  <c r="W3418" i="34"/>
  <c r="X3418" i="34"/>
  <c r="Y3418" i="34"/>
  <c r="Z3418" i="34"/>
  <c r="N3419" i="34"/>
  <c r="O3419" i="34"/>
  <c r="P3419" i="34"/>
  <c r="Q3419" i="34"/>
  <c r="R3419" i="34"/>
  <c r="S3419" i="34"/>
  <c r="T3419" i="34"/>
  <c r="U3419" i="34"/>
  <c r="V3419" i="34"/>
  <c r="W3419" i="34"/>
  <c r="X3419" i="34"/>
  <c r="Y3419" i="34"/>
  <c r="Z3419" i="34"/>
  <c r="N3420" i="34"/>
  <c r="O3420" i="34"/>
  <c r="P3420" i="34"/>
  <c r="Q3420" i="34"/>
  <c r="R3420" i="34"/>
  <c r="S3420" i="34"/>
  <c r="T3420" i="34"/>
  <c r="U3420" i="34"/>
  <c r="V3420" i="34"/>
  <c r="W3420" i="34"/>
  <c r="X3420" i="34"/>
  <c r="Y3420" i="34"/>
  <c r="Z3420" i="34"/>
  <c r="N3421" i="34"/>
  <c r="O3421" i="34"/>
  <c r="P3421" i="34"/>
  <c r="Q3421" i="34"/>
  <c r="R3421" i="34"/>
  <c r="S3421" i="34"/>
  <c r="T3421" i="34"/>
  <c r="U3421" i="34"/>
  <c r="V3421" i="34"/>
  <c r="W3421" i="34"/>
  <c r="X3421" i="34"/>
  <c r="Y3421" i="34"/>
  <c r="Z3421" i="34"/>
  <c r="N3422" i="34"/>
  <c r="O3422" i="34"/>
  <c r="P3422" i="34"/>
  <c r="Q3422" i="34"/>
  <c r="R3422" i="34"/>
  <c r="S3422" i="34"/>
  <c r="T3422" i="34"/>
  <c r="U3422" i="34"/>
  <c r="V3422" i="34"/>
  <c r="W3422" i="34"/>
  <c r="X3422" i="34"/>
  <c r="Y3422" i="34"/>
  <c r="Z3422" i="34"/>
  <c r="N3423" i="34"/>
  <c r="O3423" i="34"/>
  <c r="P3423" i="34"/>
  <c r="Q3423" i="34"/>
  <c r="R3423" i="34"/>
  <c r="S3423" i="34"/>
  <c r="T3423" i="34"/>
  <c r="U3423" i="34"/>
  <c r="V3423" i="34"/>
  <c r="W3423" i="34"/>
  <c r="X3423" i="34"/>
  <c r="Y3423" i="34"/>
  <c r="Z3423" i="34"/>
  <c r="N3424" i="34"/>
  <c r="O3424" i="34"/>
  <c r="P3424" i="34"/>
  <c r="Q3424" i="34"/>
  <c r="R3424" i="34"/>
  <c r="S3424" i="34"/>
  <c r="T3424" i="34"/>
  <c r="U3424" i="34"/>
  <c r="V3424" i="34"/>
  <c r="W3424" i="34"/>
  <c r="X3424" i="34"/>
  <c r="Y3424" i="34"/>
  <c r="Z3424" i="34"/>
  <c r="N3425" i="34"/>
  <c r="O3425" i="34"/>
  <c r="P3425" i="34"/>
  <c r="Q3425" i="34"/>
  <c r="R3425" i="34"/>
  <c r="S3425" i="34"/>
  <c r="T3425" i="34"/>
  <c r="U3425" i="34"/>
  <c r="V3425" i="34"/>
  <c r="W3425" i="34"/>
  <c r="X3425" i="34"/>
  <c r="Y3425" i="34"/>
  <c r="Z3425" i="34"/>
  <c r="N3426" i="34"/>
  <c r="O3426" i="34"/>
  <c r="P3426" i="34"/>
  <c r="Q3426" i="34"/>
  <c r="R3426" i="34"/>
  <c r="S3426" i="34"/>
  <c r="T3426" i="34"/>
  <c r="U3426" i="34"/>
  <c r="V3426" i="34"/>
  <c r="W3426" i="34"/>
  <c r="X3426" i="34"/>
  <c r="Y3426" i="34"/>
  <c r="Z3426" i="34"/>
  <c r="N3427" i="34"/>
  <c r="O3427" i="34"/>
  <c r="P3427" i="34"/>
  <c r="Q3427" i="34"/>
  <c r="R3427" i="34"/>
  <c r="S3427" i="34"/>
  <c r="T3427" i="34"/>
  <c r="U3427" i="34"/>
  <c r="V3427" i="34"/>
  <c r="W3427" i="34"/>
  <c r="X3427" i="34"/>
  <c r="Y3427" i="34"/>
  <c r="Z3427" i="34"/>
  <c r="N3428" i="34"/>
  <c r="O3428" i="34"/>
  <c r="P3428" i="34"/>
  <c r="Q3428" i="34"/>
  <c r="R3428" i="34"/>
  <c r="S3428" i="34"/>
  <c r="T3428" i="34"/>
  <c r="U3428" i="34"/>
  <c r="V3428" i="34"/>
  <c r="W3428" i="34"/>
  <c r="X3428" i="34"/>
  <c r="Y3428" i="34"/>
  <c r="Z3428" i="34"/>
  <c r="N3429" i="34"/>
  <c r="O3429" i="34"/>
  <c r="P3429" i="34"/>
  <c r="Q3429" i="34"/>
  <c r="R3429" i="34"/>
  <c r="S3429" i="34"/>
  <c r="T3429" i="34"/>
  <c r="U3429" i="34"/>
  <c r="V3429" i="34"/>
  <c r="W3429" i="34"/>
  <c r="X3429" i="34"/>
  <c r="Y3429" i="34"/>
  <c r="Z3429" i="34"/>
  <c r="N3430" i="34"/>
  <c r="O3430" i="34"/>
  <c r="P3430" i="34"/>
  <c r="Q3430" i="34"/>
  <c r="R3430" i="34"/>
  <c r="S3430" i="34"/>
  <c r="T3430" i="34"/>
  <c r="U3430" i="34"/>
  <c r="V3430" i="34"/>
  <c r="W3430" i="34"/>
  <c r="X3430" i="34"/>
  <c r="Y3430" i="34"/>
  <c r="Z3430" i="34"/>
  <c r="N3431" i="34"/>
  <c r="O3431" i="34"/>
  <c r="P3431" i="34"/>
  <c r="Q3431" i="34"/>
  <c r="R3431" i="34"/>
  <c r="S3431" i="34"/>
  <c r="T3431" i="34"/>
  <c r="U3431" i="34"/>
  <c r="V3431" i="34"/>
  <c r="W3431" i="34"/>
  <c r="X3431" i="34"/>
  <c r="Y3431" i="34"/>
  <c r="Z3431" i="34"/>
  <c r="N3432" i="34"/>
  <c r="O3432" i="34"/>
  <c r="P3432" i="34"/>
  <c r="Q3432" i="34"/>
  <c r="R3432" i="34"/>
  <c r="S3432" i="34"/>
  <c r="T3432" i="34"/>
  <c r="U3432" i="34"/>
  <c r="V3432" i="34"/>
  <c r="W3432" i="34"/>
  <c r="X3432" i="34"/>
  <c r="Y3432" i="34"/>
  <c r="Z3432" i="34"/>
  <c r="N3433" i="34"/>
  <c r="O3433" i="34"/>
  <c r="P3433" i="34"/>
  <c r="Q3433" i="34"/>
  <c r="R3433" i="34"/>
  <c r="S3433" i="34"/>
  <c r="T3433" i="34"/>
  <c r="U3433" i="34"/>
  <c r="V3433" i="34"/>
  <c r="W3433" i="34"/>
  <c r="X3433" i="34"/>
  <c r="Y3433" i="34"/>
  <c r="Z3433" i="34"/>
  <c r="N3434" i="34"/>
  <c r="O3434" i="34"/>
  <c r="P3434" i="34"/>
  <c r="Q3434" i="34"/>
  <c r="R3434" i="34"/>
  <c r="S3434" i="34"/>
  <c r="T3434" i="34"/>
  <c r="U3434" i="34"/>
  <c r="V3434" i="34"/>
  <c r="W3434" i="34"/>
  <c r="X3434" i="34"/>
  <c r="Y3434" i="34"/>
  <c r="Z3434" i="34"/>
  <c r="N3435" i="34"/>
  <c r="O3435" i="34"/>
  <c r="P3435" i="34"/>
  <c r="Q3435" i="34"/>
  <c r="R3435" i="34"/>
  <c r="S3435" i="34"/>
  <c r="T3435" i="34"/>
  <c r="U3435" i="34"/>
  <c r="V3435" i="34"/>
  <c r="W3435" i="34"/>
  <c r="X3435" i="34"/>
  <c r="Y3435" i="34"/>
  <c r="Z3435" i="34"/>
  <c r="N3436" i="34"/>
  <c r="O3436" i="34"/>
  <c r="P3436" i="34"/>
  <c r="Q3436" i="34"/>
  <c r="R3436" i="34"/>
  <c r="S3436" i="34"/>
  <c r="T3436" i="34"/>
  <c r="U3436" i="34"/>
  <c r="V3436" i="34"/>
  <c r="W3436" i="34"/>
  <c r="X3436" i="34"/>
  <c r="Y3436" i="34"/>
  <c r="Z3436" i="34"/>
  <c r="N3437" i="34"/>
  <c r="O3437" i="34"/>
  <c r="P3437" i="34"/>
  <c r="Q3437" i="34"/>
  <c r="R3437" i="34"/>
  <c r="S3437" i="34"/>
  <c r="T3437" i="34"/>
  <c r="U3437" i="34"/>
  <c r="V3437" i="34"/>
  <c r="W3437" i="34"/>
  <c r="X3437" i="34"/>
  <c r="Y3437" i="34"/>
  <c r="Z3437" i="34"/>
  <c r="N3438" i="34"/>
  <c r="O3438" i="34"/>
  <c r="P3438" i="34"/>
  <c r="Q3438" i="34"/>
  <c r="R3438" i="34"/>
  <c r="S3438" i="34"/>
  <c r="T3438" i="34"/>
  <c r="U3438" i="34"/>
  <c r="V3438" i="34"/>
  <c r="W3438" i="34"/>
  <c r="X3438" i="34"/>
  <c r="Y3438" i="34"/>
  <c r="Z3438" i="34"/>
  <c r="N3439" i="34"/>
  <c r="O3439" i="34"/>
  <c r="P3439" i="34"/>
  <c r="Q3439" i="34"/>
  <c r="R3439" i="34"/>
  <c r="S3439" i="34"/>
  <c r="T3439" i="34"/>
  <c r="U3439" i="34"/>
  <c r="V3439" i="34"/>
  <c r="W3439" i="34"/>
  <c r="X3439" i="34"/>
  <c r="Y3439" i="34"/>
  <c r="Z3439" i="34"/>
  <c r="N3440" i="34"/>
  <c r="O3440" i="34"/>
  <c r="P3440" i="34"/>
  <c r="Q3440" i="34"/>
  <c r="R3440" i="34"/>
  <c r="S3440" i="34"/>
  <c r="T3440" i="34"/>
  <c r="U3440" i="34"/>
  <c r="V3440" i="34"/>
  <c r="W3440" i="34"/>
  <c r="X3440" i="34"/>
  <c r="Y3440" i="34"/>
  <c r="Z3440" i="34"/>
  <c r="N3441" i="34"/>
  <c r="O3441" i="34"/>
  <c r="P3441" i="34"/>
  <c r="Q3441" i="34"/>
  <c r="R3441" i="34"/>
  <c r="S3441" i="34"/>
  <c r="T3441" i="34"/>
  <c r="U3441" i="34"/>
  <c r="V3441" i="34"/>
  <c r="W3441" i="34"/>
  <c r="X3441" i="34"/>
  <c r="Y3441" i="34"/>
  <c r="Z3441" i="34"/>
  <c r="N3442" i="34"/>
  <c r="O3442" i="34"/>
  <c r="P3442" i="34"/>
  <c r="Q3442" i="34"/>
  <c r="R3442" i="34"/>
  <c r="S3442" i="34"/>
  <c r="T3442" i="34"/>
  <c r="U3442" i="34"/>
  <c r="V3442" i="34"/>
  <c r="W3442" i="34"/>
  <c r="X3442" i="34"/>
  <c r="Y3442" i="34"/>
  <c r="Z3442" i="34"/>
  <c r="N3443" i="34"/>
  <c r="O3443" i="34"/>
  <c r="P3443" i="34"/>
  <c r="Q3443" i="34"/>
  <c r="R3443" i="34"/>
  <c r="S3443" i="34"/>
  <c r="T3443" i="34"/>
  <c r="U3443" i="34"/>
  <c r="V3443" i="34"/>
  <c r="W3443" i="34"/>
  <c r="X3443" i="34"/>
  <c r="Y3443" i="34"/>
  <c r="Z3443" i="34"/>
  <c r="N3444" i="34"/>
  <c r="O3444" i="34"/>
  <c r="P3444" i="34"/>
  <c r="Q3444" i="34"/>
  <c r="R3444" i="34"/>
  <c r="S3444" i="34"/>
  <c r="T3444" i="34"/>
  <c r="U3444" i="34"/>
  <c r="V3444" i="34"/>
  <c r="W3444" i="34"/>
  <c r="X3444" i="34"/>
  <c r="Y3444" i="34"/>
  <c r="Z3444" i="34"/>
  <c r="N3445" i="34"/>
  <c r="O3445" i="34"/>
  <c r="P3445" i="34"/>
  <c r="Q3445" i="34"/>
  <c r="R3445" i="34"/>
  <c r="S3445" i="34"/>
  <c r="T3445" i="34"/>
  <c r="U3445" i="34"/>
  <c r="V3445" i="34"/>
  <c r="W3445" i="34"/>
  <c r="X3445" i="34"/>
  <c r="Y3445" i="34"/>
  <c r="Z3445" i="34"/>
  <c r="N3446" i="34"/>
  <c r="O3446" i="34"/>
  <c r="P3446" i="34"/>
  <c r="Q3446" i="34"/>
  <c r="R3446" i="34"/>
  <c r="S3446" i="34"/>
  <c r="T3446" i="34"/>
  <c r="U3446" i="34"/>
  <c r="V3446" i="34"/>
  <c r="W3446" i="34"/>
  <c r="X3446" i="34"/>
  <c r="Y3446" i="34"/>
  <c r="Z3446" i="34"/>
  <c r="N3447" i="34"/>
  <c r="O3447" i="34"/>
  <c r="P3447" i="34"/>
  <c r="Q3447" i="34"/>
  <c r="R3447" i="34"/>
  <c r="S3447" i="34"/>
  <c r="T3447" i="34"/>
  <c r="U3447" i="34"/>
  <c r="V3447" i="34"/>
  <c r="W3447" i="34"/>
  <c r="X3447" i="34"/>
  <c r="Y3447" i="34"/>
  <c r="Z3447" i="34"/>
  <c r="N3448" i="34"/>
  <c r="O3448" i="34"/>
  <c r="P3448" i="34"/>
  <c r="Q3448" i="34"/>
  <c r="R3448" i="34"/>
  <c r="S3448" i="34"/>
  <c r="T3448" i="34"/>
  <c r="U3448" i="34"/>
  <c r="V3448" i="34"/>
  <c r="W3448" i="34"/>
  <c r="X3448" i="34"/>
  <c r="Y3448" i="34"/>
  <c r="Z3448" i="34"/>
  <c r="N3449" i="34"/>
  <c r="O3449" i="34"/>
  <c r="P3449" i="34"/>
  <c r="Q3449" i="34"/>
  <c r="R3449" i="34"/>
  <c r="S3449" i="34"/>
  <c r="T3449" i="34"/>
  <c r="U3449" i="34"/>
  <c r="V3449" i="34"/>
  <c r="W3449" i="34"/>
  <c r="X3449" i="34"/>
  <c r="Y3449" i="34"/>
  <c r="Z3449" i="34"/>
  <c r="N3450" i="34"/>
  <c r="O3450" i="34"/>
  <c r="P3450" i="34"/>
  <c r="Q3450" i="34"/>
  <c r="R3450" i="34"/>
  <c r="S3450" i="34"/>
  <c r="T3450" i="34"/>
  <c r="U3450" i="34"/>
  <c r="V3450" i="34"/>
  <c r="W3450" i="34"/>
  <c r="X3450" i="34"/>
  <c r="Y3450" i="34"/>
  <c r="Z3450" i="34"/>
  <c r="N3451" i="34"/>
  <c r="O3451" i="34"/>
  <c r="P3451" i="34"/>
  <c r="Q3451" i="34"/>
  <c r="R3451" i="34"/>
  <c r="S3451" i="34"/>
  <c r="T3451" i="34"/>
  <c r="U3451" i="34"/>
  <c r="V3451" i="34"/>
  <c r="W3451" i="34"/>
  <c r="X3451" i="34"/>
  <c r="Y3451" i="34"/>
  <c r="Z3451" i="34"/>
  <c r="N3452" i="34"/>
  <c r="O3452" i="34"/>
  <c r="P3452" i="34"/>
  <c r="Q3452" i="34"/>
  <c r="R3452" i="34"/>
  <c r="S3452" i="34"/>
  <c r="T3452" i="34"/>
  <c r="U3452" i="34"/>
  <c r="V3452" i="34"/>
  <c r="W3452" i="34"/>
  <c r="X3452" i="34"/>
  <c r="Y3452" i="34"/>
  <c r="Z3452" i="34"/>
  <c r="N3453" i="34"/>
  <c r="O3453" i="34"/>
  <c r="P3453" i="34"/>
  <c r="Q3453" i="34"/>
  <c r="R3453" i="34"/>
  <c r="S3453" i="34"/>
  <c r="T3453" i="34"/>
  <c r="U3453" i="34"/>
  <c r="V3453" i="34"/>
  <c r="W3453" i="34"/>
  <c r="X3453" i="34"/>
  <c r="Y3453" i="34"/>
  <c r="Z3453" i="34"/>
  <c r="N3454" i="34"/>
  <c r="O3454" i="34"/>
  <c r="P3454" i="34"/>
  <c r="Q3454" i="34"/>
  <c r="R3454" i="34"/>
  <c r="S3454" i="34"/>
  <c r="T3454" i="34"/>
  <c r="U3454" i="34"/>
  <c r="V3454" i="34"/>
  <c r="W3454" i="34"/>
  <c r="X3454" i="34"/>
  <c r="Y3454" i="34"/>
  <c r="Z3454" i="34"/>
  <c r="N3455" i="34"/>
  <c r="O3455" i="34"/>
  <c r="P3455" i="34"/>
  <c r="Q3455" i="34"/>
  <c r="R3455" i="34"/>
  <c r="S3455" i="34"/>
  <c r="T3455" i="34"/>
  <c r="U3455" i="34"/>
  <c r="V3455" i="34"/>
  <c r="W3455" i="34"/>
  <c r="X3455" i="34"/>
  <c r="Y3455" i="34"/>
  <c r="Z3455" i="34"/>
  <c r="N3456" i="34"/>
  <c r="O3456" i="34"/>
  <c r="P3456" i="34"/>
  <c r="Q3456" i="34"/>
  <c r="R3456" i="34"/>
  <c r="S3456" i="34"/>
  <c r="T3456" i="34"/>
  <c r="U3456" i="34"/>
  <c r="V3456" i="34"/>
  <c r="W3456" i="34"/>
  <c r="X3456" i="34"/>
  <c r="Y3456" i="34"/>
  <c r="Z3456" i="34"/>
  <c r="N3457" i="34"/>
  <c r="O3457" i="34"/>
  <c r="P3457" i="34"/>
  <c r="Q3457" i="34"/>
  <c r="R3457" i="34"/>
  <c r="S3457" i="34"/>
  <c r="T3457" i="34"/>
  <c r="U3457" i="34"/>
  <c r="V3457" i="34"/>
  <c r="W3457" i="34"/>
  <c r="X3457" i="34"/>
  <c r="Y3457" i="34"/>
  <c r="Z3457" i="34"/>
  <c r="N3458" i="34"/>
  <c r="O3458" i="34"/>
  <c r="P3458" i="34"/>
  <c r="Q3458" i="34"/>
  <c r="R3458" i="34"/>
  <c r="S3458" i="34"/>
  <c r="T3458" i="34"/>
  <c r="U3458" i="34"/>
  <c r="V3458" i="34"/>
  <c r="W3458" i="34"/>
  <c r="X3458" i="34"/>
  <c r="Y3458" i="34"/>
  <c r="Z3458" i="34"/>
  <c r="N3459" i="34"/>
  <c r="O3459" i="34"/>
  <c r="P3459" i="34"/>
  <c r="Q3459" i="34"/>
  <c r="R3459" i="34"/>
  <c r="S3459" i="34"/>
  <c r="T3459" i="34"/>
  <c r="U3459" i="34"/>
  <c r="V3459" i="34"/>
  <c r="W3459" i="34"/>
  <c r="X3459" i="34"/>
  <c r="Y3459" i="34"/>
  <c r="Z3459" i="34"/>
  <c r="N3460" i="34"/>
  <c r="O3460" i="34"/>
  <c r="P3460" i="34"/>
  <c r="Q3460" i="34"/>
  <c r="R3460" i="34"/>
  <c r="S3460" i="34"/>
  <c r="T3460" i="34"/>
  <c r="U3460" i="34"/>
  <c r="V3460" i="34"/>
  <c r="W3460" i="34"/>
  <c r="X3460" i="34"/>
  <c r="Y3460" i="34"/>
  <c r="Z3460" i="34"/>
  <c r="N3461" i="34"/>
  <c r="O3461" i="34"/>
  <c r="P3461" i="34"/>
  <c r="Q3461" i="34"/>
  <c r="R3461" i="34"/>
  <c r="S3461" i="34"/>
  <c r="T3461" i="34"/>
  <c r="U3461" i="34"/>
  <c r="V3461" i="34"/>
  <c r="W3461" i="34"/>
  <c r="X3461" i="34"/>
  <c r="Y3461" i="34"/>
  <c r="Z3461" i="34"/>
  <c r="N3462" i="34"/>
  <c r="O3462" i="34"/>
  <c r="P3462" i="34"/>
  <c r="Q3462" i="34"/>
  <c r="R3462" i="34"/>
  <c r="S3462" i="34"/>
  <c r="T3462" i="34"/>
  <c r="U3462" i="34"/>
  <c r="V3462" i="34"/>
  <c r="W3462" i="34"/>
  <c r="X3462" i="34"/>
  <c r="Y3462" i="34"/>
  <c r="Z3462" i="34"/>
  <c r="N3463" i="34"/>
  <c r="O3463" i="34"/>
  <c r="P3463" i="34"/>
  <c r="Q3463" i="34"/>
  <c r="R3463" i="34"/>
  <c r="S3463" i="34"/>
  <c r="T3463" i="34"/>
  <c r="U3463" i="34"/>
  <c r="V3463" i="34"/>
  <c r="W3463" i="34"/>
  <c r="X3463" i="34"/>
  <c r="Y3463" i="34"/>
  <c r="Z3463" i="34"/>
  <c r="N3464" i="34"/>
  <c r="O3464" i="34"/>
  <c r="P3464" i="34"/>
  <c r="Q3464" i="34"/>
  <c r="R3464" i="34"/>
  <c r="S3464" i="34"/>
  <c r="T3464" i="34"/>
  <c r="U3464" i="34"/>
  <c r="V3464" i="34"/>
  <c r="W3464" i="34"/>
  <c r="X3464" i="34"/>
  <c r="Y3464" i="34"/>
  <c r="Z3464" i="34"/>
  <c r="N3465" i="34"/>
  <c r="O3465" i="34"/>
  <c r="P3465" i="34"/>
  <c r="Q3465" i="34"/>
  <c r="R3465" i="34"/>
  <c r="S3465" i="34"/>
  <c r="T3465" i="34"/>
  <c r="U3465" i="34"/>
  <c r="V3465" i="34"/>
  <c r="W3465" i="34"/>
  <c r="X3465" i="34"/>
  <c r="Y3465" i="34"/>
  <c r="Z3465" i="34"/>
  <c r="N3466" i="34"/>
  <c r="O3466" i="34"/>
  <c r="P3466" i="34"/>
  <c r="Q3466" i="34"/>
  <c r="R3466" i="34"/>
  <c r="S3466" i="34"/>
  <c r="T3466" i="34"/>
  <c r="U3466" i="34"/>
  <c r="V3466" i="34"/>
  <c r="W3466" i="34"/>
  <c r="X3466" i="34"/>
  <c r="Y3466" i="34"/>
  <c r="Z3466" i="34"/>
  <c r="N3467" i="34"/>
  <c r="O3467" i="34"/>
  <c r="P3467" i="34"/>
  <c r="Q3467" i="34"/>
  <c r="R3467" i="34"/>
  <c r="S3467" i="34"/>
  <c r="T3467" i="34"/>
  <c r="U3467" i="34"/>
  <c r="V3467" i="34"/>
  <c r="W3467" i="34"/>
  <c r="X3467" i="34"/>
  <c r="Y3467" i="34"/>
  <c r="Z3467" i="34"/>
  <c r="N3468" i="34"/>
  <c r="O3468" i="34"/>
  <c r="P3468" i="34"/>
  <c r="Q3468" i="34"/>
  <c r="R3468" i="34"/>
  <c r="S3468" i="34"/>
  <c r="T3468" i="34"/>
  <c r="U3468" i="34"/>
  <c r="V3468" i="34"/>
  <c r="W3468" i="34"/>
  <c r="X3468" i="34"/>
  <c r="Y3468" i="34"/>
  <c r="Z3468" i="34"/>
  <c r="N3469" i="34"/>
  <c r="O3469" i="34"/>
  <c r="P3469" i="34"/>
  <c r="Q3469" i="34"/>
  <c r="R3469" i="34"/>
  <c r="S3469" i="34"/>
  <c r="T3469" i="34"/>
  <c r="U3469" i="34"/>
  <c r="V3469" i="34"/>
  <c r="W3469" i="34"/>
  <c r="X3469" i="34"/>
  <c r="Y3469" i="34"/>
  <c r="Z3469" i="34"/>
  <c r="N3470" i="34"/>
  <c r="O3470" i="34"/>
  <c r="P3470" i="34"/>
  <c r="Q3470" i="34"/>
  <c r="R3470" i="34"/>
  <c r="S3470" i="34"/>
  <c r="T3470" i="34"/>
  <c r="U3470" i="34"/>
  <c r="V3470" i="34"/>
  <c r="W3470" i="34"/>
  <c r="X3470" i="34"/>
  <c r="Y3470" i="34"/>
  <c r="Z3470" i="34"/>
  <c r="N3471" i="34"/>
  <c r="O3471" i="34"/>
  <c r="P3471" i="34"/>
  <c r="Q3471" i="34"/>
  <c r="R3471" i="34"/>
  <c r="S3471" i="34"/>
  <c r="T3471" i="34"/>
  <c r="U3471" i="34"/>
  <c r="V3471" i="34"/>
  <c r="W3471" i="34"/>
  <c r="X3471" i="34"/>
  <c r="Y3471" i="34"/>
  <c r="Z3471" i="34"/>
  <c r="N3472" i="34"/>
  <c r="O3472" i="34"/>
  <c r="P3472" i="34"/>
  <c r="Q3472" i="34"/>
  <c r="R3472" i="34"/>
  <c r="S3472" i="34"/>
  <c r="T3472" i="34"/>
  <c r="U3472" i="34"/>
  <c r="V3472" i="34"/>
  <c r="W3472" i="34"/>
  <c r="X3472" i="34"/>
  <c r="Y3472" i="34"/>
  <c r="Z3472" i="34"/>
  <c r="N3473" i="34"/>
  <c r="O3473" i="34"/>
  <c r="P3473" i="34"/>
  <c r="Q3473" i="34"/>
  <c r="R3473" i="34"/>
  <c r="S3473" i="34"/>
  <c r="T3473" i="34"/>
  <c r="U3473" i="34"/>
  <c r="V3473" i="34"/>
  <c r="W3473" i="34"/>
  <c r="X3473" i="34"/>
  <c r="Y3473" i="34"/>
  <c r="Z3473" i="34"/>
  <c r="N3474" i="34"/>
  <c r="O3474" i="34"/>
  <c r="P3474" i="34"/>
  <c r="Q3474" i="34"/>
  <c r="R3474" i="34"/>
  <c r="S3474" i="34"/>
  <c r="T3474" i="34"/>
  <c r="U3474" i="34"/>
  <c r="V3474" i="34"/>
  <c r="W3474" i="34"/>
  <c r="X3474" i="34"/>
  <c r="Y3474" i="34"/>
  <c r="Z3474" i="34"/>
  <c r="N3475" i="34"/>
  <c r="O3475" i="34"/>
  <c r="P3475" i="34"/>
  <c r="Q3475" i="34"/>
  <c r="R3475" i="34"/>
  <c r="S3475" i="34"/>
  <c r="T3475" i="34"/>
  <c r="U3475" i="34"/>
  <c r="V3475" i="34"/>
  <c r="W3475" i="34"/>
  <c r="X3475" i="34"/>
  <c r="Y3475" i="34"/>
  <c r="Z3475" i="34"/>
  <c r="N3476" i="34"/>
  <c r="O3476" i="34"/>
  <c r="P3476" i="34"/>
  <c r="Q3476" i="34"/>
  <c r="R3476" i="34"/>
  <c r="S3476" i="34"/>
  <c r="T3476" i="34"/>
  <c r="U3476" i="34"/>
  <c r="V3476" i="34"/>
  <c r="W3476" i="34"/>
  <c r="X3476" i="34"/>
  <c r="Y3476" i="34"/>
  <c r="Z3476" i="34"/>
  <c r="N3477" i="34"/>
  <c r="O3477" i="34"/>
  <c r="P3477" i="34"/>
  <c r="Q3477" i="34"/>
  <c r="R3477" i="34"/>
  <c r="S3477" i="34"/>
  <c r="T3477" i="34"/>
  <c r="U3477" i="34"/>
  <c r="V3477" i="34"/>
  <c r="W3477" i="34"/>
  <c r="X3477" i="34"/>
  <c r="Y3477" i="34"/>
  <c r="Z3477" i="34"/>
  <c r="N3478" i="34"/>
  <c r="O3478" i="34"/>
  <c r="P3478" i="34"/>
  <c r="Q3478" i="34"/>
  <c r="R3478" i="34"/>
  <c r="S3478" i="34"/>
  <c r="T3478" i="34"/>
  <c r="U3478" i="34"/>
  <c r="V3478" i="34"/>
  <c r="W3478" i="34"/>
  <c r="X3478" i="34"/>
  <c r="Y3478" i="34"/>
  <c r="Z3478" i="34"/>
  <c r="N3479" i="34"/>
  <c r="O3479" i="34"/>
  <c r="P3479" i="34"/>
  <c r="Q3479" i="34"/>
  <c r="R3479" i="34"/>
  <c r="S3479" i="34"/>
  <c r="T3479" i="34"/>
  <c r="U3479" i="34"/>
  <c r="V3479" i="34"/>
  <c r="W3479" i="34"/>
  <c r="X3479" i="34"/>
  <c r="Y3479" i="34"/>
  <c r="Z3479" i="34"/>
  <c r="N3480" i="34"/>
  <c r="O3480" i="34"/>
  <c r="P3480" i="34"/>
  <c r="Q3480" i="34"/>
  <c r="R3480" i="34"/>
  <c r="S3480" i="34"/>
  <c r="T3480" i="34"/>
  <c r="U3480" i="34"/>
  <c r="V3480" i="34"/>
  <c r="W3480" i="34"/>
  <c r="X3480" i="34"/>
  <c r="Y3480" i="34"/>
  <c r="Z3480" i="34"/>
  <c r="N3481" i="34"/>
  <c r="O3481" i="34"/>
  <c r="P3481" i="34"/>
  <c r="Q3481" i="34"/>
  <c r="R3481" i="34"/>
  <c r="S3481" i="34"/>
  <c r="T3481" i="34"/>
  <c r="U3481" i="34"/>
  <c r="V3481" i="34"/>
  <c r="W3481" i="34"/>
  <c r="X3481" i="34"/>
  <c r="Y3481" i="34"/>
  <c r="Z3481" i="34"/>
  <c r="N3482" i="34"/>
  <c r="O3482" i="34"/>
  <c r="P3482" i="34"/>
  <c r="Q3482" i="34"/>
  <c r="R3482" i="34"/>
  <c r="S3482" i="34"/>
  <c r="T3482" i="34"/>
  <c r="U3482" i="34"/>
  <c r="V3482" i="34"/>
  <c r="W3482" i="34"/>
  <c r="X3482" i="34"/>
  <c r="Y3482" i="34"/>
  <c r="Z3482" i="34"/>
  <c r="N3483" i="34"/>
  <c r="O3483" i="34"/>
  <c r="P3483" i="34"/>
  <c r="Q3483" i="34"/>
  <c r="R3483" i="34"/>
  <c r="S3483" i="34"/>
  <c r="T3483" i="34"/>
  <c r="U3483" i="34"/>
  <c r="V3483" i="34"/>
  <c r="W3483" i="34"/>
  <c r="X3483" i="34"/>
  <c r="Y3483" i="34"/>
  <c r="Z3483" i="34"/>
  <c r="N3484" i="34"/>
  <c r="O3484" i="34"/>
  <c r="P3484" i="34"/>
  <c r="Q3484" i="34"/>
  <c r="R3484" i="34"/>
  <c r="S3484" i="34"/>
  <c r="T3484" i="34"/>
  <c r="U3484" i="34"/>
  <c r="V3484" i="34"/>
  <c r="W3484" i="34"/>
  <c r="X3484" i="34"/>
  <c r="Y3484" i="34"/>
  <c r="Z3484" i="34"/>
  <c r="N3485" i="34"/>
  <c r="O3485" i="34"/>
  <c r="P3485" i="34"/>
  <c r="Q3485" i="34"/>
  <c r="R3485" i="34"/>
  <c r="S3485" i="34"/>
  <c r="T3485" i="34"/>
  <c r="U3485" i="34"/>
  <c r="V3485" i="34"/>
  <c r="W3485" i="34"/>
  <c r="X3485" i="34"/>
  <c r="Y3485" i="34"/>
  <c r="Z3485" i="34"/>
  <c r="N3486" i="34"/>
  <c r="O3486" i="34"/>
  <c r="P3486" i="34"/>
  <c r="Q3486" i="34"/>
  <c r="R3486" i="34"/>
  <c r="S3486" i="34"/>
  <c r="T3486" i="34"/>
  <c r="U3486" i="34"/>
  <c r="V3486" i="34"/>
  <c r="W3486" i="34"/>
  <c r="X3486" i="34"/>
  <c r="Y3486" i="34"/>
  <c r="Z3486" i="34"/>
  <c r="N3487" i="34"/>
  <c r="O3487" i="34"/>
  <c r="P3487" i="34"/>
  <c r="Q3487" i="34"/>
  <c r="R3487" i="34"/>
  <c r="S3487" i="34"/>
  <c r="T3487" i="34"/>
  <c r="U3487" i="34"/>
  <c r="V3487" i="34"/>
  <c r="W3487" i="34"/>
  <c r="X3487" i="34"/>
  <c r="Y3487" i="34"/>
  <c r="Z3487" i="34"/>
  <c r="N3488" i="34"/>
  <c r="O3488" i="34"/>
  <c r="P3488" i="34"/>
  <c r="Q3488" i="34"/>
  <c r="R3488" i="34"/>
  <c r="S3488" i="34"/>
  <c r="T3488" i="34"/>
  <c r="U3488" i="34"/>
  <c r="V3488" i="34"/>
  <c r="W3488" i="34"/>
  <c r="X3488" i="34"/>
  <c r="Y3488" i="34"/>
  <c r="Z3488" i="34"/>
  <c r="N3489" i="34"/>
  <c r="O3489" i="34"/>
  <c r="P3489" i="34"/>
  <c r="Q3489" i="34"/>
  <c r="R3489" i="34"/>
  <c r="S3489" i="34"/>
  <c r="T3489" i="34"/>
  <c r="U3489" i="34"/>
  <c r="V3489" i="34"/>
  <c r="W3489" i="34"/>
  <c r="X3489" i="34"/>
  <c r="Y3489" i="34"/>
  <c r="Z3489" i="34"/>
  <c r="N3490" i="34"/>
  <c r="O3490" i="34"/>
  <c r="P3490" i="34"/>
  <c r="Q3490" i="34"/>
  <c r="R3490" i="34"/>
  <c r="S3490" i="34"/>
  <c r="T3490" i="34"/>
  <c r="U3490" i="34"/>
  <c r="V3490" i="34"/>
  <c r="W3490" i="34"/>
  <c r="X3490" i="34"/>
  <c r="Y3490" i="34"/>
  <c r="Z3490" i="34"/>
  <c r="N3491" i="34"/>
  <c r="O3491" i="34"/>
  <c r="P3491" i="34"/>
  <c r="Q3491" i="34"/>
  <c r="R3491" i="34"/>
  <c r="S3491" i="34"/>
  <c r="T3491" i="34"/>
  <c r="U3491" i="34"/>
  <c r="V3491" i="34"/>
  <c r="W3491" i="34"/>
  <c r="X3491" i="34"/>
  <c r="Y3491" i="34"/>
  <c r="Z3491" i="34"/>
  <c r="N3492" i="34"/>
  <c r="O3492" i="34"/>
  <c r="P3492" i="34"/>
  <c r="Q3492" i="34"/>
  <c r="R3492" i="34"/>
  <c r="S3492" i="34"/>
  <c r="T3492" i="34"/>
  <c r="U3492" i="34"/>
  <c r="V3492" i="34"/>
  <c r="W3492" i="34"/>
  <c r="X3492" i="34"/>
  <c r="Y3492" i="34"/>
  <c r="Z3492" i="34"/>
  <c r="N3493" i="34"/>
  <c r="O3493" i="34"/>
  <c r="P3493" i="34"/>
  <c r="Q3493" i="34"/>
  <c r="R3493" i="34"/>
  <c r="S3493" i="34"/>
  <c r="T3493" i="34"/>
  <c r="U3493" i="34"/>
  <c r="V3493" i="34"/>
  <c r="W3493" i="34"/>
  <c r="X3493" i="34"/>
  <c r="Y3493" i="34"/>
  <c r="Z3493" i="34"/>
  <c r="N3494" i="34"/>
  <c r="O3494" i="34"/>
  <c r="P3494" i="34"/>
  <c r="Q3494" i="34"/>
  <c r="R3494" i="34"/>
  <c r="S3494" i="34"/>
  <c r="T3494" i="34"/>
  <c r="U3494" i="34"/>
  <c r="V3494" i="34"/>
  <c r="W3494" i="34"/>
  <c r="X3494" i="34"/>
  <c r="Y3494" i="34"/>
  <c r="Z3494" i="34"/>
  <c r="N3495" i="34"/>
  <c r="O3495" i="34"/>
  <c r="P3495" i="34"/>
  <c r="Q3495" i="34"/>
  <c r="R3495" i="34"/>
  <c r="S3495" i="34"/>
  <c r="T3495" i="34"/>
  <c r="U3495" i="34"/>
  <c r="V3495" i="34"/>
  <c r="W3495" i="34"/>
  <c r="X3495" i="34"/>
  <c r="Y3495" i="34"/>
  <c r="Z3495" i="34"/>
  <c r="N3496" i="34"/>
  <c r="O3496" i="34"/>
  <c r="P3496" i="34"/>
  <c r="Q3496" i="34"/>
  <c r="R3496" i="34"/>
  <c r="S3496" i="34"/>
  <c r="T3496" i="34"/>
  <c r="U3496" i="34"/>
  <c r="V3496" i="34"/>
  <c r="W3496" i="34"/>
  <c r="X3496" i="34"/>
  <c r="Y3496" i="34"/>
  <c r="Z3496" i="34"/>
  <c r="N3497" i="34"/>
  <c r="O3497" i="34"/>
  <c r="P3497" i="34"/>
  <c r="Q3497" i="34"/>
  <c r="R3497" i="34"/>
  <c r="S3497" i="34"/>
  <c r="T3497" i="34"/>
  <c r="U3497" i="34"/>
  <c r="V3497" i="34"/>
  <c r="W3497" i="34"/>
  <c r="X3497" i="34"/>
  <c r="Y3497" i="34"/>
  <c r="Z3497" i="34"/>
  <c r="N3498" i="34"/>
  <c r="O3498" i="34"/>
  <c r="P3498" i="34"/>
  <c r="Q3498" i="34"/>
  <c r="R3498" i="34"/>
  <c r="S3498" i="34"/>
  <c r="T3498" i="34"/>
  <c r="U3498" i="34"/>
  <c r="V3498" i="34"/>
  <c r="W3498" i="34"/>
  <c r="X3498" i="34"/>
  <c r="Y3498" i="34"/>
  <c r="Z3498" i="34"/>
  <c r="N3499" i="34"/>
  <c r="O3499" i="34"/>
  <c r="P3499" i="34"/>
  <c r="Q3499" i="34"/>
  <c r="R3499" i="34"/>
  <c r="S3499" i="34"/>
  <c r="T3499" i="34"/>
  <c r="U3499" i="34"/>
  <c r="V3499" i="34"/>
  <c r="W3499" i="34"/>
  <c r="X3499" i="34"/>
  <c r="Y3499" i="34"/>
  <c r="Z3499" i="34"/>
  <c r="N3500" i="34"/>
  <c r="O3500" i="34"/>
  <c r="P3500" i="34"/>
  <c r="Q3500" i="34"/>
  <c r="R3500" i="34"/>
  <c r="S3500" i="34"/>
  <c r="T3500" i="34"/>
  <c r="U3500" i="34"/>
  <c r="V3500" i="34"/>
  <c r="W3500" i="34"/>
  <c r="X3500" i="34"/>
  <c r="Y3500" i="34"/>
  <c r="Z3500" i="34"/>
  <c r="N3501" i="34"/>
  <c r="O3501" i="34"/>
  <c r="P3501" i="34"/>
  <c r="Q3501" i="34"/>
  <c r="R3501" i="34"/>
  <c r="S3501" i="34"/>
  <c r="T3501" i="34"/>
  <c r="U3501" i="34"/>
  <c r="V3501" i="34"/>
  <c r="W3501" i="34"/>
  <c r="X3501" i="34"/>
  <c r="Y3501" i="34"/>
  <c r="Z3501" i="34"/>
  <c r="N3502" i="34"/>
  <c r="O3502" i="34"/>
  <c r="P3502" i="34"/>
  <c r="Q3502" i="34"/>
  <c r="R3502" i="34"/>
  <c r="S3502" i="34"/>
  <c r="T3502" i="34"/>
  <c r="U3502" i="34"/>
  <c r="V3502" i="34"/>
  <c r="W3502" i="34"/>
  <c r="X3502" i="34"/>
  <c r="Y3502" i="34"/>
  <c r="Z3502" i="34"/>
  <c r="N3503" i="34"/>
  <c r="O3503" i="34"/>
  <c r="P3503" i="34"/>
  <c r="Q3503" i="34"/>
  <c r="R3503" i="34"/>
  <c r="S3503" i="34"/>
  <c r="T3503" i="34"/>
  <c r="U3503" i="34"/>
  <c r="V3503" i="34"/>
  <c r="W3503" i="34"/>
  <c r="X3503" i="34"/>
  <c r="Y3503" i="34"/>
  <c r="Z3503" i="34"/>
  <c r="N3504" i="34"/>
  <c r="O3504" i="34"/>
  <c r="P3504" i="34"/>
  <c r="Q3504" i="34"/>
  <c r="R3504" i="34"/>
  <c r="S3504" i="34"/>
  <c r="T3504" i="34"/>
  <c r="U3504" i="34"/>
  <c r="V3504" i="34"/>
  <c r="W3504" i="34"/>
  <c r="X3504" i="34"/>
  <c r="Y3504" i="34"/>
  <c r="Z3504" i="34"/>
  <c r="N3505" i="34"/>
  <c r="O3505" i="34"/>
  <c r="P3505" i="34"/>
  <c r="Q3505" i="34"/>
  <c r="R3505" i="34"/>
  <c r="S3505" i="34"/>
  <c r="T3505" i="34"/>
  <c r="U3505" i="34"/>
  <c r="V3505" i="34"/>
  <c r="W3505" i="34"/>
  <c r="X3505" i="34"/>
  <c r="Y3505" i="34"/>
  <c r="Z3505" i="34"/>
  <c r="N3506" i="34"/>
  <c r="O3506" i="34"/>
  <c r="P3506" i="34"/>
  <c r="Q3506" i="34"/>
  <c r="R3506" i="34"/>
  <c r="S3506" i="34"/>
  <c r="T3506" i="34"/>
  <c r="U3506" i="34"/>
  <c r="V3506" i="34"/>
  <c r="W3506" i="34"/>
  <c r="X3506" i="34"/>
  <c r="Y3506" i="34"/>
  <c r="Z3506" i="34"/>
  <c r="N3507" i="34"/>
  <c r="O3507" i="34"/>
  <c r="P3507" i="34"/>
  <c r="Q3507" i="34"/>
  <c r="R3507" i="34"/>
  <c r="S3507" i="34"/>
  <c r="T3507" i="34"/>
  <c r="U3507" i="34"/>
  <c r="V3507" i="34"/>
  <c r="W3507" i="34"/>
  <c r="X3507" i="34"/>
  <c r="Y3507" i="34"/>
  <c r="Z3507" i="34"/>
  <c r="N3508" i="34"/>
  <c r="O3508" i="34"/>
  <c r="P3508" i="34"/>
  <c r="Q3508" i="34"/>
  <c r="R3508" i="34"/>
  <c r="S3508" i="34"/>
  <c r="T3508" i="34"/>
  <c r="U3508" i="34"/>
  <c r="V3508" i="34"/>
  <c r="W3508" i="34"/>
  <c r="X3508" i="34"/>
  <c r="Y3508" i="34"/>
  <c r="Z3508" i="34"/>
  <c r="N3509" i="34"/>
  <c r="O3509" i="34"/>
  <c r="P3509" i="34"/>
  <c r="Q3509" i="34"/>
  <c r="R3509" i="34"/>
  <c r="S3509" i="34"/>
  <c r="T3509" i="34"/>
  <c r="U3509" i="34"/>
  <c r="V3509" i="34"/>
  <c r="W3509" i="34"/>
  <c r="X3509" i="34"/>
  <c r="Y3509" i="34"/>
  <c r="Z3509" i="34"/>
  <c r="N3510" i="34"/>
  <c r="O3510" i="34"/>
  <c r="P3510" i="34"/>
  <c r="Q3510" i="34"/>
  <c r="R3510" i="34"/>
  <c r="S3510" i="34"/>
  <c r="T3510" i="34"/>
  <c r="U3510" i="34"/>
  <c r="V3510" i="34"/>
  <c r="W3510" i="34"/>
  <c r="X3510" i="34"/>
  <c r="Y3510" i="34"/>
  <c r="Z3510" i="34"/>
  <c r="N3511" i="34"/>
  <c r="O3511" i="34"/>
  <c r="P3511" i="34"/>
  <c r="Q3511" i="34"/>
  <c r="R3511" i="34"/>
  <c r="S3511" i="34"/>
  <c r="T3511" i="34"/>
  <c r="U3511" i="34"/>
  <c r="V3511" i="34"/>
  <c r="W3511" i="34"/>
  <c r="X3511" i="34"/>
  <c r="Y3511" i="34"/>
  <c r="Z3511" i="34"/>
  <c r="N3512" i="34"/>
  <c r="O3512" i="34"/>
  <c r="P3512" i="34"/>
  <c r="Q3512" i="34"/>
  <c r="R3512" i="34"/>
  <c r="S3512" i="34"/>
  <c r="T3512" i="34"/>
  <c r="U3512" i="34"/>
  <c r="V3512" i="34"/>
  <c r="W3512" i="34"/>
  <c r="X3512" i="34"/>
  <c r="Y3512" i="34"/>
  <c r="Z3512" i="34"/>
  <c r="N3513" i="34"/>
  <c r="O3513" i="34"/>
  <c r="P3513" i="34"/>
  <c r="Q3513" i="34"/>
  <c r="R3513" i="34"/>
  <c r="S3513" i="34"/>
  <c r="T3513" i="34"/>
  <c r="U3513" i="34"/>
  <c r="V3513" i="34"/>
  <c r="W3513" i="34"/>
  <c r="X3513" i="34"/>
  <c r="Y3513" i="34"/>
  <c r="Z3513" i="34"/>
  <c r="N3514" i="34"/>
  <c r="O3514" i="34"/>
  <c r="P3514" i="34"/>
  <c r="Q3514" i="34"/>
  <c r="R3514" i="34"/>
  <c r="S3514" i="34"/>
  <c r="T3514" i="34"/>
  <c r="U3514" i="34"/>
  <c r="V3514" i="34"/>
  <c r="W3514" i="34"/>
  <c r="X3514" i="34"/>
  <c r="Y3514" i="34"/>
  <c r="Z3514" i="34"/>
  <c r="N3515" i="34"/>
  <c r="O3515" i="34"/>
  <c r="P3515" i="34"/>
  <c r="Q3515" i="34"/>
  <c r="R3515" i="34"/>
  <c r="S3515" i="34"/>
  <c r="T3515" i="34"/>
  <c r="U3515" i="34"/>
  <c r="V3515" i="34"/>
  <c r="W3515" i="34"/>
  <c r="X3515" i="34"/>
  <c r="Y3515" i="34"/>
  <c r="Z3515" i="34"/>
  <c r="N3516" i="34"/>
  <c r="O3516" i="34"/>
  <c r="P3516" i="34"/>
  <c r="Q3516" i="34"/>
  <c r="R3516" i="34"/>
  <c r="S3516" i="34"/>
  <c r="T3516" i="34"/>
  <c r="U3516" i="34"/>
  <c r="V3516" i="34"/>
  <c r="W3516" i="34"/>
  <c r="X3516" i="34"/>
  <c r="Y3516" i="34"/>
  <c r="Z3516" i="34"/>
  <c r="N3517" i="34"/>
  <c r="O3517" i="34"/>
  <c r="P3517" i="34"/>
  <c r="Q3517" i="34"/>
  <c r="R3517" i="34"/>
  <c r="S3517" i="34"/>
  <c r="T3517" i="34"/>
  <c r="U3517" i="34"/>
  <c r="V3517" i="34"/>
  <c r="W3517" i="34"/>
  <c r="X3517" i="34"/>
  <c r="Y3517" i="34"/>
  <c r="Z3517" i="34"/>
  <c r="N3518" i="34"/>
  <c r="O3518" i="34"/>
  <c r="P3518" i="34"/>
  <c r="Q3518" i="34"/>
  <c r="R3518" i="34"/>
  <c r="S3518" i="34"/>
  <c r="T3518" i="34"/>
  <c r="U3518" i="34"/>
  <c r="V3518" i="34"/>
  <c r="W3518" i="34"/>
  <c r="X3518" i="34"/>
  <c r="Y3518" i="34"/>
  <c r="Z3518" i="34"/>
  <c r="N3519" i="34"/>
  <c r="O3519" i="34"/>
  <c r="P3519" i="34"/>
  <c r="Q3519" i="34"/>
  <c r="R3519" i="34"/>
  <c r="S3519" i="34"/>
  <c r="T3519" i="34"/>
  <c r="U3519" i="34"/>
  <c r="V3519" i="34"/>
  <c r="W3519" i="34"/>
  <c r="X3519" i="34"/>
  <c r="Y3519" i="34"/>
  <c r="Z3519" i="34"/>
  <c r="N3520" i="34"/>
  <c r="O3520" i="34"/>
  <c r="P3520" i="34"/>
  <c r="Q3520" i="34"/>
  <c r="R3520" i="34"/>
  <c r="S3520" i="34"/>
  <c r="T3520" i="34"/>
  <c r="U3520" i="34"/>
  <c r="V3520" i="34"/>
  <c r="W3520" i="34"/>
  <c r="X3520" i="34"/>
  <c r="Y3520" i="34"/>
  <c r="Z3520" i="34"/>
  <c r="N3521" i="34"/>
  <c r="O3521" i="34"/>
  <c r="P3521" i="34"/>
  <c r="Q3521" i="34"/>
  <c r="R3521" i="34"/>
  <c r="S3521" i="34"/>
  <c r="T3521" i="34"/>
  <c r="U3521" i="34"/>
  <c r="V3521" i="34"/>
  <c r="W3521" i="34"/>
  <c r="X3521" i="34"/>
  <c r="Y3521" i="34"/>
  <c r="Z3521" i="34"/>
  <c r="N3522" i="34"/>
  <c r="O3522" i="34"/>
  <c r="P3522" i="34"/>
  <c r="Q3522" i="34"/>
  <c r="R3522" i="34"/>
  <c r="S3522" i="34"/>
  <c r="T3522" i="34"/>
  <c r="U3522" i="34"/>
  <c r="V3522" i="34"/>
  <c r="W3522" i="34"/>
  <c r="X3522" i="34"/>
  <c r="Y3522" i="34"/>
  <c r="Z3522" i="34"/>
  <c r="N3523" i="34"/>
  <c r="O3523" i="34"/>
  <c r="P3523" i="34"/>
  <c r="Q3523" i="34"/>
  <c r="R3523" i="34"/>
  <c r="S3523" i="34"/>
  <c r="T3523" i="34"/>
  <c r="U3523" i="34"/>
  <c r="V3523" i="34"/>
  <c r="W3523" i="34"/>
  <c r="X3523" i="34"/>
  <c r="Y3523" i="34"/>
  <c r="Z3523" i="34"/>
  <c r="N3524" i="34"/>
  <c r="O3524" i="34"/>
  <c r="P3524" i="34"/>
  <c r="Q3524" i="34"/>
  <c r="R3524" i="34"/>
  <c r="S3524" i="34"/>
  <c r="T3524" i="34"/>
  <c r="U3524" i="34"/>
  <c r="V3524" i="34"/>
  <c r="W3524" i="34"/>
  <c r="X3524" i="34"/>
  <c r="Y3524" i="34"/>
  <c r="Z3524" i="34"/>
  <c r="N3525" i="34"/>
  <c r="O3525" i="34"/>
  <c r="P3525" i="34"/>
  <c r="Q3525" i="34"/>
  <c r="R3525" i="34"/>
  <c r="S3525" i="34"/>
  <c r="T3525" i="34"/>
  <c r="U3525" i="34"/>
  <c r="V3525" i="34"/>
  <c r="W3525" i="34"/>
  <c r="X3525" i="34"/>
  <c r="Y3525" i="34"/>
  <c r="Z3525" i="34"/>
  <c r="N3526" i="34"/>
  <c r="O3526" i="34"/>
  <c r="P3526" i="34"/>
  <c r="Q3526" i="34"/>
  <c r="R3526" i="34"/>
  <c r="S3526" i="34"/>
  <c r="T3526" i="34"/>
  <c r="U3526" i="34"/>
  <c r="V3526" i="34"/>
  <c r="W3526" i="34"/>
  <c r="X3526" i="34"/>
  <c r="Y3526" i="34"/>
  <c r="Z3526" i="34"/>
  <c r="N3527" i="34"/>
  <c r="O3527" i="34"/>
  <c r="P3527" i="34"/>
  <c r="Q3527" i="34"/>
  <c r="R3527" i="34"/>
  <c r="S3527" i="34"/>
  <c r="T3527" i="34"/>
  <c r="U3527" i="34"/>
  <c r="V3527" i="34"/>
  <c r="W3527" i="34"/>
  <c r="X3527" i="34"/>
  <c r="Y3527" i="34"/>
  <c r="Z3527" i="34"/>
  <c r="N3528" i="34"/>
  <c r="O3528" i="34"/>
  <c r="P3528" i="34"/>
  <c r="Q3528" i="34"/>
  <c r="R3528" i="34"/>
  <c r="S3528" i="34"/>
  <c r="T3528" i="34"/>
  <c r="U3528" i="34"/>
  <c r="V3528" i="34"/>
  <c r="W3528" i="34"/>
  <c r="X3528" i="34"/>
  <c r="Y3528" i="34"/>
  <c r="Z3528" i="34"/>
  <c r="N3529" i="34"/>
  <c r="O3529" i="34"/>
  <c r="P3529" i="34"/>
  <c r="Q3529" i="34"/>
  <c r="R3529" i="34"/>
  <c r="S3529" i="34"/>
  <c r="T3529" i="34"/>
  <c r="U3529" i="34"/>
  <c r="V3529" i="34"/>
  <c r="W3529" i="34"/>
  <c r="X3529" i="34"/>
  <c r="Y3529" i="34"/>
  <c r="Z3529" i="34"/>
  <c r="N3530" i="34"/>
  <c r="O3530" i="34"/>
  <c r="P3530" i="34"/>
  <c r="Q3530" i="34"/>
  <c r="R3530" i="34"/>
  <c r="S3530" i="34"/>
  <c r="T3530" i="34"/>
  <c r="U3530" i="34"/>
  <c r="V3530" i="34"/>
  <c r="W3530" i="34"/>
  <c r="X3530" i="34"/>
  <c r="Y3530" i="34"/>
  <c r="Z3530" i="34"/>
  <c r="N3531" i="34"/>
  <c r="O3531" i="34"/>
  <c r="P3531" i="34"/>
  <c r="Q3531" i="34"/>
  <c r="R3531" i="34"/>
  <c r="S3531" i="34"/>
  <c r="T3531" i="34"/>
  <c r="U3531" i="34"/>
  <c r="V3531" i="34"/>
  <c r="W3531" i="34"/>
  <c r="X3531" i="34"/>
  <c r="Y3531" i="34"/>
  <c r="Z3531" i="34"/>
  <c r="N3532" i="34"/>
  <c r="O3532" i="34"/>
  <c r="P3532" i="34"/>
  <c r="Q3532" i="34"/>
  <c r="R3532" i="34"/>
  <c r="S3532" i="34"/>
  <c r="T3532" i="34"/>
  <c r="U3532" i="34"/>
  <c r="V3532" i="34"/>
  <c r="W3532" i="34"/>
  <c r="X3532" i="34"/>
  <c r="Y3532" i="34"/>
  <c r="Z3532" i="34"/>
  <c r="N3533" i="34"/>
  <c r="O3533" i="34"/>
  <c r="P3533" i="34"/>
  <c r="Q3533" i="34"/>
  <c r="R3533" i="34"/>
  <c r="S3533" i="34"/>
  <c r="T3533" i="34"/>
  <c r="U3533" i="34"/>
  <c r="V3533" i="34"/>
  <c r="W3533" i="34"/>
  <c r="X3533" i="34"/>
  <c r="Y3533" i="34"/>
  <c r="Z3533" i="34"/>
  <c r="N3534" i="34"/>
  <c r="O3534" i="34"/>
  <c r="P3534" i="34"/>
  <c r="Q3534" i="34"/>
  <c r="R3534" i="34"/>
  <c r="S3534" i="34"/>
  <c r="T3534" i="34"/>
  <c r="U3534" i="34"/>
  <c r="V3534" i="34"/>
  <c r="W3534" i="34"/>
  <c r="X3534" i="34"/>
  <c r="Y3534" i="34"/>
  <c r="Z3534" i="34"/>
  <c r="N3535" i="34"/>
  <c r="O3535" i="34"/>
  <c r="P3535" i="34"/>
  <c r="Q3535" i="34"/>
  <c r="R3535" i="34"/>
  <c r="S3535" i="34"/>
  <c r="T3535" i="34"/>
  <c r="U3535" i="34"/>
  <c r="V3535" i="34"/>
  <c r="W3535" i="34"/>
  <c r="X3535" i="34"/>
  <c r="Y3535" i="34"/>
  <c r="Z3535" i="34"/>
  <c r="N3536" i="34"/>
  <c r="O3536" i="34"/>
  <c r="P3536" i="34"/>
  <c r="Q3536" i="34"/>
  <c r="R3536" i="34"/>
  <c r="S3536" i="34"/>
  <c r="T3536" i="34"/>
  <c r="U3536" i="34"/>
  <c r="V3536" i="34"/>
  <c r="W3536" i="34"/>
  <c r="X3536" i="34"/>
  <c r="Y3536" i="34"/>
  <c r="Z3536" i="34"/>
  <c r="N3537" i="34"/>
  <c r="O3537" i="34"/>
  <c r="P3537" i="34"/>
  <c r="Q3537" i="34"/>
  <c r="R3537" i="34"/>
  <c r="S3537" i="34"/>
  <c r="T3537" i="34"/>
  <c r="U3537" i="34"/>
  <c r="V3537" i="34"/>
  <c r="W3537" i="34"/>
  <c r="X3537" i="34"/>
  <c r="Y3537" i="34"/>
  <c r="Z3537" i="34"/>
  <c r="N3538" i="34"/>
  <c r="O3538" i="34"/>
  <c r="P3538" i="34"/>
  <c r="Q3538" i="34"/>
  <c r="R3538" i="34"/>
  <c r="S3538" i="34"/>
  <c r="T3538" i="34"/>
  <c r="U3538" i="34"/>
  <c r="V3538" i="34"/>
  <c r="W3538" i="34"/>
  <c r="X3538" i="34"/>
  <c r="Y3538" i="34"/>
  <c r="Z3538" i="34"/>
  <c r="N3539" i="34"/>
  <c r="O3539" i="34"/>
  <c r="P3539" i="34"/>
  <c r="Q3539" i="34"/>
  <c r="R3539" i="34"/>
  <c r="S3539" i="34"/>
  <c r="T3539" i="34"/>
  <c r="U3539" i="34"/>
  <c r="V3539" i="34"/>
  <c r="W3539" i="34"/>
  <c r="X3539" i="34"/>
  <c r="Y3539" i="34"/>
  <c r="Z3539" i="34"/>
  <c r="N3540" i="34"/>
  <c r="O3540" i="34"/>
  <c r="P3540" i="34"/>
  <c r="Q3540" i="34"/>
  <c r="R3540" i="34"/>
  <c r="S3540" i="34"/>
  <c r="T3540" i="34"/>
  <c r="U3540" i="34"/>
  <c r="V3540" i="34"/>
  <c r="W3540" i="34"/>
  <c r="X3540" i="34"/>
  <c r="Y3540" i="34"/>
  <c r="Z3540" i="34"/>
  <c r="N3541" i="34"/>
  <c r="O3541" i="34"/>
  <c r="P3541" i="34"/>
  <c r="Q3541" i="34"/>
  <c r="R3541" i="34"/>
  <c r="S3541" i="34"/>
  <c r="T3541" i="34"/>
  <c r="U3541" i="34"/>
  <c r="V3541" i="34"/>
  <c r="W3541" i="34"/>
  <c r="X3541" i="34"/>
  <c r="Y3541" i="34"/>
  <c r="Z3541" i="34"/>
  <c r="N3542" i="34"/>
  <c r="O3542" i="34"/>
  <c r="P3542" i="34"/>
  <c r="Q3542" i="34"/>
  <c r="R3542" i="34"/>
  <c r="S3542" i="34"/>
  <c r="T3542" i="34"/>
  <c r="U3542" i="34"/>
  <c r="V3542" i="34"/>
  <c r="W3542" i="34"/>
  <c r="X3542" i="34"/>
  <c r="Y3542" i="34"/>
  <c r="Z3542" i="34"/>
  <c r="N3543" i="34"/>
  <c r="O3543" i="34"/>
  <c r="P3543" i="34"/>
  <c r="Q3543" i="34"/>
  <c r="R3543" i="34"/>
  <c r="S3543" i="34"/>
  <c r="T3543" i="34"/>
  <c r="U3543" i="34"/>
  <c r="V3543" i="34"/>
  <c r="W3543" i="34"/>
  <c r="X3543" i="34"/>
  <c r="Y3543" i="34"/>
  <c r="Z3543" i="34"/>
  <c r="N3544" i="34"/>
  <c r="O3544" i="34"/>
  <c r="P3544" i="34"/>
  <c r="Q3544" i="34"/>
  <c r="R3544" i="34"/>
  <c r="S3544" i="34"/>
  <c r="T3544" i="34"/>
  <c r="U3544" i="34"/>
  <c r="V3544" i="34"/>
  <c r="W3544" i="34"/>
  <c r="X3544" i="34"/>
  <c r="Y3544" i="34"/>
  <c r="Z3544" i="34"/>
  <c r="N3545" i="34"/>
  <c r="O3545" i="34"/>
  <c r="P3545" i="34"/>
  <c r="Q3545" i="34"/>
  <c r="R3545" i="34"/>
  <c r="S3545" i="34"/>
  <c r="T3545" i="34"/>
  <c r="U3545" i="34"/>
  <c r="V3545" i="34"/>
  <c r="W3545" i="34"/>
  <c r="X3545" i="34"/>
  <c r="Y3545" i="34"/>
  <c r="Z3545" i="34"/>
  <c r="N3546" i="34"/>
  <c r="O3546" i="34"/>
  <c r="P3546" i="34"/>
  <c r="Q3546" i="34"/>
  <c r="R3546" i="34"/>
  <c r="S3546" i="34"/>
  <c r="T3546" i="34"/>
  <c r="U3546" i="34"/>
  <c r="V3546" i="34"/>
  <c r="W3546" i="34"/>
  <c r="X3546" i="34"/>
  <c r="Y3546" i="34"/>
  <c r="Z3546" i="34"/>
  <c r="N3547" i="34"/>
  <c r="O3547" i="34"/>
  <c r="P3547" i="34"/>
  <c r="Q3547" i="34"/>
  <c r="R3547" i="34"/>
  <c r="S3547" i="34"/>
  <c r="T3547" i="34"/>
  <c r="U3547" i="34"/>
  <c r="V3547" i="34"/>
  <c r="W3547" i="34"/>
  <c r="X3547" i="34"/>
  <c r="Y3547" i="34"/>
  <c r="Z3547" i="34"/>
  <c r="N3548" i="34"/>
  <c r="O3548" i="34"/>
  <c r="P3548" i="34"/>
  <c r="Q3548" i="34"/>
  <c r="R3548" i="34"/>
  <c r="S3548" i="34"/>
  <c r="T3548" i="34"/>
  <c r="U3548" i="34"/>
  <c r="V3548" i="34"/>
  <c r="W3548" i="34"/>
  <c r="X3548" i="34"/>
  <c r="Y3548" i="34"/>
  <c r="Z3548" i="34"/>
  <c r="N3549" i="34"/>
  <c r="O3549" i="34"/>
  <c r="P3549" i="34"/>
  <c r="Q3549" i="34"/>
  <c r="R3549" i="34"/>
  <c r="S3549" i="34"/>
  <c r="T3549" i="34"/>
  <c r="U3549" i="34"/>
  <c r="V3549" i="34"/>
  <c r="W3549" i="34"/>
  <c r="X3549" i="34"/>
  <c r="Y3549" i="34"/>
  <c r="Z3549" i="34"/>
  <c r="N3550" i="34"/>
  <c r="O3550" i="34"/>
  <c r="P3550" i="34"/>
  <c r="Q3550" i="34"/>
  <c r="R3550" i="34"/>
  <c r="S3550" i="34"/>
  <c r="T3550" i="34"/>
  <c r="U3550" i="34"/>
  <c r="V3550" i="34"/>
  <c r="W3550" i="34"/>
  <c r="X3550" i="34"/>
  <c r="Y3550" i="34"/>
  <c r="Z3550" i="34"/>
  <c r="N3551" i="34"/>
  <c r="O3551" i="34"/>
  <c r="P3551" i="34"/>
  <c r="Q3551" i="34"/>
  <c r="R3551" i="34"/>
  <c r="S3551" i="34"/>
  <c r="T3551" i="34"/>
  <c r="U3551" i="34"/>
  <c r="V3551" i="34"/>
  <c r="W3551" i="34"/>
  <c r="X3551" i="34"/>
  <c r="Y3551" i="34"/>
  <c r="Z3551" i="34"/>
  <c r="N3552" i="34"/>
  <c r="O3552" i="34"/>
  <c r="P3552" i="34"/>
  <c r="Q3552" i="34"/>
  <c r="R3552" i="34"/>
  <c r="S3552" i="34"/>
  <c r="T3552" i="34"/>
  <c r="U3552" i="34"/>
  <c r="V3552" i="34"/>
  <c r="W3552" i="34"/>
  <c r="X3552" i="34"/>
  <c r="Y3552" i="34"/>
  <c r="Z3552" i="34"/>
  <c r="N3553" i="34"/>
  <c r="O3553" i="34"/>
  <c r="P3553" i="34"/>
  <c r="Q3553" i="34"/>
  <c r="R3553" i="34"/>
  <c r="S3553" i="34"/>
  <c r="T3553" i="34"/>
  <c r="U3553" i="34"/>
  <c r="V3553" i="34"/>
  <c r="W3553" i="34"/>
  <c r="X3553" i="34"/>
  <c r="Y3553" i="34"/>
  <c r="Z3553" i="34"/>
  <c r="N3554" i="34"/>
  <c r="O3554" i="34"/>
  <c r="P3554" i="34"/>
  <c r="Q3554" i="34"/>
  <c r="R3554" i="34"/>
  <c r="S3554" i="34"/>
  <c r="T3554" i="34"/>
  <c r="U3554" i="34"/>
  <c r="V3554" i="34"/>
  <c r="W3554" i="34"/>
  <c r="X3554" i="34"/>
  <c r="Y3554" i="34"/>
  <c r="Z3554" i="34"/>
  <c r="N3555" i="34"/>
  <c r="O3555" i="34"/>
  <c r="P3555" i="34"/>
  <c r="Q3555" i="34"/>
  <c r="R3555" i="34"/>
  <c r="S3555" i="34"/>
  <c r="T3555" i="34"/>
  <c r="U3555" i="34"/>
  <c r="V3555" i="34"/>
  <c r="W3555" i="34"/>
  <c r="X3555" i="34"/>
  <c r="Y3555" i="34"/>
  <c r="Z3555" i="34"/>
  <c r="N3556" i="34"/>
  <c r="O3556" i="34"/>
  <c r="P3556" i="34"/>
  <c r="Q3556" i="34"/>
  <c r="R3556" i="34"/>
  <c r="S3556" i="34"/>
  <c r="T3556" i="34"/>
  <c r="U3556" i="34"/>
  <c r="V3556" i="34"/>
  <c r="W3556" i="34"/>
  <c r="X3556" i="34"/>
  <c r="Y3556" i="34"/>
  <c r="Z3556" i="34"/>
  <c r="N3557" i="34"/>
  <c r="O3557" i="34"/>
  <c r="P3557" i="34"/>
  <c r="Q3557" i="34"/>
  <c r="R3557" i="34"/>
  <c r="S3557" i="34"/>
  <c r="T3557" i="34"/>
  <c r="U3557" i="34"/>
  <c r="V3557" i="34"/>
  <c r="W3557" i="34"/>
  <c r="X3557" i="34"/>
  <c r="Y3557" i="34"/>
  <c r="Z3557" i="34"/>
  <c r="N3558" i="34"/>
  <c r="O3558" i="34"/>
  <c r="P3558" i="34"/>
  <c r="Q3558" i="34"/>
  <c r="R3558" i="34"/>
  <c r="S3558" i="34"/>
  <c r="T3558" i="34"/>
  <c r="U3558" i="34"/>
  <c r="V3558" i="34"/>
  <c r="W3558" i="34"/>
  <c r="X3558" i="34"/>
  <c r="Y3558" i="34"/>
  <c r="Z3558" i="34"/>
  <c r="N3559" i="34"/>
  <c r="O3559" i="34"/>
  <c r="P3559" i="34"/>
  <c r="Q3559" i="34"/>
  <c r="R3559" i="34"/>
  <c r="S3559" i="34"/>
  <c r="T3559" i="34"/>
  <c r="U3559" i="34"/>
  <c r="V3559" i="34"/>
  <c r="W3559" i="34"/>
  <c r="X3559" i="34"/>
  <c r="Y3559" i="34"/>
  <c r="Z3559" i="34"/>
  <c r="N3560" i="34"/>
  <c r="O3560" i="34"/>
  <c r="P3560" i="34"/>
  <c r="Q3560" i="34"/>
  <c r="R3560" i="34"/>
  <c r="S3560" i="34"/>
  <c r="T3560" i="34"/>
  <c r="U3560" i="34"/>
  <c r="V3560" i="34"/>
  <c r="W3560" i="34"/>
  <c r="X3560" i="34"/>
  <c r="Y3560" i="34"/>
  <c r="Z3560" i="34"/>
  <c r="N3561" i="34"/>
  <c r="O3561" i="34"/>
  <c r="P3561" i="34"/>
  <c r="Q3561" i="34"/>
  <c r="R3561" i="34"/>
  <c r="S3561" i="34"/>
  <c r="T3561" i="34"/>
  <c r="U3561" i="34"/>
  <c r="V3561" i="34"/>
  <c r="W3561" i="34"/>
  <c r="X3561" i="34"/>
  <c r="Y3561" i="34"/>
  <c r="Z3561" i="34"/>
  <c r="N3562" i="34"/>
  <c r="O3562" i="34"/>
  <c r="P3562" i="34"/>
  <c r="Q3562" i="34"/>
  <c r="R3562" i="34"/>
  <c r="S3562" i="34"/>
  <c r="T3562" i="34"/>
  <c r="U3562" i="34"/>
  <c r="V3562" i="34"/>
  <c r="W3562" i="34"/>
  <c r="X3562" i="34"/>
  <c r="Y3562" i="34"/>
  <c r="Z3562" i="34"/>
  <c r="N3563" i="34"/>
  <c r="O3563" i="34"/>
  <c r="P3563" i="34"/>
  <c r="Q3563" i="34"/>
  <c r="R3563" i="34"/>
  <c r="S3563" i="34"/>
  <c r="T3563" i="34"/>
  <c r="U3563" i="34"/>
  <c r="V3563" i="34"/>
  <c r="W3563" i="34"/>
  <c r="X3563" i="34"/>
  <c r="Y3563" i="34"/>
  <c r="Z3563" i="34"/>
  <c r="N3564" i="34"/>
  <c r="O3564" i="34"/>
  <c r="P3564" i="34"/>
  <c r="Q3564" i="34"/>
  <c r="R3564" i="34"/>
  <c r="S3564" i="34"/>
  <c r="T3564" i="34"/>
  <c r="U3564" i="34"/>
  <c r="V3564" i="34"/>
  <c r="W3564" i="34"/>
  <c r="X3564" i="34"/>
  <c r="Y3564" i="34"/>
  <c r="Z3564" i="34"/>
  <c r="N3565" i="34"/>
  <c r="O3565" i="34"/>
  <c r="P3565" i="34"/>
  <c r="Q3565" i="34"/>
  <c r="R3565" i="34"/>
  <c r="S3565" i="34"/>
  <c r="T3565" i="34"/>
  <c r="U3565" i="34"/>
  <c r="V3565" i="34"/>
  <c r="W3565" i="34"/>
  <c r="X3565" i="34"/>
  <c r="Y3565" i="34"/>
  <c r="Z3565" i="34"/>
  <c r="N3566" i="34"/>
  <c r="O3566" i="34"/>
  <c r="P3566" i="34"/>
  <c r="Q3566" i="34"/>
  <c r="R3566" i="34"/>
  <c r="S3566" i="34"/>
  <c r="T3566" i="34"/>
  <c r="U3566" i="34"/>
  <c r="V3566" i="34"/>
  <c r="W3566" i="34"/>
  <c r="X3566" i="34"/>
  <c r="Y3566" i="34"/>
  <c r="Z3566" i="34"/>
  <c r="N3567" i="34"/>
  <c r="O3567" i="34"/>
  <c r="P3567" i="34"/>
  <c r="Q3567" i="34"/>
  <c r="R3567" i="34"/>
  <c r="S3567" i="34"/>
  <c r="T3567" i="34"/>
  <c r="U3567" i="34"/>
  <c r="V3567" i="34"/>
  <c r="W3567" i="34"/>
  <c r="X3567" i="34"/>
  <c r="Y3567" i="34"/>
  <c r="Z3567" i="34"/>
  <c r="N3568" i="34"/>
  <c r="O3568" i="34"/>
  <c r="P3568" i="34"/>
  <c r="Q3568" i="34"/>
  <c r="R3568" i="34"/>
  <c r="S3568" i="34"/>
  <c r="T3568" i="34"/>
  <c r="U3568" i="34"/>
  <c r="V3568" i="34"/>
  <c r="W3568" i="34"/>
  <c r="X3568" i="34"/>
  <c r="Y3568" i="34"/>
  <c r="Z3568" i="34"/>
  <c r="N3569" i="34"/>
  <c r="O3569" i="34"/>
  <c r="P3569" i="34"/>
  <c r="Q3569" i="34"/>
  <c r="R3569" i="34"/>
  <c r="S3569" i="34"/>
  <c r="T3569" i="34"/>
  <c r="U3569" i="34"/>
  <c r="V3569" i="34"/>
  <c r="W3569" i="34"/>
  <c r="X3569" i="34"/>
  <c r="Y3569" i="34"/>
  <c r="Z3569" i="34"/>
  <c r="N3570" i="34"/>
  <c r="O3570" i="34"/>
  <c r="P3570" i="34"/>
  <c r="Q3570" i="34"/>
  <c r="R3570" i="34"/>
  <c r="S3570" i="34"/>
  <c r="T3570" i="34"/>
  <c r="U3570" i="34"/>
  <c r="V3570" i="34"/>
  <c r="W3570" i="34"/>
  <c r="X3570" i="34"/>
  <c r="Y3570" i="34"/>
  <c r="Z3570" i="34"/>
  <c r="N3571" i="34"/>
  <c r="O3571" i="34"/>
  <c r="P3571" i="34"/>
  <c r="Q3571" i="34"/>
  <c r="R3571" i="34"/>
  <c r="S3571" i="34"/>
  <c r="T3571" i="34"/>
  <c r="U3571" i="34"/>
  <c r="V3571" i="34"/>
  <c r="W3571" i="34"/>
  <c r="X3571" i="34"/>
  <c r="Y3571" i="34"/>
  <c r="Z3571" i="34"/>
  <c r="N3572" i="34"/>
  <c r="O3572" i="34"/>
  <c r="P3572" i="34"/>
  <c r="Q3572" i="34"/>
  <c r="R3572" i="34"/>
  <c r="S3572" i="34"/>
  <c r="T3572" i="34"/>
  <c r="U3572" i="34"/>
  <c r="V3572" i="34"/>
  <c r="W3572" i="34"/>
  <c r="X3572" i="34"/>
  <c r="Y3572" i="34"/>
  <c r="Z3572" i="34"/>
  <c r="N3573" i="34"/>
  <c r="O3573" i="34"/>
  <c r="P3573" i="34"/>
  <c r="Q3573" i="34"/>
  <c r="R3573" i="34"/>
  <c r="S3573" i="34"/>
  <c r="T3573" i="34"/>
  <c r="U3573" i="34"/>
  <c r="V3573" i="34"/>
  <c r="W3573" i="34"/>
  <c r="X3573" i="34"/>
  <c r="Y3573" i="34"/>
  <c r="Z3573" i="34"/>
  <c r="N3574" i="34"/>
  <c r="O3574" i="34"/>
  <c r="P3574" i="34"/>
  <c r="Q3574" i="34"/>
  <c r="R3574" i="34"/>
  <c r="S3574" i="34"/>
  <c r="T3574" i="34"/>
  <c r="U3574" i="34"/>
  <c r="V3574" i="34"/>
  <c r="W3574" i="34"/>
  <c r="X3574" i="34"/>
  <c r="Y3574" i="34"/>
  <c r="Z3574" i="34"/>
  <c r="N3575" i="34"/>
  <c r="O3575" i="34"/>
  <c r="P3575" i="34"/>
  <c r="Q3575" i="34"/>
  <c r="R3575" i="34"/>
  <c r="S3575" i="34"/>
  <c r="T3575" i="34"/>
  <c r="U3575" i="34"/>
  <c r="V3575" i="34"/>
  <c r="W3575" i="34"/>
  <c r="X3575" i="34"/>
  <c r="Y3575" i="34"/>
  <c r="Z3575" i="34"/>
  <c r="N3576" i="34"/>
  <c r="O3576" i="34"/>
  <c r="P3576" i="34"/>
  <c r="Q3576" i="34"/>
  <c r="R3576" i="34"/>
  <c r="S3576" i="34"/>
  <c r="T3576" i="34"/>
  <c r="U3576" i="34"/>
  <c r="V3576" i="34"/>
  <c r="W3576" i="34"/>
  <c r="X3576" i="34"/>
  <c r="Y3576" i="34"/>
  <c r="Z3576" i="34"/>
  <c r="N3577" i="34"/>
  <c r="O3577" i="34"/>
  <c r="P3577" i="34"/>
  <c r="Q3577" i="34"/>
  <c r="R3577" i="34"/>
  <c r="S3577" i="34"/>
  <c r="T3577" i="34"/>
  <c r="U3577" i="34"/>
  <c r="V3577" i="34"/>
  <c r="W3577" i="34"/>
  <c r="X3577" i="34"/>
  <c r="Y3577" i="34"/>
  <c r="Z3577" i="34"/>
  <c r="N3578" i="34"/>
  <c r="O3578" i="34"/>
  <c r="P3578" i="34"/>
  <c r="Q3578" i="34"/>
  <c r="R3578" i="34"/>
  <c r="S3578" i="34"/>
  <c r="T3578" i="34"/>
  <c r="U3578" i="34"/>
  <c r="V3578" i="34"/>
  <c r="W3578" i="34"/>
  <c r="X3578" i="34"/>
  <c r="Y3578" i="34"/>
  <c r="Z3578" i="34"/>
  <c r="N3579" i="34"/>
  <c r="O3579" i="34"/>
  <c r="P3579" i="34"/>
  <c r="Q3579" i="34"/>
  <c r="R3579" i="34"/>
  <c r="S3579" i="34"/>
  <c r="T3579" i="34"/>
  <c r="U3579" i="34"/>
  <c r="V3579" i="34"/>
  <c r="W3579" i="34"/>
  <c r="X3579" i="34"/>
  <c r="Y3579" i="34"/>
  <c r="Z3579" i="34"/>
  <c r="N3580" i="34"/>
  <c r="O3580" i="34"/>
  <c r="P3580" i="34"/>
  <c r="Q3580" i="34"/>
  <c r="R3580" i="34"/>
  <c r="S3580" i="34"/>
  <c r="T3580" i="34"/>
  <c r="U3580" i="34"/>
  <c r="V3580" i="34"/>
  <c r="W3580" i="34"/>
  <c r="X3580" i="34"/>
  <c r="Y3580" i="34"/>
  <c r="Z3580" i="34"/>
  <c r="N3581" i="34"/>
  <c r="O3581" i="34"/>
  <c r="P3581" i="34"/>
  <c r="Q3581" i="34"/>
  <c r="R3581" i="34"/>
  <c r="S3581" i="34"/>
  <c r="T3581" i="34"/>
  <c r="U3581" i="34"/>
  <c r="V3581" i="34"/>
  <c r="W3581" i="34"/>
  <c r="X3581" i="34"/>
  <c r="Y3581" i="34"/>
  <c r="Z3581" i="34"/>
  <c r="N3582" i="34"/>
  <c r="O3582" i="34"/>
  <c r="P3582" i="34"/>
  <c r="Q3582" i="34"/>
  <c r="R3582" i="34"/>
  <c r="S3582" i="34"/>
  <c r="T3582" i="34"/>
  <c r="U3582" i="34"/>
  <c r="V3582" i="34"/>
  <c r="W3582" i="34"/>
  <c r="X3582" i="34"/>
  <c r="Y3582" i="34"/>
  <c r="Z3582" i="34"/>
  <c r="N3583" i="34"/>
  <c r="O3583" i="34"/>
  <c r="P3583" i="34"/>
  <c r="Q3583" i="34"/>
  <c r="R3583" i="34"/>
  <c r="S3583" i="34"/>
  <c r="T3583" i="34"/>
  <c r="U3583" i="34"/>
  <c r="V3583" i="34"/>
  <c r="W3583" i="34"/>
  <c r="X3583" i="34"/>
  <c r="Y3583" i="34"/>
  <c r="Z3583" i="34"/>
  <c r="N3584" i="34"/>
  <c r="O3584" i="34"/>
  <c r="P3584" i="34"/>
  <c r="Q3584" i="34"/>
  <c r="R3584" i="34"/>
  <c r="S3584" i="34"/>
  <c r="T3584" i="34"/>
  <c r="U3584" i="34"/>
  <c r="V3584" i="34"/>
  <c r="W3584" i="34"/>
  <c r="X3584" i="34"/>
  <c r="Y3584" i="34"/>
  <c r="Z3584" i="34"/>
  <c r="N3585" i="34"/>
  <c r="O3585" i="34"/>
  <c r="P3585" i="34"/>
  <c r="Q3585" i="34"/>
  <c r="R3585" i="34"/>
  <c r="S3585" i="34"/>
  <c r="T3585" i="34"/>
  <c r="U3585" i="34"/>
  <c r="V3585" i="34"/>
  <c r="W3585" i="34"/>
  <c r="X3585" i="34"/>
  <c r="Y3585" i="34"/>
  <c r="Z3585" i="34"/>
  <c r="N3586" i="34"/>
  <c r="O3586" i="34"/>
  <c r="P3586" i="34"/>
  <c r="Q3586" i="34"/>
  <c r="R3586" i="34"/>
  <c r="S3586" i="34"/>
  <c r="T3586" i="34"/>
  <c r="U3586" i="34"/>
  <c r="V3586" i="34"/>
  <c r="W3586" i="34"/>
  <c r="X3586" i="34"/>
  <c r="Y3586" i="34"/>
  <c r="Z3586" i="34"/>
  <c r="N3587" i="34"/>
  <c r="O3587" i="34"/>
  <c r="P3587" i="34"/>
  <c r="Q3587" i="34"/>
  <c r="R3587" i="34"/>
  <c r="S3587" i="34"/>
  <c r="T3587" i="34"/>
  <c r="U3587" i="34"/>
  <c r="V3587" i="34"/>
  <c r="W3587" i="34"/>
  <c r="X3587" i="34"/>
  <c r="Y3587" i="34"/>
  <c r="Z3587" i="34"/>
  <c r="N3588" i="34"/>
  <c r="O3588" i="34"/>
  <c r="P3588" i="34"/>
  <c r="Q3588" i="34"/>
  <c r="R3588" i="34"/>
  <c r="S3588" i="34"/>
  <c r="T3588" i="34"/>
  <c r="U3588" i="34"/>
  <c r="V3588" i="34"/>
  <c r="W3588" i="34"/>
  <c r="X3588" i="34"/>
  <c r="Y3588" i="34"/>
  <c r="Z3588" i="34"/>
  <c r="N3589" i="34"/>
  <c r="O3589" i="34"/>
  <c r="P3589" i="34"/>
  <c r="Q3589" i="34"/>
  <c r="R3589" i="34"/>
  <c r="S3589" i="34"/>
  <c r="T3589" i="34"/>
  <c r="U3589" i="34"/>
  <c r="V3589" i="34"/>
  <c r="W3589" i="34"/>
  <c r="X3589" i="34"/>
  <c r="Y3589" i="34"/>
  <c r="Z3589" i="34"/>
  <c r="N3590" i="34"/>
  <c r="O3590" i="34"/>
  <c r="P3590" i="34"/>
  <c r="Q3590" i="34"/>
  <c r="R3590" i="34"/>
  <c r="S3590" i="34"/>
  <c r="T3590" i="34"/>
  <c r="U3590" i="34"/>
  <c r="V3590" i="34"/>
  <c r="W3590" i="34"/>
  <c r="X3590" i="34"/>
  <c r="Y3590" i="34"/>
  <c r="Z3590" i="34"/>
  <c r="N3591" i="34"/>
  <c r="O3591" i="34"/>
  <c r="P3591" i="34"/>
  <c r="Q3591" i="34"/>
  <c r="R3591" i="34"/>
  <c r="S3591" i="34"/>
  <c r="T3591" i="34"/>
  <c r="U3591" i="34"/>
  <c r="V3591" i="34"/>
  <c r="W3591" i="34"/>
  <c r="X3591" i="34"/>
  <c r="Y3591" i="34"/>
  <c r="Z3591" i="34"/>
  <c r="N3592" i="34"/>
  <c r="O3592" i="34"/>
  <c r="P3592" i="34"/>
  <c r="Q3592" i="34"/>
  <c r="R3592" i="34"/>
  <c r="S3592" i="34"/>
  <c r="T3592" i="34"/>
  <c r="U3592" i="34"/>
  <c r="V3592" i="34"/>
  <c r="W3592" i="34"/>
  <c r="X3592" i="34"/>
  <c r="Y3592" i="34"/>
  <c r="Z3592" i="34"/>
  <c r="N3593" i="34"/>
  <c r="O3593" i="34"/>
  <c r="P3593" i="34"/>
  <c r="Q3593" i="34"/>
  <c r="R3593" i="34"/>
  <c r="S3593" i="34"/>
  <c r="T3593" i="34"/>
  <c r="U3593" i="34"/>
  <c r="V3593" i="34"/>
  <c r="W3593" i="34"/>
  <c r="X3593" i="34"/>
  <c r="Y3593" i="34"/>
  <c r="Z3593" i="34"/>
  <c r="N3594" i="34"/>
  <c r="O3594" i="34"/>
  <c r="P3594" i="34"/>
  <c r="Q3594" i="34"/>
  <c r="R3594" i="34"/>
  <c r="S3594" i="34"/>
  <c r="T3594" i="34"/>
  <c r="U3594" i="34"/>
  <c r="V3594" i="34"/>
  <c r="W3594" i="34"/>
  <c r="X3594" i="34"/>
  <c r="Y3594" i="34"/>
  <c r="Z3594" i="34"/>
  <c r="N3595" i="34"/>
  <c r="O3595" i="34"/>
  <c r="P3595" i="34"/>
  <c r="Q3595" i="34"/>
  <c r="R3595" i="34"/>
  <c r="S3595" i="34"/>
  <c r="T3595" i="34"/>
  <c r="U3595" i="34"/>
  <c r="V3595" i="34"/>
  <c r="W3595" i="34"/>
  <c r="X3595" i="34"/>
  <c r="Y3595" i="34"/>
  <c r="Z3595" i="34"/>
  <c r="N3596" i="34"/>
  <c r="O3596" i="34"/>
  <c r="P3596" i="34"/>
  <c r="Q3596" i="34"/>
  <c r="R3596" i="34"/>
  <c r="S3596" i="34"/>
  <c r="T3596" i="34"/>
  <c r="U3596" i="34"/>
  <c r="V3596" i="34"/>
  <c r="W3596" i="34"/>
  <c r="X3596" i="34"/>
  <c r="Y3596" i="34"/>
  <c r="Z3596" i="34"/>
  <c r="N3597" i="34"/>
  <c r="O3597" i="34"/>
  <c r="P3597" i="34"/>
  <c r="Q3597" i="34"/>
  <c r="R3597" i="34"/>
  <c r="S3597" i="34"/>
  <c r="T3597" i="34"/>
  <c r="U3597" i="34"/>
  <c r="V3597" i="34"/>
  <c r="W3597" i="34"/>
  <c r="X3597" i="34"/>
  <c r="Y3597" i="34"/>
  <c r="Z3597" i="34"/>
  <c r="N3598" i="34"/>
  <c r="O3598" i="34"/>
  <c r="P3598" i="34"/>
  <c r="Q3598" i="34"/>
  <c r="R3598" i="34"/>
  <c r="S3598" i="34"/>
  <c r="T3598" i="34"/>
  <c r="U3598" i="34"/>
  <c r="V3598" i="34"/>
  <c r="W3598" i="34"/>
  <c r="X3598" i="34"/>
  <c r="Y3598" i="34"/>
  <c r="Z3598" i="34"/>
  <c r="N3599" i="34"/>
  <c r="O3599" i="34"/>
  <c r="P3599" i="34"/>
  <c r="Q3599" i="34"/>
  <c r="R3599" i="34"/>
  <c r="S3599" i="34"/>
  <c r="T3599" i="34"/>
  <c r="U3599" i="34"/>
  <c r="V3599" i="34"/>
  <c r="W3599" i="34"/>
  <c r="X3599" i="34"/>
  <c r="Y3599" i="34"/>
  <c r="Z3599" i="34"/>
  <c r="N3600" i="34"/>
  <c r="O3600" i="34"/>
  <c r="P3600" i="34"/>
  <c r="Q3600" i="34"/>
  <c r="R3600" i="34"/>
  <c r="S3600" i="34"/>
  <c r="T3600" i="34"/>
  <c r="U3600" i="34"/>
  <c r="V3600" i="34"/>
  <c r="W3600" i="34"/>
  <c r="X3600" i="34"/>
  <c r="Y3600" i="34"/>
  <c r="Z3600" i="34"/>
  <c r="N3601" i="34"/>
  <c r="O3601" i="34"/>
  <c r="P3601" i="34"/>
  <c r="Q3601" i="34"/>
  <c r="R3601" i="34"/>
  <c r="S3601" i="34"/>
  <c r="T3601" i="34"/>
  <c r="U3601" i="34"/>
  <c r="V3601" i="34"/>
  <c r="W3601" i="34"/>
  <c r="X3601" i="34"/>
  <c r="Y3601" i="34"/>
  <c r="Z3601" i="34"/>
  <c r="N3602" i="34"/>
  <c r="O3602" i="34"/>
  <c r="P3602" i="34"/>
  <c r="Q3602" i="34"/>
  <c r="R3602" i="34"/>
  <c r="S3602" i="34"/>
  <c r="T3602" i="34"/>
  <c r="U3602" i="34"/>
  <c r="V3602" i="34"/>
  <c r="W3602" i="34"/>
  <c r="X3602" i="34"/>
  <c r="Y3602" i="34"/>
  <c r="Z3602" i="34"/>
  <c r="N3603" i="34"/>
  <c r="O3603" i="34"/>
  <c r="P3603" i="34"/>
  <c r="Q3603" i="34"/>
  <c r="R3603" i="34"/>
  <c r="S3603" i="34"/>
  <c r="T3603" i="34"/>
  <c r="U3603" i="34"/>
  <c r="V3603" i="34"/>
  <c r="W3603" i="34"/>
  <c r="X3603" i="34"/>
  <c r="Y3603" i="34"/>
  <c r="Z3603" i="34"/>
  <c r="N3604" i="34"/>
  <c r="O3604" i="34"/>
  <c r="P3604" i="34"/>
  <c r="Q3604" i="34"/>
  <c r="R3604" i="34"/>
  <c r="S3604" i="34"/>
  <c r="T3604" i="34"/>
  <c r="U3604" i="34"/>
  <c r="V3604" i="34"/>
  <c r="W3604" i="34"/>
  <c r="X3604" i="34"/>
  <c r="Y3604" i="34"/>
  <c r="Z3604" i="34"/>
  <c r="N3605" i="34"/>
  <c r="O3605" i="34"/>
  <c r="P3605" i="34"/>
  <c r="Q3605" i="34"/>
  <c r="R3605" i="34"/>
  <c r="S3605" i="34"/>
  <c r="T3605" i="34"/>
  <c r="U3605" i="34"/>
  <c r="V3605" i="34"/>
  <c r="W3605" i="34"/>
  <c r="X3605" i="34"/>
  <c r="Y3605" i="34"/>
  <c r="Z3605" i="34"/>
  <c r="N3606" i="34"/>
  <c r="O3606" i="34"/>
  <c r="P3606" i="34"/>
  <c r="Q3606" i="34"/>
  <c r="R3606" i="34"/>
  <c r="S3606" i="34"/>
  <c r="T3606" i="34"/>
  <c r="U3606" i="34"/>
  <c r="V3606" i="34"/>
  <c r="W3606" i="34"/>
  <c r="X3606" i="34"/>
  <c r="Y3606" i="34"/>
  <c r="Z3606" i="34"/>
  <c r="N3607" i="34"/>
  <c r="O3607" i="34"/>
  <c r="P3607" i="34"/>
  <c r="Q3607" i="34"/>
  <c r="R3607" i="34"/>
  <c r="S3607" i="34"/>
  <c r="T3607" i="34"/>
  <c r="U3607" i="34"/>
  <c r="V3607" i="34"/>
  <c r="W3607" i="34"/>
  <c r="X3607" i="34"/>
  <c r="Y3607" i="34"/>
  <c r="Z3607" i="34"/>
  <c r="N3608" i="34"/>
  <c r="O3608" i="34"/>
  <c r="P3608" i="34"/>
  <c r="Q3608" i="34"/>
  <c r="R3608" i="34"/>
  <c r="S3608" i="34"/>
  <c r="T3608" i="34"/>
  <c r="U3608" i="34"/>
  <c r="V3608" i="34"/>
  <c r="W3608" i="34"/>
  <c r="X3608" i="34"/>
  <c r="Y3608" i="34"/>
  <c r="Z3608" i="34"/>
  <c r="N3609" i="34"/>
  <c r="O3609" i="34"/>
  <c r="P3609" i="34"/>
  <c r="Q3609" i="34"/>
  <c r="R3609" i="34"/>
  <c r="S3609" i="34"/>
  <c r="T3609" i="34"/>
  <c r="U3609" i="34"/>
  <c r="V3609" i="34"/>
  <c r="W3609" i="34"/>
  <c r="X3609" i="34"/>
  <c r="Y3609" i="34"/>
  <c r="Z3609" i="34"/>
  <c r="N3610" i="34"/>
  <c r="O3610" i="34"/>
  <c r="P3610" i="34"/>
  <c r="Q3610" i="34"/>
  <c r="R3610" i="34"/>
  <c r="S3610" i="34"/>
  <c r="T3610" i="34"/>
  <c r="U3610" i="34"/>
  <c r="V3610" i="34"/>
  <c r="W3610" i="34"/>
  <c r="X3610" i="34"/>
  <c r="Y3610" i="34"/>
  <c r="Z3610" i="34"/>
  <c r="N3611" i="34"/>
  <c r="O3611" i="34"/>
  <c r="P3611" i="34"/>
  <c r="Q3611" i="34"/>
  <c r="R3611" i="34"/>
  <c r="S3611" i="34"/>
  <c r="T3611" i="34"/>
  <c r="U3611" i="34"/>
  <c r="V3611" i="34"/>
  <c r="W3611" i="34"/>
  <c r="X3611" i="34"/>
  <c r="Y3611" i="34"/>
  <c r="Z3611" i="34"/>
  <c r="N3612" i="34"/>
  <c r="O3612" i="34"/>
  <c r="P3612" i="34"/>
  <c r="Q3612" i="34"/>
  <c r="R3612" i="34"/>
  <c r="S3612" i="34"/>
  <c r="T3612" i="34"/>
  <c r="U3612" i="34"/>
  <c r="V3612" i="34"/>
  <c r="W3612" i="34"/>
  <c r="X3612" i="34"/>
  <c r="Y3612" i="34"/>
  <c r="Z3612" i="34"/>
  <c r="N3613" i="34"/>
  <c r="O3613" i="34"/>
  <c r="P3613" i="34"/>
  <c r="Q3613" i="34"/>
  <c r="R3613" i="34"/>
  <c r="S3613" i="34"/>
  <c r="T3613" i="34"/>
  <c r="U3613" i="34"/>
  <c r="V3613" i="34"/>
  <c r="W3613" i="34"/>
  <c r="X3613" i="34"/>
  <c r="Y3613" i="34"/>
  <c r="Z3613" i="34"/>
  <c r="N3614" i="34"/>
  <c r="O3614" i="34"/>
  <c r="P3614" i="34"/>
  <c r="Q3614" i="34"/>
  <c r="R3614" i="34"/>
  <c r="S3614" i="34"/>
  <c r="T3614" i="34"/>
  <c r="U3614" i="34"/>
  <c r="V3614" i="34"/>
  <c r="W3614" i="34"/>
  <c r="X3614" i="34"/>
  <c r="Y3614" i="34"/>
  <c r="Z3614" i="34"/>
  <c r="N3615" i="34"/>
  <c r="O3615" i="34"/>
  <c r="P3615" i="34"/>
  <c r="Q3615" i="34"/>
  <c r="R3615" i="34"/>
  <c r="S3615" i="34"/>
  <c r="T3615" i="34"/>
  <c r="U3615" i="34"/>
  <c r="V3615" i="34"/>
  <c r="W3615" i="34"/>
  <c r="X3615" i="34"/>
  <c r="Y3615" i="34"/>
  <c r="Z3615" i="34"/>
  <c r="N3616" i="34"/>
  <c r="O3616" i="34"/>
  <c r="P3616" i="34"/>
  <c r="Q3616" i="34"/>
  <c r="R3616" i="34"/>
  <c r="S3616" i="34"/>
  <c r="T3616" i="34"/>
  <c r="U3616" i="34"/>
  <c r="V3616" i="34"/>
  <c r="W3616" i="34"/>
  <c r="X3616" i="34"/>
  <c r="Y3616" i="34"/>
  <c r="Z3616" i="34"/>
  <c r="N3617" i="34"/>
  <c r="O3617" i="34"/>
  <c r="P3617" i="34"/>
  <c r="Q3617" i="34"/>
  <c r="R3617" i="34"/>
  <c r="S3617" i="34"/>
  <c r="T3617" i="34"/>
  <c r="U3617" i="34"/>
  <c r="V3617" i="34"/>
  <c r="W3617" i="34"/>
  <c r="X3617" i="34"/>
  <c r="Y3617" i="34"/>
  <c r="Z3617" i="34"/>
  <c r="N3618" i="34"/>
  <c r="O3618" i="34"/>
  <c r="P3618" i="34"/>
  <c r="Q3618" i="34"/>
  <c r="R3618" i="34"/>
  <c r="S3618" i="34"/>
  <c r="T3618" i="34"/>
  <c r="U3618" i="34"/>
  <c r="V3618" i="34"/>
  <c r="W3618" i="34"/>
  <c r="X3618" i="34"/>
  <c r="Y3618" i="34"/>
  <c r="Z3618" i="34"/>
  <c r="N3619" i="34"/>
  <c r="O3619" i="34"/>
  <c r="P3619" i="34"/>
  <c r="Q3619" i="34"/>
  <c r="R3619" i="34"/>
  <c r="S3619" i="34"/>
  <c r="T3619" i="34"/>
  <c r="U3619" i="34"/>
  <c r="V3619" i="34"/>
  <c r="W3619" i="34"/>
  <c r="X3619" i="34"/>
  <c r="Y3619" i="34"/>
  <c r="Z3619" i="34"/>
  <c r="N3620" i="34"/>
  <c r="O3620" i="34"/>
  <c r="P3620" i="34"/>
  <c r="Q3620" i="34"/>
  <c r="R3620" i="34"/>
  <c r="S3620" i="34"/>
  <c r="T3620" i="34"/>
  <c r="U3620" i="34"/>
  <c r="V3620" i="34"/>
  <c r="W3620" i="34"/>
  <c r="X3620" i="34"/>
  <c r="Y3620" i="34"/>
  <c r="Z3620" i="34"/>
  <c r="N3621" i="34"/>
  <c r="O3621" i="34"/>
  <c r="P3621" i="34"/>
  <c r="Q3621" i="34"/>
  <c r="R3621" i="34"/>
  <c r="S3621" i="34"/>
  <c r="T3621" i="34"/>
  <c r="U3621" i="34"/>
  <c r="V3621" i="34"/>
  <c r="W3621" i="34"/>
  <c r="X3621" i="34"/>
  <c r="Y3621" i="34"/>
  <c r="Z3621" i="34"/>
  <c r="N3622" i="34"/>
  <c r="O3622" i="34"/>
  <c r="P3622" i="34"/>
  <c r="Q3622" i="34"/>
  <c r="R3622" i="34"/>
  <c r="S3622" i="34"/>
  <c r="T3622" i="34"/>
  <c r="U3622" i="34"/>
  <c r="V3622" i="34"/>
  <c r="W3622" i="34"/>
  <c r="X3622" i="34"/>
  <c r="Y3622" i="34"/>
  <c r="Z3622" i="34"/>
  <c r="N3623" i="34"/>
  <c r="O3623" i="34"/>
  <c r="P3623" i="34"/>
  <c r="Q3623" i="34"/>
  <c r="R3623" i="34"/>
  <c r="S3623" i="34"/>
  <c r="T3623" i="34"/>
  <c r="U3623" i="34"/>
  <c r="V3623" i="34"/>
  <c r="W3623" i="34"/>
  <c r="X3623" i="34"/>
  <c r="Y3623" i="34"/>
  <c r="Z3623" i="34"/>
  <c r="N3624" i="34"/>
  <c r="O3624" i="34"/>
  <c r="P3624" i="34"/>
  <c r="Q3624" i="34"/>
  <c r="R3624" i="34"/>
  <c r="S3624" i="34"/>
  <c r="T3624" i="34"/>
  <c r="U3624" i="34"/>
  <c r="V3624" i="34"/>
  <c r="W3624" i="34"/>
  <c r="X3624" i="34"/>
  <c r="Y3624" i="34"/>
  <c r="Z3624" i="34"/>
  <c r="N3625" i="34"/>
  <c r="O3625" i="34"/>
  <c r="P3625" i="34"/>
  <c r="Q3625" i="34"/>
  <c r="R3625" i="34"/>
  <c r="S3625" i="34"/>
  <c r="T3625" i="34"/>
  <c r="U3625" i="34"/>
  <c r="V3625" i="34"/>
  <c r="W3625" i="34"/>
  <c r="X3625" i="34"/>
  <c r="Y3625" i="34"/>
  <c r="Z3625" i="34"/>
  <c r="N3626" i="34"/>
  <c r="O3626" i="34"/>
  <c r="P3626" i="34"/>
  <c r="Q3626" i="34"/>
  <c r="R3626" i="34"/>
  <c r="S3626" i="34"/>
  <c r="T3626" i="34"/>
  <c r="U3626" i="34"/>
  <c r="V3626" i="34"/>
  <c r="W3626" i="34"/>
  <c r="X3626" i="34"/>
  <c r="Y3626" i="34"/>
  <c r="Z3626" i="34"/>
  <c r="N3627" i="34"/>
  <c r="O3627" i="34"/>
  <c r="P3627" i="34"/>
  <c r="Q3627" i="34"/>
  <c r="R3627" i="34"/>
  <c r="S3627" i="34"/>
  <c r="T3627" i="34"/>
  <c r="U3627" i="34"/>
  <c r="V3627" i="34"/>
  <c r="W3627" i="34"/>
  <c r="X3627" i="34"/>
  <c r="Y3627" i="34"/>
  <c r="Z3627" i="34"/>
  <c r="N3628" i="34"/>
  <c r="O3628" i="34"/>
  <c r="P3628" i="34"/>
  <c r="Q3628" i="34"/>
  <c r="R3628" i="34"/>
  <c r="S3628" i="34"/>
  <c r="T3628" i="34"/>
  <c r="U3628" i="34"/>
  <c r="V3628" i="34"/>
  <c r="W3628" i="34"/>
  <c r="X3628" i="34"/>
  <c r="Y3628" i="34"/>
  <c r="Z3628" i="34"/>
  <c r="N3629" i="34"/>
  <c r="O3629" i="34"/>
  <c r="P3629" i="34"/>
  <c r="Q3629" i="34"/>
  <c r="R3629" i="34"/>
  <c r="S3629" i="34"/>
  <c r="T3629" i="34"/>
  <c r="U3629" i="34"/>
  <c r="V3629" i="34"/>
  <c r="W3629" i="34"/>
  <c r="X3629" i="34"/>
  <c r="Y3629" i="34"/>
  <c r="Z3629" i="34"/>
  <c r="N3630" i="34"/>
  <c r="O3630" i="34"/>
  <c r="P3630" i="34"/>
  <c r="Q3630" i="34"/>
  <c r="R3630" i="34"/>
  <c r="S3630" i="34"/>
  <c r="T3630" i="34"/>
  <c r="U3630" i="34"/>
  <c r="V3630" i="34"/>
  <c r="W3630" i="34"/>
  <c r="X3630" i="34"/>
  <c r="Y3630" i="34"/>
  <c r="Z3630" i="34"/>
  <c r="N3631" i="34"/>
  <c r="O3631" i="34"/>
  <c r="P3631" i="34"/>
  <c r="Q3631" i="34"/>
  <c r="R3631" i="34"/>
  <c r="S3631" i="34"/>
  <c r="T3631" i="34"/>
  <c r="U3631" i="34"/>
  <c r="V3631" i="34"/>
  <c r="W3631" i="34"/>
  <c r="X3631" i="34"/>
  <c r="Y3631" i="34"/>
  <c r="Z3631" i="34"/>
  <c r="N3632" i="34"/>
  <c r="O3632" i="34"/>
  <c r="P3632" i="34"/>
  <c r="Q3632" i="34"/>
  <c r="R3632" i="34"/>
  <c r="S3632" i="34"/>
  <c r="T3632" i="34"/>
  <c r="U3632" i="34"/>
  <c r="V3632" i="34"/>
  <c r="W3632" i="34"/>
  <c r="X3632" i="34"/>
  <c r="Y3632" i="34"/>
  <c r="Z3632" i="34"/>
  <c r="N3633" i="34"/>
  <c r="O3633" i="34"/>
  <c r="P3633" i="34"/>
  <c r="Q3633" i="34"/>
  <c r="R3633" i="34"/>
  <c r="S3633" i="34"/>
  <c r="T3633" i="34"/>
  <c r="U3633" i="34"/>
  <c r="V3633" i="34"/>
  <c r="W3633" i="34"/>
  <c r="X3633" i="34"/>
  <c r="Y3633" i="34"/>
  <c r="Z3633" i="34"/>
  <c r="N3634" i="34"/>
  <c r="O3634" i="34"/>
  <c r="P3634" i="34"/>
  <c r="Q3634" i="34"/>
  <c r="R3634" i="34"/>
  <c r="S3634" i="34"/>
  <c r="T3634" i="34"/>
  <c r="U3634" i="34"/>
  <c r="V3634" i="34"/>
  <c r="W3634" i="34"/>
  <c r="X3634" i="34"/>
  <c r="Y3634" i="34"/>
  <c r="Z3634" i="34"/>
  <c r="N3635" i="34"/>
  <c r="O3635" i="34"/>
  <c r="P3635" i="34"/>
  <c r="Q3635" i="34"/>
  <c r="R3635" i="34"/>
  <c r="S3635" i="34"/>
  <c r="T3635" i="34"/>
  <c r="U3635" i="34"/>
  <c r="V3635" i="34"/>
  <c r="W3635" i="34"/>
  <c r="X3635" i="34"/>
  <c r="Y3635" i="34"/>
  <c r="Z3635" i="34"/>
  <c r="N3636" i="34"/>
  <c r="O3636" i="34"/>
  <c r="P3636" i="34"/>
  <c r="Q3636" i="34"/>
  <c r="R3636" i="34"/>
  <c r="S3636" i="34"/>
  <c r="T3636" i="34"/>
  <c r="U3636" i="34"/>
  <c r="V3636" i="34"/>
  <c r="W3636" i="34"/>
  <c r="X3636" i="34"/>
  <c r="Y3636" i="34"/>
  <c r="Z3636" i="34"/>
  <c r="N3637" i="34"/>
  <c r="O3637" i="34"/>
  <c r="P3637" i="34"/>
  <c r="Q3637" i="34"/>
  <c r="R3637" i="34"/>
  <c r="S3637" i="34"/>
  <c r="T3637" i="34"/>
  <c r="U3637" i="34"/>
  <c r="V3637" i="34"/>
  <c r="W3637" i="34"/>
  <c r="X3637" i="34"/>
  <c r="Y3637" i="34"/>
  <c r="Z3637" i="34"/>
  <c r="N3638" i="34"/>
  <c r="O3638" i="34"/>
  <c r="P3638" i="34"/>
  <c r="Q3638" i="34"/>
  <c r="R3638" i="34"/>
  <c r="S3638" i="34"/>
  <c r="T3638" i="34"/>
  <c r="U3638" i="34"/>
  <c r="V3638" i="34"/>
  <c r="W3638" i="34"/>
  <c r="X3638" i="34"/>
  <c r="Y3638" i="34"/>
  <c r="Z3638" i="34"/>
  <c r="N3639" i="34"/>
  <c r="O3639" i="34"/>
  <c r="P3639" i="34"/>
  <c r="Q3639" i="34"/>
  <c r="R3639" i="34"/>
  <c r="S3639" i="34"/>
  <c r="T3639" i="34"/>
  <c r="U3639" i="34"/>
  <c r="V3639" i="34"/>
  <c r="W3639" i="34"/>
  <c r="X3639" i="34"/>
  <c r="Y3639" i="34"/>
  <c r="Z3639" i="34"/>
  <c r="N3640" i="34"/>
  <c r="O3640" i="34"/>
  <c r="P3640" i="34"/>
  <c r="Q3640" i="34"/>
  <c r="R3640" i="34"/>
  <c r="S3640" i="34"/>
  <c r="T3640" i="34"/>
  <c r="U3640" i="34"/>
  <c r="V3640" i="34"/>
  <c r="W3640" i="34"/>
  <c r="X3640" i="34"/>
  <c r="Y3640" i="34"/>
  <c r="Z3640" i="34"/>
  <c r="N3641" i="34"/>
  <c r="O3641" i="34"/>
  <c r="P3641" i="34"/>
  <c r="Q3641" i="34"/>
  <c r="R3641" i="34"/>
  <c r="S3641" i="34"/>
  <c r="T3641" i="34"/>
  <c r="U3641" i="34"/>
  <c r="V3641" i="34"/>
  <c r="W3641" i="34"/>
  <c r="X3641" i="34"/>
  <c r="Y3641" i="34"/>
  <c r="Z3641" i="34"/>
  <c r="N3642" i="34"/>
  <c r="O3642" i="34"/>
  <c r="P3642" i="34"/>
  <c r="Q3642" i="34"/>
  <c r="R3642" i="34"/>
  <c r="S3642" i="34"/>
  <c r="T3642" i="34"/>
  <c r="U3642" i="34"/>
  <c r="V3642" i="34"/>
  <c r="W3642" i="34"/>
  <c r="X3642" i="34"/>
  <c r="Y3642" i="34"/>
  <c r="Z3642" i="34"/>
  <c r="N3643" i="34"/>
  <c r="O3643" i="34"/>
  <c r="P3643" i="34"/>
  <c r="Q3643" i="34"/>
  <c r="R3643" i="34"/>
  <c r="S3643" i="34"/>
  <c r="T3643" i="34"/>
  <c r="U3643" i="34"/>
  <c r="V3643" i="34"/>
  <c r="W3643" i="34"/>
  <c r="X3643" i="34"/>
  <c r="Y3643" i="34"/>
  <c r="Z3643" i="34"/>
  <c r="N3644" i="34"/>
  <c r="O3644" i="34"/>
  <c r="P3644" i="34"/>
  <c r="Q3644" i="34"/>
  <c r="R3644" i="34"/>
  <c r="S3644" i="34"/>
  <c r="T3644" i="34"/>
  <c r="U3644" i="34"/>
  <c r="V3644" i="34"/>
  <c r="W3644" i="34"/>
  <c r="X3644" i="34"/>
  <c r="Y3644" i="34"/>
  <c r="Z3644" i="34"/>
  <c r="N3645" i="34"/>
  <c r="O3645" i="34"/>
  <c r="P3645" i="34"/>
  <c r="Q3645" i="34"/>
  <c r="R3645" i="34"/>
  <c r="S3645" i="34"/>
  <c r="T3645" i="34"/>
  <c r="U3645" i="34"/>
  <c r="V3645" i="34"/>
  <c r="W3645" i="34"/>
  <c r="X3645" i="34"/>
  <c r="Y3645" i="34"/>
  <c r="Z3645" i="34"/>
  <c r="N3646" i="34"/>
  <c r="O3646" i="34"/>
  <c r="P3646" i="34"/>
  <c r="Q3646" i="34"/>
  <c r="R3646" i="34"/>
  <c r="S3646" i="34"/>
  <c r="T3646" i="34"/>
  <c r="U3646" i="34"/>
  <c r="V3646" i="34"/>
  <c r="W3646" i="34"/>
  <c r="X3646" i="34"/>
  <c r="Y3646" i="34"/>
  <c r="Z3646" i="34"/>
  <c r="N3647" i="34"/>
  <c r="O3647" i="34"/>
  <c r="P3647" i="34"/>
  <c r="Q3647" i="34"/>
  <c r="R3647" i="34"/>
  <c r="S3647" i="34"/>
  <c r="T3647" i="34"/>
  <c r="U3647" i="34"/>
  <c r="V3647" i="34"/>
  <c r="W3647" i="34"/>
  <c r="X3647" i="34"/>
  <c r="Y3647" i="34"/>
  <c r="Z3647" i="34"/>
  <c r="N3648" i="34"/>
  <c r="O3648" i="34"/>
  <c r="P3648" i="34"/>
  <c r="Q3648" i="34"/>
  <c r="R3648" i="34"/>
  <c r="S3648" i="34"/>
  <c r="T3648" i="34"/>
  <c r="U3648" i="34"/>
  <c r="V3648" i="34"/>
  <c r="W3648" i="34"/>
  <c r="X3648" i="34"/>
  <c r="Y3648" i="34"/>
  <c r="Z3648" i="34"/>
  <c r="N3649" i="34"/>
  <c r="O3649" i="34"/>
  <c r="P3649" i="34"/>
  <c r="Q3649" i="34"/>
  <c r="R3649" i="34"/>
  <c r="S3649" i="34"/>
  <c r="T3649" i="34"/>
  <c r="U3649" i="34"/>
  <c r="V3649" i="34"/>
  <c r="W3649" i="34"/>
  <c r="X3649" i="34"/>
  <c r="Y3649" i="34"/>
  <c r="Z3649" i="34"/>
  <c r="N3650" i="34"/>
  <c r="O3650" i="34"/>
  <c r="P3650" i="34"/>
  <c r="Q3650" i="34"/>
  <c r="R3650" i="34"/>
  <c r="S3650" i="34"/>
  <c r="T3650" i="34"/>
  <c r="U3650" i="34"/>
  <c r="V3650" i="34"/>
  <c r="W3650" i="34"/>
  <c r="X3650" i="34"/>
  <c r="Y3650" i="34"/>
  <c r="Z3650" i="34"/>
  <c r="N3651" i="34"/>
  <c r="O3651" i="34"/>
  <c r="P3651" i="34"/>
  <c r="Q3651" i="34"/>
  <c r="R3651" i="34"/>
  <c r="S3651" i="34"/>
  <c r="T3651" i="34"/>
  <c r="U3651" i="34"/>
  <c r="V3651" i="34"/>
  <c r="W3651" i="34"/>
  <c r="X3651" i="34"/>
  <c r="Y3651" i="34"/>
  <c r="Z3651" i="34"/>
  <c r="N3652" i="34"/>
  <c r="O3652" i="34"/>
  <c r="P3652" i="34"/>
  <c r="Q3652" i="34"/>
  <c r="R3652" i="34"/>
  <c r="S3652" i="34"/>
  <c r="T3652" i="34"/>
  <c r="U3652" i="34"/>
  <c r="V3652" i="34"/>
  <c r="W3652" i="34"/>
  <c r="X3652" i="34"/>
  <c r="Y3652" i="34"/>
  <c r="Z3652" i="34"/>
  <c r="N3653" i="34"/>
  <c r="O3653" i="34"/>
  <c r="P3653" i="34"/>
  <c r="Q3653" i="34"/>
  <c r="R3653" i="34"/>
  <c r="S3653" i="34"/>
  <c r="T3653" i="34"/>
  <c r="U3653" i="34"/>
  <c r="V3653" i="34"/>
  <c r="W3653" i="34"/>
  <c r="X3653" i="34"/>
  <c r="Y3653" i="34"/>
  <c r="Z3653" i="34"/>
  <c r="N3654" i="34"/>
  <c r="O3654" i="34"/>
  <c r="P3654" i="34"/>
  <c r="Q3654" i="34"/>
  <c r="R3654" i="34"/>
  <c r="S3654" i="34"/>
  <c r="T3654" i="34"/>
  <c r="U3654" i="34"/>
  <c r="V3654" i="34"/>
  <c r="W3654" i="34"/>
  <c r="X3654" i="34"/>
  <c r="Y3654" i="34"/>
  <c r="Z3654" i="34"/>
  <c r="N3655" i="34"/>
  <c r="O3655" i="34"/>
  <c r="P3655" i="34"/>
  <c r="Q3655" i="34"/>
  <c r="R3655" i="34"/>
  <c r="S3655" i="34"/>
  <c r="T3655" i="34"/>
  <c r="U3655" i="34"/>
  <c r="V3655" i="34"/>
  <c r="W3655" i="34"/>
  <c r="X3655" i="34"/>
  <c r="Y3655" i="34"/>
  <c r="Z3655" i="34"/>
  <c r="N3656" i="34"/>
  <c r="O3656" i="34"/>
  <c r="P3656" i="34"/>
  <c r="Q3656" i="34"/>
  <c r="R3656" i="34"/>
  <c r="S3656" i="34"/>
  <c r="T3656" i="34"/>
  <c r="U3656" i="34"/>
  <c r="V3656" i="34"/>
  <c r="W3656" i="34"/>
  <c r="X3656" i="34"/>
  <c r="Y3656" i="34"/>
  <c r="Z3656" i="34"/>
  <c r="N3657" i="34"/>
  <c r="O3657" i="34"/>
  <c r="P3657" i="34"/>
  <c r="Q3657" i="34"/>
  <c r="R3657" i="34"/>
  <c r="S3657" i="34"/>
  <c r="T3657" i="34"/>
  <c r="U3657" i="34"/>
  <c r="V3657" i="34"/>
  <c r="W3657" i="34"/>
  <c r="X3657" i="34"/>
  <c r="Y3657" i="34"/>
  <c r="Z3657" i="34"/>
  <c r="N3658" i="34"/>
  <c r="O3658" i="34"/>
  <c r="P3658" i="34"/>
  <c r="Q3658" i="34"/>
  <c r="R3658" i="34"/>
  <c r="S3658" i="34"/>
  <c r="T3658" i="34"/>
  <c r="U3658" i="34"/>
  <c r="V3658" i="34"/>
  <c r="W3658" i="34"/>
  <c r="X3658" i="34"/>
  <c r="Y3658" i="34"/>
  <c r="Z3658" i="34"/>
  <c r="N3659" i="34"/>
  <c r="O3659" i="34"/>
  <c r="P3659" i="34"/>
  <c r="Q3659" i="34"/>
  <c r="R3659" i="34"/>
  <c r="S3659" i="34"/>
  <c r="T3659" i="34"/>
  <c r="U3659" i="34"/>
  <c r="V3659" i="34"/>
  <c r="W3659" i="34"/>
  <c r="X3659" i="34"/>
  <c r="Y3659" i="34"/>
  <c r="Z3659" i="34"/>
  <c r="N3660" i="34"/>
  <c r="O3660" i="34"/>
  <c r="P3660" i="34"/>
  <c r="Q3660" i="34"/>
  <c r="R3660" i="34"/>
  <c r="S3660" i="34"/>
  <c r="T3660" i="34"/>
  <c r="U3660" i="34"/>
  <c r="V3660" i="34"/>
  <c r="W3660" i="34"/>
  <c r="X3660" i="34"/>
  <c r="Y3660" i="34"/>
  <c r="Z3660" i="34"/>
  <c r="N3661" i="34"/>
  <c r="O3661" i="34"/>
  <c r="P3661" i="34"/>
  <c r="Q3661" i="34"/>
  <c r="R3661" i="34"/>
  <c r="S3661" i="34"/>
  <c r="T3661" i="34"/>
  <c r="U3661" i="34"/>
  <c r="V3661" i="34"/>
  <c r="W3661" i="34"/>
  <c r="X3661" i="34"/>
  <c r="Y3661" i="34"/>
  <c r="Z3661" i="34"/>
  <c r="N3662" i="34"/>
  <c r="O3662" i="34"/>
  <c r="P3662" i="34"/>
  <c r="Q3662" i="34"/>
  <c r="R3662" i="34"/>
  <c r="S3662" i="34"/>
  <c r="T3662" i="34"/>
  <c r="U3662" i="34"/>
  <c r="V3662" i="34"/>
  <c r="W3662" i="34"/>
  <c r="X3662" i="34"/>
  <c r="Y3662" i="34"/>
  <c r="Z3662" i="34"/>
  <c r="N3663" i="34"/>
  <c r="O3663" i="34"/>
  <c r="P3663" i="34"/>
  <c r="Q3663" i="34"/>
  <c r="R3663" i="34"/>
  <c r="S3663" i="34"/>
  <c r="T3663" i="34"/>
  <c r="U3663" i="34"/>
  <c r="V3663" i="34"/>
  <c r="W3663" i="34"/>
  <c r="X3663" i="34"/>
  <c r="Y3663" i="34"/>
  <c r="Z3663" i="34"/>
  <c r="N3664" i="34"/>
  <c r="O3664" i="34"/>
  <c r="P3664" i="34"/>
  <c r="Q3664" i="34"/>
  <c r="R3664" i="34"/>
  <c r="S3664" i="34"/>
  <c r="T3664" i="34"/>
  <c r="U3664" i="34"/>
  <c r="V3664" i="34"/>
  <c r="W3664" i="34"/>
  <c r="X3664" i="34"/>
  <c r="Y3664" i="34"/>
  <c r="Z3664" i="34"/>
  <c r="N3665" i="34"/>
  <c r="O3665" i="34"/>
  <c r="P3665" i="34"/>
  <c r="Q3665" i="34"/>
  <c r="R3665" i="34"/>
  <c r="S3665" i="34"/>
  <c r="T3665" i="34"/>
  <c r="U3665" i="34"/>
  <c r="V3665" i="34"/>
  <c r="W3665" i="34"/>
  <c r="X3665" i="34"/>
  <c r="Y3665" i="34"/>
  <c r="Z3665" i="34"/>
  <c r="N3666" i="34"/>
  <c r="O3666" i="34"/>
  <c r="P3666" i="34"/>
  <c r="Q3666" i="34"/>
  <c r="R3666" i="34"/>
  <c r="S3666" i="34"/>
  <c r="T3666" i="34"/>
  <c r="U3666" i="34"/>
  <c r="V3666" i="34"/>
  <c r="W3666" i="34"/>
  <c r="X3666" i="34"/>
  <c r="Y3666" i="34"/>
  <c r="Z3666" i="34"/>
  <c r="N3667" i="34"/>
  <c r="O3667" i="34"/>
  <c r="P3667" i="34"/>
  <c r="Q3667" i="34"/>
  <c r="R3667" i="34"/>
  <c r="S3667" i="34"/>
  <c r="T3667" i="34"/>
  <c r="U3667" i="34"/>
  <c r="V3667" i="34"/>
  <c r="W3667" i="34"/>
  <c r="X3667" i="34"/>
  <c r="Y3667" i="34"/>
  <c r="Z3667" i="34"/>
  <c r="N3668" i="34"/>
  <c r="O3668" i="34"/>
  <c r="P3668" i="34"/>
  <c r="Q3668" i="34"/>
  <c r="R3668" i="34"/>
  <c r="S3668" i="34"/>
  <c r="T3668" i="34"/>
  <c r="U3668" i="34"/>
  <c r="V3668" i="34"/>
  <c r="W3668" i="34"/>
  <c r="X3668" i="34"/>
  <c r="Y3668" i="34"/>
  <c r="Z3668" i="34"/>
  <c r="N3669" i="34"/>
  <c r="O3669" i="34"/>
  <c r="P3669" i="34"/>
  <c r="Q3669" i="34"/>
  <c r="R3669" i="34"/>
  <c r="S3669" i="34"/>
  <c r="T3669" i="34"/>
  <c r="U3669" i="34"/>
  <c r="V3669" i="34"/>
  <c r="W3669" i="34"/>
  <c r="X3669" i="34"/>
  <c r="Y3669" i="34"/>
  <c r="Z3669" i="34"/>
  <c r="N3670" i="34"/>
  <c r="O3670" i="34"/>
  <c r="P3670" i="34"/>
  <c r="Q3670" i="34"/>
  <c r="R3670" i="34"/>
  <c r="S3670" i="34"/>
  <c r="T3670" i="34"/>
  <c r="U3670" i="34"/>
  <c r="V3670" i="34"/>
  <c r="W3670" i="34"/>
  <c r="X3670" i="34"/>
  <c r="Y3670" i="34"/>
  <c r="Z3670" i="34"/>
  <c r="N3671" i="34"/>
  <c r="O3671" i="34"/>
  <c r="P3671" i="34"/>
  <c r="Q3671" i="34"/>
  <c r="R3671" i="34"/>
  <c r="S3671" i="34"/>
  <c r="T3671" i="34"/>
  <c r="U3671" i="34"/>
  <c r="V3671" i="34"/>
  <c r="W3671" i="34"/>
  <c r="X3671" i="34"/>
  <c r="Y3671" i="34"/>
  <c r="Z3671" i="34"/>
  <c r="N3672" i="34"/>
  <c r="O3672" i="34"/>
  <c r="P3672" i="34"/>
  <c r="Q3672" i="34"/>
  <c r="R3672" i="34"/>
  <c r="S3672" i="34"/>
  <c r="T3672" i="34"/>
  <c r="U3672" i="34"/>
  <c r="V3672" i="34"/>
  <c r="W3672" i="34"/>
  <c r="X3672" i="34"/>
  <c r="Y3672" i="34"/>
  <c r="Z3672" i="34"/>
  <c r="N3673" i="34"/>
  <c r="O3673" i="34"/>
  <c r="P3673" i="34"/>
  <c r="Q3673" i="34"/>
  <c r="R3673" i="34"/>
  <c r="S3673" i="34"/>
  <c r="T3673" i="34"/>
  <c r="U3673" i="34"/>
  <c r="V3673" i="34"/>
  <c r="W3673" i="34"/>
  <c r="X3673" i="34"/>
  <c r="Y3673" i="34"/>
  <c r="Z3673" i="34"/>
  <c r="N3674" i="34"/>
  <c r="O3674" i="34"/>
  <c r="P3674" i="34"/>
  <c r="Q3674" i="34"/>
  <c r="R3674" i="34"/>
  <c r="S3674" i="34"/>
  <c r="T3674" i="34"/>
  <c r="U3674" i="34"/>
  <c r="V3674" i="34"/>
  <c r="W3674" i="34"/>
  <c r="X3674" i="34"/>
  <c r="Y3674" i="34"/>
  <c r="Z3674" i="34"/>
  <c r="N3675" i="34"/>
  <c r="O3675" i="34"/>
  <c r="P3675" i="34"/>
  <c r="Q3675" i="34"/>
  <c r="R3675" i="34"/>
  <c r="S3675" i="34"/>
  <c r="T3675" i="34"/>
  <c r="U3675" i="34"/>
  <c r="V3675" i="34"/>
  <c r="W3675" i="34"/>
  <c r="X3675" i="34"/>
  <c r="Y3675" i="34"/>
  <c r="Z3675" i="34"/>
  <c r="N3676" i="34"/>
  <c r="O3676" i="34"/>
  <c r="P3676" i="34"/>
  <c r="Q3676" i="34"/>
  <c r="R3676" i="34"/>
  <c r="S3676" i="34"/>
  <c r="T3676" i="34"/>
  <c r="U3676" i="34"/>
  <c r="V3676" i="34"/>
  <c r="W3676" i="34"/>
  <c r="X3676" i="34"/>
  <c r="Y3676" i="34"/>
  <c r="Z3676" i="34"/>
  <c r="N3677" i="34"/>
  <c r="O3677" i="34"/>
  <c r="P3677" i="34"/>
  <c r="Q3677" i="34"/>
  <c r="R3677" i="34"/>
  <c r="S3677" i="34"/>
  <c r="T3677" i="34"/>
  <c r="U3677" i="34"/>
  <c r="V3677" i="34"/>
  <c r="W3677" i="34"/>
  <c r="X3677" i="34"/>
  <c r="Y3677" i="34"/>
  <c r="Z3677" i="34"/>
  <c r="N3678" i="34"/>
  <c r="O3678" i="34"/>
  <c r="P3678" i="34"/>
  <c r="Q3678" i="34"/>
  <c r="R3678" i="34"/>
  <c r="S3678" i="34"/>
  <c r="T3678" i="34"/>
  <c r="U3678" i="34"/>
  <c r="V3678" i="34"/>
  <c r="W3678" i="34"/>
  <c r="X3678" i="34"/>
  <c r="Y3678" i="34"/>
  <c r="Z3678" i="34"/>
  <c r="N3679" i="34"/>
  <c r="O3679" i="34"/>
  <c r="P3679" i="34"/>
  <c r="Q3679" i="34"/>
  <c r="R3679" i="34"/>
  <c r="S3679" i="34"/>
  <c r="T3679" i="34"/>
  <c r="U3679" i="34"/>
  <c r="V3679" i="34"/>
  <c r="W3679" i="34"/>
  <c r="X3679" i="34"/>
  <c r="Y3679" i="34"/>
  <c r="Z3679" i="34"/>
  <c r="N3680" i="34"/>
  <c r="O3680" i="34"/>
  <c r="P3680" i="34"/>
  <c r="Q3680" i="34"/>
  <c r="R3680" i="34"/>
  <c r="S3680" i="34"/>
  <c r="T3680" i="34"/>
  <c r="U3680" i="34"/>
  <c r="V3680" i="34"/>
  <c r="W3680" i="34"/>
  <c r="X3680" i="34"/>
  <c r="Y3680" i="34"/>
  <c r="Z3680" i="34"/>
  <c r="N3681" i="34"/>
  <c r="O3681" i="34"/>
  <c r="P3681" i="34"/>
  <c r="Q3681" i="34"/>
  <c r="R3681" i="34"/>
  <c r="S3681" i="34"/>
  <c r="T3681" i="34"/>
  <c r="U3681" i="34"/>
  <c r="V3681" i="34"/>
  <c r="W3681" i="34"/>
  <c r="X3681" i="34"/>
  <c r="Y3681" i="34"/>
  <c r="Z3681" i="34"/>
  <c r="N3682" i="34"/>
  <c r="O3682" i="34"/>
  <c r="P3682" i="34"/>
  <c r="Q3682" i="34"/>
  <c r="R3682" i="34"/>
  <c r="S3682" i="34"/>
  <c r="T3682" i="34"/>
  <c r="U3682" i="34"/>
  <c r="V3682" i="34"/>
  <c r="W3682" i="34"/>
  <c r="X3682" i="34"/>
  <c r="Y3682" i="34"/>
  <c r="Z3682" i="34"/>
  <c r="N3683" i="34"/>
  <c r="O3683" i="34"/>
  <c r="P3683" i="34"/>
  <c r="Q3683" i="34"/>
  <c r="R3683" i="34"/>
  <c r="S3683" i="34"/>
  <c r="T3683" i="34"/>
  <c r="U3683" i="34"/>
  <c r="V3683" i="34"/>
  <c r="W3683" i="34"/>
  <c r="X3683" i="34"/>
  <c r="Y3683" i="34"/>
  <c r="Z3683" i="34"/>
  <c r="N3684" i="34"/>
  <c r="O3684" i="34"/>
  <c r="P3684" i="34"/>
  <c r="Q3684" i="34"/>
  <c r="R3684" i="34"/>
  <c r="S3684" i="34"/>
  <c r="T3684" i="34"/>
  <c r="U3684" i="34"/>
  <c r="V3684" i="34"/>
  <c r="W3684" i="34"/>
  <c r="X3684" i="34"/>
  <c r="Y3684" i="34"/>
  <c r="Z3684" i="34"/>
  <c r="N3685" i="34"/>
  <c r="O3685" i="34"/>
  <c r="P3685" i="34"/>
  <c r="Q3685" i="34"/>
  <c r="R3685" i="34"/>
  <c r="S3685" i="34"/>
  <c r="T3685" i="34"/>
  <c r="U3685" i="34"/>
  <c r="V3685" i="34"/>
  <c r="W3685" i="34"/>
  <c r="X3685" i="34"/>
  <c r="Y3685" i="34"/>
  <c r="Z3685" i="34"/>
  <c r="N3686" i="34"/>
  <c r="O3686" i="34"/>
  <c r="P3686" i="34"/>
  <c r="Q3686" i="34"/>
  <c r="R3686" i="34"/>
  <c r="S3686" i="34"/>
  <c r="T3686" i="34"/>
  <c r="U3686" i="34"/>
  <c r="V3686" i="34"/>
  <c r="W3686" i="34"/>
  <c r="X3686" i="34"/>
  <c r="Y3686" i="34"/>
  <c r="Z3686" i="34"/>
  <c r="N3687" i="34"/>
  <c r="O3687" i="34"/>
  <c r="P3687" i="34"/>
  <c r="Q3687" i="34"/>
  <c r="R3687" i="34"/>
  <c r="S3687" i="34"/>
  <c r="T3687" i="34"/>
  <c r="U3687" i="34"/>
  <c r="V3687" i="34"/>
  <c r="W3687" i="34"/>
  <c r="X3687" i="34"/>
  <c r="Y3687" i="34"/>
  <c r="Z3687" i="34"/>
  <c r="N3688" i="34"/>
  <c r="O3688" i="34"/>
  <c r="P3688" i="34"/>
  <c r="Q3688" i="34"/>
  <c r="R3688" i="34"/>
  <c r="S3688" i="34"/>
  <c r="T3688" i="34"/>
  <c r="U3688" i="34"/>
  <c r="V3688" i="34"/>
  <c r="W3688" i="34"/>
  <c r="X3688" i="34"/>
  <c r="Y3688" i="34"/>
  <c r="Z3688" i="34"/>
  <c r="N3689" i="34"/>
  <c r="O3689" i="34"/>
  <c r="P3689" i="34"/>
  <c r="Q3689" i="34"/>
  <c r="R3689" i="34"/>
  <c r="S3689" i="34"/>
  <c r="T3689" i="34"/>
  <c r="U3689" i="34"/>
  <c r="V3689" i="34"/>
  <c r="W3689" i="34"/>
  <c r="X3689" i="34"/>
  <c r="Y3689" i="34"/>
  <c r="Z3689" i="34"/>
  <c r="N3690" i="34"/>
  <c r="O3690" i="34"/>
  <c r="P3690" i="34"/>
  <c r="Q3690" i="34"/>
  <c r="R3690" i="34"/>
  <c r="S3690" i="34"/>
  <c r="T3690" i="34"/>
  <c r="U3690" i="34"/>
  <c r="V3690" i="34"/>
  <c r="W3690" i="34"/>
  <c r="X3690" i="34"/>
  <c r="Y3690" i="34"/>
  <c r="Z3690" i="34"/>
  <c r="N3691" i="34"/>
  <c r="O3691" i="34"/>
  <c r="P3691" i="34"/>
  <c r="Q3691" i="34"/>
  <c r="R3691" i="34"/>
  <c r="S3691" i="34"/>
  <c r="T3691" i="34"/>
  <c r="U3691" i="34"/>
  <c r="V3691" i="34"/>
  <c r="W3691" i="34"/>
  <c r="X3691" i="34"/>
  <c r="Y3691" i="34"/>
  <c r="Z3691" i="34"/>
  <c r="N3692" i="34"/>
  <c r="O3692" i="34"/>
  <c r="P3692" i="34"/>
  <c r="Q3692" i="34"/>
  <c r="R3692" i="34"/>
  <c r="S3692" i="34"/>
  <c r="T3692" i="34"/>
  <c r="U3692" i="34"/>
  <c r="V3692" i="34"/>
  <c r="W3692" i="34"/>
  <c r="X3692" i="34"/>
  <c r="Y3692" i="34"/>
  <c r="Z3692" i="34"/>
  <c r="N3693" i="34"/>
  <c r="O3693" i="34"/>
  <c r="P3693" i="34"/>
  <c r="Q3693" i="34"/>
  <c r="R3693" i="34"/>
  <c r="S3693" i="34"/>
  <c r="T3693" i="34"/>
  <c r="U3693" i="34"/>
  <c r="V3693" i="34"/>
  <c r="W3693" i="34"/>
  <c r="X3693" i="34"/>
  <c r="Y3693" i="34"/>
  <c r="Z3693" i="34"/>
  <c r="N3694" i="34"/>
  <c r="O3694" i="34"/>
  <c r="P3694" i="34"/>
  <c r="Q3694" i="34"/>
  <c r="R3694" i="34"/>
  <c r="S3694" i="34"/>
  <c r="T3694" i="34"/>
  <c r="U3694" i="34"/>
  <c r="V3694" i="34"/>
  <c r="W3694" i="34"/>
  <c r="X3694" i="34"/>
  <c r="Y3694" i="34"/>
  <c r="Z3694" i="34"/>
  <c r="N3695" i="34"/>
  <c r="O3695" i="34"/>
  <c r="P3695" i="34"/>
  <c r="Q3695" i="34"/>
  <c r="R3695" i="34"/>
  <c r="S3695" i="34"/>
  <c r="T3695" i="34"/>
  <c r="U3695" i="34"/>
  <c r="V3695" i="34"/>
  <c r="W3695" i="34"/>
  <c r="X3695" i="34"/>
  <c r="Y3695" i="34"/>
  <c r="Z3695" i="34"/>
  <c r="N3696" i="34"/>
  <c r="O3696" i="34"/>
  <c r="P3696" i="34"/>
  <c r="Q3696" i="34"/>
  <c r="R3696" i="34"/>
  <c r="S3696" i="34"/>
  <c r="T3696" i="34"/>
  <c r="U3696" i="34"/>
  <c r="V3696" i="34"/>
  <c r="W3696" i="34"/>
  <c r="X3696" i="34"/>
  <c r="Y3696" i="34"/>
  <c r="Z3696" i="34"/>
  <c r="N3697" i="34"/>
  <c r="O3697" i="34"/>
  <c r="P3697" i="34"/>
  <c r="Q3697" i="34"/>
  <c r="R3697" i="34"/>
  <c r="S3697" i="34"/>
  <c r="T3697" i="34"/>
  <c r="U3697" i="34"/>
  <c r="V3697" i="34"/>
  <c r="W3697" i="34"/>
  <c r="X3697" i="34"/>
  <c r="Y3697" i="34"/>
  <c r="Z3697" i="34"/>
  <c r="N3698" i="34"/>
  <c r="O3698" i="34"/>
  <c r="P3698" i="34"/>
  <c r="Q3698" i="34"/>
  <c r="R3698" i="34"/>
  <c r="S3698" i="34"/>
  <c r="T3698" i="34"/>
  <c r="U3698" i="34"/>
  <c r="V3698" i="34"/>
  <c r="W3698" i="34"/>
  <c r="X3698" i="34"/>
  <c r="Y3698" i="34"/>
  <c r="Z3698" i="34"/>
  <c r="N3699" i="34"/>
  <c r="O3699" i="34"/>
  <c r="P3699" i="34"/>
  <c r="Q3699" i="34"/>
  <c r="R3699" i="34"/>
  <c r="S3699" i="34"/>
  <c r="T3699" i="34"/>
  <c r="U3699" i="34"/>
  <c r="V3699" i="34"/>
  <c r="W3699" i="34"/>
  <c r="X3699" i="34"/>
  <c r="Y3699" i="34"/>
  <c r="Z3699" i="34"/>
  <c r="N3700" i="34"/>
  <c r="O3700" i="34"/>
  <c r="P3700" i="34"/>
  <c r="Q3700" i="34"/>
  <c r="R3700" i="34"/>
  <c r="S3700" i="34"/>
  <c r="T3700" i="34"/>
  <c r="U3700" i="34"/>
  <c r="V3700" i="34"/>
  <c r="W3700" i="34"/>
  <c r="X3700" i="34"/>
  <c r="Y3700" i="34"/>
  <c r="Z3700" i="34"/>
  <c r="N3701" i="34"/>
  <c r="O3701" i="34"/>
  <c r="P3701" i="34"/>
  <c r="Q3701" i="34"/>
  <c r="R3701" i="34"/>
  <c r="S3701" i="34"/>
  <c r="T3701" i="34"/>
  <c r="U3701" i="34"/>
  <c r="V3701" i="34"/>
  <c r="W3701" i="34"/>
  <c r="X3701" i="34"/>
  <c r="Y3701" i="34"/>
  <c r="Z3701" i="34"/>
  <c r="N3702" i="34"/>
  <c r="O3702" i="34"/>
  <c r="P3702" i="34"/>
  <c r="Q3702" i="34"/>
  <c r="R3702" i="34"/>
  <c r="S3702" i="34"/>
  <c r="T3702" i="34"/>
  <c r="U3702" i="34"/>
  <c r="V3702" i="34"/>
  <c r="W3702" i="34"/>
  <c r="X3702" i="34"/>
  <c r="Y3702" i="34"/>
  <c r="Z3702" i="34"/>
  <c r="N3703" i="34"/>
  <c r="O3703" i="34"/>
  <c r="P3703" i="34"/>
  <c r="Q3703" i="34"/>
  <c r="R3703" i="34"/>
  <c r="S3703" i="34"/>
  <c r="T3703" i="34"/>
  <c r="U3703" i="34"/>
  <c r="V3703" i="34"/>
  <c r="W3703" i="34"/>
  <c r="X3703" i="34"/>
  <c r="Y3703" i="34"/>
  <c r="Z3703" i="34"/>
  <c r="N3704" i="34"/>
  <c r="O3704" i="34"/>
  <c r="P3704" i="34"/>
  <c r="Q3704" i="34"/>
  <c r="R3704" i="34"/>
  <c r="S3704" i="34"/>
  <c r="T3704" i="34"/>
  <c r="U3704" i="34"/>
  <c r="V3704" i="34"/>
  <c r="W3704" i="34"/>
  <c r="X3704" i="34"/>
  <c r="Y3704" i="34"/>
  <c r="Z3704" i="34"/>
  <c r="N3705" i="34"/>
  <c r="O3705" i="34"/>
  <c r="P3705" i="34"/>
  <c r="Q3705" i="34"/>
  <c r="R3705" i="34"/>
  <c r="S3705" i="34"/>
  <c r="T3705" i="34"/>
  <c r="U3705" i="34"/>
  <c r="V3705" i="34"/>
  <c r="W3705" i="34"/>
  <c r="X3705" i="34"/>
  <c r="Y3705" i="34"/>
  <c r="Z3705" i="34"/>
  <c r="N3706" i="34"/>
  <c r="O3706" i="34"/>
  <c r="P3706" i="34"/>
  <c r="Q3706" i="34"/>
  <c r="R3706" i="34"/>
  <c r="S3706" i="34"/>
  <c r="T3706" i="34"/>
  <c r="U3706" i="34"/>
  <c r="V3706" i="34"/>
  <c r="W3706" i="34"/>
  <c r="X3706" i="34"/>
  <c r="Y3706" i="34"/>
  <c r="Z3706" i="34"/>
  <c r="N3707" i="34"/>
  <c r="O3707" i="34"/>
  <c r="P3707" i="34"/>
  <c r="Q3707" i="34"/>
  <c r="R3707" i="34"/>
  <c r="S3707" i="34"/>
  <c r="T3707" i="34"/>
  <c r="U3707" i="34"/>
  <c r="V3707" i="34"/>
  <c r="W3707" i="34"/>
  <c r="X3707" i="34"/>
  <c r="Y3707" i="34"/>
  <c r="Z3707" i="34"/>
  <c r="N3708" i="34"/>
  <c r="O3708" i="34"/>
  <c r="P3708" i="34"/>
  <c r="Q3708" i="34"/>
  <c r="R3708" i="34"/>
  <c r="S3708" i="34"/>
  <c r="T3708" i="34"/>
  <c r="U3708" i="34"/>
  <c r="V3708" i="34"/>
  <c r="W3708" i="34"/>
  <c r="X3708" i="34"/>
  <c r="Y3708" i="34"/>
  <c r="Z3708" i="34"/>
  <c r="N3709" i="34"/>
  <c r="O3709" i="34"/>
  <c r="P3709" i="34"/>
  <c r="Q3709" i="34"/>
  <c r="R3709" i="34"/>
  <c r="S3709" i="34"/>
  <c r="T3709" i="34"/>
  <c r="U3709" i="34"/>
  <c r="V3709" i="34"/>
  <c r="W3709" i="34"/>
  <c r="X3709" i="34"/>
  <c r="Y3709" i="34"/>
  <c r="Z3709" i="34"/>
  <c r="N3710" i="34"/>
  <c r="O3710" i="34"/>
  <c r="P3710" i="34"/>
  <c r="Q3710" i="34"/>
  <c r="R3710" i="34"/>
  <c r="S3710" i="34"/>
  <c r="T3710" i="34"/>
  <c r="U3710" i="34"/>
  <c r="V3710" i="34"/>
  <c r="W3710" i="34"/>
  <c r="X3710" i="34"/>
  <c r="Y3710" i="34"/>
  <c r="Z3710" i="34"/>
  <c r="N3711" i="34"/>
  <c r="O3711" i="34"/>
  <c r="P3711" i="34"/>
  <c r="Q3711" i="34"/>
  <c r="R3711" i="34"/>
  <c r="S3711" i="34"/>
  <c r="T3711" i="34"/>
  <c r="U3711" i="34"/>
  <c r="V3711" i="34"/>
  <c r="W3711" i="34"/>
  <c r="X3711" i="34"/>
  <c r="Y3711" i="34"/>
  <c r="Z3711" i="34"/>
  <c r="N3712" i="34"/>
  <c r="O3712" i="34"/>
  <c r="P3712" i="34"/>
  <c r="Q3712" i="34"/>
  <c r="R3712" i="34"/>
  <c r="S3712" i="34"/>
  <c r="T3712" i="34"/>
  <c r="U3712" i="34"/>
  <c r="V3712" i="34"/>
  <c r="W3712" i="34"/>
  <c r="X3712" i="34"/>
  <c r="Y3712" i="34"/>
  <c r="Z3712" i="34"/>
  <c r="N3713" i="34"/>
  <c r="O3713" i="34"/>
  <c r="P3713" i="34"/>
  <c r="Q3713" i="34"/>
  <c r="R3713" i="34"/>
  <c r="S3713" i="34"/>
  <c r="T3713" i="34"/>
  <c r="U3713" i="34"/>
  <c r="V3713" i="34"/>
  <c r="W3713" i="34"/>
  <c r="X3713" i="34"/>
  <c r="Y3713" i="34"/>
  <c r="Z3713" i="34"/>
  <c r="N3714" i="34"/>
  <c r="O3714" i="34"/>
  <c r="P3714" i="34"/>
  <c r="Q3714" i="34"/>
  <c r="R3714" i="34"/>
  <c r="S3714" i="34"/>
  <c r="T3714" i="34"/>
  <c r="U3714" i="34"/>
  <c r="V3714" i="34"/>
  <c r="W3714" i="34"/>
  <c r="X3714" i="34"/>
  <c r="Y3714" i="34"/>
  <c r="Z3714" i="34"/>
  <c r="N3715" i="34"/>
  <c r="O3715" i="34"/>
  <c r="P3715" i="34"/>
  <c r="Q3715" i="34"/>
  <c r="R3715" i="34"/>
  <c r="S3715" i="34"/>
  <c r="T3715" i="34"/>
  <c r="U3715" i="34"/>
  <c r="V3715" i="34"/>
  <c r="W3715" i="34"/>
  <c r="X3715" i="34"/>
  <c r="Y3715" i="34"/>
  <c r="Z3715" i="34"/>
  <c r="N3716" i="34"/>
  <c r="O3716" i="34"/>
  <c r="P3716" i="34"/>
  <c r="Q3716" i="34"/>
  <c r="R3716" i="34"/>
  <c r="S3716" i="34"/>
  <c r="T3716" i="34"/>
  <c r="U3716" i="34"/>
  <c r="V3716" i="34"/>
  <c r="W3716" i="34"/>
  <c r="X3716" i="34"/>
  <c r="Y3716" i="34"/>
  <c r="Z3716" i="34"/>
  <c r="N3717" i="34"/>
  <c r="O3717" i="34"/>
  <c r="P3717" i="34"/>
  <c r="Q3717" i="34"/>
  <c r="R3717" i="34"/>
  <c r="S3717" i="34"/>
  <c r="T3717" i="34"/>
  <c r="U3717" i="34"/>
  <c r="V3717" i="34"/>
  <c r="W3717" i="34"/>
  <c r="X3717" i="34"/>
  <c r="Y3717" i="34"/>
  <c r="Z3717" i="34"/>
  <c r="N3718" i="34"/>
  <c r="O3718" i="34"/>
  <c r="P3718" i="34"/>
  <c r="Q3718" i="34"/>
  <c r="R3718" i="34"/>
  <c r="S3718" i="34"/>
  <c r="T3718" i="34"/>
  <c r="U3718" i="34"/>
  <c r="V3718" i="34"/>
  <c r="W3718" i="34"/>
  <c r="X3718" i="34"/>
  <c r="Y3718" i="34"/>
  <c r="Z3718" i="34"/>
  <c r="N3719" i="34"/>
  <c r="O3719" i="34"/>
  <c r="P3719" i="34"/>
  <c r="Q3719" i="34"/>
  <c r="R3719" i="34"/>
  <c r="S3719" i="34"/>
  <c r="T3719" i="34"/>
  <c r="U3719" i="34"/>
  <c r="V3719" i="34"/>
  <c r="W3719" i="34"/>
  <c r="X3719" i="34"/>
  <c r="Y3719" i="34"/>
  <c r="Z3719" i="34"/>
  <c r="N3720" i="34"/>
  <c r="O3720" i="34"/>
  <c r="P3720" i="34"/>
  <c r="Q3720" i="34"/>
  <c r="R3720" i="34"/>
  <c r="S3720" i="34"/>
  <c r="T3720" i="34"/>
  <c r="U3720" i="34"/>
  <c r="V3720" i="34"/>
  <c r="W3720" i="34"/>
  <c r="X3720" i="34"/>
  <c r="Y3720" i="34"/>
  <c r="Z3720" i="34"/>
  <c r="N3721" i="34"/>
  <c r="O3721" i="34"/>
  <c r="P3721" i="34"/>
  <c r="Q3721" i="34"/>
  <c r="R3721" i="34"/>
  <c r="S3721" i="34"/>
  <c r="T3721" i="34"/>
  <c r="U3721" i="34"/>
  <c r="V3721" i="34"/>
  <c r="W3721" i="34"/>
  <c r="X3721" i="34"/>
  <c r="Y3721" i="34"/>
  <c r="Z3721" i="34"/>
  <c r="N3722" i="34"/>
  <c r="O3722" i="34"/>
  <c r="P3722" i="34"/>
  <c r="Q3722" i="34"/>
  <c r="R3722" i="34"/>
  <c r="S3722" i="34"/>
  <c r="T3722" i="34"/>
  <c r="U3722" i="34"/>
  <c r="V3722" i="34"/>
  <c r="W3722" i="34"/>
  <c r="X3722" i="34"/>
  <c r="Y3722" i="34"/>
  <c r="Z3722" i="34"/>
  <c r="N3723" i="34"/>
  <c r="O3723" i="34"/>
  <c r="P3723" i="34"/>
  <c r="Q3723" i="34"/>
  <c r="R3723" i="34"/>
  <c r="S3723" i="34"/>
  <c r="T3723" i="34"/>
  <c r="U3723" i="34"/>
  <c r="V3723" i="34"/>
  <c r="W3723" i="34"/>
  <c r="X3723" i="34"/>
  <c r="Y3723" i="34"/>
  <c r="Z3723" i="34"/>
  <c r="N3724" i="34"/>
  <c r="O3724" i="34"/>
  <c r="P3724" i="34"/>
  <c r="Q3724" i="34"/>
  <c r="R3724" i="34"/>
  <c r="S3724" i="34"/>
  <c r="T3724" i="34"/>
  <c r="U3724" i="34"/>
  <c r="V3724" i="34"/>
  <c r="W3724" i="34"/>
  <c r="X3724" i="34"/>
  <c r="Y3724" i="34"/>
  <c r="Z3724" i="34"/>
  <c r="N3725" i="34"/>
  <c r="O3725" i="34"/>
  <c r="P3725" i="34"/>
  <c r="Q3725" i="34"/>
  <c r="R3725" i="34"/>
  <c r="S3725" i="34"/>
  <c r="T3725" i="34"/>
  <c r="U3725" i="34"/>
  <c r="V3725" i="34"/>
  <c r="W3725" i="34"/>
  <c r="X3725" i="34"/>
  <c r="Y3725" i="34"/>
  <c r="Z3725" i="34"/>
  <c r="N3726" i="34"/>
  <c r="O3726" i="34"/>
  <c r="P3726" i="34"/>
  <c r="Q3726" i="34"/>
  <c r="R3726" i="34"/>
  <c r="S3726" i="34"/>
  <c r="T3726" i="34"/>
  <c r="U3726" i="34"/>
  <c r="V3726" i="34"/>
  <c r="W3726" i="34"/>
  <c r="X3726" i="34"/>
  <c r="Y3726" i="34"/>
  <c r="Z3726" i="34"/>
  <c r="N3727" i="34"/>
  <c r="O3727" i="34"/>
  <c r="P3727" i="34"/>
  <c r="Q3727" i="34"/>
  <c r="R3727" i="34"/>
  <c r="S3727" i="34"/>
  <c r="T3727" i="34"/>
  <c r="U3727" i="34"/>
  <c r="V3727" i="34"/>
  <c r="W3727" i="34"/>
  <c r="X3727" i="34"/>
  <c r="Y3727" i="34"/>
  <c r="Z3727" i="34"/>
  <c r="N3728" i="34"/>
  <c r="O3728" i="34"/>
  <c r="P3728" i="34"/>
  <c r="Q3728" i="34"/>
  <c r="R3728" i="34"/>
  <c r="S3728" i="34"/>
  <c r="T3728" i="34"/>
  <c r="U3728" i="34"/>
  <c r="V3728" i="34"/>
  <c r="W3728" i="34"/>
  <c r="X3728" i="34"/>
  <c r="Y3728" i="34"/>
  <c r="Z3728" i="34"/>
  <c r="N3729" i="34"/>
  <c r="O3729" i="34"/>
  <c r="P3729" i="34"/>
  <c r="Q3729" i="34"/>
  <c r="R3729" i="34"/>
  <c r="S3729" i="34"/>
  <c r="T3729" i="34"/>
  <c r="U3729" i="34"/>
  <c r="V3729" i="34"/>
  <c r="W3729" i="34"/>
  <c r="X3729" i="34"/>
  <c r="Y3729" i="34"/>
  <c r="Z3729" i="34"/>
  <c r="N3730" i="34"/>
  <c r="O3730" i="34"/>
  <c r="P3730" i="34"/>
  <c r="Q3730" i="34"/>
  <c r="R3730" i="34"/>
  <c r="S3730" i="34"/>
  <c r="T3730" i="34"/>
  <c r="U3730" i="34"/>
  <c r="V3730" i="34"/>
  <c r="W3730" i="34"/>
  <c r="X3730" i="34"/>
  <c r="Y3730" i="34"/>
  <c r="Z3730" i="34"/>
  <c r="N3731" i="34"/>
  <c r="O3731" i="34"/>
  <c r="P3731" i="34"/>
  <c r="Q3731" i="34"/>
  <c r="R3731" i="34"/>
  <c r="S3731" i="34"/>
  <c r="T3731" i="34"/>
  <c r="U3731" i="34"/>
  <c r="V3731" i="34"/>
  <c r="W3731" i="34"/>
  <c r="X3731" i="34"/>
  <c r="Y3731" i="34"/>
  <c r="Z3731" i="34"/>
  <c r="N3732" i="34"/>
  <c r="O3732" i="34"/>
  <c r="P3732" i="34"/>
  <c r="Q3732" i="34"/>
  <c r="R3732" i="34"/>
  <c r="S3732" i="34"/>
  <c r="T3732" i="34"/>
  <c r="U3732" i="34"/>
  <c r="V3732" i="34"/>
  <c r="W3732" i="34"/>
  <c r="X3732" i="34"/>
  <c r="Y3732" i="34"/>
  <c r="Z3732" i="34"/>
  <c r="N3733" i="34"/>
  <c r="O3733" i="34"/>
  <c r="P3733" i="34"/>
  <c r="Q3733" i="34"/>
  <c r="R3733" i="34"/>
  <c r="S3733" i="34"/>
  <c r="T3733" i="34"/>
  <c r="U3733" i="34"/>
  <c r="V3733" i="34"/>
  <c r="W3733" i="34"/>
  <c r="X3733" i="34"/>
  <c r="Y3733" i="34"/>
  <c r="Z3733" i="34"/>
  <c r="N3734" i="34"/>
  <c r="O3734" i="34"/>
  <c r="P3734" i="34"/>
  <c r="Q3734" i="34"/>
  <c r="R3734" i="34"/>
  <c r="S3734" i="34"/>
  <c r="T3734" i="34"/>
  <c r="U3734" i="34"/>
  <c r="V3734" i="34"/>
  <c r="W3734" i="34"/>
  <c r="X3734" i="34"/>
  <c r="Y3734" i="34"/>
  <c r="Z3734" i="34"/>
  <c r="N3735" i="34"/>
  <c r="O3735" i="34"/>
  <c r="P3735" i="34"/>
  <c r="Q3735" i="34"/>
  <c r="R3735" i="34"/>
  <c r="S3735" i="34"/>
  <c r="T3735" i="34"/>
  <c r="U3735" i="34"/>
  <c r="V3735" i="34"/>
  <c r="W3735" i="34"/>
  <c r="X3735" i="34"/>
  <c r="Y3735" i="34"/>
  <c r="Z3735" i="34"/>
  <c r="N3736" i="34"/>
  <c r="O3736" i="34"/>
  <c r="P3736" i="34"/>
  <c r="Q3736" i="34"/>
  <c r="R3736" i="34"/>
  <c r="S3736" i="34"/>
  <c r="T3736" i="34"/>
  <c r="U3736" i="34"/>
  <c r="V3736" i="34"/>
  <c r="W3736" i="34"/>
  <c r="X3736" i="34"/>
  <c r="Y3736" i="34"/>
  <c r="Z3736" i="34"/>
  <c r="N3737" i="34"/>
  <c r="O3737" i="34"/>
  <c r="P3737" i="34"/>
  <c r="Q3737" i="34"/>
  <c r="R3737" i="34"/>
  <c r="S3737" i="34"/>
  <c r="T3737" i="34"/>
  <c r="U3737" i="34"/>
  <c r="V3737" i="34"/>
  <c r="W3737" i="34"/>
  <c r="X3737" i="34"/>
  <c r="Y3737" i="34"/>
  <c r="Z3737" i="34"/>
  <c r="N3738" i="34"/>
  <c r="O3738" i="34"/>
  <c r="P3738" i="34"/>
  <c r="Q3738" i="34"/>
  <c r="R3738" i="34"/>
  <c r="S3738" i="34"/>
  <c r="T3738" i="34"/>
  <c r="U3738" i="34"/>
  <c r="V3738" i="34"/>
  <c r="W3738" i="34"/>
  <c r="X3738" i="34"/>
  <c r="Y3738" i="34"/>
  <c r="Z3738" i="34"/>
  <c r="N3739" i="34"/>
  <c r="O3739" i="34"/>
  <c r="P3739" i="34"/>
  <c r="Q3739" i="34"/>
  <c r="R3739" i="34"/>
  <c r="S3739" i="34"/>
  <c r="T3739" i="34"/>
  <c r="U3739" i="34"/>
  <c r="V3739" i="34"/>
  <c r="W3739" i="34"/>
  <c r="X3739" i="34"/>
  <c r="Y3739" i="34"/>
  <c r="Z3739" i="34"/>
  <c r="N3740" i="34"/>
  <c r="O3740" i="34"/>
  <c r="P3740" i="34"/>
  <c r="Q3740" i="34"/>
  <c r="R3740" i="34"/>
  <c r="S3740" i="34"/>
  <c r="T3740" i="34"/>
  <c r="U3740" i="34"/>
  <c r="V3740" i="34"/>
  <c r="W3740" i="34"/>
  <c r="X3740" i="34"/>
  <c r="Y3740" i="34"/>
  <c r="Z3740" i="34"/>
  <c r="N3741" i="34"/>
  <c r="O3741" i="34"/>
  <c r="P3741" i="34"/>
  <c r="Q3741" i="34"/>
  <c r="R3741" i="34"/>
  <c r="S3741" i="34"/>
  <c r="T3741" i="34"/>
  <c r="U3741" i="34"/>
  <c r="V3741" i="34"/>
  <c r="W3741" i="34"/>
  <c r="X3741" i="34"/>
  <c r="Y3741" i="34"/>
  <c r="Z3741" i="34"/>
  <c r="N3742" i="34"/>
  <c r="O3742" i="34"/>
  <c r="P3742" i="34"/>
  <c r="Q3742" i="34"/>
  <c r="R3742" i="34"/>
  <c r="S3742" i="34"/>
  <c r="T3742" i="34"/>
  <c r="U3742" i="34"/>
  <c r="V3742" i="34"/>
  <c r="W3742" i="34"/>
  <c r="X3742" i="34"/>
  <c r="Y3742" i="34"/>
  <c r="Z3742" i="34"/>
  <c r="N3743" i="34"/>
  <c r="O3743" i="34"/>
  <c r="P3743" i="34"/>
  <c r="Q3743" i="34"/>
  <c r="R3743" i="34"/>
  <c r="S3743" i="34"/>
  <c r="T3743" i="34"/>
  <c r="U3743" i="34"/>
  <c r="V3743" i="34"/>
  <c r="W3743" i="34"/>
  <c r="X3743" i="34"/>
  <c r="Y3743" i="34"/>
  <c r="Z3743" i="34"/>
  <c r="N3744" i="34"/>
  <c r="O3744" i="34"/>
  <c r="P3744" i="34"/>
  <c r="Q3744" i="34"/>
  <c r="R3744" i="34"/>
  <c r="S3744" i="34"/>
  <c r="T3744" i="34"/>
  <c r="U3744" i="34"/>
  <c r="V3744" i="34"/>
  <c r="W3744" i="34"/>
  <c r="X3744" i="34"/>
  <c r="Y3744" i="34"/>
  <c r="Z3744" i="34"/>
  <c r="N3745" i="34"/>
  <c r="O3745" i="34"/>
  <c r="P3745" i="34"/>
  <c r="Q3745" i="34"/>
  <c r="R3745" i="34"/>
  <c r="S3745" i="34"/>
  <c r="T3745" i="34"/>
  <c r="U3745" i="34"/>
  <c r="V3745" i="34"/>
  <c r="W3745" i="34"/>
  <c r="X3745" i="34"/>
  <c r="Y3745" i="34"/>
  <c r="Z3745" i="34"/>
  <c r="N3746" i="34"/>
  <c r="O3746" i="34"/>
  <c r="P3746" i="34"/>
  <c r="Q3746" i="34"/>
  <c r="R3746" i="34"/>
  <c r="S3746" i="34"/>
  <c r="T3746" i="34"/>
  <c r="U3746" i="34"/>
  <c r="V3746" i="34"/>
  <c r="W3746" i="34"/>
  <c r="X3746" i="34"/>
  <c r="Y3746" i="34"/>
  <c r="Z3746" i="34"/>
  <c r="N3747" i="34"/>
  <c r="O3747" i="34"/>
  <c r="P3747" i="34"/>
  <c r="Q3747" i="34"/>
  <c r="R3747" i="34"/>
  <c r="S3747" i="34"/>
  <c r="T3747" i="34"/>
  <c r="U3747" i="34"/>
  <c r="V3747" i="34"/>
  <c r="W3747" i="34"/>
  <c r="X3747" i="34"/>
  <c r="Y3747" i="34"/>
  <c r="Z3747" i="34"/>
  <c r="N3748" i="34"/>
  <c r="O3748" i="34"/>
  <c r="P3748" i="34"/>
  <c r="Q3748" i="34"/>
  <c r="R3748" i="34"/>
  <c r="S3748" i="34"/>
  <c r="T3748" i="34"/>
  <c r="U3748" i="34"/>
  <c r="V3748" i="34"/>
  <c r="W3748" i="34"/>
  <c r="X3748" i="34"/>
  <c r="Y3748" i="34"/>
  <c r="Z3748" i="34"/>
  <c r="N3749" i="34"/>
  <c r="O3749" i="34"/>
  <c r="P3749" i="34"/>
  <c r="Q3749" i="34"/>
  <c r="R3749" i="34"/>
  <c r="S3749" i="34"/>
  <c r="T3749" i="34"/>
  <c r="U3749" i="34"/>
  <c r="V3749" i="34"/>
  <c r="W3749" i="34"/>
  <c r="X3749" i="34"/>
  <c r="Y3749" i="34"/>
  <c r="Z3749" i="34"/>
  <c r="N3750" i="34"/>
  <c r="O3750" i="34"/>
  <c r="P3750" i="34"/>
  <c r="Q3750" i="34"/>
  <c r="R3750" i="34"/>
  <c r="S3750" i="34"/>
  <c r="T3750" i="34"/>
  <c r="U3750" i="34"/>
  <c r="V3750" i="34"/>
  <c r="W3750" i="34"/>
  <c r="X3750" i="34"/>
  <c r="Y3750" i="34"/>
  <c r="Z3750" i="34"/>
  <c r="N3751" i="34"/>
  <c r="O3751" i="34"/>
  <c r="P3751" i="34"/>
  <c r="Q3751" i="34"/>
  <c r="R3751" i="34"/>
  <c r="S3751" i="34"/>
  <c r="T3751" i="34"/>
  <c r="U3751" i="34"/>
  <c r="V3751" i="34"/>
  <c r="W3751" i="34"/>
  <c r="X3751" i="34"/>
  <c r="Y3751" i="34"/>
  <c r="Z3751" i="34"/>
  <c r="N3752" i="34"/>
  <c r="O3752" i="34"/>
  <c r="P3752" i="34"/>
  <c r="Q3752" i="34"/>
  <c r="R3752" i="34"/>
  <c r="S3752" i="34"/>
  <c r="T3752" i="34"/>
  <c r="U3752" i="34"/>
  <c r="V3752" i="34"/>
  <c r="W3752" i="34"/>
  <c r="X3752" i="34"/>
  <c r="Y3752" i="34"/>
  <c r="Z3752" i="34"/>
  <c r="N3753" i="34"/>
  <c r="O3753" i="34"/>
  <c r="P3753" i="34"/>
  <c r="Q3753" i="34"/>
  <c r="R3753" i="34"/>
  <c r="S3753" i="34"/>
  <c r="T3753" i="34"/>
  <c r="U3753" i="34"/>
  <c r="V3753" i="34"/>
  <c r="W3753" i="34"/>
  <c r="X3753" i="34"/>
  <c r="Y3753" i="34"/>
  <c r="Z3753" i="34"/>
  <c r="N3754" i="34"/>
  <c r="O3754" i="34"/>
  <c r="P3754" i="34"/>
  <c r="Q3754" i="34"/>
  <c r="R3754" i="34"/>
  <c r="S3754" i="34"/>
  <c r="T3754" i="34"/>
  <c r="U3754" i="34"/>
  <c r="V3754" i="34"/>
  <c r="W3754" i="34"/>
  <c r="X3754" i="34"/>
  <c r="Y3754" i="34"/>
  <c r="Z3754" i="34"/>
  <c r="N3755" i="34"/>
  <c r="O3755" i="34"/>
  <c r="P3755" i="34"/>
  <c r="Q3755" i="34"/>
  <c r="R3755" i="34"/>
  <c r="S3755" i="34"/>
  <c r="T3755" i="34"/>
  <c r="U3755" i="34"/>
  <c r="V3755" i="34"/>
  <c r="W3755" i="34"/>
  <c r="X3755" i="34"/>
  <c r="Y3755" i="34"/>
  <c r="Z3755" i="34"/>
  <c r="N3756" i="34"/>
  <c r="O3756" i="34"/>
  <c r="P3756" i="34"/>
  <c r="Q3756" i="34"/>
  <c r="R3756" i="34"/>
  <c r="S3756" i="34"/>
  <c r="T3756" i="34"/>
  <c r="U3756" i="34"/>
  <c r="V3756" i="34"/>
  <c r="W3756" i="34"/>
  <c r="X3756" i="34"/>
  <c r="Y3756" i="34"/>
  <c r="Z3756" i="34"/>
  <c r="N3757" i="34"/>
  <c r="O3757" i="34"/>
  <c r="P3757" i="34"/>
  <c r="Q3757" i="34"/>
  <c r="R3757" i="34"/>
  <c r="S3757" i="34"/>
  <c r="T3757" i="34"/>
  <c r="U3757" i="34"/>
  <c r="V3757" i="34"/>
  <c r="W3757" i="34"/>
  <c r="X3757" i="34"/>
  <c r="Y3757" i="34"/>
  <c r="Z3757" i="34"/>
  <c r="N3758" i="34"/>
  <c r="O3758" i="34"/>
  <c r="P3758" i="34"/>
  <c r="Q3758" i="34"/>
  <c r="R3758" i="34"/>
  <c r="S3758" i="34"/>
  <c r="T3758" i="34"/>
  <c r="U3758" i="34"/>
  <c r="V3758" i="34"/>
  <c r="W3758" i="34"/>
  <c r="X3758" i="34"/>
  <c r="Y3758" i="34"/>
  <c r="Z3758" i="34"/>
  <c r="N3759" i="34"/>
  <c r="O3759" i="34"/>
  <c r="P3759" i="34"/>
  <c r="Q3759" i="34"/>
  <c r="R3759" i="34"/>
  <c r="S3759" i="34"/>
  <c r="T3759" i="34"/>
  <c r="U3759" i="34"/>
  <c r="V3759" i="34"/>
  <c r="W3759" i="34"/>
  <c r="X3759" i="34"/>
  <c r="Y3759" i="34"/>
  <c r="Z3759" i="34"/>
  <c r="N3760" i="34"/>
  <c r="O3760" i="34"/>
  <c r="P3760" i="34"/>
  <c r="Q3760" i="34"/>
  <c r="R3760" i="34"/>
  <c r="S3760" i="34"/>
  <c r="T3760" i="34"/>
  <c r="U3760" i="34"/>
  <c r="V3760" i="34"/>
  <c r="W3760" i="34"/>
  <c r="X3760" i="34"/>
  <c r="Y3760" i="34"/>
  <c r="Z3760" i="34"/>
  <c r="N3761" i="34"/>
  <c r="O3761" i="34"/>
  <c r="P3761" i="34"/>
  <c r="Q3761" i="34"/>
  <c r="R3761" i="34"/>
  <c r="S3761" i="34"/>
  <c r="T3761" i="34"/>
  <c r="U3761" i="34"/>
  <c r="V3761" i="34"/>
  <c r="W3761" i="34"/>
  <c r="X3761" i="34"/>
  <c r="Y3761" i="34"/>
  <c r="Z3761" i="34"/>
  <c r="N3762" i="34"/>
  <c r="O3762" i="34"/>
  <c r="P3762" i="34"/>
  <c r="Q3762" i="34"/>
  <c r="R3762" i="34"/>
  <c r="S3762" i="34"/>
  <c r="T3762" i="34"/>
  <c r="U3762" i="34"/>
  <c r="V3762" i="34"/>
  <c r="W3762" i="34"/>
  <c r="X3762" i="34"/>
  <c r="Y3762" i="34"/>
  <c r="Z3762" i="34"/>
  <c r="N3763" i="34"/>
  <c r="O3763" i="34"/>
  <c r="P3763" i="34"/>
  <c r="Q3763" i="34"/>
  <c r="R3763" i="34"/>
  <c r="S3763" i="34"/>
  <c r="T3763" i="34"/>
  <c r="U3763" i="34"/>
  <c r="V3763" i="34"/>
  <c r="W3763" i="34"/>
  <c r="X3763" i="34"/>
  <c r="Y3763" i="34"/>
  <c r="Z3763" i="34"/>
  <c r="N3764" i="34"/>
  <c r="O3764" i="34"/>
  <c r="P3764" i="34"/>
  <c r="Q3764" i="34"/>
  <c r="R3764" i="34"/>
  <c r="S3764" i="34"/>
  <c r="T3764" i="34"/>
  <c r="U3764" i="34"/>
  <c r="V3764" i="34"/>
  <c r="W3764" i="34"/>
  <c r="X3764" i="34"/>
  <c r="Y3764" i="34"/>
  <c r="Z3764" i="34"/>
  <c r="N3765" i="34"/>
  <c r="O3765" i="34"/>
  <c r="P3765" i="34"/>
  <c r="Q3765" i="34"/>
  <c r="R3765" i="34"/>
  <c r="S3765" i="34"/>
  <c r="T3765" i="34"/>
  <c r="U3765" i="34"/>
  <c r="V3765" i="34"/>
  <c r="W3765" i="34"/>
  <c r="X3765" i="34"/>
  <c r="Y3765" i="34"/>
  <c r="Z3765" i="34"/>
  <c r="N3766" i="34"/>
  <c r="O3766" i="34"/>
  <c r="P3766" i="34"/>
  <c r="Q3766" i="34"/>
  <c r="R3766" i="34"/>
  <c r="S3766" i="34"/>
  <c r="T3766" i="34"/>
  <c r="U3766" i="34"/>
  <c r="V3766" i="34"/>
  <c r="W3766" i="34"/>
  <c r="X3766" i="34"/>
  <c r="Y3766" i="34"/>
  <c r="Z3766" i="34"/>
  <c r="N3767" i="34"/>
  <c r="O3767" i="34"/>
  <c r="P3767" i="34"/>
  <c r="Q3767" i="34"/>
  <c r="R3767" i="34"/>
  <c r="S3767" i="34"/>
  <c r="T3767" i="34"/>
  <c r="U3767" i="34"/>
  <c r="V3767" i="34"/>
  <c r="W3767" i="34"/>
  <c r="X3767" i="34"/>
  <c r="Y3767" i="34"/>
  <c r="Z3767" i="34"/>
  <c r="N3768" i="34"/>
  <c r="O3768" i="34"/>
  <c r="P3768" i="34"/>
  <c r="Q3768" i="34"/>
  <c r="R3768" i="34"/>
  <c r="S3768" i="34"/>
  <c r="T3768" i="34"/>
  <c r="U3768" i="34"/>
  <c r="V3768" i="34"/>
  <c r="W3768" i="34"/>
  <c r="X3768" i="34"/>
  <c r="Y3768" i="34"/>
  <c r="Z3768" i="34"/>
  <c r="N3769" i="34"/>
  <c r="O3769" i="34"/>
  <c r="P3769" i="34"/>
  <c r="Q3769" i="34"/>
  <c r="R3769" i="34"/>
  <c r="S3769" i="34"/>
  <c r="T3769" i="34"/>
  <c r="U3769" i="34"/>
  <c r="V3769" i="34"/>
  <c r="W3769" i="34"/>
  <c r="X3769" i="34"/>
  <c r="Y3769" i="34"/>
  <c r="Z3769" i="34"/>
  <c r="N3770" i="34"/>
  <c r="O3770" i="34"/>
  <c r="P3770" i="34"/>
  <c r="Q3770" i="34"/>
  <c r="R3770" i="34"/>
  <c r="S3770" i="34"/>
  <c r="T3770" i="34"/>
  <c r="U3770" i="34"/>
  <c r="V3770" i="34"/>
  <c r="W3770" i="34"/>
  <c r="X3770" i="34"/>
  <c r="Y3770" i="34"/>
  <c r="Z3770" i="34"/>
  <c r="N3771" i="34"/>
  <c r="O3771" i="34"/>
  <c r="P3771" i="34"/>
  <c r="Q3771" i="34"/>
  <c r="R3771" i="34"/>
  <c r="S3771" i="34"/>
  <c r="T3771" i="34"/>
  <c r="U3771" i="34"/>
  <c r="V3771" i="34"/>
  <c r="W3771" i="34"/>
  <c r="X3771" i="34"/>
  <c r="Y3771" i="34"/>
  <c r="Z3771" i="34"/>
  <c r="N3772" i="34"/>
  <c r="O3772" i="34"/>
  <c r="P3772" i="34"/>
  <c r="Q3772" i="34"/>
  <c r="R3772" i="34"/>
  <c r="S3772" i="34"/>
  <c r="T3772" i="34"/>
  <c r="U3772" i="34"/>
  <c r="V3772" i="34"/>
  <c r="W3772" i="34"/>
  <c r="X3772" i="34"/>
  <c r="Y3772" i="34"/>
  <c r="Z3772" i="34"/>
  <c r="N3773" i="34"/>
  <c r="O3773" i="34"/>
  <c r="P3773" i="34"/>
  <c r="Q3773" i="34"/>
  <c r="R3773" i="34"/>
  <c r="S3773" i="34"/>
  <c r="T3773" i="34"/>
  <c r="U3773" i="34"/>
  <c r="V3773" i="34"/>
  <c r="W3773" i="34"/>
  <c r="X3773" i="34"/>
  <c r="Y3773" i="34"/>
  <c r="Z3773" i="34"/>
  <c r="N3774" i="34"/>
  <c r="O3774" i="34"/>
  <c r="P3774" i="34"/>
  <c r="Q3774" i="34"/>
  <c r="R3774" i="34"/>
  <c r="S3774" i="34"/>
  <c r="T3774" i="34"/>
  <c r="U3774" i="34"/>
  <c r="V3774" i="34"/>
  <c r="W3774" i="34"/>
  <c r="X3774" i="34"/>
  <c r="Y3774" i="34"/>
  <c r="Z3774" i="34"/>
  <c r="N3775" i="34"/>
  <c r="O3775" i="34"/>
  <c r="P3775" i="34"/>
  <c r="Q3775" i="34"/>
  <c r="R3775" i="34"/>
  <c r="S3775" i="34"/>
  <c r="T3775" i="34"/>
  <c r="U3775" i="34"/>
  <c r="V3775" i="34"/>
  <c r="W3775" i="34"/>
  <c r="X3775" i="34"/>
  <c r="Y3775" i="34"/>
  <c r="Z3775" i="34"/>
  <c r="N3776" i="34"/>
  <c r="O3776" i="34"/>
  <c r="P3776" i="34"/>
  <c r="Q3776" i="34"/>
  <c r="R3776" i="34"/>
  <c r="S3776" i="34"/>
  <c r="T3776" i="34"/>
  <c r="U3776" i="34"/>
  <c r="V3776" i="34"/>
  <c r="W3776" i="34"/>
  <c r="X3776" i="34"/>
  <c r="Y3776" i="34"/>
  <c r="Z3776" i="34"/>
  <c r="N3777" i="34"/>
  <c r="O3777" i="34"/>
  <c r="P3777" i="34"/>
  <c r="Q3777" i="34"/>
  <c r="R3777" i="34"/>
  <c r="S3777" i="34"/>
  <c r="T3777" i="34"/>
  <c r="U3777" i="34"/>
  <c r="V3777" i="34"/>
  <c r="W3777" i="34"/>
  <c r="X3777" i="34"/>
  <c r="Y3777" i="34"/>
  <c r="Z3777" i="34"/>
  <c r="N3778" i="34"/>
  <c r="O3778" i="34"/>
  <c r="P3778" i="34"/>
  <c r="Q3778" i="34"/>
  <c r="R3778" i="34"/>
  <c r="S3778" i="34"/>
  <c r="T3778" i="34"/>
  <c r="U3778" i="34"/>
  <c r="V3778" i="34"/>
  <c r="W3778" i="34"/>
  <c r="X3778" i="34"/>
  <c r="Y3778" i="34"/>
  <c r="Z3778" i="34"/>
  <c r="N3779" i="34"/>
  <c r="O3779" i="34"/>
  <c r="P3779" i="34"/>
  <c r="Q3779" i="34"/>
  <c r="R3779" i="34"/>
  <c r="S3779" i="34"/>
  <c r="T3779" i="34"/>
  <c r="U3779" i="34"/>
  <c r="V3779" i="34"/>
  <c r="W3779" i="34"/>
  <c r="X3779" i="34"/>
  <c r="Y3779" i="34"/>
  <c r="Z3779" i="34"/>
  <c r="N3780" i="34"/>
  <c r="O3780" i="34"/>
  <c r="P3780" i="34"/>
  <c r="Q3780" i="34"/>
  <c r="R3780" i="34"/>
  <c r="S3780" i="34"/>
  <c r="T3780" i="34"/>
  <c r="U3780" i="34"/>
  <c r="V3780" i="34"/>
  <c r="W3780" i="34"/>
  <c r="X3780" i="34"/>
  <c r="Y3780" i="34"/>
  <c r="Z3780" i="34"/>
  <c r="N3781" i="34"/>
  <c r="O3781" i="34"/>
  <c r="P3781" i="34"/>
  <c r="Q3781" i="34"/>
  <c r="R3781" i="34"/>
  <c r="S3781" i="34"/>
  <c r="T3781" i="34"/>
  <c r="U3781" i="34"/>
  <c r="V3781" i="34"/>
  <c r="W3781" i="34"/>
  <c r="X3781" i="34"/>
  <c r="Y3781" i="34"/>
  <c r="Z3781" i="34"/>
  <c r="N3782" i="34"/>
  <c r="O3782" i="34"/>
  <c r="P3782" i="34"/>
  <c r="Q3782" i="34"/>
  <c r="R3782" i="34"/>
  <c r="S3782" i="34"/>
  <c r="T3782" i="34"/>
  <c r="U3782" i="34"/>
  <c r="V3782" i="34"/>
  <c r="W3782" i="34"/>
  <c r="X3782" i="34"/>
  <c r="Y3782" i="34"/>
  <c r="Z3782" i="34"/>
  <c r="N3783" i="34"/>
  <c r="O3783" i="34"/>
  <c r="P3783" i="34"/>
  <c r="Q3783" i="34"/>
  <c r="R3783" i="34"/>
  <c r="S3783" i="34"/>
  <c r="T3783" i="34"/>
  <c r="U3783" i="34"/>
  <c r="V3783" i="34"/>
  <c r="W3783" i="34"/>
  <c r="X3783" i="34"/>
  <c r="Y3783" i="34"/>
  <c r="Z3783" i="34"/>
  <c r="N3784" i="34"/>
  <c r="O3784" i="34"/>
  <c r="P3784" i="34"/>
  <c r="Q3784" i="34"/>
  <c r="R3784" i="34"/>
  <c r="S3784" i="34"/>
  <c r="T3784" i="34"/>
  <c r="U3784" i="34"/>
  <c r="V3784" i="34"/>
  <c r="W3784" i="34"/>
  <c r="X3784" i="34"/>
  <c r="Y3784" i="34"/>
  <c r="Z3784" i="34"/>
  <c r="N3785" i="34"/>
  <c r="O3785" i="34"/>
  <c r="P3785" i="34"/>
  <c r="Q3785" i="34"/>
  <c r="R3785" i="34"/>
  <c r="S3785" i="34"/>
  <c r="T3785" i="34"/>
  <c r="U3785" i="34"/>
  <c r="V3785" i="34"/>
  <c r="W3785" i="34"/>
  <c r="X3785" i="34"/>
  <c r="Y3785" i="34"/>
  <c r="Z3785" i="34"/>
  <c r="N3786" i="34"/>
  <c r="O3786" i="34"/>
  <c r="P3786" i="34"/>
  <c r="Q3786" i="34"/>
  <c r="R3786" i="34"/>
  <c r="S3786" i="34"/>
  <c r="T3786" i="34"/>
  <c r="U3786" i="34"/>
  <c r="V3786" i="34"/>
  <c r="W3786" i="34"/>
  <c r="X3786" i="34"/>
  <c r="Y3786" i="34"/>
  <c r="Z3786" i="34"/>
  <c r="N3787" i="34"/>
  <c r="O3787" i="34"/>
  <c r="P3787" i="34"/>
  <c r="Q3787" i="34"/>
  <c r="R3787" i="34"/>
  <c r="S3787" i="34"/>
  <c r="T3787" i="34"/>
  <c r="U3787" i="34"/>
  <c r="V3787" i="34"/>
  <c r="W3787" i="34"/>
  <c r="X3787" i="34"/>
  <c r="Y3787" i="34"/>
  <c r="Z3787" i="34"/>
  <c r="N3788" i="34"/>
  <c r="O3788" i="34"/>
  <c r="P3788" i="34"/>
  <c r="Q3788" i="34"/>
  <c r="R3788" i="34"/>
  <c r="S3788" i="34"/>
  <c r="T3788" i="34"/>
  <c r="U3788" i="34"/>
  <c r="V3788" i="34"/>
  <c r="W3788" i="34"/>
  <c r="X3788" i="34"/>
  <c r="Y3788" i="34"/>
  <c r="Z3788" i="34"/>
  <c r="N3789" i="34"/>
  <c r="O3789" i="34"/>
  <c r="P3789" i="34"/>
  <c r="Q3789" i="34"/>
  <c r="R3789" i="34"/>
  <c r="S3789" i="34"/>
  <c r="T3789" i="34"/>
  <c r="U3789" i="34"/>
  <c r="V3789" i="34"/>
  <c r="W3789" i="34"/>
  <c r="X3789" i="34"/>
  <c r="Y3789" i="34"/>
  <c r="Z3789" i="34"/>
  <c r="N3790" i="34"/>
  <c r="O3790" i="34"/>
  <c r="P3790" i="34"/>
  <c r="Q3790" i="34"/>
  <c r="R3790" i="34"/>
  <c r="S3790" i="34"/>
  <c r="T3790" i="34"/>
  <c r="U3790" i="34"/>
  <c r="V3790" i="34"/>
  <c r="W3790" i="34"/>
  <c r="X3790" i="34"/>
  <c r="Y3790" i="34"/>
  <c r="Z3790" i="34"/>
  <c r="N3791" i="34"/>
  <c r="O3791" i="34"/>
  <c r="P3791" i="34"/>
  <c r="Q3791" i="34"/>
  <c r="R3791" i="34"/>
  <c r="S3791" i="34"/>
  <c r="T3791" i="34"/>
  <c r="U3791" i="34"/>
  <c r="V3791" i="34"/>
  <c r="W3791" i="34"/>
  <c r="X3791" i="34"/>
  <c r="Y3791" i="34"/>
  <c r="Z3791" i="34"/>
  <c r="N3792" i="34"/>
  <c r="O3792" i="34"/>
  <c r="P3792" i="34"/>
  <c r="Q3792" i="34"/>
  <c r="R3792" i="34"/>
  <c r="S3792" i="34"/>
  <c r="T3792" i="34"/>
  <c r="U3792" i="34"/>
  <c r="V3792" i="34"/>
  <c r="W3792" i="34"/>
  <c r="X3792" i="34"/>
  <c r="Y3792" i="34"/>
  <c r="Z3792" i="34"/>
  <c r="N3793" i="34"/>
  <c r="O3793" i="34"/>
  <c r="P3793" i="34"/>
  <c r="Q3793" i="34"/>
  <c r="R3793" i="34"/>
  <c r="S3793" i="34"/>
  <c r="T3793" i="34"/>
  <c r="U3793" i="34"/>
  <c r="V3793" i="34"/>
  <c r="W3793" i="34"/>
  <c r="X3793" i="34"/>
  <c r="Y3793" i="34"/>
  <c r="Z3793" i="34"/>
  <c r="N3794" i="34"/>
  <c r="O3794" i="34"/>
  <c r="P3794" i="34"/>
  <c r="Q3794" i="34"/>
  <c r="R3794" i="34"/>
  <c r="S3794" i="34"/>
  <c r="T3794" i="34"/>
  <c r="U3794" i="34"/>
  <c r="V3794" i="34"/>
  <c r="W3794" i="34"/>
  <c r="X3794" i="34"/>
  <c r="Y3794" i="34"/>
  <c r="Z3794" i="34"/>
  <c r="N3795" i="34"/>
  <c r="O3795" i="34"/>
  <c r="P3795" i="34"/>
  <c r="Q3795" i="34"/>
  <c r="R3795" i="34"/>
  <c r="S3795" i="34"/>
  <c r="T3795" i="34"/>
  <c r="U3795" i="34"/>
  <c r="V3795" i="34"/>
  <c r="W3795" i="34"/>
  <c r="X3795" i="34"/>
  <c r="Y3795" i="34"/>
  <c r="Z3795" i="34"/>
  <c r="N3796" i="34"/>
  <c r="O3796" i="34"/>
  <c r="P3796" i="34"/>
  <c r="Q3796" i="34"/>
  <c r="R3796" i="34"/>
  <c r="S3796" i="34"/>
  <c r="T3796" i="34"/>
  <c r="U3796" i="34"/>
  <c r="V3796" i="34"/>
  <c r="W3796" i="34"/>
  <c r="X3796" i="34"/>
  <c r="Y3796" i="34"/>
  <c r="Z3796" i="34"/>
  <c r="N3797" i="34"/>
  <c r="O3797" i="34"/>
  <c r="P3797" i="34"/>
  <c r="Q3797" i="34"/>
  <c r="R3797" i="34"/>
  <c r="S3797" i="34"/>
  <c r="T3797" i="34"/>
  <c r="U3797" i="34"/>
  <c r="V3797" i="34"/>
  <c r="W3797" i="34"/>
  <c r="X3797" i="34"/>
  <c r="Y3797" i="34"/>
  <c r="Z3797" i="34"/>
  <c r="N3798" i="34"/>
  <c r="O3798" i="34"/>
  <c r="P3798" i="34"/>
  <c r="Q3798" i="34"/>
  <c r="R3798" i="34"/>
  <c r="S3798" i="34"/>
  <c r="T3798" i="34"/>
  <c r="U3798" i="34"/>
  <c r="V3798" i="34"/>
  <c r="W3798" i="34"/>
  <c r="X3798" i="34"/>
  <c r="Y3798" i="34"/>
  <c r="Z3798" i="34"/>
  <c r="N3799" i="34"/>
  <c r="O3799" i="34"/>
  <c r="P3799" i="34"/>
  <c r="Q3799" i="34"/>
  <c r="R3799" i="34"/>
  <c r="S3799" i="34"/>
  <c r="T3799" i="34"/>
  <c r="U3799" i="34"/>
  <c r="V3799" i="34"/>
  <c r="W3799" i="34"/>
  <c r="X3799" i="34"/>
  <c r="Y3799" i="34"/>
  <c r="Z3799" i="34"/>
  <c r="N3800" i="34"/>
  <c r="O3800" i="34"/>
  <c r="P3800" i="34"/>
  <c r="Q3800" i="34"/>
  <c r="R3800" i="34"/>
  <c r="S3800" i="34"/>
  <c r="T3800" i="34"/>
  <c r="U3800" i="34"/>
  <c r="V3800" i="34"/>
  <c r="W3800" i="34"/>
  <c r="X3800" i="34"/>
  <c r="Y3800" i="34"/>
  <c r="Z3800" i="34"/>
  <c r="N3801" i="34"/>
  <c r="O3801" i="34"/>
  <c r="P3801" i="34"/>
  <c r="Q3801" i="34"/>
  <c r="R3801" i="34"/>
  <c r="S3801" i="34"/>
  <c r="T3801" i="34"/>
  <c r="U3801" i="34"/>
  <c r="V3801" i="34"/>
  <c r="W3801" i="34"/>
  <c r="X3801" i="34"/>
  <c r="Y3801" i="34"/>
  <c r="Z3801" i="34"/>
  <c r="N3802" i="34"/>
  <c r="O3802" i="34"/>
  <c r="P3802" i="34"/>
  <c r="Q3802" i="34"/>
  <c r="R3802" i="34"/>
  <c r="S3802" i="34"/>
  <c r="T3802" i="34"/>
  <c r="U3802" i="34"/>
  <c r="V3802" i="34"/>
  <c r="W3802" i="34"/>
  <c r="X3802" i="34"/>
  <c r="Y3802" i="34"/>
  <c r="Z3802" i="34"/>
  <c r="N3803" i="34"/>
  <c r="O3803" i="34"/>
  <c r="P3803" i="34"/>
  <c r="Q3803" i="34"/>
  <c r="R3803" i="34"/>
  <c r="S3803" i="34"/>
  <c r="T3803" i="34"/>
  <c r="U3803" i="34"/>
  <c r="V3803" i="34"/>
  <c r="W3803" i="34"/>
  <c r="X3803" i="34"/>
  <c r="Y3803" i="34"/>
  <c r="Z3803" i="34"/>
  <c r="N3804" i="34"/>
  <c r="O3804" i="34"/>
  <c r="P3804" i="34"/>
  <c r="Q3804" i="34"/>
  <c r="R3804" i="34"/>
  <c r="S3804" i="34"/>
  <c r="T3804" i="34"/>
  <c r="U3804" i="34"/>
  <c r="V3804" i="34"/>
  <c r="W3804" i="34"/>
  <c r="X3804" i="34"/>
  <c r="Y3804" i="34"/>
  <c r="Z3804" i="34"/>
  <c r="N3805" i="34"/>
  <c r="O3805" i="34"/>
  <c r="P3805" i="34"/>
  <c r="Q3805" i="34"/>
  <c r="R3805" i="34"/>
  <c r="S3805" i="34"/>
  <c r="T3805" i="34"/>
  <c r="U3805" i="34"/>
  <c r="V3805" i="34"/>
  <c r="W3805" i="34"/>
  <c r="X3805" i="34"/>
  <c r="Y3805" i="34"/>
  <c r="Z3805" i="34"/>
  <c r="N3806" i="34"/>
  <c r="O3806" i="34"/>
  <c r="P3806" i="34"/>
  <c r="Q3806" i="34"/>
  <c r="R3806" i="34"/>
  <c r="S3806" i="34"/>
  <c r="T3806" i="34"/>
  <c r="U3806" i="34"/>
  <c r="V3806" i="34"/>
  <c r="W3806" i="34"/>
  <c r="X3806" i="34"/>
  <c r="Y3806" i="34"/>
  <c r="Z3806" i="34"/>
  <c r="N3807" i="34"/>
  <c r="O3807" i="34"/>
  <c r="P3807" i="34"/>
  <c r="Q3807" i="34"/>
  <c r="R3807" i="34"/>
  <c r="S3807" i="34"/>
  <c r="T3807" i="34"/>
  <c r="U3807" i="34"/>
  <c r="V3807" i="34"/>
  <c r="W3807" i="34"/>
  <c r="X3807" i="34"/>
  <c r="Y3807" i="34"/>
  <c r="Z3807" i="34"/>
  <c r="N3808" i="34"/>
  <c r="O3808" i="34"/>
  <c r="P3808" i="34"/>
  <c r="Q3808" i="34"/>
  <c r="R3808" i="34"/>
  <c r="S3808" i="34"/>
  <c r="T3808" i="34"/>
  <c r="U3808" i="34"/>
  <c r="V3808" i="34"/>
  <c r="W3808" i="34"/>
  <c r="X3808" i="34"/>
  <c r="Y3808" i="34"/>
  <c r="Z3808" i="34"/>
  <c r="N3809" i="34"/>
  <c r="O3809" i="34"/>
  <c r="P3809" i="34"/>
  <c r="Q3809" i="34"/>
  <c r="R3809" i="34"/>
  <c r="S3809" i="34"/>
  <c r="T3809" i="34"/>
  <c r="U3809" i="34"/>
  <c r="V3809" i="34"/>
  <c r="W3809" i="34"/>
  <c r="X3809" i="34"/>
  <c r="Y3809" i="34"/>
  <c r="Z3809" i="34"/>
  <c r="N3810" i="34"/>
  <c r="O3810" i="34"/>
  <c r="P3810" i="34"/>
  <c r="Q3810" i="34"/>
  <c r="R3810" i="34"/>
  <c r="S3810" i="34"/>
  <c r="T3810" i="34"/>
  <c r="U3810" i="34"/>
  <c r="V3810" i="34"/>
  <c r="W3810" i="34"/>
  <c r="X3810" i="34"/>
  <c r="Y3810" i="34"/>
  <c r="Z3810" i="34"/>
  <c r="N3811" i="34"/>
  <c r="O3811" i="34"/>
  <c r="P3811" i="34"/>
  <c r="Q3811" i="34"/>
  <c r="R3811" i="34"/>
  <c r="S3811" i="34"/>
  <c r="T3811" i="34"/>
  <c r="U3811" i="34"/>
  <c r="V3811" i="34"/>
  <c r="W3811" i="34"/>
  <c r="X3811" i="34"/>
  <c r="Y3811" i="34"/>
  <c r="Z3811" i="34"/>
  <c r="N3812" i="34"/>
  <c r="O3812" i="34"/>
  <c r="P3812" i="34"/>
  <c r="Q3812" i="34"/>
  <c r="R3812" i="34"/>
  <c r="S3812" i="34"/>
  <c r="T3812" i="34"/>
  <c r="U3812" i="34"/>
  <c r="V3812" i="34"/>
  <c r="W3812" i="34"/>
  <c r="X3812" i="34"/>
  <c r="Y3812" i="34"/>
  <c r="Z3812" i="34"/>
  <c r="N3813" i="34"/>
  <c r="O3813" i="34"/>
  <c r="P3813" i="34"/>
  <c r="Q3813" i="34"/>
  <c r="R3813" i="34"/>
  <c r="S3813" i="34"/>
  <c r="T3813" i="34"/>
  <c r="U3813" i="34"/>
  <c r="V3813" i="34"/>
  <c r="W3813" i="34"/>
  <c r="X3813" i="34"/>
  <c r="Y3813" i="34"/>
  <c r="Z3813" i="34"/>
  <c r="N3814" i="34"/>
  <c r="O3814" i="34"/>
  <c r="P3814" i="34"/>
  <c r="Q3814" i="34"/>
  <c r="R3814" i="34"/>
  <c r="S3814" i="34"/>
  <c r="T3814" i="34"/>
  <c r="U3814" i="34"/>
  <c r="V3814" i="34"/>
  <c r="W3814" i="34"/>
  <c r="X3814" i="34"/>
  <c r="Y3814" i="34"/>
  <c r="Z3814" i="34"/>
  <c r="N3815" i="34"/>
  <c r="O3815" i="34"/>
  <c r="P3815" i="34"/>
  <c r="Q3815" i="34"/>
  <c r="R3815" i="34"/>
  <c r="S3815" i="34"/>
  <c r="T3815" i="34"/>
  <c r="U3815" i="34"/>
  <c r="V3815" i="34"/>
  <c r="W3815" i="34"/>
  <c r="X3815" i="34"/>
  <c r="Y3815" i="34"/>
  <c r="Z3815" i="34"/>
  <c r="N3816" i="34"/>
  <c r="O3816" i="34"/>
  <c r="P3816" i="34"/>
  <c r="Q3816" i="34"/>
  <c r="R3816" i="34"/>
  <c r="S3816" i="34"/>
  <c r="T3816" i="34"/>
  <c r="U3816" i="34"/>
  <c r="V3816" i="34"/>
  <c r="W3816" i="34"/>
  <c r="X3816" i="34"/>
  <c r="Y3816" i="34"/>
  <c r="Z3816" i="34"/>
  <c r="N3817" i="34"/>
  <c r="O3817" i="34"/>
  <c r="P3817" i="34"/>
  <c r="Q3817" i="34"/>
  <c r="R3817" i="34"/>
  <c r="S3817" i="34"/>
  <c r="T3817" i="34"/>
  <c r="U3817" i="34"/>
  <c r="V3817" i="34"/>
  <c r="W3817" i="34"/>
  <c r="X3817" i="34"/>
  <c r="Y3817" i="34"/>
  <c r="Z3817" i="34"/>
  <c r="N3818" i="34"/>
  <c r="O3818" i="34"/>
  <c r="P3818" i="34"/>
  <c r="Q3818" i="34"/>
  <c r="R3818" i="34"/>
  <c r="S3818" i="34"/>
  <c r="T3818" i="34"/>
  <c r="U3818" i="34"/>
  <c r="V3818" i="34"/>
  <c r="W3818" i="34"/>
  <c r="X3818" i="34"/>
  <c r="Y3818" i="34"/>
  <c r="Z3818" i="34"/>
  <c r="N3819" i="34"/>
  <c r="O3819" i="34"/>
  <c r="P3819" i="34"/>
  <c r="Q3819" i="34"/>
  <c r="R3819" i="34"/>
  <c r="S3819" i="34"/>
  <c r="T3819" i="34"/>
  <c r="U3819" i="34"/>
  <c r="V3819" i="34"/>
  <c r="W3819" i="34"/>
  <c r="X3819" i="34"/>
  <c r="Y3819" i="34"/>
  <c r="Z3819" i="34"/>
  <c r="N3820" i="34"/>
  <c r="O3820" i="34"/>
  <c r="P3820" i="34"/>
  <c r="Q3820" i="34"/>
  <c r="R3820" i="34"/>
  <c r="S3820" i="34"/>
  <c r="T3820" i="34"/>
  <c r="U3820" i="34"/>
  <c r="V3820" i="34"/>
  <c r="W3820" i="34"/>
  <c r="X3820" i="34"/>
  <c r="Y3820" i="34"/>
  <c r="Z3820" i="34"/>
  <c r="N3821" i="34"/>
  <c r="O3821" i="34"/>
  <c r="P3821" i="34"/>
  <c r="Q3821" i="34"/>
  <c r="R3821" i="34"/>
  <c r="S3821" i="34"/>
  <c r="T3821" i="34"/>
  <c r="U3821" i="34"/>
  <c r="V3821" i="34"/>
  <c r="W3821" i="34"/>
  <c r="X3821" i="34"/>
  <c r="Y3821" i="34"/>
  <c r="Z3821" i="34"/>
  <c r="N3822" i="34"/>
  <c r="O3822" i="34"/>
  <c r="P3822" i="34"/>
  <c r="Q3822" i="34"/>
  <c r="R3822" i="34"/>
  <c r="S3822" i="34"/>
  <c r="T3822" i="34"/>
  <c r="U3822" i="34"/>
  <c r="V3822" i="34"/>
  <c r="W3822" i="34"/>
  <c r="X3822" i="34"/>
  <c r="Y3822" i="34"/>
  <c r="Z3822" i="34"/>
  <c r="N3823" i="34"/>
  <c r="O3823" i="34"/>
  <c r="P3823" i="34"/>
  <c r="Q3823" i="34"/>
  <c r="R3823" i="34"/>
  <c r="S3823" i="34"/>
  <c r="T3823" i="34"/>
  <c r="U3823" i="34"/>
  <c r="V3823" i="34"/>
  <c r="W3823" i="34"/>
  <c r="X3823" i="34"/>
  <c r="Y3823" i="34"/>
  <c r="Z3823" i="34"/>
  <c r="N3824" i="34"/>
  <c r="O3824" i="34"/>
  <c r="P3824" i="34"/>
  <c r="Q3824" i="34"/>
  <c r="R3824" i="34"/>
  <c r="S3824" i="34"/>
  <c r="T3824" i="34"/>
  <c r="U3824" i="34"/>
  <c r="V3824" i="34"/>
  <c r="W3824" i="34"/>
  <c r="X3824" i="34"/>
  <c r="Y3824" i="34"/>
  <c r="Z3824" i="34"/>
  <c r="N3825" i="34"/>
  <c r="O3825" i="34"/>
  <c r="P3825" i="34"/>
  <c r="Q3825" i="34"/>
  <c r="R3825" i="34"/>
  <c r="S3825" i="34"/>
  <c r="T3825" i="34"/>
  <c r="U3825" i="34"/>
  <c r="V3825" i="34"/>
  <c r="W3825" i="34"/>
  <c r="X3825" i="34"/>
  <c r="Y3825" i="34"/>
  <c r="Z3825" i="34"/>
  <c r="N3826" i="34"/>
  <c r="O3826" i="34"/>
  <c r="P3826" i="34"/>
  <c r="Q3826" i="34"/>
  <c r="R3826" i="34"/>
  <c r="S3826" i="34"/>
  <c r="T3826" i="34"/>
  <c r="U3826" i="34"/>
  <c r="V3826" i="34"/>
  <c r="W3826" i="34"/>
  <c r="X3826" i="34"/>
  <c r="Y3826" i="34"/>
  <c r="Z3826" i="34"/>
  <c r="N3827" i="34"/>
  <c r="O3827" i="34"/>
  <c r="P3827" i="34"/>
  <c r="Q3827" i="34"/>
  <c r="R3827" i="34"/>
  <c r="S3827" i="34"/>
  <c r="T3827" i="34"/>
  <c r="U3827" i="34"/>
  <c r="V3827" i="34"/>
  <c r="W3827" i="34"/>
  <c r="X3827" i="34"/>
  <c r="Y3827" i="34"/>
  <c r="Z3827" i="34"/>
  <c r="N3828" i="34"/>
  <c r="O3828" i="34"/>
  <c r="P3828" i="34"/>
  <c r="Q3828" i="34"/>
  <c r="R3828" i="34"/>
  <c r="S3828" i="34"/>
  <c r="T3828" i="34"/>
  <c r="U3828" i="34"/>
  <c r="V3828" i="34"/>
  <c r="W3828" i="34"/>
  <c r="X3828" i="34"/>
  <c r="Y3828" i="34"/>
  <c r="Z3828" i="34"/>
  <c r="N3829" i="34"/>
  <c r="O3829" i="34"/>
  <c r="P3829" i="34"/>
  <c r="Q3829" i="34"/>
  <c r="R3829" i="34"/>
  <c r="S3829" i="34"/>
  <c r="T3829" i="34"/>
  <c r="U3829" i="34"/>
  <c r="V3829" i="34"/>
  <c r="W3829" i="34"/>
  <c r="X3829" i="34"/>
  <c r="Y3829" i="34"/>
  <c r="Z3829" i="34"/>
  <c r="N3830" i="34"/>
  <c r="O3830" i="34"/>
  <c r="P3830" i="34"/>
  <c r="Q3830" i="34"/>
  <c r="R3830" i="34"/>
  <c r="S3830" i="34"/>
  <c r="T3830" i="34"/>
  <c r="U3830" i="34"/>
  <c r="V3830" i="34"/>
  <c r="W3830" i="34"/>
  <c r="X3830" i="34"/>
  <c r="Y3830" i="34"/>
  <c r="Z3830" i="34"/>
  <c r="N3831" i="34"/>
  <c r="O3831" i="34"/>
  <c r="P3831" i="34"/>
  <c r="Q3831" i="34"/>
  <c r="R3831" i="34"/>
  <c r="S3831" i="34"/>
  <c r="T3831" i="34"/>
  <c r="U3831" i="34"/>
  <c r="V3831" i="34"/>
  <c r="W3831" i="34"/>
  <c r="X3831" i="34"/>
  <c r="Y3831" i="34"/>
  <c r="Z3831" i="34"/>
  <c r="N3832" i="34"/>
  <c r="O3832" i="34"/>
  <c r="P3832" i="34"/>
  <c r="Q3832" i="34"/>
  <c r="R3832" i="34"/>
  <c r="S3832" i="34"/>
  <c r="T3832" i="34"/>
  <c r="U3832" i="34"/>
  <c r="V3832" i="34"/>
  <c r="W3832" i="34"/>
  <c r="X3832" i="34"/>
  <c r="Y3832" i="34"/>
  <c r="Z3832" i="34"/>
  <c r="N3833" i="34"/>
  <c r="O3833" i="34"/>
  <c r="P3833" i="34"/>
  <c r="Q3833" i="34"/>
  <c r="R3833" i="34"/>
  <c r="S3833" i="34"/>
  <c r="T3833" i="34"/>
  <c r="U3833" i="34"/>
  <c r="V3833" i="34"/>
  <c r="W3833" i="34"/>
  <c r="X3833" i="34"/>
  <c r="Y3833" i="34"/>
  <c r="Z3833" i="34"/>
  <c r="N3834" i="34"/>
  <c r="O3834" i="34"/>
  <c r="P3834" i="34"/>
  <c r="Q3834" i="34"/>
  <c r="R3834" i="34"/>
  <c r="S3834" i="34"/>
  <c r="T3834" i="34"/>
  <c r="U3834" i="34"/>
  <c r="V3834" i="34"/>
  <c r="W3834" i="34"/>
  <c r="X3834" i="34"/>
  <c r="Y3834" i="34"/>
  <c r="Z3834" i="34"/>
  <c r="N3835" i="34"/>
  <c r="O3835" i="34"/>
  <c r="P3835" i="34"/>
  <c r="Q3835" i="34"/>
  <c r="R3835" i="34"/>
  <c r="S3835" i="34"/>
  <c r="T3835" i="34"/>
  <c r="U3835" i="34"/>
  <c r="V3835" i="34"/>
  <c r="W3835" i="34"/>
  <c r="X3835" i="34"/>
  <c r="Y3835" i="34"/>
  <c r="Z3835" i="34"/>
  <c r="N3836" i="34"/>
  <c r="O3836" i="34"/>
  <c r="P3836" i="34"/>
  <c r="Q3836" i="34"/>
  <c r="R3836" i="34"/>
  <c r="S3836" i="34"/>
  <c r="T3836" i="34"/>
  <c r="U3836" i="34"/>
  <c r="V3836" i="34"/>
  <c r="W3836" i="34"/>
  <c r="X3836" i="34"/>
  <c r="Y3836" i="34"/>
  <c r="Z3836" i="34"/>
  <c r="N3837" i="34"/>
  <c r="O3837" i="34"/>
  <c r="P3837" i="34"/>
  <c r="Q3837" i="34"/>
  <c r="R3837" i="34"/>
  <c r="S3837" i="34"/>
  <c r="T3837" i="34"/>
  <c r="U3837" i="34"/>
  <c r="V3837" i="34"/>
  <c r="W3837" i="34"/>
  <c r="X3837" i="34"/>
  <c r="Y3837" i="34"/>
  <c r="Z3837" i="34"/>
  <c r="N3838" i="34"/>
  <c r="O3838" i="34"/>
  <c r="P3838" i="34"/>
  <c r="Q3838" i="34"/>
  <c r="R3838" i="34"/>
  <c r="S3838" i="34"/>
  <c r="T3838" i="34"/>
  <c r="U3838" i="34"/>
  <c r="V3838" i="34"/>
  <c r="W3838" i="34"/>
  <c r="X3838" i="34"/>
  <c r="Y3838" i="34"/>
  <c r="Z3838" i="34"/>
  <c r="N3839" i="34"/>
  <c r="O3839" i="34"/>
  <c r="P3839" i="34"/>
  <c r="Q3839" i="34"/>
  <c r="R3839" i="34"/>
  <c r="S3839" i="34"/>
  <c r="T3839" i="34"/>
  <c r="U3839" i="34"/>
  <c r="V3839" i="34"/>
  <c r="W3839" i="34"/>
  <c r="X3839" i="34"/>
  <c r="Y3839" i="34"/>
  <c r="Z3839" i="34"/>
  <c r="N3840" i="34"/>
  <c r="O3840" i="34"/>
  <c r="P3840" i="34"/>
  <c r="Q3840" i="34"/>
  <c r="R3840" i="34"/>
  <c r="S3840" i="34"/>
  <c r="T3840" i="34"/>
  <c r="U3840" i="34"/>
  <c r="V3840" i="34"/>
  <c r="W3840" i="34"/>
  <c r="X3840" i="34"/>
  <c r="Y3840" i="34"/>
  <c r="Z3840" i="34"/>
  <c r="N3841" i="34"/>
  <c r="O3841" i="34"/>
  <c r="P3841" i="34"/>
  <c r="Q3841" i="34"/>
  <c r="R3841" i="34"/>
  <c r="S3841" i="34"/>
  <c r="T3841" i="34"/>
  <c r="U3841" i="34"/>
  <c r="V3841" i="34"/>
  <c r="W3841" i="34"/>
  <c r="X3841" i="34"/>
  <c r="Y3841" i="34"/>
  <c r="Z3841" i="34"/>
  <c r="N3842" i="34"/>
  <c r="O3842" i="34"/>
  <c r="P3842" i="34"/>
  <c r="Q3842" i="34"/>
  <c r="R3842" i="34"/>
  <c r="S3842" i="34"/>
  <c r="T3842" i="34"/>
  <c r="U3842" i="34"/>
  <c r="V3842" i="34"/>
  <c r="W3842" i="34"/>
  <c r="X3842" i="34"/>
  <c r="Y3842" i="34"/>
  <c r="Z3842" i="34"/>
  <c r="N3843" i="34"/>
  <c r="O3843" i="34"/>
  <c r="P3843" i="34"/>
  <c r="Q3843" i="34"/>
  <c r="R3843" i="34"/>
  <c r="S3843" i="34"/>
  <c r="T3843" i="34"/>
  <c r="U3843" i="34"/>
  <c r="V3843" i="34"/>
  <c r="W3843" i="34"/>
  <c r="X3843" i="34"/>
  <c r="Y3843" i="34"/>
  <c r="Z3843" i="34"/>
  <c r="N3844" i="34"/>
  <c r="O3844" i="34"/>
  <c r="P3844" i="34"/>
  <c r="Q3844" i="34"/>
  <c r="R3844" i="34"/>
  <c r="S3844" i="34"/>
  <c r="T3844" i="34"/>
  <c r="U3844" i="34"/>
  <c r="V3844" i="34"/>
  <c r="W3844" i="34"/>
  <c r="X3844" i="34"/>
  <c r="Y3844" i="34"/>
  <c r="Z3844" i="34"/>
  <c r="N3845" i="34"/>
  <c r="O3845" i="34"/>
  <c r="P3845" i="34"/>
  <c r="Q3845" i="34"/>
  <c r="R3845" i="34"/>
  <c r="S3845" i="34"/>
  <c r="T3845" i="34"/>
  <c r="U3845" i="34"/>
  <c r="V3845" i="34"/>
  <c r="W3845" i="34"/>
  <c r="X3845" i="34"/>
  <c r="Y3845" i="34"/>
  <c r="Z3845" i="34"/>
  <c r="N3846" i="34"/>
  <c r="O3846" i="34"/>
  <c r="P3846" i="34"/>
  <c r="Q3846" i="34"/>
  <c r="R3846" i="34"/>
  <c r="S3846" i="34"/>
  <c r="T3846" i="34"/>
  <c r="U3846" i="34"/>
  <c r="V3846" i="34"/>
  <c r="W3846" i="34"/>
  <c r="X3846" i="34"/>
  <c r="Y3846" i="34"/>
  <c r="Z3846" i="34"/>
  <c r="N3847" i="34"/>
  <c r="O3847" i="34"/>
  <c r="P3847" i="34"/>
  <c r="Q3847" i="34"/>
  <c r="R3847" i="34"/>
  <c r="S3847" i="34"/>
  <c r="T3847" i="34"/>
  <c r="U3847" i="34"/>
  <c r="V3847" i="34"/>
  <c r="W3847" i="34"/>
  <c r="X3847" i="34"/>
  <c r="Y3847" i="34"/>
  <c r="Z3847" i="34"/>
  <c r="N3848" i="34"/>
  <c r="O3848" i="34"/>
  <c r="P3848" i="34"/>
  <c r="Q3848" i="34"/>
  <c r="R3848" i="34"/>
  <c r="S3848" i="34"/>
  <c r="T3848" i="34"/>
  <c r="U3848" i="34"/>
  <c r="V3848" i="34"/>
  <c r="W3848" i="34"/>
  <c r="X3848" i="34"/>
  <c r="Y3848" i="34"/>
  <c r="Z3848" i="34"/>
  <c r="N3849" i="34"/>
  <c r="O3849" i="34"/>
  <c r="P3849" i="34"/>
  <c r="Q3849" i="34"/>
  <c r="R3849" i="34"/>
  <c r="S3849" i="34"/>
  <c r="T3849" i="34"/>
  <c r="U3849" i="34"/>
  <c r="V3849" i="34"/>
  <c r="W3849" i="34"/>
  <c r="X3849" i="34"/>
  <c r="Y3849" i="34"/>
  <c r="Z3849" i="34"/>
  <c r="N3850" i="34"/>
  <c r="O3850" i="34"/>
  <c r="P3850" i="34"/>
  <c r="Q3850" i="34"/>
  <c r="R3850" i="34"/>
  <c r="S3850" i="34"/>
  <c r="T3850" i="34"/>
  <c r="U3850" i="34"/>
  <c r="V3850" i="34"/>
  <c r="W3850" i="34"/>
  <c r="X3850" i="34"/>
  <c r="Y3850" i="34"/>
  <c r="Z3850" i="34"/>
  <c r="N3851" i="34"/>
  <c r="O3851" i="34"/>
  <c r="P3851" i="34"/>
  <c r="Q3851" i="34"/>
  <c r="R3851" i="34"/>
  <c r="S3851" i="34"/>
  <c r="T3851" i="34"/>
  <c r="U3851" i="34"/>
  <c r="V3851" i="34"/>
  <c r="W3851" i="34"/>
  <c r="X3851" i="34"/>
  <c r="Y3851" i="34"/>
  <c r="Z3851" i="34"/>
  <c r="N3852" i="34"/>
  <c r="O3852" i="34"/>
  <c r="P3852" i="34"/>
  <c r="Q3852" i="34"/>
  <c r="R3852" i="34"/>
  <c r="S3852" i="34"/>
  <c r="T3852" i="34"/>
  <c r="U3852" i="34"/>
  <c r="V3852" i="34"/>
  <c r="W3852" i="34"/>
  <c r="X3852" i="34"/>
  <c r="Y3852" i="34"/>
  <c r="Z3852" i="34"/>
  <c r="N3853" i="34"/>
  <c r="O3853" i="34"/>
  <c r="P3853" i="34"/>
  <c r="Q3853" i="34"/>
  <c r="R3853" i="34"/>
  <c r="S3853" i="34"/>
  <c r="T3853" i="34"/>
  <c r="U3853" i="34"/>
  <c r="V3853" i="34"/>
  <c r="W3853" i="34"/>
  <c r="X3853" i="34"/>
  <c r="Y3853" i="34"/>
  <c r="Z3853" i="34"/>
  <c r="N3854" i="34"/>
  <c r="O3854" i="34"/>
  <c r="P3854" i="34"/>
  <c r="Q3854" i="34"/>
  <c r="R3854" i="34"/>
  <c r="S3854" i="34"/>
  <c r="T3854" i="34"/>
  <c r="U3854" i="34"/>
  <c r="V3854" i="34"/>
  <c r="W3854" i="34"/>
  <c r="X3854" i="34"/>
  <c r="Y3854" i="34"/>
  <c r="Z3854" i="34"/>
  <c r="N3855" i="34"/>
  <c r="O3855" i="34"/>
  <c r="P3855" i="34"/>
  <c r="Q3855" i="34"/>
  <c r="R3855" i="34"/>
  <c r="S3855" i="34"/>
  <c r="T3855" i="34"/>
  <c r="U3855" i="34"/>
  <c r="V3855" i="34"/>
  <c r="W3855" i="34"/>
  <c r="X3855" i="34"/>
  <c r="Y3855" i="34"/>
  <c r="Z3855" i="34"/>
  <c r="N3856" i="34"/>
  <c r="O3856" i="34"/>
  <c r="P3856" i="34"/>
  <c r="Q3856" i="34"/>
  <c r="R3856" i="34"/>
  <c r="S3856" i="34"/>
  <c r="T3856" i="34"/>
  <c r="U3856" i="34"/>
  <c r="V3856" i="34"/>
  <c r="W3856" i="34"/>
  <c r="X3856" i="34"/>
  <c r="Y3856" i="34"/>
  <c r="Z3856" i="34"/>
  <c r="N3857" i="34"/>
  <c r="O3857" i="34"/>
  <c r="P3857" i="34"/>
  <c r="Q3857" i="34"/>
  <c r="R3857" i="34"/>
  <c r="S3857" i="34"/>
  <c r="T3857" i="34"/>
  <c r="U3857" i="34"/>
  <c r="V3857" i="34"/>
  <c r="W3857" i="34"/>
  <c r="X3857" i="34"/>
  <c r="Y3857" i="34"/>
  <c r="Z3857" i="34"/>
  <c r="N3858" i="34"/>
  <c r="O3858" i="34"/>
  <c r="P3858" i="34"/>
  <c r="Q3858" i="34"/>
  <c r="R3858" i="34"/>
  <c r="S3858" i="34"/>
  <c r="T3858" i="34"/>
  <c r="U3858" i="34"/>
  <c r="V3858" i="34"/>
  <c r="W3858" i="34"/>
  <c r="X3858" i="34"/>
  <c r="Y3858" i="34"/>
  <c r="Z3858" i="34"/>
  <c r="N3859" i="34"/>
  <c r="O3859" i="34"/>
  <c r="P3859" i="34"/>
  <c r="Q3859" i="34"/>
  <c r="R3859" i="34"/>
  <c r="S3859" i="34"/>
  <c r="T3859" i="34"/>
  <c r="U3859" i="34"/>
  <c r="V3859" i="34"/>
  <c r="W3859" i="34"/>
  <c r="X3859" i="34"/>
  <c r="Y3859" i="34"/>
  <c r="Z3859" i="34"/>
  <c r="N3860" i="34"/>
  <c r="O3860" i="34"/>
  <c r="P3860" i="34"/>
  <c r="Q3860" i="34"/>
  <c r="R3860" i="34"/>
  <c r="S3860" i="34"/>
  <c r="T3860" i="34"/>
  <c r="U3860" i="34"/>
  <c r="V3860" i="34"/>
  <c r="W3860" i="34"/>
  <c r="X3860" i="34"/>
  <c r="Y3860" i="34"/>
  <c r="Z3860" i="34"/>
  <c r="N3861" i="34"/>
  <c r="O3861" i="34"/>
  <c r="P3861" i="34"/>
  <c r="Q3861" i="34"/>
  <c r="R3861" i="34"/>
  <c r="S3861" i="34"/>
  <c r="T3861" i="34"/>
  <c r="U3861" i="34"/>
  <c r="V3861" i="34"/>
  <c r="W3861" i="34"/>
  <c r="X3861" i="34"/>
  <c r="Y3861" i="34"/>
  <c r="Z3861" i="34"/>
  <c r="N3862" i="34"/>
  <c r="O3862" i="34"/>
  <c r="P3862" i="34"/>
  <c r="Q3862" i="34"/>
  <c r="R3862" i="34"/>
  <c r="S3862" i="34"/>
  <c r="T3862" i="34"/>
  <c r="U3862" i="34"/>
  <c r="V3862" i="34"/>
  <c r="W3862" i="34"/>
  <c r="X3862" i="34"/>
  <c r="Y3862" i="34"/>
  <c r="Z3862" i="34"/>
  <c r="N3863" i="34"/>
  <c r="O3863" i="34"/>
  <c r="P3863" i="34"/>
  <c r="Q3863" i="34"/>
  <c r="R3863" i="34"/>
  <c r="S3863" i="34"/>
  <c r="T3863" i="34"/>
  <c r="U3863" i="34"/>
  <c r="V3863" i="34"/>
  <c r="W3863" i="34"/>
  <c r="X3863" i="34"/>
  <c r="Y3863" i="34"/>
  <c r="Z3863" i="34"/>
  <c r="N3864" i="34"/>
  <c r="O3864" i="34"/>
  <c r="P3864" i="34"/>
  <c r="Q3864" i="34"/>
  <c r="R3864" i="34"/>
  <c r="S3864" i="34"/>
  <c r="T3864" i="34"/>
  <c r="U3864" i="34"/>
  <c r="V3864" i="34"/>
  <c r="W3864" i="34"/>
  <c r="X3864" i="34"/>
  <c r="Y3864" i="34"/>
  <c r="Z3864" i="34"/>
  <c r="N3865" i="34"/>
  <c r="O3865" i="34"/>
  <c r="P3865" i="34"/>
  <c r="Q3865" i="34"/>
  <c r="R3865" i="34"/>
  <c r="S3865" i="34"/>
  <c r="T3865" i="34"/>
  <c r="U3865" i="34"/>
  <c r="V3865" i="34"/>
  <c r="W3865" i="34"/>
  <c r="X3865" i="34"/>
  <c r="Y3865" i="34"/>
  <c r="Z3865" i="34"/>
  <c r="N3866" i="34"/>
  <c r="O3866" i="34"/>
  <c r="P3866" i="34"/>
  <c r="Q3866" i="34"/>
  <c r="R3866" i="34"/>
  <c r="S3866" i="34"/>
  <c r="T3866" i="34"/>
  <c r="U3866" i="34"/>
  <c r="V3866" i="34"/>
  <c r="W3866" i="34"/>
  <c r="X3866" i="34"/>
  <c r="Y3866" i="34"/>
  <c r="Z3866" i="34"/>
  <c r="N3867" i="34"/>
  <c r="O3867" i="34"/>
  <c r="P3867" i="34"/>
  <c r="Q3867" i="34"/>
  <c r="R3867" i="34"/>
  <c r="S3867" i="34"/>
  <c r="T3867" i="34"/>
  <c r="U3867" i="34"/>
  <c r="V3867" i="34"/>
  <c r="W3867" i="34"/>
  <c r="X3867" i="34"/>
  <c r="Y3867" i="34"/>
  <c r="Z3867" i="34"/>
  <c r="N3868" i="34"/>
  <c r="O3868" i="34"/>
  <c r="P3868" i="34"/>
  <c r="Q3868" i="34"/>
  <c r="R3868" i="34"/>
  <c r="S3868" i="34"/>
  <c r="T3868" i="34"/>
  <c r="U3868" i="34"/>
  <c r="V3868" i="34"/>
  <c r="W3868" i="34"/>
  <c r="X3868" i="34"/>
  <c r="Y3868" i="34"/>
  <c r="Z3868" i="34"/>
  <c r="N3869" i="34"/>
  <c r="O3869" i="34"/>
  <c r="P3869" i="34"/>
  <c r="Q3869" i="34"/>
  <c r="R3869" i="34"/>
  <c r="S3869" i="34"/>
  <c r="T3869" i="34"/>
  <c r="U3869" i="34"/>
  <c r="V3869" i="34"/>
  <c r="W3869" i="34"/>
  <c r="X3869" i="34"/>
  <c r="Y3869" i="34"/>
  <c r="Z3869" i="34"/>
  <c r="N3870" i="34"/>
  <c r="O3870" i="34"/>
  <c r="P3870" i="34"/>
  <c r="Q3870" i="34"/>
  <c r="R3870" i="34"/>
  <c r="S3870" i="34"/>
  <c r="T3870" i="34"/>
  <c r="U3870" i="34"/>
  <c r="V3870" i="34"/>
  <c r="W3870" i="34"/>
  <c r="X3870" i="34"/>
  <c r="Y3870" i="34"/>
  <c r="Z3870" i="34"/>
  <c r="N3871" i="34"/>
  <c r="O3871" i="34"/>
  <c r="P3871" i="34"/>
  <c r="Q3871" i="34"/>
  <c r="R3871" i="34"/>
  <c r="S3871" i="34"/>
  <c r="T3871" i="34"/>
  <c r="U3871" i="34"/>
  <c r="V3871" i="34"/>
  <c r="W3871" i="34"/>
  <c r="X3871" i="34"/>
  <c r="Y3871" i="34"/>
  <c r="Z3871" i="34"/>
  <c r="N3872" i="34"/>
  <c r="O3872" i="34"/>
  <c r="P3872" i="34"/>
  <c r="Q3872" i="34"/>
  <c r="R3872" i="34"/>
  <c r="S3872" i="34"/>
  <c r="T3872" i="34"/>
  <c r="U3872" i="34"/>
  <c r="V3872" i="34"/>
  <c r="W3872" i="34"/>
  <c r="X3872" i="34"/>
  <c r="Y3872" i="34"/>
  <c r="Z3872" i="34"/>
  <c r="N3873" i="34"/>
  <c r="O3873" i="34"/>
  <c r="P3873" i="34"/>
  <c r="Q3873" i="34"/>
  <c r="R3873" i="34"/>
  <c r="S3873" i="34"/>
  <c r="T3873" i="34"/>
  <c r="U3873" i="34"/>
  <c r="V3873" i="34"/>
  <c r="W3873" i="34"/>
  <c r="X3873" i="34"/>
  <c r="Y3873" i="34"/>
  <c r="Z3873" i="34"/>
  <c r="N3874" i="34"/>
  <c r="O3874" i="34"/>
  <c r="P3874" i="34"/>
  <c r="Q3874" i="34"/>
  <c r="R3874" i="34"/>
  <c r="S3874" i="34"/>
  <c r="T3874" i="34"/>
  <c r="U3874" i="34"/>
  <c r="V3874" i="34"/>
  <c r="W3874" i="34"/>
  <c r="X3874" i="34"/>
  <c r="Y3874" i="34"/>
  <c r="Z3874" i="34"/>
  <c r="N3875" i="34"/>
  <c r="O3875" i="34"/>
  <c r="P3875" i="34"/>
  <c r="Q3875" i="34"/>
  <c r="R3875" i="34"/>
  <c r="S3875" i="34"/>
  <c r="T3875" i="34"/>
  <c r="U3875" i="34"/>
  <c r="V3875" i="34"/>
  <c r="W3875" i="34"/>
  <c r="X3875" i="34"/>
  <c r="Y3875" i="34"/>
  <c r="Z3875" i="34"/>
  <c r="N3876" i="34"/>
  <c r="O3876" i="34"/>
  <c r="P3876" i="34"/>
  <c r="Q3876" i="34"/>
  <c r="R3876" i="34"/>
  <c r="S3876" i="34"/>
  <c r="T3876" i="34"/>
  <c r="U3876" i="34"/>
  <c r="V3876" i="34"/>
  <c r="W3876" i="34"/>
  <c r="X3876" i="34"/>
  <c r="Y3876" i="34"/>
  <c r="Z3876" i="34"/>
  <c r="N3877" i="34"/>
  <c r="O3877" i="34"/>
  <c r="P3877" i="34"/>
  <c r="Q3877" i="34"/>
  <c r="R3877" i="34"/>
  <c r="S3877" i="34"/>
  <c r="T3877" i="34"/>
  <c r="U3877" i="34"/>
  <c r="V3877" i="34"/>
  <c r="W3877" i="34"/>
  <c r="X3877" i="34"/>
  <c r="Y3877" i="34"/>
  <c r="Z3877" i="34"/>
  <c r="N3878" i="34"/>
  <c r="O3878" i="34"/>
  <c r="P3878" i="34"/>
  <c r="Q3878" i="34"/>
  <c r="R3878" i="34"/>
  <c r="S3878" i="34"/>
  <c r="T3878" i="34"/>
  <c r="U3878" i="34"/>
  <c r="V3878" i="34"/>
  <c r="W3878" i="34"/>
  <c r="X3878" i="34"/>
  <c r="Y3878" i="34"/>
  <c r="Z3878" i="34"/>
  <c r="N3879" i="34"/>
  <c r="O3879" i="34"/>
  <c r="P3879" i="34"/>
  <c r="Q3879" i="34"/>
  <c r="R3879" i="34"/>
  <c r="S3879" i="34"/>
  <c r="T3879" i="34"/>
  <c r="U3879" i="34"/>
  <c r="V3879" i="34"/>
  <c r="W3879" i="34"/>
  <c r="X3879" i="34"/>
  <c r="Y3879" i="34"/>
  <c r="Z3879" i="34"/>
  <c r="N3880" i="34"/>
  <c r="O3880" i="34"/>
  <c r="P3880" i="34"/>
  <c r="Q3880" i="34"/>
  <c r="R3880" i="34"/>
  <c r="S3880" i="34"/>
  <c r="T3880" i="34"/>
  <c r="U3880" i="34"/>
  <c r="V3880" i="34"/>
  <c r="W3880" i="34"/>
  <c r="X3880" i="34"/>
  <c r="Y3880" i="34"/>
  <c r="Z3880" i="34"/>
  <c r="N3881" i="34"/>
  <c r="O3881" i="34"/>
  <c r="P3881" i="34"/>
  <c r="Q3881" i="34"/>
  <c r="R3881" i="34"/>
  <c r="S3881" i="34"/>
  <c r="T3881" i="34"/>
  <c r="U3881" i="34"/>
  <c r="V3881" i="34"/>
  <c r="W3881" i="34"/>
  <c r="X3881" i="34"/>
  <c r="Y3881" i="34"/>
  <c r="Z3881" i="34"/>
  <c r="N3882" i="34"/>
  <c r="O3882" i="34"/>
  <c r="P3882" i="34"/>
  <c r="Q3882" i="34"/>
  <c r="R3882" i="34"/>
  <c r="S3882" i="34"/>
  <c r="T3882" i="34"/>
  <c r="U3882" i="34"/>
  <c r="V3882" i="34"/>
  <c r="W3882" i="34"/>
  <c r="X3882" i="34"/>
  <c r="Y3882" i="34"/>
  <c r="Z3882" i="34"/>
  <c r="N3883" i="34"/>
  <c r="O3883" i="34"/>
  <c r="P3883" i="34"/>
  <c r="Q3883" i="34"/>
  <c r="R3883" i="34"/>
  <c r="S3883" i="34"/>
  <c r="T3883" i="34"/>
  <c r="U3883" i="34"/>
  <c r="V3883" i="34"/>
  <c r="W3883" i="34"/>
  <c r="X3883" i="34"/>
  <c r="Y3883" i="34"/>
  <c r="Z3883" i="34"/>
  <c r="N3884" i="34"/>
  <c r="O3884" i="34"/>
  <c r="P3884" i="34"/>
  <c r="Q3884" i="34"/>
  <c r="R3884" i="34"/>
  <c r="S3884" i="34"/>
  <c r="T3884" i="34"/>
  <c r="U3884" i="34"/>
  <c r="V3884" i="34"/>
  <c r="W3884" i="34"/>
  <c r="X3884" i="34"/>
  <c r="Y3884" i="34"/>
  <c r="Z3884" i="34"/>
  <c r="N3885" i="34"/>
  <c r="O3885" i="34"/>
  <c r="P3885" i="34"/>
  <c r="Q3885" i="34"/>
  <c r="R3885" i="34"/>
  <c r="S3885" i="34"/>
  <c r="T3885" i="34"/>
  <c r="U3885" i="34"/>
  <c r="V3885" i="34"/>
  <c r="W3885" i="34"/>
  <c r="X3885" i="34"/>
  <c r="Y3885" i="34"/>
  <c r="Z3885" i="34"/>
  <c r="N3886" i="34"/>
  <c r="O3886" i="34"/>
  <c r="P3886" i="34"/>
  <c r="Q3886" i="34"/>
  <c r="R3886" i="34"/>
  <c r="S3886" i="34"/>
  <c r="T3886" i="34"/>
  <c r="U3886" i="34"/>
  <c r="V3886" i="34"/>
  <c r="W3886" i="34"/>
  <c r="X3886" i="34"/>
  <c r="Y3886" i="34"/>
  <c r="Z3886" i="34"/>
  <c r="N3887" i="34"/>
  <c r="O3887" i="34"/>
  <c r="P3887" i="34"/>
  <c r="Q3887" i="34"/>
  <c r="R3887" i="34"/>
  <c r="S3887" i="34"/>
  <c r="T3887" i="34"/>
  <c r="U3887" i="34"/>
  <c r="V3887" i="34"/>
  <c r="W3887" i="34"/>
  <c r="X3887" i="34"/>
  <c r="Y3887" i="34"/>
  <c r="Z3887" i="34"/>
  <c r="N3888" i="34"/>
  <c r="O3888" i="34"/>
  <c r="P3888" i="34"/>
  <c r="Q3888" i="34"/>
  <c r="R3888" i="34"/>
  <c r="S3888" i="34"/>
  <c r="T3888" i="34"/>
  <c r="U3888" i="34"/>
  <c r="V3888" i="34"/>
  <c r="W3888" i="34"/>
  <c r="X3888" i="34"/>
  <c r="Y3888" i="34"/>
  <c r="Z3888" i="34"/>
  <c r="N3889" i="34"/>
  <c r="O3889" i="34"/>
  <c r="P3889" i="34"/>
  <c r="Q3889" i="34"/>
  <c r="R3889" i="34"/>
  <c r="S3889" i="34"/>
  <c r="T3889" i="34"/>
  <c r="U3889" i="34"/>
  <c r="V3889" i="34"/>
  <c r="W3889" i="34"/>
  <c r="X3889" i="34"/>
  <c r="Y3889" i="34"/>
  <c r="Z3889" i="34"/>
  <c r="N3890" i="34"/>
  <c r="O3890" i="34"/>
  <c r="P3890" i="34"/>
  <c r="Q3890" i="34"/>
  <c r="R3890" i="34"/>
  <c r="S3890" i="34"/>
  <c r="T3890" i="34"/>
  <c r="U3890" i="34"/>
  <c r="V3890" i="34"/>
  <c r="W3890" i="34"/>
  <c r="X3890" i="34"/>
  <c r="Y3890" i="34"/>
  <c r="Z3890" i="34"/>
  <c r="N3891" i="34"/>
  <c r="O3891" i="34"/>
  <c r="P3891" i="34"/>
  <c r="Q3891" i="34"/>
  <c r="R3891" i="34"/>
  <c r="S3891" i="34"/>
  <c r="T3891" i="34"/>
  <c r="U3891" i="34"/>
  <c r="V3891" i="34"/>
  <c r="W3891" i="34"/>
  <c r="X3891" i="34"/>
  <c r="Y3891" i="34"/>
  <c r="Z3891" i="34"/>
  <c r="N3892" i="34"/>
  <c r="O3892" i="34"/>
  <c r="P3892" i="34"/>
  <c r="Q3892" i="34"/>
  <c r="R3892" i="34"/>
  <c r="S3892" i="34"/>
  <c r="T3892" i="34"/>
  <c r="U3892" i="34"/>
  <c r="V3892" i="34"/>
  <c r="W3892" i="34"/>
  <c r="X3892" i="34"/>
  <c r="Y3892" i="34"/>
  <c r="Z3892" i="34"/>
  <c r="N3893" i="34"/>
  <c r="O3893" i="34"/>
  <c r="P3893" i="34"/>
  <c r="Q3893" i="34"/>
  <c r="R3893" i="34"/>
  <c r="S3893" i="34"/>
  <c r="T3893" i="34"/>
  <c r="U3893" i="34"/>
  <c r="V3893" i="34"/>
  <c r="W3893" i="34"/>
  <c r="X3893" i="34"/>
  <c r="Y3893" i="34"/>
  <c r="Z3893" i="34"/>
  <c r="N3894" i="34"/>
  <c r="O3894" i="34"/>
  <c r="P3894" i="34"/>
  <c r="Q3894" i="34"/>
  <c r="R3894" i="34"/>
  <c r="S3894" i="34"/>
  <c r="T3894" i="34"/>
  <c r="U3894" i="34"/>
  <c r="V3894" i="34"/>
  <c r="W3894" i="34"/>
  <c r="X3894" i="34"/>
  <c r="Y3894" i="34"/>
  <c r="Z3894" i="34"/>
  <c r="N3895" i="34"/>
  <c r="O3895" i="34"/>
  <c r="P3895" i="34"/>
  <c r="Q3895" i="34"/>
  <c r="R3895" i="34"/>
  <c r="S3895" i="34"/>
  <c r="T3895" i="34"/>
  <c r="U3895" i="34"/>
  <c r="V3895" i="34"/>
  <c r="W3895" i="34"/>
  <c r="X3895" i="34"/>
  <c r="Y3895" i="34"/>
  <c r="Z3895" i="34"/>
  <c r="N3896" i="34"/>
  <c r="O3896" i="34"/>
  <c r="P3896" i="34"/>
  <c r="Q3896" i="34"/>
  <c r="R3896" i="34"/>
  <c r="S3896" i="34"/>
  <c r="T3896" i="34"/>
  <c r="U3896" i="34"/>
  <c r="V3896" i="34"/>
  <c r="W3896" i="34"/>
  <c r="X3896" i="34"/>
  <c r="Y3896" i="34"/>
  <c r="Z3896" i="34"/>
  <c r="N3897" i="34"/>
  <c r="O3897" i="34"/>
  <c r="P3897" i="34"/>
  <c r="Q3897" i="34"/>
  <c r="R3897" i="34"/>
  <c r="S3897" i="34"/>
  <c r="T3897" i="34"/>
  <c r="U3897" i="34"/>
  <c r="V3897" i="34"/>
  <c r="W3897" i="34"/>
  <c r="X3897" i="34"/>
  <c r="Y3897" i="34"/>
  <c r="Z3897" i="34"/>
  <c r="N3898" i="34"/>
  <c r="O3898" i="34"/>
  <c r="P3898" i="34"/>
  <c r="Q3898" i="34"/>
  <c r="R3898" i="34"/>
  <c r="S3898" i="34"/>
  <c r="T3898" i="34"/>
  <c r="U3898" i="34"/>
  <c r="V3898" i="34"/>
  <c r="W3898" i="34"/>
  <c r="X3898" i="34"/>
  <c r="Y3898" i="34"/>
  <c r="Z3898" i="34"/>
  <c r="N3899" i="34"/>
  <c r="O3899" i="34"/>
  <c r="P3899" i="34"/>
  <c r="Q3899" i="34"/>
  <c r="R3899" i="34"/>
  <c r="S3899" i="34"/>
  <c r="T3899" i="34"/>
  <c r="U3899" i="34"/>
  <c r="V3899" i="34"/>
  <c r="W3899" i="34"/>
  <c r="X3899" i="34"/>
  <c r="Y3899" i="34"/>
  <c r="Z3899" i="34"/>
  <c r="N3900" i="34"/>
  <c r="O3900" i="34"/>
  <c r="P3900" i="34"/>
  <c r="Q3900" i="34"/>
  <c r="R3900" i="34"/>
  <c r="S3900" i="34"/>
  <c r="T3900" i="34"/>
  <c r="U3900" i="34"/>
  <c r="V3900" i="34"/>
  <c r="W3900" i="34"/>
  <c r="X3900" i="34"/>
  <c r="Y3900" i="34"/>
  <c r="Z3900" i="34"/>
  <c r="N3901" i="34"/>
  <c r="O3901" i="34"/>
  <c r="P3901" i="34"/>
  <c r="Q3901" i="34"/>
  <c r="R3901" i="34"/>
  <c r="S3901" i="34"/>
  <c r="T3901" i="34"/>
  <c r="U3901" i="34"/>
  <c r="V3901" i="34"/>
  <c r="W3901" i="34"/>
  <c r="X3901" i="34"/>
  <c r="Y3901" i="34"/>
  <c r="Z3901" i="34"/>
  <c r="N3902" i="34"/>
  <c r="O3902" i="34"/>
  <c r="P3902" i="34"/>
  <c r="Q3902" i="34"/>
  <c r="R3902" i="34"/>
  <c r="S3902" i="34"/>
  <c r="T3902" i="34"/>
  <c r="U3902" i="34"/>
  <c r="V3902" i="34"/>
  <c r="W3902" i="34"/>
  <c r="X3902" i="34"/>
  <c r="Y3902" i="34"/>
  <c r="Z3902" i="34"/>
  <c r="N3903" i="34"/>
  <c r="O3903" i="34"/>
  <c r="P3903" i="34"/>
  <c r="Q3903" i="34"/>
  <c r="R3903" i="34"/>
  <c r="S3903" i="34"/>
  <c r="T3903" i="34"/>
  <c r="U3903" i="34"/>
  <c r="V3903" i="34"/>
  <c r="W3903" i="34"/>
  <c r="X3903" i="34"/>
  <c r="Y3903" i="34"/>
  <c r="Z3903" i="34"/>
  <c r="N3904" i="34"/>
  <c r="O3904" i="34"/>
  <c r="P3904" i="34"/>
  <c r="Q3904" i="34"/>
  <c r="R3904" i="34"/>
  <c r="S3904" i="34"/>
  <c r="T3904" i="34"/>
  <c r="U3904" i="34"/>
  <c r="V3904" i="34"/>
  <c r="W3904" i="34"/>
  <c r="X3904" i="34"/>
  <c r="Y3904" i="34"/>
  <c r="Z3904" i="34"/>
  <c r="N3905" i="34"/>
  <c r="O3905" i="34"/>
  <c r="P3905" i="34"/>
  <c r="Q3905" i="34"/>
  <c r="R3905" i="34"/>
  <c r="S3905" i="34"/>
  <c r="T3905" i="34"/>
  <c r="U3905" i="34"/>
  <c r="V3905" i="34"/>
  <c r="W3905" i="34"/>
  <c r="X3905" i="34"/>
  <c r="Y3905" i="34"/>
  <c r="Z3905" i="34"/>
  <c r="N3906" i="34"/>
  <c r="O3906" i="34"/>
  <c r="P3906" i="34"/>
  <c r="Q3906" i="34"/>
  <c r="R3906" i="34"/>
  <c r="S3906" i="34"/>
  <c r="T3906" i="34"/>
  <c r="U3906" i="34"/>
  <c r="V3906" i="34"/>
  <c r="W3906" i="34"/>
  <c r="X3906" i="34"/>
  <c r="Y3906" i="34"/>
  <c r="Z3906" i="34"/>
  <c r="N3907" i="34"/>
  <c r="O3907" i="34"/>
  <c r="P3907" i="34"/>
  <c r="Q3907" i="34"/>
  <c r="R3907" i="34"/>
  <c r="S3907" i="34"/>
  <c r="T3907" i="34"/>
  <c r="U3907" i="34"/>
  <c r="V3907" i="34"/>
  <c r="W3907" i="34"/>
  <c r="X3907" i="34"/>
  <c r="Y3907" i="34"/>
  <c r="Z3907" i="34"/>
  <c r="N3908" i="34"/>
  <c r="O3908" i="34"/>
  <c r="P3908" i="34"/>
  <c r="Q3908" i="34"/>
  <c r="R3908" i="34"/>
  <c r="S3908" i="34"/>
  <c r="T3908" i="34"/>
  <c r="U3908" i="34"/>
  <c r="V3908" i="34"/>
  <c r="W3908" i="34"/>
  <c r="X3908" i="34"/>
  <c r="Y3908" i="34"/>
  <c r="Z3908" i="34"/>
  <c r="N3909" i="34"/>
  <c r="O3909" i="34"/>
  <c r="P3909" i="34"/>
  <c r="Q3909" i="34"/>
  <c r="R3909" i="34"/>
  <c r="S3909" i="34"/>
  <c r="T3909" i="34"/>
  <c r="U3909" i="34"/>
  <c r="V3909" i="34"/>
  <c r="W3909" i="34"/>
  <c r="X3909" i="34"/>
  <c r="Y3909" i="34"/>
  <c r="Z3909" i="34"/>
  <c r="N3910" i="34"/>
  <c r="O3910" i="34"/>
  <c r="P3910" i="34"/>
  <c r="Q3910" i="34"/>
  <c r="R3910" i="34"/>
  <c r="S3910" i="34"/>
  <c r="T3910" i="34"/>
  <c r="U3910" i="34"/>
  <c r="V3910" i="34"/>
  <c r="W3910" i="34"/>
  <c r="X3910" i="34"/>
  <c r="Y3910" i="34"/>
  <c r="Z3910" i="34"/>
  <c r="N3911" i="34"/>
  <c r="O3911" i="34"/>
  <c r="P3911" i="34"/>
  <c r="Q3911" i="34"/>
  <c r="R3911" i="34"/>
  <c r="S3911" i="34"/>
  <c r="T3911" i="34"/>
  <c r="U3911" i="34"/>
  <c r="V3911" i="34"/>
  <c r="W3911" i="34"/>
  <c r="X3911" i="34"/>
  <c r="Y3911" i="34"/>
  <c r="Z3911" i="34"/>
  <c r="N3912" i="34"/>
  <c r="O3912" i="34"/>
  <c r="P3912" i="34"/>
  <c r="Q3912" i="34"/>
  <c r="R3912" i="34"/>
  <c r="S3912" i="34"/>
  <c r="T3912" i="34"/>
  <c r="U3912" i="34"/>
  <c r="V3912" i="34"/>
  <c r="W3912" i="34"/>
  <c r="X3912" i="34"/>
  <c r="Y3912" i="34"/>
  <c r="Z3912" i="34"/>
  <c r="N3913" i="34"/>
  <c r="O3913" i="34"/>
  <c r="P3913" i="34"/>
  <c r="Q3913" i="34"/>
  <c r="R3913" i="34"/>
  <c r="S3913" i="34"/>
  <c r="T3913" i="34"/>
  <c r="U3913" i="34"/>
  <c r="V3913" i="34"/>
  <c r="W3913" i="34"/>
  <c r="X3913" i="34"/>
  <c r="Y3913" i="34"/>
  <c r="Z3913" i="34"/>
  <c r="N3914" i="34"/>
  <c r="O3914" i="34"/>
  <c r="P3914" i="34"/>
  <c r="Q3914" i="34"/>
  <c r="R3914" i="34"/>
  <c r="S3914" i="34"/>
  <c r="T3914" i="34"/>
  <c r="U3914" i="34"/>
  <c r="V3914" i="34"/>
  <c r="W3914" i="34"/>
  <c r="X3914" i="34"/>
  <c r="Y3914" i="34"/>
  <c r="Z3914" i="34"/>
  <c r="N3915" i="34"/>
  <c r="O3915" i="34"/>
  <c r="P3915" i="34"/>
  <c r="Q3915" i="34"/>
  <c r="R3915" i="34"/>
  <c r="S3915" i="34"/>
  <c r="T3915" i="34"/>
  <c r="U3915" i="34"/>
  <c r="V3915" i="34"/>
  <c r="W3915" i="34"/>
  <c r="X3915" i="34"/>
  <c r="Y3915" i="34"/>
  <c r="Z3915" i="34"/>
  <c r="N3916" i="34"/>
  <c r="O3916" i="34"/>
  <c r="P3916" i="34"/>
  <c r="Q3916" i="34"/>
  <c r="R3916" i="34"/>
  <c r="S3916" i="34"/>
  <c r="T3916" i="34"/>
  <c r="U3916" i="34"/>
  <c r="V3916" i="34"/>
  <c r="W3916" i="34"/>
  <c r="X3916" i="34"/>
  <c r="Y3916" i="34"/>
  <c r="Z3916" i="34"/>
  <c r="N3917" i="34"/>
  <c r="O3917" i="34"/>
  <c r="P3917" i="34"/>
  <c r="Q3917" i="34"/>
  <c r="R3917" i="34"/>
  <c r="S3917" i="34"/>
  <c r="T3917" i="34"/>
  <c r="U3917" i="34"/>
  <c r="V3917" i="34"/>
  <c r="W3917" i="34"/>
  <c r="X3917" i="34"/>
  <c r="Y3917" i="34"/>
  <c r="Z3917" i="34"/>
  <c r="N3918" i="34"/>
  <c r="O3918" i="34"/>
  <c r="P3918" i="34"/>
  <c r="Q3918" i="34"/>
  <c r="R3918" i="34"/>
  <c r="S3918" i="34"/>
  <c r="T3918" i="34"/>
  <c r="U3918" i="34"/>
  <c r="V3918" i="34"/>
  <c r="W3918" i="34"/>
  <c r="X3918" i="34"/>
  <c r="Y3918" i="34"/>
  <c r="Z3918" i="34"/>
  <c r="N3919" i="34"/>
  <c r="O3919" i="34"/>
  <c r="P3919" i="34"/>
  <c r="Q3919" i="34"/>
  <c r="R3919" i="34"/>
  <c r="S3919" i="34"/>
  <c r="T3919" i="34"/>
  <c r="U3919" i="34"/>
  <c r="V3919" i="34"/>
  <c r="W3919" i="34"/>
  <c r="X3919" i="34"/>
  <c r="Y3919" i="34"/>
  <c r="Z3919" i="34"/>
  <c r="N3920" i="34"/>
  <c r="O3920" i="34"/>
  <c r="P3920" i="34"/>
  <c r="Q3920" i="34"/>
  <c r="R3920" i="34"/>
  <c r="S3920" i="34"/>
  <c r="T3920" i="34"/>
  <c r="U3920" i="34"/>
  <c r="V3920" i="34"/>
  <c r="W3920" i="34"/>
  <c r="X3920" i="34"/>
  <c r="Y3920" i="34"/>
  <c r="Z3920" i="34"/>
  <c r="N3921" i="34"/>
  <c r="O3921" i="34"/>
  <c r="P3921" i="34"/>
  <c r="Q3921" i="34"/>
  <c r="R3921" i="34"/>
  <c r="S3921" i="34"/>
  <c r="T3921" i="34"/>
  <c r="U3921" i="34"/>
  <c r="V3921" i="34"/>
  <c r="W3921" i="34"/>
  <c r="X3921" i="34"/>
  <c r="Y3921" i="34"/>
  <c r="Z3921" i="34"/>
  <c r="N3922" i="34"/>
  <c r="O3922" i="34"/>
  <c r="P3922" i="34"/>
  <c r="Q3922" i="34"/>
  <c r="R3922" i="34"/>
  <c r="S3922" i="34"/>
  <c r="T3922" i="34"/>
  <c r="U3922" i="34"/>
  <c r="V3922" i="34"/>
  <c r="W3922" i="34"/>
  <c r="X3922" i="34"/>
  <c r="Y3922" i="34"/>
  <c r="Z3922" i="34"/>
  <c r="N3923" i="34"/>
  <c r="O3923" i="34"/>
  <c r="P3923" i="34"/>
  <c r="Q3923" i="34"/>
  <c r="R3923" i="34"/>
  <c r="S3923" i="34"/>
  <c r="T3923" i="34"/>
  <c r="U3923" i="34"/>
  <c r="V3923" i="34"/>
  <c r="W3923" i="34"/>
  <c r="X3923" i="34"/>
  <c r="Y3923" i="34"/>
  <c r="Z3923" i="34"/>
  <c r="N3924" i="34"/>
  <c r="O3924" i="34"/>
  <c r="P3924" i="34"/>
  <c r="Q3924" i="34"/>
  <c r="R3924" i="34"/>
  <c r="S3924" i="34"/>
  <c r="T3924" i="34"/>
  <c r="U3924" i="34"/>
  <c r="V3924" i="34"/>
  <c r="W3924" i="34"/>
  <c r="X3924" i="34"/>
  <c r="Y3924" i="34"/>
  <c r="Z3924" i="34"/>
  <c r="N3925" i="34"/>
  <c r="O3925" i="34"/>
  <c r="P3925" i="34"/>
  <c r="Q3925" i="34"/>
  <c r="R3925" i="34"/>
  <c r="S3925" i="34"/>
  <c r="T3925" i="34"/>
  <c r="U3925" i="34"/>
  <c r="V3925" i="34"/>
  <c r="W3925" i="34"/>
  <c r="X3925" i="34"/>
  <c r="Y3925" i="34"/>
  <c r="Z3925" i="34"/>
  <c r="N3926" i="34"/>
  <c r="O3926" i="34"/>
  <c r="P3926" i="34"/>
  <c r="Q3926" i="34"/>
  <c r="R3926" i="34"/>
  <c r="S3926" i="34"/>
  <c r="T3926" i="34"/>
  <c r="U3926" i="34"/>
  <c r="V3926" i="34"/>
  <c r="W3926" i="34"/>
  <c r="X3926" i="34"/>
  <c r="Y3926" i="34"/>
  <c r="Z3926" i="34"/>
  <c r="N3927" i="34"/>
  <c r="O3927" i="34"/>
  <c r="P3927" i="34"/>
  <c r="Q3927" i="34"/>
  <c r="R3927" i="34"/>
  <c r="S3927" i="34"/>
  <c r="T3927" i="34"/>
  <c r="U3927" i="34"/>
  <c r="V3927" i="34"/>
  <c r="W3927" i="34"/>
  <c r="X3927" i="34"/>
  <c r="Y3927" i="34"/>
  <c r="Z3927" i="34"/>
  <c r="N3928" i="34"/>
  <c r="O3928" i="34"/>
  <c r="P3928" i="34"/>
  <c r="Q3928" i="34"/>
  <c r="R3928" i="34"/>
  <c r="S3928" i="34"/>
  <c r="T3928" i="34"/>
  <c r="U3928" i="34"/>
  <c r="V3928" i="34"/>
  <c r="W3928" i="34"/>
  <c r="X3928" i="34"/>
  <c r="Y3928" i="34"/>
  <c r="Z3928" i="34"/>
  <c r="N3929" i="34"/>
  <c r="O3929" i="34"/>
  <c r="P3929" i="34"/>
  <c r="Q3929" i="34"/>
  <c r="R3929" i="34"/>
  <c r="S3929" i="34"/>
  <c r="T3929" i="34"/>
  <c r="U3929" i="34"/>
  <c r="V3929" i="34"/>
  <c r="W3929" i="34"/>
  <c r="X3929" i="34"/>
  <c r="Y3929" i="34"/>
  <c r="Z3929" i="34"/>
  <c r="N3930" i="34"/>
  <c r="O3930" i="34"/>
  <c r="P3930" i="34"/>
  <c r="Q3930" i="34"/>
  <c r="R3930" i="34"/>
  <c r="S3930" i="34"/>
  <c r="T3930" i="34"/>
  <c r="U3930" i="34"/>
  <c r="V3930" i="34"/>
  <c r="W3930" i="34"/>
  <c r="X3930" i="34"/>
  <c r="Y3930" i="34"/>
  <c r="Z3930" i="34"/>
  <c r="N3931" i="34"/>
  <c r="O3931" i="34"/>
  <c r="P3931" i="34"/>
  <c r="Q3931" i="34"/>
  <c r="R3931" i="34"/>
  <c r="S3931" i="34"/>
  <c r="T3931" i="34"/>
  <c r="U3931" i="34"/>
  <c r="V3931" i="34"/>
  <c r="W3931" i="34"/>
  <c r="X3931" i="34"/>
  <c r="Y3931" i="34"/>
  <c r="Z3931" i="34"/>
  <c r="N3932" i="34"/>
  <c r="O3932" i="34"/>
  <c r="P3932" i="34"/>
  <c r="Q3932" i="34"/>
  <c r="R3932" i="34"/>
  <c r="S3932" i="34"/>
  <c r="T3932" i="34"/>
  <c r="U3932" i="34"/>
  <c r="V3932" i="34"/>
  <c r="W3932" i="34"/>
  <c r="X3932" i="34"/>
  <c r="Y3932" i="34"/>
  <c r="Z3932" i="34"/>
  <c r="N3933" i="34"/>
  <c r="O3933" i="34"/>
  <c r="P3933" i="34"/>
  <c r="Q3933" i="34"/>
  <c r="R3933" i="34"/>
  <c r="S3933" i="34"/>
  <c r="T3933" i="34"/>
  <c r="U3933" i="34"/>
  <c r="V3933" i="34"/>
  <c r="W3933" i="34"/>
  <c r="X3933" i="34"/>
  <c r="Y3933" i="34"/>
  <c r="Z3933" i="34"/>
  <c r="N3934" i="34"/>
  <c r="O3934" i="34"/>
  <c r="P3934" i="34"/>
  <c r="Q3934" i="34"/>
  <c r="R3934" i="34"/>
  <c r="S3934" i="34"/>
  <c r="T3934" i="34"/>
  <c r="U3934" i="34"/>
  <c r="V3934" i="34"/>
  <c r="W3934" i="34"/>
  <c r="X3934" i="34"/>
  <c r="Y3934" i="34"/>
  <c r="Z3934" i="34"/>
  <c r="N3935" i="34"/>
  <c r="O3935" i="34"/>
  <c r="P3935" i="34"/>
  <c r="Q3935" i="34"/>
  <c r="R3935" i="34"/>
  <c r="S3935" i="34"/>
  <c r="T3935" i="34"/>
  <c r="U3935" i="34"/>
  <c r="V3935" i="34"/>
  <c r="W3935" i="34"/>
  <c r="X3935" i="34"/>
  <c r="Y3935" i="34"/>
  <c r="Z3935" i="34"/>
  <c r="N3936" i="34"/>
  <c r="O3936" i="34"/>
  <c r="P3936" i="34"/>
  <c r="Q3936" i="34"/>
  <c r="R3936" i="34"/>
  <c r="S3936" i="34"/>
  <c r="T3936" i="34"/>
  <c r="U3936" i="34"/>
  <c r="V3936" i="34"/>
  <c r="W3936" i="34"/>
  <c r="X3936" i="34"/>
  <c r="Y3936" i="34"/>
  <c r="Z3936" i="34"/>
  <c r="N3937" i="34"/>
  <c r="O3937" i="34"/>
  <c r="P3937" i="34"/>
  <c r="Q3937" i="34"/>
  <c r="R3937" i="34"/>
  <c r="S3937" i="34"/>
  <c r="T3937" i="34"/>
  <c r="U3937" i="34"/>
  <c r="V3937" i="34"/>
  <c r="W3937" i="34"/>
  <c r="X3937" i="34"/>
  <c r="Y3937" i="34"/>
  <c r="Z3937" i="34"/>
  <c r="N3938" i="34"/>
  <c r="O3938" i="34"/>
  <c r="P3938" i="34"/>
  <c r="Q3938" i="34"/>
  <c r="R3938" i="34"/>
  <c r="S3938" i="34"/>
  <c r="T3938" i="34"/>
  <c r="U3938" i="34"/>
  <c r="V3938" i="34"/>
  <c r="W3938" i="34"/>
  <c r="X3938" i="34"/>
  <c r="Y3938" i="34"/>
  <c r="Z3938" i="34"/>
  <c r="N3939" i="34"/>
  <c r="O3939" i="34"/>
  <c r="P3939" i="34"/>
  <c r="Q3939" i="34"/>
  <c r="R3939" i="34"/>
  <c r="S3939" i="34"/>
  <c r="T3939" i="34"/>
  <c r="U3939" i="34"/>
  <c r="V3939" i="34"/>
  <c r="W3939" i="34"/>
  <c r="X3939" i="34"/>
  <c r="Y3939" i="34"/>
  <c r="Z3939" i="34"/>
  <c r="N3940" i="34"/>
  <c r="O3940" i="34"/>
  <c r="P3940" i="34"/>
  <c r="Q3940" i="34"/>
  <c r="R3940" i="34"/>
  <c r="S3940" i="34"/>
  <c r="T3940" i="34"/>
  <c r="U3940" i="34"/>
  <c r="V3940" i="34"/>
  <c r="W3940" i="34"/>
  <c r="X3940" i="34"/>
  <c r="Y3940" i="34"/>
  <c r="Z3940" i="34"/>
  <c r="N3941" i="34"/>
  <c r="O3941" i="34"/>
  <c r="P3941" i="34"/>
  <c r="Q3941" i="34"/>
  <c r="R3941" i="34"/>
  <c r="S3941" i="34"/>
  <c r="T3941" i="34"/>
  <c r="U3941" i="34"/>
  <c r="V3941" i="34"/>
  <c r="W3941" i="34"/>
  <c r="X3941" i="34"/>
  <c r="Y3941" i="34"/>
  <c r="Z3941" i="34"/>
  <c r="N3942" i="34"/>
  <c r="O3942" i="34"/>
  <c r="P3942" i="34"/>
  <c r="Q3942" i="34"/>
  <c r="R3942" i="34"/>
  <c r="S3942" i="34"/>
  <c r="T3942" i="34"/>
  <c r="U3942" i="34"/>
  <c r="V3942" i="34"/>
  <c r="W3942" i="34"/>
  <c r="X3942" i="34"/>
  <c r="Y3942" i="34"/>
  <c r="Z3942" i="34"/>
  <c r="N3943" i="34"/>
  <c r="O3943" i="34"/>
  <c r="P3943" i="34"/>
  <c r="Q3943" i="34"/>
  <c r="R3943" i="34"/>
  <c r="S3943" i="34"/>
  <c r="T3943" i="34"/>
  <c r="U3943" i="34"/>
  <c r="V3943" i="34"/>
  <c r="W3943" i="34"/>
  <c r="X3943" i="34"/>
  <c r="Y3943" i="34"/>
  <c r="Z3943" i="34"/>
  <c r="N3944" i="34"/>
  <c r="O3944" i="34"/>
  <c r="P3944" i="34"/>
  <c r="Q3944" i="34"/>
  <c r="R3944" i="34"/>
  <c r="S3944" i="34"/>
  <c r="T3944" i="34"/>
  <c r="U3944" i="34"/>
  <c r="V3944" i="34"/>
  <c r="W3944" i="34"/>
  <c r="X3944" i="34"/>
  <c r="Y3944" i="34"/>
  <c r="Z3944" i="34"/>
  <c r="N3945" i="34"/>
  <c r="O3945" i="34"/>
  <c r="P3945" i="34"/>
  <c r="Q3945" i="34"/>
  <c r="R3945" i="34"/>
  <c r="S3945" i="34"/>
  <c r="T3945" i="34"/>
  <c r="U3945" i="34"/>
  <c r="V3945" i="34"/>
  <c r="W3945" i="34"/>
  <c r="X3945" i="34"/>
  <c r="Y3945" i="34"/>
  <c r="Z3945" i="34"/>
  <c r="N3946" i="34"/>
  <c r="O3946" i="34"/>
  <c r="P3946" i="34"/>
  <c r="Q3946" i="34"/>
  <c r="R3946" i="34"/>
  <c r="S3946" i="34"/>
  <c r="T3946" i="34"/>
  <c r="U3946" i="34"/>
  <c r="V3946" i="34"/>
  <c r="W3946" i="34"/>
  <c r="X3946" i="34"/>
  <c r="Y3946" i="34"/>
  <c r="Z3946" i="34"/>
  <c r="N3947" i="34"/>
  <c r="O3947" i="34"/>
  <c r="P3947" i="34"/>
  <c r="Q3947" i="34"/>
  <c r="R3947" i="34"/>
  <c r="S3947" i="34"/>
  <c r="T3947" i="34"/>
  <c r="U3947" i="34"/>
  <c r="V3947" i="34"/>
  <c r="W3947" i="34"/>
  <c r="X3947" i="34"/>
  <c r="Y3947" i="34"/>
  <c r="Z3947" i="34"/>
  <c r="N3948" i="34"/>
  <c r="O3948" i="34"/>
  <c r="P3948" i="34"/>
  <c r="Q3948" i="34"/>
  <c r="R3948" i="34"/>
  <c r="S3948" i="34"/>
  <c r="T3948" i="34"/>
  <c r="U3948" i="34"/>
  <c r="V3948" i="34"/>
  <c r="W3948" i="34"/>
  <c r="X3948" i="34"/>
  <c r="Y3948" i="34"/>
  <c r="Z3948" i="34"/>
  <c r="N3949" i="34"/>
  <c r="O3949" i="34"/>
  <c r="P3949" i="34"/>
  <c r="Q3949" i="34"/>
  <c r="R3949" i="34"/>
  <c r="S3949" i="34"/>
  <c r="T3949" i="34"/>
  <c r="U3949" i="34"/>
  <c r="V3949" i="34"/>
  <c r="W3949" i="34"/>
  <c r="X3949" i="34"/>
  <c r="Y3949" i="34"/>
  <c r="Z3949" i="34"/>
  <c r="N3950" i="34"/>
  <c r="O3950" i="34"/>
  <c r="P3950" i="34"/>
  <c r="Q3950" i="34"/>
  <c r="R3950" i="34"/>
  <c r="S3950" i="34"/>
  <c r="T3950" i="34"/>
  <c r="U3950" i="34"/>
  <c r="V3950" i="34"/>
  <c r="W3950" i="34"/>
  <c r="X3950" i="34"/>
  <c r="Y3950" i="34"/>
  <c r="Z3950" i="34"/>
  <c r="N3951" i="34"/>
  <c r="O3951" i="34"/>
  <c r="P3951" i="34"/>
  <c r="Q3951" i="34"/>
  <c r="R3951" i="34"/>
  <c r="S3951" i="34"/>
  <c r="T3951" i="34"/>
  <c r="U3951" i="34"/>
  <c r="V3951" i="34"/>
  <c r="W3951" i="34"/>
  <c r="X3951" i="34"/>
  <c r="Y3951" i="34"/>
  <c r="Z3951" i="34"/>
  <c r="N3952" i="34"/>
  <c r="O3952" i="34"/>
  <c r="P3952" i="34"/>
  <c r="Q3952" i="34"/>
  <c r="R3952" i="34"/>
  <c r="S3952" i="34"/>
  <c r="T3952" i="34"/>
  <c r="U3952" i="34"/>
  <c r="V3952" i="34"/>
  <c r="W3952" i="34"/>
  <c r="X3952" i="34"/>
  <c r="Y3952" i="34"/>
  <c r="Z3952" i="34"/>
  <c r="N3953" i="34"/>
  <c r="O3953" i="34"/>
  <c r="P3953" i="34"/>
  <c r="Q3953" i="34"/>
  <c r="R3953" i="34"/>
  <c r="S3953" i="34"/>
  <c r="T3953" i="34"/>
  <c r="U3953" i="34"/>
  <c r="V3953" i="34"/>
  <c r="W3953" i="34"/>
  <c r="X3953" i="34"/>
  <c r="Y3953" i="34"/>
  <c r="Z3953" i="34"/>
  <c r="N3954" i="34"/>
  <c r="O3954" i="34"/>
  <c r="P3954" i="34"/>
  <c r="Q3954" i="34"/>
  <c r="R3954" i="34"/>
  <c r="S3954" i="34"/>
  <c r="T3954" i="34"/>
  <c r="U3954" i="34"/>
  <c r="V3954" i="34"/>
  <c r="W3954" i="34"/>
  <c r="X3954" i="34"/>
  <c r="Y3954" i="34"/>
  <c r="Z3954" i="34"/>
  <c r="N3955" i="34"/>
  <c r="O3955" i="34"/>
  <c r="P3955" i="34"/>
  <c r="Q3955" i="34"/>
  <c r="R3955" i="34"/>
  <c r="S3955" i="34"/>
  <c r="T3955" i="34"/>
  <c r="U3955" i="34"/>
  <c r="V3955" i="34"/>
  <c r="W3955" i="34"/>
  <c r="X3955" i="34"/>
  <c r="Y3955" i="34"/>
  <c r="Z3955" i="34"/>
  <c r="N3956" i="34"/>
  <c r="O3956" i="34"/>
  <c r="P3956" i="34"/>
  <c r="Q3956" i="34"/>
  <c r="R3956" i="34"/>
  <c r="S3956" i="34"/>
  <c r="T3956" i="34"/>
  <c r="U3956" i="34"/>
  <c r="V3956" i="34"/>
  <c r="W3956" i="34"/>
  <c r="X3956" i="34"/>
  <c r="Y3956" i="34"/>
  <c r="Z3956" i="34"/>
  <c r="N3957" i="34"/>
  <c r="O3957" i="34"/>
  <c r="P3957" i="34"/>
  <c r="Q3957" i="34"/>
  <c r="R3957" i="34"/>
  <c r="S3957" i="34"/>
  <c r="T3957" i="34"/>
  <c r="U3957" i="34"/>
  <c r="V3957" i="34"/>
  <c r="W3957" i="34"/>
  <c r="X3957" i="34"/>
  <c r="Y3957" i="34"/>
  <c r="Z3957" i="34"/>
  <c r="N3958" i="34"/>
  <c r="O3958" i="34"/>
  <c r="P3958" i="34"/>
  <c r="Q3958" i="34"/>
  <c r="R3958" i="34"/>
  <c r="S3958" i="34"/>
  <c r="T3958" i="34"/>
  <c r="U3958" i="34"/>
  <c r="V3958" i="34"/>
  <c r="W3958" i="34"/>
  <c r="X3958" i="34"/>
  <c r="Y3958" i="34"/>
  <c r="Z3958" i="34"/>
  <c r="N3959" i="34"/>
  <c r="O3959" i="34"/>
  <c r="P3959" i="34"/>
  <c r="Q3959" i="34"/>
  <c r="R3959" i="34"/>
  <c r="S3959" i="34"/>
  <c r="T3959" i="34"/>
  <c r="U3959" i="34"/>
  <c r="V3959" i="34"/>
  <c r="W3959" i="34"/>
  <c r="X3959" i="34"/>
  <c r="Y3959" i="34"/>
  <c r="Z3959" i="34"/>
  <c r="N3960" i="34"/>
  <c r="O3960" i="34"/>
  <c r="P3960" i="34"/>
  <c r="Q3960" i="34"/>
  <c r="R3960" i="34"/>
  <c r="S3960" i="34"/>
  <c r="T3960" i="34"/>
  <c r="U3960" i="34"/>
  <c r="V3960" i="34"/>
  <c r="W3960" i="34"/>
  <c r="X3960" i="34"/>
  <c r="Y3960" i="34"/>
  <c r="Z3960" i="34"/>
  <c r="N3961" i="34"/>
  <c r="O3961" i="34"/>
  <c r="P3961" i="34"/>
  <c r="Q3961" i="34"/>
  <c r="R3961" i="34"/>
  <c r="S3961" i="34"/>
  <c r="T3961" i="34"/>
  <c r="U3961" i="34"/>
  <c r="V3961" i="34"/>
  <c r="W3961" i="34"/>
  <c r="X3961" i="34"/>
  <c r="Y3961" i="34"/>
  <c r="Z3961" i="34"/>
  <c r="N3962" i="34"/>
  <c r="O3962" i="34"/>
  <c r="P3962" i="34"/>
  <c r="Q3962" i="34"/>
  <c r="R3962" i="34"/>
  <c r="S3962" i="34"/>
  <c r="T3962" i="34"/>
  <c r="U3962" i="34"/>
  <c r="V3962" i="34"/>
  <c r="W3962" i="34"/>
  <c r="X3962" i="34"/>
  <c r="Y3962" i="34"/>
  <c r="Z3962" i="34"/>
  <c r="N3963" i="34"/>
  <c r="O3963" i="34"/>
  <c r="P3963" i="34"/>
  <c r="Q3963" i="34"/>
  <c r="R3963" i="34"/>
  <c r="S3963" i="34"/>
  <c r="T3963" i="34"/>
  <c r="U3963" i="34"/>
  <c r="V3963" i="34"/>
  <c r="W3963" i="34"/>
  <c r="X3963" i="34"/>
  <c r="Y3963" i="34"/>
  <c r="Z3963" i="34"/>
  <c r="N3964" i="34"/>
  <c r="O3964" i="34"/>
  <c r="P3964" i="34"/>
  <c r="Q3964" i="34"/>
  <c r="R3964" i="34"/>
  <c r="S3964" i="34"/>
  <c r="T3964" i="34"/>
  <c r="U3964" i="34"/>
  <c r="V3964" i="34"/>
  <c r="W3964" i="34"/>
  <c r="X3964" i="34"/>
  <c r="Y3964" i="34"/>
  <c r="Z3964" i="34"/>
  <c r="N3965" i="34"/>
  <c r="O3965" i="34"/>
  <c r="P3965" i="34"/>
  <c r="Q3965" i="34"/>
  <c r="R3965" i="34"/>
  <c r="S3965" i="34"/>
  <c r="T3965" i="34"/>
  <c r="U3965" i="34"/>
  <c r="V3965" i="34"/>
  <c r="W3965" i="34"/>
  <c r="X3965" i="34"/>
  <c r="Y3965" i="34"/>
  <c r="Z3965" i="34"/>
  <c r="N3966" i="34"/>
  <c r="O3966" i="34"/>
  <c r="P3966" i="34"/>
  <c r="Q3966" i="34"/>
  <c r="R3966" i="34"/>
  <c r="S3966" i="34"/>
  <c r="T3966" i="34"/>
  <c r="U3966" i="34"/>
  <c r="V3966" i="34"/>
  <c r="W3966" i="34"/>
  <c r="X3966" i="34"/>
  <c r="Y3966" i="34"/>
  <c r="Z3966" i="34"/>
  <c r="N3967" i="34"/>
  <c r="O3967" i="34"/>
  <c r="P3967" i="34"/>
  <c r="Q3967" i="34"/>
  <c r="R3967" i="34"/>
  <c r="S3967" i="34"/>
  <c r="T3967" i="34"/>
  <c r="U3967" i="34"/>
  <c r="V3967" i="34"/>
  <c r="W3967" i="34"/>
  <c r="X3967" i="34"/>
  <c r="Y3967" i="34"/>
  <c r="Z3967" i="34"/>
  <c r="N3968" i="34"/>
  <c r="O3968" i="34"/>
  <c r="P3968" i="34"/>
  <c r="Q3968" i="34"/>
  <c r="R3968" i="34"/>
  <c r="S3968" i="34"/>
  <c r="T3968" i="34"/>
  <c r="U3968" i="34"/>
  <c r="V3968" i="34"/>
  <c r="W3968" i="34"/>
  <c r="X3968" i="34"/>
  <c r="Y3968" i="34"/>
  <c r="Z3968" i="34"/>
  <c r="N3969" i="34"/>
  <c r="O3969" i="34"/>
  <c r="P3969" i="34"/>
  <c r="Q3969" i="34"/>
  <c r="R3969" i="34"/>
  <c r="S3969" i="34"/>
  <c r="T3969" i="34"/>
  <c r="U3969" i="34"/>
  <c r="V3969" i="34"/>
  <c r="W3969" i="34"/>
  <c r="X3969" i="34"/>
  <c r="Y3969" i="34"/>
  <c r="Z3969" i="34"/>
  <c r="N3970" i="34"/>
  <c r="O3970" i="34"/>
  <c r="P3970" i="34"/>
  <c r="Q3970" i="34"/>
  <c r="R3970" i="34"/>
  <c r="S3970" i="34"/>
  <c r="T3970" i="34"/>
  <c r="U3970" i="34"/>
  <c r="V3970" i="34"/>
  <c r="W3970" i="34"/>
  <c r="X3970" i="34"/>
  <c r="Y3970" i="34"/>
  <c r="Z3970" i="34"/>
  <c r="N3971" i="34"/>
  <c r="O3971" i="34"/>
  <c r="P3971" i="34"/>
  <c r="Q3971" i="34"/>
  <c r="R3971" i="34"/>
  <c r="S3971" i="34"/>
  <c r="T3971" i="34"/>
  <c r="U3971" i="34"/>
  <c r="V3971" i="34"/>
  <c r="W3971" i="34"/>
  <c r="X3971" i="34"/>
  <c r="Y3971" i="34"/>
  <c r="Z3971" i="34"/>
  <c r="N3972" i="34"/>
  <c r="O3972" i="34"/>
  <c r="P3972" i="34"/>
  <c r="Q3972" i="34"/>
  <c r="R3972" i="34"/>
  <c r="S3972" i="34"/>
  <c r="T3972" i="34"/>
  <c r="U3972" i="34"/>
  <c r="V3972" i="34"/>
  <c r="W3972" i="34"/>
  <c r="X3972" i="34"/>
  <c r="Y3972" i="34"/>
  <c r="Z3972" i="34"/>
  <c r="N3973" i="34"/>
  <c r="O3973" i="34"/>
  <c r="P3973" i="34"/>
  <c r="Q3973" i="34"/>
  <c r="R3973" i="34"/>
  <c r="S3973" i="34"/>
  <c r="T3973" i="34"/>
  <c r="U3973" i="34"/>
  <c r="V3973" i="34"/>
  <c r="W3973" i="34"/>
  <c r="X3973" i="34"/>
  <c r="Y3973" i="34"/>
  <c r="Z3973" i="34"/>
  <c r="N3974" i="34"/>
  <c r="O3974" i="34"/>
  <c r="P3974" i="34"/>
  <c r="Q3974" i="34"/>
  <c r="R3974" i="34"/>
  <c r="S3974" i="34"/>
  <c r="T3974" i="34"/>
  <c r="U3974" i="34"/>
  <c r="V3974" i="34"/>
  <c r="W3974" i="34"/>
  <c r="X3974" i="34"/>
  <c r="Y3974" i="34"/>
  <c r="Z3974" i="34"/>
  <c r="N3975" i="34"/>
  <c r="O3975" i="34"/>
  <c r="P3975" i="34"/>
  <c r="Q3975" i="34"/>
  <c r="R3975" i="34"/>
  <c r="S3975" i="34"/>
  <c r="T3975" i="34"/>
  <c r="U3975" i="34"/>
  <c r="V3975" i="34"/>
  <c r="W3975" i="34"/>
  <c r="X3975" i="34"/>
  <c r="Y3975" i="34"/>
  <c r="Z3975" i="34"/>
  <c r="N3976" i="34"/>
  <c r="O3976" i="34"/>
  <c r="P3976" i="34"/>
  <c r="Q3976" i="34"/>
  <c r="R3976" i="34"/>
  <c r="S3976" i="34"/>
  <c r="T3976" i="34"/>
  <c r="U3976" i="34"/>
  <c r="V3976" i="34"/>
  <c r="W3976" i="34"/>
  <c r="X3976" i="34"/>
  <c r="Y3976" i="34"/>
  <c r="Z3976" i="34"/>
  <c r="N3977" i="34"/>
  <c r="O3977" i="34"/>
  <c r="P3977" i="34"/>
  <c r="Q3977" i="34"/>
  <c r="R3977" i="34"/>
  <c r="S3977" i="34"/>
  <c r="T3977" i="34"/>
  <c r="U3977" i="34"/>
  <c r="V3977" i="34"/>
  <c r="W3977" i="34"/>
  <c r="X3977" i="34"/>
  <c r="Y3977" i="34"/>
  <c r="Z3977" i="34"/>
  <c r="N3978" i="34"/>
  <c r="O3978" i="34"/>
  <c r="P3978" i="34"/>
  <c r="Q3978" i="34"/>
  <c r="R3978" i="34"/>
  <c r="S3978" i="34"/>
  <c r="T3978" i="34"/>
  <c r="U3978" i="34"/>
  <c r="V3978" i="34"/>
  <c r="W3978" i="34"/>
  <c r="X3978" i="34"/>
  <c r="Y3978" i="34"/>
  <c r="Z3978" i="34"/>
  <c r="N3979" i="34"/>
  <c r="O3979" i="34"/>
  <c r="P3979" i="34"/>
  <c r="Q3979" i="34"/>
  <c r="R3979" i="34"/>
  <c r="S3979" i="34"/>
  <c r="T3979" i="34"/>
  <c r="U3979" i="34"/>
  <c r="V3979" i="34"/>
  <c r="W3979" i="34"/>
  <c r="X3979" i="34"/>
  <c r="Y3979" i="34"/>
  <c r="Z3979" i="34"/>
  <c r="N3980" i="34"/>
  <c r="O3980" i="34"/>
  <c r="P3980" i="34"/>
  <c r="Q3980" i="34"/>
  <c r="R3980" i="34"/>
  <c r="S3980" i="34"/>
  <c r="T3980" i="34"/>
  <c r="U3980" i="34"/>
  <c r="V3980" i="34"/>
  <c r="W3980" i="34"/>
  <c r="X3980" i="34"/>
  <c r="Y3980" i="34"/>
  <c r="Z3980" i="34"/>
  <c r="N3981" i="34"/>
  <c r="O3981" i="34"/>
  <c r="P3981" i="34"/>
  <c r="Q3981" i="34"/>
  <c r="R3981" i="34"/>
  <c r="S3981" i="34"/>
  <c r="T3981" i="34"/>
  <c r="U3981" i="34"/>
  <c r="V3981" i="34"/>
  <c r="W3981" i="34"/>
  <c r="X3981" i="34"/>
  <c r="Y3981" i="34"/>
  <c r="Z3981" i="34"/>
  <c r="N3982" i="34"/>
  <c r="O3982" i="34"/>
  <c r="P3982" i="34"/>
  <c r="Q3982" i="34"/>
  <c r="R3982" i="34"/>
  <c r="S3982" i="34"/>
  <c r="T3982" i="34"/>
  <c r="U3982" i="34"/>
  <c r="V3982" i="34"/>
  <c r="W3982" i="34"/>
  <c r="X3982" i="34"/>
  <c r="Y3982" i="34"/>
  <c r="Z3982" i="34"/>
  <c r="N3983" i="34"/>
  <c r="O3983" i="34"/>
  <c r="P3983" i="34"/>
  <c r="Q3983" i="34"/>
  <c r="R3983" i="34"/>
  <c r="S3983" i="34"/>
  <c r="T3983" i="34"/>
  <c r="U3983" i="34"/>
  <c r="V3983" i="34"/>
  <c r="W3983" i="34"/>
  <c r="X3983" i="34"/>
  <c r="Y3983" i="34"/>
  <c r="Z3983" i="34"/>
  <c r="N3984" i="34"/>
  <c r="O3984" i="34"/>
  <c r="P3984" i="34"/>
  <c r="Q3984" i="34"/>
  <c r="R3984" i="34"/>
  <c r="S3984" i="34"/>
  <c r="T3984" i="34"/>
  <c r="U3984" i="34"/>
  <c r="V3984" i="34"/>
  <c r="W3984" i="34"/>
  <c r="X3984" i="34"/>
  <c r="Y3984" i="34"/>
  <c r="Z3984" i="34"/>
  <c r="N3985" i="34"/>
  <c r="O3985" i="34"/>
  <c r="P3985" i="34"/>
  <c r="Q3985" i="34"/>
  <c r="R3985" i="34"/>
  <c r="S3985" i="34"/>
  <c r="T3985" i="34"/>
  <c r="U3985" i="34"/>
  <c r="V3985" i="34"/>
  <c r="W3985" i="34"/>
  <c r="X3985" i="34"/>
  <c r="Y3985" i="34"/>
  <c r="Z3985" i="34"/>
  <c r="N3986" i="34"/>
  <c r="O3986" i="34"/>
  <c r="P3986" i="34"/>
  <c r="Q3986" i="34"/>
  <c r="R3986" i="34"/>
  <c r="S3986" i="34"/>
  <c r="T3986" i="34"/>
  <c r="U3986" i="34"/>
  <c r="V3986" i="34"/>
  <c r="W3986" i="34"/>
  <c r="X3986" i="34"/>
  <c r="Y3986" i="34"/>
  <c r="Z3986" i="34"/>
  <c r="N3987" i="34"/>
  <c r="O3987" i="34"/>
  <c r="P3987" i="34"/>
  <c r="Q3987" i="34"/>
  <c r="R3987" i="34"/>
  <c r="S3987" i="34"/>
  <c r="T3987" i="34"/>
  <c r="U3987" i="34"/>
  <c r="V3987" i="34"/>
  <c r="W3987" i="34"/>
  <c r="X3987" i="34"/>
  <c r="Y3987" i="34"/>
  <c r="Z3987" i="34"/>
  <c r="N3988" i="34"/>
  <c r="O3988" i="34"/>
  <c r="P3988" i="34"/>
  <c r="Q3988" i="34"/>
  <c r="R3988" i="34"/>
  <c r="S3988" i="34"/>
  <c r="T3988" i="34"/>
  <c r="U3988" i="34"/>
  <c r="V3988" i="34"/>
  <c r="W3988" i="34"/>
  <c r="X3988" i="34"/>
  <c r="Y3988" i="34"/>
  <c r="Z3988" i="34"/>
  <c r="N3989" i="34"/>
  <c r="O3989" i="34"/>
  <c r="P3989" i="34"/>
  <c r="Q3989" i="34"/>
  <c r="R3989" i="34"/>
  <c r="S3989" i="34"/>
  <c r="T3989" i="34"/>
  <c r="U3989" i="34"/>
  <c r="V3989" i="34"/>
  <c r="W3989" i="34"/>
  <c r="X3989" i="34"/>
  <c r="Y3989" i="34"/>
  <c r="Z3989" i="34"/>
  <c r="N3990" i="34"/>
  <c r="O3990" i="34"/>
  <c r="P3990" i="34"/>
  <c r="Q3990" i="34"/>
  <c r="R3990" i="34"/>
  <c r="S3990" i="34"/>
  <c r="T3990" i="34"/>
  <c r="U3990" i="34"/>
  <c r="V3990" i="34"/>
  <c r="W3990" i="34"/>
  <c r="X3990" i="34"/>
  <c r="Y3990" i="34"/>
  <c r="Z3990" i="34"/>
  <c r="N3991" i="34"/>
  <c r="O3991" i="34"/>
  <c r="P3991" i="34"/>
  <c r="Q3991" i="34"/>
  <c r="R3991" i="34"/>
  <c r="S3991" i="34"/>
  <c r="T3991" i="34"/>
  <c r="U3991" i="34"/>
  <c r="V3991" i="34"/>
  <c r="W3991" i="34"/>
  <c r="X3991" i="34"/>
  <c r="Y3991" i="34"/>
  <c r="Z3991" i="34"/>
  <c r="N3992" i="34"/>
  <c r="O3992" i="34"/>
  <c r="P3992" i="34"/>
  <c r="Q3992" i="34"/>
  <c r="R3992" i="34"/>
  <c r="S3992" i="34"/>
  <c r="T3992" i="34"/>
  <c r="U3992" i="34"/>
  <c r="V3992" i="34"/>
  <c r="W3992" i="34"/>
  <c r="X3992" i="34"/>
  <c r="Y3992" i="34"/>
  <c r="Z3992" i="34"/>
  <c r="N3993" i="34"/>
  <c r="O3993" i="34"/>
  <c r="P3993" i="34"/>
  <c r="Q3993" i="34"/>
  <c r="R3993" i="34"/>
  <c r="S3993" i="34"/>
  <c r="T3993" i="34"/>
  <c r="U3993" i="34"/>
  <c r="V3993" i="34"/>
  <c r="W3993" i="34"/>
  <c r="X3993" i="34"/>
  <c r="Y3993" i="34"/>
  <c r="Z3993" i="34"/>
  <c r="N3994" i="34"/>
  <c r="O3994" i="34"/>
  <c r="P3994" i="34"/>
  <c r="Q3994" i="34"/>
  <c r="R3994" i="34"/>
  <c r="S3994" i="34"/>
  <c r="T3994" i="34"/>
  <c r="U3994" i="34"/>
  <c r="V3994" i="34"/>
  <c r="W3994" i="34"/>
  <c r="X3994" i="34"/>
  <c r="Y3994" i="34"/>
  <c r="Z3994" i="34"/>
  <c r="N3995" i="34"/>
  <c r="O3995" i="34"/>
  <c r="P3995" i="34"/>
  <c r="Q3995" i="34"/>
  <c r="R3995" i="34"/>
  <c r="S3995" i="34"/>
  <c r="T3995" i="34"/>
  <c r="U3995" i="34"/>
  <c r="V3995" i="34"/>
  <c r="W3995" i="34"/>
  <c r="X3995" i="34"/>
  <c r="Y3995" i="34"/>
  <c r="Z3995" i="34"/>
  <c r="N3996" i="34"/>
  <c r="O3996" i="34"/>
  <c r="P3996" i="34"/>
  <c r="Q3996" i="34"/>
  <c r="R3996" i="34"/>
  <c r="S3996" i="34"/>
  <c r="T3996" i="34"/>
  <c r="U3996" i="34"/>
  <c r="V3996" i="34"/>
  <c r="W3996" i="34"/>
  <c r="X3996" i="34"/>
  <c r="Y3996" i="34"/>
  <c r="Z3996" i="34"/>
  <c r="N3997" i="34"/>
  <c r="O3997" i="34"/>
  <c r="P3997" i="34"/>
  <c r="Q3997" i="34"/>
  <c r="R3997" i="34"/>
  <c r="S3997" i="34"/>
  <c r="T3997" i="34"/>
  <c r="U3997" i="34"/>
  <c r="V3997" i="34"/>
  <c r="W3997" i="34"/>
  <c r="X3997" i="34"/>
  <c r="Y3997" i="34"/>
  <c r="Z3997" i="34"/>
  <c r="N3998" i="34"/>
  <c r="O3998" i="34"/>
  <c r="P3998" i="34"/>
  <c r="Q3998" i="34"/>
  <c r="R3998" i="34"/>
  <c r="S3998" i="34"/>
  <c r="T3998" i="34"/>
  <c r="U3998" i="34"/>
  <c r="V3998" i="34"/>
  <c r="W3998" i="34"/>
  <c r="X3998" i="34"/>
  <c r="Y3998" i="34"/>
  <c r="Z3998" i="34"/>
  <c r="N3999" i="34"/>
  <c r="O3999" i="34"/>
  <c r="P3999" i="34"/>
  <c r="Q3999" i="34"/>
  <c r="R3999" i="34"/>
  <c r="S3999" i="34"/>
  <c r="T3999" i="34"/>
  <c r="U3999" i="34"/>
  <c r="V3999" i="34"/>
  <c r="W3999" i="34"/>
  <c r="X3999" i="34"/>
  <c r="Y3999" i="34"/>
  <c r="Z3999" i="34"/>
  <c r="N4000" i="34"/>
  <c r="O4000" i="34"/>
  <c r="P4000" i="34"/>
  <c r="Q4000" i="34"/>
  <c r="R4000" i="34"/>
  <c r="S4000" i="34"/>
  <c r="T4000" i="34"/>
  <c r="U4000" i="34"/>
  <c r="V4000" i="34"/>
  <c r="W4000" i="34"/>
  <c r="X4000" i="34"/>
  <c r="Y4000" i="34"/>
  <c r="Z4000" i="34"/>
  <c r="N4001" i="34"/>
  <c r="O4001" i="34"/>
  <c r="P4001" i="34"/>
  <c r="Q4001" i="34"/>
  <c r="R4001" i="34"/>
  <c r="S4001" i="34"/>
  <c r="T4001" i="34"/>
  <c r="U4001" i="34"/>
  <c r="V4001" i="34"/>
  <c r="W4001" i="34"/>
  <c r="X4001" i="34"/>
  <c r="Y4001" i="34"/>
  <c r="Z4001" i="34"/>
  <c r="N4002" i="34"/>
  <c r="O4002" i="34"/>
  <c r="P4002" i="34"/>
  <c r="Q4002" i="34"/>
  <c r="R4002" i="34"/>
  <c r="S4002" i="34"/>
  <c r="T4002" i="34"/>
  <c r="U4002" i="34"/>
  <c r="V4002" i="34"/>
  <c r="W4002" i="34"/>
  <c r="X4002" i="34"/>
  <c r="Y4002" i="34"/>
  <c r="Z4002" i="34"/>
  <c r="N4003" i="34"/>
  <c r="O4003" i="34"/>
  <c r="P4003" i="34"/>
  <c r="Q4003" i="34"/>
  <c r="R4003" i="34"/>
  <c r="S4003" i="34"/>
  <c r="T4003" i="34"/>
  <c r="U4003" i="34"/>
  <c r="V4003" i="34"/>
  <c r="W4003" i="34"/>
  <c r="X4003" i="34"/>
  <c r="Y4003" i="34"/>
  <c r="Z4003" i="34"/>
  <c r="N4004" i="34"/>
  <c r="O4004" i="34"/>
  <c r="P4004" i="34"/>
  <c r="Q4004" i="34"/>
  <c r="R4004" i="34"/>
  <c r="S4004" i="34"/>
  <c r="T4004" i="34"/>
  <c r="U4004" i="34"/>
  <c r="V4004" i="34"/>
  <c r="W4004" i="34"/>
  <c r="X4004" i="34"/>
  <c r="Y4004" i="34"/>
  <c r="Z4004" i="34"/>
  <c r="N4005" i="34"/>
  <c r="O4005" i="34"/>
  <c r="P4005" i="34"/>
  <c r="Q4005" i="34"/>
  <c r="R4005" i="34"/>
  <c r="S4005" i="34"/>
  <c r="T4005" i="34"/>
  <c r="U4005" i="34"/>
  <c r="V4005" i="34"/>
  <c r="W4005" i="34"/>
  <c r="X4005" i="34"/>
  <c r="Y4005" i="34"/>
  <c r="Z4005" i="34"/>
  <c r="N4006" i="34"/>
  <c r="O4006" i="34"/>
  <c r="P4006" i="34"/>
  <c r="Q4006" i="34"/>
  <c r="R4006" i="34"/>
  <c r="S4006" i="34"/>
  <c r="T4006" i="34"/>
  <c r="U4006" i="34"/>
  <c r="V4006" i="34"/>
  <c r="W4006" i="34"/>
  <c r="X4006" i="34"/>
  <c r="Y4006" i="34"/>
  <c r="Z4006" i="34"/>
  <c r="N4007" i="34"/>
  <c r="O4007" i="34"/>
  <c r="P4007" i="34"/>
  <c r="Q4007" i="34"/>
  <c r="R4007" i="34"/>
  <c r="S4007" i="34"/>
  <c r="T4007" i="34"/>
  <c r="U4007" i="34"/>
  <c r="V4007" i="34"/>
  <c r="W4007" i="34"/>
  <c r="X4007" i="34"/>
  <c r="Y4007" i="34"/>
  <c r="Z4007" i="34"/>
  <c r="N4008" i="34"/>
  <c r="O4008" i="34"/>
  <c r="P4008" i="34"/>
  <c r="Q4008" i="34"/>
  <c r="R4008" i="34"/>
  <c r="S4008" i="34"/>
  <c r="T4008" i="34"/>
  <c r="U4008" i="34"/>
  <c r="V4008" i="34"/>
  <c r="W4008" i="34"/>
  <c r="X4008" i="34"/>
  <c r="Y4008" i="34"/>
  <c r="Z4008" i="34"/>
  <c r="N4009" i="34"/>
  <c r="O4009" i="34"/>
  <c r="P4009" i="34"/>
  <c r="Q4009" i="34"/>
  <c r="R4009" i="34"/>
  <c r="S4009" i="34"/>
  <c r="T4009" i="34"/>
  <c r="U4009" i="34"/>
  <c r="V4009" i="34"/>
  <c r="W4009" i="34"/>
  <c r="X4009" i="34"/>
  <c r="Y4009" i="34"/>
  <c r="Z4009" i="34"/>
  <c r="N4010" i="34"/>
  <c r="O4010" i="34"/>
  <c r="P4010" i="34"/>
  <c r="Q4010" i="34"/>
  <c r="R4010" i="34"/>
  <c r="S4010" i="34"/>
  <c r="T4010" i="34"/>
  <c r="U4010" i="34"/>
  <c r="V4010" i="34"/>
  <c r="W4010" i="34"/>
  <c r="X4010" i="34"/>
  <c r="Y4010" i="34"/>
  <c r="Z4010" i="34"/>
  <c r="N4011" i="34"/>
  <c r="O4011" i="34"/>
  <c r="P4011" i="34"/>
  <c r="Q4011" i="34"/>
  <c r="R4011" i="34"/>
  <c r="S4011" i="34"/>
  <c r="T4011" i="34"/>
  <c r="U4011" i="34"/>
  <c r="V4011" i="34"/>
  <c r="W4011" i="34"/>
  <c r="X4011" i="34"/>
  <c r="Y4011" i="34"/>
  <c r="Z4011" i="34"/>
  <c r="N4012" i="34"/>
  <c r="O4012" i="34"/>
  <c r="P4012" i="34"/>
  <c r="Q4012" i="34"/>
  <c r="R4012" i="34"/>
  <c r="S4012" i="34"/>
  <c r="T4012" i="34"/>
  <c r="U4012" i="34"/>
  <c r="V4012" i="34"/>
  <c r="W4012" i="34"/>
  <c r="X4012" i="34"/>
  <c r="Y4012" i="34"/>
  <c r="Z4012" i="34"/>
  <c r="N4013" i="34"/>
  <c r="O4013" i="34"/>
  <c r="P4013" i="34"/>
  <c r="Q4013" i="34"/>
  <c r="R4013" i="34"/>
  <c r="S4013" i="34"/>
  <c r="T4013" i="34"/>
  <c r="U4013" i="34"/>
  <c r="V4013" i="34"/>
  <c r="W4013" i="34"/>
  <c r="X4013" i="34"/>
  <c r="Y4013" i="34"/>
  <c r="Z4013" i="34"/>
  <c r="N4014" i="34"/>
  <c r="O4014" i="34"/>
  <c r="P4014" i="34"/>
  <c r="Q4014" i="34"/>
  <c r="R4014" i="34"/>
  <c r="S4014" i="34"/>
  <c r="T4014" i="34"/>
  <c r="U4014" i="34"/>
  <c r="V4014" i="34"/>
  <c r="W4014" i="34"/>
  <c r="X4014" i="34"/>
  <c r="Y4014" i="34"/>
  <c r="Z4014" i="34"/>
  <c r="N4015" i="34"/>
  <c r="O4015" i="34"/>
  <c r="P4015" i="34"/>
  <c r="Q4015" i="34"/>
  <c r="R4015" i="34"/>
  <c r="S4015" i="34"/>
  <c r="T4015" i="34"/>
  <c r="U4015" i="34"/>
  <c r="V4015" i="34"/>
  <c r="W4015" i="34"/>
  <c r="X4015" i="34"/>
  <c r="Y4015" i="34"/>
  <c r="Z4015" i="34"/>
  <c r="N4016" i="34"/>
  <c r="O4016" i="34"/>
  <c r="P4016" i="34"/>
  <c r="Q4016" i="34"/>
  <c r="R4016" i="34"/>
  <c r="S4016" i="34"/>
  <c r="T4016" i="34"/>
  <c r="U4016" i="34"/>
  <c r="V4016" i="34"/>
  <c r="W4016" i="34"/>
  <c r="X4016" i="34"/>
  <c r="Y4016" i="34"/>
  <c r="Z4016" i="34"/>
  <c r="N4017" i="34"/>
  <c r="O4017" i="34"/>
  <c r="P4017" i="34"/>
  <c r="Q4017" i="34"/>
  <c r="R4017" i="34"/>
  <c r="S4017" i="34"/>
  <c r="T4017" i="34"/>
  <c r="U4017" i="34"/>
  <c r="V4017" i="34"/>
  <c r="W4017" i="34"/>
  <c r="X4017" i="34"/>
  <c r="Y4017" i="34"/>
  <c r="Z4017" i="34"/>
  <c r="N4018" i="34"/>
  <c r="O4018" i="34"/>
  <c r="P4018" i="34"/>
  <c r="Q4018" i="34"/>
  <c r="R4018" i="34"/>
  <c r="S4018" i="34"/>
  <c r="T4018" i="34"/>
  <c r="U4018" i="34"/>
  <c r="V4018" i="34"/>
  <c r="W4018" i="34"/>
  <c r="X4018" i="34"/>
  <c r="Y4018" i="34"/>
  <c r="Z4018" i="34"/>
  <c r="N4019" i="34"/>
  <c r="O4019" i="34"/>
  <c r="P4019" i="34"/>
  <c r="Q4019" i="34"/>
  <c r="R4019" i="34"/>
  <c r="S4019" i="34"/>
  <c r="T4019" i="34"/>
  <c r="U4019" i="34"/>
  <c r="V4019" i="34"/>
  <c r="W4019" i="34"/>
  <c r="X4019" i="34"/>
  <c r="Y4019" i="34"/>
  <c r="Z4019" i="34"/>
  <c r="N4020" i="34"/>
  <c r="O4020" i="34"/>
  <c r="P4020" i="34"/>
  <c r="Q4020" i="34"/>
  <c r="R4020" i="34"/>
  <c r="S4020" i="34"/>
  <c r="T4020" i="34"/>
  <c r="U4020" i="34"/>
  <c r="V4020" i="34"/>
  <c r="W4020" i="34"/>
  <c r="X4020" i="34"/>
  <c r="Y4020" i="34"/>
  <c r="Z4020" i="34"/>
  <c r="N4021" i="34"/>
  <c r="O4021" i="34"/>
  <c r="P4021" i="34"/>
  <c r="Q4021" i="34"/>
  <c r="R4021" i="34"/>
  <c r="S4021" i="34"/>
  <c r="T4021" i="34"/>
  <c r="U4021" i="34"/>
  <c r="V4021" i="34"/>
  <c r="W4021" i="34"/>
  <c r="X4021" i="34"/>
  <c r="Y4021" i="34"/>
  <c r="Z4021" i="34"/>
  <c r="N4022" i="34"/>
  <c r="O4022" i="34"/>
  <c r="P4022" i="34"/>
  <c r="Q4022" i="34"/>
  <c r="R4022" i="34"/>
  <c r="S4022" i="34"/>
  <c r="T4022" i="34"/>
  <c r="U4022" i="34"/>
  <c r="V4022" i="34"/>
  <c r="W4022" i="34"/>
  <c r="X4022" i="34"/>
  <c r="Y4022" i="34"/>
  <c r="Z4022" i="34"/>
  <c r="N4023" i="34"/>
  <c r="O4023" i="34"/>
  <c r="P4023" i="34"/>
  <c r="Q4023" i="34"/>
  <c r="R4023" i="34"/>
  <c r="S4023" i="34"/>
  <c r="T4023" i="34"/>
  <c r="U4023" i="34"/>
  <c r="V4023" i="34"/>
  <c r="W4023" i="34"/>
  <c r="X4023" i="34"/>
  <c r="Y4023" i="34"/>
  <c r="Z4023" i="34"/>
  <c r="N4024" i="34"/>
  <c r="O4024" i="34"/>
  <c r="P4024" i="34"/>
  <c r="Q4024" i="34"/>
  <c r="R4024" i="34"/>
  <c r="S4024" i="34"/>
  <c r="T4024" i="34"/>
  <c r="U4024" i="34"/>
  <c r="V4024" i="34"/>
  <c r="W4024" i="34"/>
  <c r="X4024" i="34"/>
  <c r="Y4024" i="34"/>
  <c r="Z4024" i="34"/>
  <c r="N4025" i="34"/>
  <c r="O4025" i="34"/>
  <c r="P4025" i="34"/>
  <c r="Q4025" i="34"/>
  <c r="R4025" i="34"/>
  <c r="S4025" i="34"/>
  <c r="T4025" i="34"/>
  <c r="U4025" i="34"/>
  <c r="V4025" i="34"/>
  <c r="W4025" i="34"/>
  <c r="X4025" i="34"/>
  <c r="Y4025" i="34"/>
  <c r="Z4025" i="34"/>
  <c r="N4026" i="34"/>
  <c r="O4026" i="34"/>
  <c r="P4026" i="34"/>
  <c r="Q4026" i="34"/>
  <c r="R4026" i="34"/>
  <c r="S4026" i="34"/>
  <c r="T4026" i="34"/>
  <c r="U4026" i="34"/>
  <c r="V4026" i="34"/>
  <c r="W4026" i="34"/>
  <c r="X4026" i="34"/>
  <c r="Y4026" i="34"/>
  <c r="Z4026" i="34"/>
  <c r="N4027" i="34"/>
  <c r="O4027" i="34"/>
  <c r="P4027" i="34"/>
  <c r="Q4027" i="34"/>
  <c r="R4027" i="34"/>
  <c r="S4027" i="34"/>
  <c r="T4027" i="34"/>
  <c r="U4027" i="34"/>
  <c r="V4027" i="34"/>
  <c r="W4027" i="34"/>
  <c r="X4027" i="34"/>
  <c r="Y4027" i="34"/>
  <c r="Z4027" i="34"/>
  <c r="N4028" i="34"/>
  <c r="O4028" i="34"/>
  <c r="P4028" i="34"/>
  <c r="Q4028" i="34"/>
  <c r="R4028" i="34"/>
  <c r="S4028" i="34"/>
  <c r="T4028" i="34"/>
  <c r="U4028" i="34"/>
  <c r="V4028" i="34"/>
  <c r="W4028" i="34"/>
  <c r="X4028" i="34"/>
  <c r="Y4028" i="34"/>
  <c r="Z4028" i="34"/>
  <c r="N4029" i="34"/>
  <c r="O4029" i="34"/>
  <c r="P4029" i="34"/>
  <c r="Q4029" i="34"/>
  <c r="R4029" i="34"/>
  <c r="S4029" i="34"/>
  <c r="T4029" i="34"/>
  <c r="U4029" i="34"/>
  <c r="V4029" i="34"/>
  <c r="W4029" i="34"/>
  <c r="X4029" i="34"/>
  <c r="Y4029" i="34"/>
  <c r="Z4029" i="34"/>
  <c r="N4030" i="34"/>
  <c r="O4030" i="34"/>
  <c r="P4030" i="34"/>
  <c r="Q4030" i="34"/>
  <c r="R4030" i="34"/>
  <c r="S4030" i="34"/>
  <c r="T4030" i="34"/>
  <c r="U4030" i="34"/>
  <c r="V4030" i="34"/>
  <c r="W4030" i="34"/>
  <c r="X4030" i="34"/>
  <c r="Y4030" i="34"/>
  <c r="Z4030" i="34"/>
  <c r="N4031" i="34"/>
  <c r="O4031" i="34"/>
  <c r="P4031" i="34"/>
  <c r="Q4031" i="34"/>
  <c r="R4031" i="34"/>
  <c r="S4031" i="34"/>
  <c r="T4031" i="34"/>
  <c r="U4031" i="34"/>
  <c r="V4031" i="34"/>
  <c r="W4031" i="34"/>
  <c r="X4031" i="34"/>
  <c r="Y4031" i="34"/>
  <c r="Z4031" i="34"/>
  <c r="N4032" i="34"/>
  <c r="O4032" i="34"/>
  <c r="P4032" i="34"/>
  <c r="Q4032" i="34"/>
  <c r="R4032" i="34"/>
  <c r="S4032" i="34"/>
  <c r="T4032" i="34"/>
  <c r="U4032" i="34"/>
  <c r="V4032" i="34"/>
  <c r="W4032" i="34"/>
  <c r="X4032" i="34"/>
  <c r="Y4032" i="34"/>
  <c r="Z4032" i="34"/>
  <c r="N4033" i="34"/>
  <c r="O4033" i="34"/>
  <c r="P4033" i="34"/>
  <c r="Q4033" i="34"/>
  <c r="R4033" i="34"/>
  <c r="S4033" i="34"/>
  <c r="T4033" i="34"/>
  <c r="U4033" i="34"/>
  <c r="V4033" i="34"/>
  <c r="W4033" i="34"/>
  <c r="X4033" i="34"/>
  <c r="Y4033" i="34"/>
  <c r="Z4033" i="34"/>
  <c r="N4034" i="34"/>
  <c r="O4034" i="34"/>
  <c r="P4034" i="34"/>
  <c r="Q4034" i="34"/>
  <c r="R4034" i="34"/>
  <c r="S4034" i="34"/>
  <c r="T4034" i="34"/>
  <c r="U4034" i="34"/>
  <c r="V4034" i="34"/>
  <c r="W4034" i="34"/>
  <c r="X4034" i="34"/>
  <c r="Y4034" i="34"/>
  <c r="Z4034" i="34"/>
  <c r="N4035" i="34"/>
  <c r="O4035" i="34"/>
  <c r="P4035" i="34"/>
  <c r="Q4035" i="34"/>
  <c r="R4035" i="34"/>
  <c r="S4035" i="34"/>
  <c r="T4035" i="34"/>
  <c r="U4035" i="34"/>
  <c r="V4035" i="34"/>
  <c r="W4035" i="34"/>
  <c r="X4035" i="34"/>
  <c r="Y4035" i="34"/>
  <c r="Z4035" i="34"/>
  <c r="N4036" i="34"/>
  <c r="O4036" i="34"/>
  <c r="P4036" i="34"/>
  <c r="Q4036" i="34"/>
  <c r="R4036" i="34"/>
  <c r="S4036" i="34"/>
  <c r="T4036" i="34"/>
  <c r="U4036" i="34"/>
  <c r="V4036" i="34"/>
  <c r="W4036" i="34"/>
  <c r="X4036" i="34"/>
  <c r="Y4036" i="34"/>
  <c r="Z4036" i="34"/>
  <c r="N4037" i="34"/>
  <c r="O4037" i="34"/>
  <c r="P4037" i="34"/>
  <c r="Q4037" i="34"/>
  <c r="R4037" i="34"/>
  <c r="S4037" i="34"/>
  <c r="T4037" i="34"/>
  <c r="U4037" i="34"/>
  <c r="V4037" i="34"/>
  <c r="W4037" i="34"/>
  <c r="X4037" i="34"/>
  <c r="Y4037" i="34"/>
  <c r="Z4037" i="34"/>
  <c r="N4038" i="34"/>
  <c r="O4038" i="34"/>
  <c r="P4038" i="34"/>
  <c r="Q4038" i="34"/>
  <c r="R4038" i="34"/>
  <c r="S4038" i="34"/>
  <c r="T4038" i="34"/>
  <c r="U4038" i="34"/>
  <c r="V4038" i="34"/>
  <c r="W4038" i="34"/>
  <c r="X4038" i="34"/>
  <c r="Y4038" i="34"/>
  <c r="Z4038" i="34"/>
  <c r="N4039" i="34"/>
  <c r="O4039" i="34"/>
  <c r="P4039" i="34"/>
  <c r="Q4039" i="34"/>
  <c r="R4039" i="34"/>
  <c r="S4039" i="34"/>
  <c r="T4039" i="34"/>
  <c r="U4039" i="34"/>
  <c r="V4039" i="34"/>
  <c r="W4039" i="34"/>
  <c r="X4039" i="34"/>
  <c r="Y4039" i="34"/>
  <c r="Z4039" i="34"/>
  <c r="N4040" i="34"/>
  <c r="O4040" i="34"/>
  <c r="P4040" i="34"/>
  <c r="Q4040" i="34"/>
  <c r="R4040" i="34"/>
  <c r="S4040" i="34"/>
  <c r="T4040" i="34"/>
  <c r="U4040" i="34"/>
  <c r="V4040" i="34"/>
  <c r="W4040" i="34"/>
  <c r="X4040" i="34"/>
  <c r="Y4040" i="34"/>
  <c r="Z4040" i="34"/>
  <c r="N4041" i="34"/>
  <c r="O4041" i="34"/>
  <c r="P4041" i="34"/>
  <c r="Q4041" i="34"/>
  <c r="R4041" i="34"/>
  <c r="S4041" i="34"/>
  <c r="T4041" i="34"/>
  <c r="U4041" i="34"/>
  <c r="V4041" i="34"/>
  <c r="W4041" i="34"/>
  <c r="X4041" i="34"/>
  <c r="Y4041" i="34"/>
  <c r="Z4041" i="34"/>
  <c r="N4042" i="34"/>
  <c r="O4042" i="34"/>
  <c r="P4042" i="34"/>
  <c r="Q4042" i="34"/>
  <c r="R4042" i="34"/>
  <c r="S4042" i="34"/>
  <c r="T4042" i="34"/>
  <c r="U4042" i="34"/>
  <c r="V4042" i="34"/>
  <c r="W4042" i="34"/>
  <c r="X4042" i="34"/>
  <c r="Y4042" i="34"/>
  <c r="Z4042" i="34"/>
  <c r="N4043" i="34"/>
  <c r="O4043" i="34"/>
  <c r="P4043" i="34"/>
  <c r="Q4043" i="34"/>
  <c r="R4043" i="34"/>
  <c r="S4043" i="34"/>
  <c r="T4043" i="34"/>
  <c r="U4043" i="34"/>
  <c r="V4043" i="34"/>
  <c r="W4043" i="34"/>
  <c r="X4043" i="34"/>
  <c r="Y4043" i="34"/>
  <c r="Z4043" i="34"/>
  <c r="N4044" i="34"/>
  <c r="O4044" i="34"/>
  <c r="P4044" i="34"/>
  <c r="Q4044" i="34"/>
  <c r="R4044" i="34"/>
  <c r="S4044" i="34"/>
  <c r="T4044" i="34"/>
  <c r="U4044" i="34"/>
  <c r="V4044" i="34"/>
  <c r="W4044" i="34"/>
  <c r="X4044" i="34"/>
  <c r="Y4044" i="34"/>
  <c r="Z4044" i="34"/>
  <c r="N4045" i="34"/>
  <c r="O4045" i="34"/>
  <c r="P4045" i="34"/>
  <c r="Q4045" i="34"/>
  <c r="R4045" i="34"/>
  <c r="S4045" i="34"/>
  <c r="T4045" i="34"/>
  <c r="U4045" i="34"/>
  <c r="V4045" i="34"/>
  <c r="W4045" i="34"/>
  <c r="X4045" i="34"/>
  <c r="Y4045" i="34"/>
  <c r="Z4045" i="34"/>
  <c r="N4046" i="34"/>
  <c r="O4046" i="34"/>
  <c r="P4046" i="34"/>
  <c r="Q4046" i="34"/>
  <c r="R4046" i="34"/>
  <c r="S4046" i="34"/>
  <c r="T4046" i="34"/>
  <c r="U4046" i="34"/>
  <c r="V4046" i="34"/>
  <c r="W4046" i="34"/>
  <c r="X4046" i="34"/>
  <c r="Y4046" i="34"/>
  <c r="Z4046" i="34"/>
  <c r="N4047" i="34"/>
  <c r="O4047" i="34"/>
  <c r="P4047" i="34"/>
  <c r="Q4047" i="34"/>
  <c r="R4047" i="34"/>
  <c r="S4047" i="34"/>
  <c r="T4047" i="34"/>
  <c r="U4047" i="34"/>
  <c r="V4047" i="34"/>
  <c r="W4047" i="34"/>
  <c r="X4047" i="34"/>
  <c r="Y4047" i="34"/>
  <c r="Z4047" i="34"/>
  <c r="N4048" i="34"/>
  <c r="O4048" i="34"/>
  <c r="P4048" i="34"/>
  <c r="Q4048" i="34"/>
  <c r="R4048" i="34"/>
  <c r="S4048" i="34"/>
  <c r="T4048" i="34"/>
  <c r="U4048" i="34"/>
  <c r="V4048" i="34"/>
  <c r="W4048" i="34"/>
  <c r="X4048" i="34"/>
  <c r="Y4048" i="34"/>
  <c r="Z4048" i="34"/>
  <c r="N4049" i="34"/>
  <c r="O4049" i="34"/>
  <c r="P4049" i="34"/>
  <c r="Q4049" i="34"/>
  <c r="R4049" i="34"/>
  <c r="S4049" i="34"/>
  <c r="T4049" i="34"/>
  <c r="U4049" i="34"/>
  <c r="V4049" i="34"/>
  <c r="W4049" i="34"/>
  <c r="X4049" i="34"/>
  <c r="Y4049" i="34"/>
  <c r="Z4049" i="34"/>
  <c r="N4050" i="34"/>
  <c r="O4050" i="34"/>
  <c r="P4050" i="34"/>
  <c r="Q4050" i="34"/>
  <c r="R4050" i="34"/>
  <c r="S4050" i="34"/>
  <c r="T4050" i="34"/>
  <c r="U4050" i="34"/>
  <c r="V4050" i="34"/>
  <c r="W4050" i="34"/>
  <c r="X4050" i="34"/>
  <c r="Y4050" i="34"/>
  <c r="Z4050" i="34"/>
  <c r="N4051" i="34"/>
  <c r="O4051" i="34"/>
  <c r="P4051" i="34"/>
  <c r="Q4051" i="34"/>
  <c r="R4051" i="34"/>
  <c r="S4051" i="34"/>
  <c r="T4051" i="34"/>
  <c r="U4051" i="34"/>
  <c r="V4051" i="34"/>
  <c r="W4051" i="34"/>
  <c r="X4051" i="34"/>
  <c r="Y4051" i="34"/>
  <c r="Z4051" i="34"/>
  <c r="N4052" i="34"/>
  <c r="O4052" i="34"/>
  <c r="P4052" i="34"/>
  <c r="Q4052" i="34"/>
  <c r="R4052" i="34"/>
  <c r="S4052" i="34"/>
  <c r="T4052" i="34"/>
  <c r="U4052" i="34"/>
  <c r="V4052" i="34"/>
  <c r="W4052" i="34"/>
  <c r="X4052" i="34"/>
  <c r="Y4052" i="34"/>
  <c r="Z4052" i="34"/>
  <c r="N4053" i="34"/>
  <c r="O4053" i="34"/>
  <c r="P4053" i="34"/>
  <c r="Q4053" i="34"/>
  <c r="R4053" i="34"/>
  <c r="S4053" i="34"/>
  <c r="T4053" i="34"/>
  <c r="U4053" i="34"/>
  <c r="V4053" i="34"/>
  <c r="W4053" i="34"/>
  <c r="X4053" i="34"/>
  <c r="Y4053" i="34"/>
  <c r="Z4053" i="34"/>
  <c r="N4054" i="34"/>
  <c r="O4054" i="34"/>
  <c r="P4054" i="34"/>
  <c r="Q4054" i="34"/>
  <c r="R4054" i="34"/>
  <c r="S4054" i="34"/>
  <c r="T4054" i="34"/>
  <c r="U4054" i="34"/>
  <c r="V4054" i="34"/>
  <c r="W4054" i="34"/>
  <c r="X4054" i="34"/>
  <c r="Y4054" i="34"/>
  <c r="Z4054" i="34"/>
  <c r="N4055" i="34"/>
  <c r="O4055" i="34"/>
  <c r="P4055" i="34"/>
  <c r="Q4055" i="34"/>
  <c r="R4055" i="34"/>
  <c r="S4055" i="34"/>
  <c r="T4055" i="34"/>
  <c r="U4055" i="34"/>
  <c r="V4055" i="34"/>
  <c r="W4055" i="34"/>
  <c r="X4055" i="34"/>
  <c r="Y4055" i="34"/>
  <c r="Z4055" i="34"/>
  <c r="N4056" i="34"/>
  <c r="O4056" i="34"/>
  <c r="P4056" i="34"/>
  <c r="Q4056" i="34"/>
  <c r="R4056" i="34"/>
  <c r="S4056" i="34"/>
  <c r="T4056" i="34"/>
  <c r="U4056" i="34"/>
  <c r="V4056" i="34"/>
  <c r="W4056" i="34"/>
  <c r="X4056" i="34"/>
  <c r="Y4056" i="34"/>
  <c r="Z4056" i="34"/>
  <c r="N4057" i="34"/>
  <c r="O4057" i="34"/>
  <c r="P4057" i="34"/>
  <c r="Q4057" i="34"/>
  <c r="R4057" i="34"/>
  <c r="S4057" i="34"/>
  <c r="T4057" i="34"/>
  <c r="U4057" i="34"/>
  <c r="V4057" i="34"/>
  <c r="W4057" i="34"/>
  <c r="X4057" i="34"/>
  <c r="Y4057" i="34"/>
  <c r="Z4057" i="34"/>
  <c r="N4058" i="34"/>
  <c r="O4058" i="34"/>
  <c r="P4058" i="34"/>
  <c r="Q4058" i="34"/>
  <c r="R4058" i="34"/>
  <c r="S4058" i="34"/>
  <c r="T4058" i="34"/>
  <c r="U4058" i="34"/>
  <c r="V4058" i="34"/>
  <c r="W4058" i="34"/>
  <c r="X4058" i="34"/>
  <c r="Y4058" i="34"/>
  <c r="Z4058" i="34"/>
  <c r="N4059" i="34"/>
  <c r="O4059" i="34"/>
  <c r="P4059" i="34"/>
  <c r="Q4059" i="34"/>
  <c r="R4059" i="34"/>
  <c r="S4059" i="34"/>
  <c r="T4059" i="34"/>
  <c r="U4059" i="34"/>
  <c r="V4059" i="34"/>
  <c r="W4059" i="34"/>
  <c r="X4059" i="34"/>
  <c r="Y4059" i="34"/>
  <c r="Z4059" i="34"/>
  <c r="N4060" i="34"/>
  <c r="O4060" i="34"/>
  <c r="P4060" i="34"/>
  <c r="Q4060" i="34"/>
  <c r="R4060" i="34"/>
  <c r="S4060" i="34"/>
  <c r="T4060" i="34"/>
  <c r="U4060" i="34"/>
  <c r="V4060" i="34"/>
  <c r="W4060" i="34"/>
  <c r="X4060" i="34"/>
  <c r="Y4060" i="34"/>
  <c r="Z4060" i="34"/>
  <c r="N4061" i="34"/>
  <c r="O4061" i="34"/>
  <c r="P4061" i="34"/>
  <c r="Q4061" i="34"/>
  <c r="R4061" i="34"/>
  <c r="S4061" i="34"/>
  <c r="T4061" i="34"/>
  <c r="U4061" i="34"/>
  <c r="V4061" i="34"/>
  <c r="W4061" i="34"/>
  <c r="X4061" i="34"/>
  <c r="Y4061" i="34"/>
  <c r="Z4061" i="34"/>
  <c r="N4062" i="34"/>
  <c r="O4062" i="34"/>
  <c r="P4062" i="34"/>
  <c r="Q4062" i="34"/>
  <c r="R4062" i="34"/>
  <c r="S4062" i="34"/>
  <c r="T4062" i="34"/>
  <c r="U4062" i="34"/>
  <c r="V4062" i="34"/>
  <c r="W4062" i="34"/>
  <c r="X4062" i="34"/>
  <c r="Y4062" i="34"/>
  <c r="Z4062" i="34"/>
  <c r="N4063" i="34"/>
  <c r="O4063" i="34"/>
  <c r="P4063" i="34"/>
  <c r="Q4063" i="34"/>
  <c r="R4063" i="34"/>
  <c r="S4063" i="34"/>
  <c r="T4063" i="34"/>
  <c r="U4063" i="34"/>
  <c r="V4063" i="34"/>
  <c r="W4063" i="34"/>
  <c r="X4063" i="34"/>
  <c r="Y4063" i="34"/>
  <c r="Z4063" i="34"/>
  <c r="N4064" i="34"/>
  <c r="O4064" i="34"/>
  <c r="P4064" i="34"/>
  <c r="Q4064" i="34"/>
  <c r="R4064" i="34"/>
  <c r="S4064" i="34"/>
  <c r="T4064" i="34"/>
  <c r="U4064" i="34"/>
  <c r="V4064" i="34"/>
  <c r="W4064" i="34"/>
  <c r="X4064" i="34"/>
  <c r="Y4064" i="34"/>
  <c r="Z4064" i="34"/>
  <c r="N4065" i="34"/>
  <c r="O4065" i="34"/>
  <c r="P4065" i="34"/>
  <c r="Q4065" i="34"/>
  <c r="R4065" i="34"/>
  <c r="S4065" i="34"/>
  <c r="T4065" i="34"/>
  <c r="U4065" i="34"/>
  <c r="V4065" i="34"/>
  <c r="W4065" i="34"/>
  <c r="X4065" i="34"/>
  <c r="Y4065" i="34"/>
  <c r="Z4065" i="34"/>
  <c r="N4066" i="34"/>
  <c r="O4066" i="34"/>
  <c r="P4066" i="34"/>
  <c r="Q4066" i="34"/>
  <c r="R4066" i="34"/>
  <c r="S4066" i="34"/>
  <c r="T4066" i="34"/>
  <c r="U4066" i="34"/>
  <c r="V4066" i="34"/>
  <c r="W4066" i="34"/>
  <c r="X4066" i="34"/>
  <c r="Y4066" i="34"/>
  <c r="Z4066" i="34"/>
  <c r="N4067" i="34"/>
  <c r="O4067" i="34"/>
  <c r="P4067" i="34"/>
  <c r="Q4067" i="34"/>
  <c r="R4067" i="34"/>
  <c r="S4067" i="34"/>
  <c r="T4067" i="34"/>
  <c r="U4067" i="34"/>
  <c r="V4067" i="34"/>
  <c r="W4067" i="34"/>
  <c r="X4067" i="34"/>
  <c r="Y4067" i="34"/>
  <c r="Z4067" i="34"/>
  <c r="N4068" i="34"/>
  <c r="O4068" i="34"/>
  <c r="P4068" i="34"/>
  <c r="Q4068" i="34"/>
  <c r="R4068" i="34"/>
  <c r="S4068" i="34"/>
  <c r="T4068" i="34"/>
  <c r="U4068" i="34"/>
  <c r="V4068" i="34"/>
  <c r="W4068" i="34"/>
  <c r="X4068" i="34"/>
  <c r="Y4068" i="34"/>
  <c r="Z4068" i="34"/>
  <c r="N4069" i="34"/>
  <c r="O4069" i="34"/>
  <c r="P4069" i="34"/>
  <c r="Q4069" i="34"/>
  <c r="R4069" i="34"/>
  <c r="S4069" i="34"/>
  <c r="T4069" i="34"/>
  <c r="U4069" i="34"/>
  <c r="V4069" i="34"/>
  <c r="W4069" i="34"/>
  <c r="X4069" i="34"/>
  <c r="Y4069" i="34"/>
  <c r="Z4069" i="34"/>
  <c r="N4070" i="34"/>
  <c r="O4070" i="34"/>
  <c r="P4070" i="34"/>
  <c r="Q4070" i="34"/>
  <c r="R4070" i="34"/>
  <c r="S4070" i="34"/>
  <c r="T4070" i="34"/>
  <c r="U4070" i="34"/>
  <c r="V4070" i="34"/>
  <c r="W4070" i="34"/>
  <c r="X4070" i="34"/>
  <c r="Y4070" i="34"/>
  <c r="Z4070" i="34"/>
  <c r="N4071" i="34"/>
  <c r="O4071" i="34"/>
  <c r="P4071" i="34"/>
  <c r="Q4071" i="34"/>
  <c r="R4071" i="34"/>
  <c r="S4071" i="34"/>
  <c r="T4071" i="34"/>
  <c r="U4071" i="34"/>
  <c r="V4071" i="34"/>
  <c r="W4071" i="34"/>
  <c r="X4071" i="34"/>
  <c r="Y4071" i="34"/>
  <c r="Z4071" i="34"/>
  <c r="N4072" i="34"/>
  <c r="O4072" i="34"/>
  <c r="P4072" i="34"/>
  <c r="Q4072" i="34"/>
  <c r="R4072" i="34"/>
  <c r="S4072" i="34"/>
  <c r="T4072" i="34"/>
  <c r="U4072" i="34"/>
  <c r="V4072" i="34"/>
  <c r="W4072" i="34"/>
  <c r="X4072" i="34"/>
  <c r="Y4072" i="34"/>
  <c r="Z4072" i="34"/>
  <c r="N4073" i="34"/>
  <c r="O4073" i="34"/>
  <c r="P4073" i="34"/>
  <c r="Q4073" i="34"/>
  <c r="R4073" i="34"/>
  <c r="S4073" i="34"/>
  <c r="T4073" i="34"/>
  <c r="U4073" i="34"/>
  <c r="V4073" i="34"/>
  <c r="W4073" i="34"/>
  <c r="X4073" i="34"/>
  <c r="Y4073" i="34"/>
  <c r="Z4073" i="34"/>
  <c r="N4074" i="34"/>
  <c r="O4074" i="34"/>
  <c r="P4074" i="34"/>
  <c r="Q4074" i="34"/>
  <c r="R4074" i="34"/>
  <c r="S4074" i="34"/>
  <c r="T4074" i="34"/>
  <c r="U4074" i="34"/>
  <c r="V4074" i="34"/>
  <c r="W4074" i="34"/>
  <c r="X4074" i="34"/>
  <c r="Y4074" i="34"/>
  <c r="Z4074" i="34"/>
  <c r="N4075" i="34"/>
  <c r="O4075" i="34"/>
  <c r="P4075" i="34"/>
  <c r="Q4075" i="34"/>
  <c r="R4075" i="34"/>
  <c r="S4075" i="34"/>
  <c r="T4075" i="34"/>
  <c r="U4075" i="34"/>
  <c r="V4075" i="34"/>
  <c r="W4075" i="34"/>
  <c r="X4075" i="34"/>
  <c r="Y4075" i="34"/>
  <c r="Z4075" i="34"/>
  <c r="N4076" i="34"/>
  <c r="O4076" i="34"/>
  <c r="P4076" i="34"/>
  <c r="Q4076" i="34"/>
  <c r="R4076" i="34"/>
  <c r="S4076" i="34"/>
  <c r="T4076" i="34"/>
  <c r="U4076" i="34"/>
  <c r="V4076" i="34"/>
  <c r="W4076" i="34"/>
  <c r="X4076" i="34"/>
  <c r="Y4076" i="34"/>
  <c r="Z4076" i="34"/>
  <c r="N4077" i="34"/>
  <c r="O4077" i="34"/>
  <c r="P4077" i="34"/>
  <c r="Q4077" i="34"/>
  <c r="R4077" i="34"/>
  <c r="S4077" i="34"/>
  <c r="T4077" i="34"/>
  <c r="U4077" i="34"/>
  <c r="V4077" i="34"/>
  <c r="W4077" i="34"/>
  <c r="X4077" i="34"/>
  <c r="Y4077" i="34"/>
  <c r="Z4077" i="34"/>
  <c r="N4078" i="34"/>
  <c r="O4078" i="34"/>
  <c r="P4078" i="34"/>
  <c r="Q4078" i="34"/>
  <c r="R4078" i="34"/>
  <c r="S4078" i="34"/>
  <c r="T4078" i="34"/>
  <c r="U4078" i="34"/>
  <c r="V4078" i="34"/>
  <c r="W4078" i="34"/>
  <c r="X4078" i="34"/>
  <c r="Y4078" i="34"/>
  <c r="Z4078" i="34"/>
  <c r="N4079" i="34"/>
  <c r="O4079" i="34"/>
  <c r="P4079" i="34"/>
  <c r="Q4079" i="34"/>
  <c r="R4079" i="34"/>
  <c r="S4079" i="34"/>
  <c r="T4079" i="34"/>
  <c r="U4079" i="34"/>
  <c r="V4079" i="34"/>
  <c r="W4079" i="34"/>
  <c r="X4079" i="34"/>
  <c r="Y4079" i="34"/>
  <c r="Z4079" i="34"/>
  <c r="N4080" i="34"/>
  <c r="O4080" i="34"/>
  <c r="P4080" i="34"/>
  <c r="Q4080" i="34"/>
  <c r="R4080" i="34"/>
  <c r="S4080" i="34"/>
  <c r="T4080" i="34"/>
  <c r="U4080" i="34"/>
  <c r="V4080" i="34"/>
  <c r="W4080" i="34"/>
  <c r="X4080" i="34"/>
  <c r="Y4080" i="34"/>
  <c r="Z4080" i="34"/>
  <c r="N4081" i="34"/>
  <c r="O4081" i="34"/>
  <c r="P4081" i="34"/>
  <c r="Q4081" i="34"/>
  <c r="R4081" i="34"/>
  <c r="S4081" i="34"/>
  <c r="T4081" i="34"/>
  <c r="U4081" i="34"/>
  <c r="V4081" i="34"/>
  <c r="W4081" i="34"/>
  <c r="X4081" i="34"/>
  <c r="Y4081" i="34"/>
  <c r="Z4081" i="34"/>
  <c r="N4082" i="34"/>
  <c r="O4082" i="34"/>
  <c r="P4082" i="34"/>
  <c r="Q4082" i="34"/>
  <c r="R4082" i="34"/>
  <c r="S4082" i="34"/>
  <c r="T4082" i="34"/>
  <c r="U4082" i="34"/>
  <c r="V4082" i="34"/>
  <c r="W4082" i="34"/>
  <c r="X4082" i="34"/>
  <c r="Y4082" i="34"/>
  <c r="Z4082" i="34"/>
  <c r="N4083" i="34"/>
  <c r="O4083" i="34"/>
  <c r="P4083" i="34"/>
  <c r="Q4083" i="34"/>
  <c r="R4083" i="34"/>
  <c r="S4083" i="34"/>
  <c r="T4083" i="34"/>
  <c r="U4083" i="34"/>
  <c r="V4083" i="34"/>
  <c r="W4083" i="34"/>
  <c r="X4083" i="34"/>
  <c r="Y4083" i="34"/>
  <c r="Z4083" i="34"/>
  <c r="N4084" i="34"/>
  <c r="O4084" i="34"/>
  <c r="P4084" i="34"/>
  <c r="Q4084" i="34"/>
  <c r="R4084" i="34"/>
  <c r="S4084" i="34"/>
  <c r="T4084" i="34"/>
  <c r="U4084" i="34"/>
  <c r="V4084" i="34"/>
  <c r="W4084" i="34"/>
  <c r="X4084" i="34"/>
  <c r="Y4084" i="34"/>
  <c r="Z4084" i="34"/>
  <c r="N4085" i="34"/>
  <c r="O4085" i="34"/>
  <c r="P4085" i="34"/>
  <c r="Q4085" i="34"/>
  <c r="R4085" i="34"/>
  <c r="S4085" i="34"/>
  <c r="T4085" i="34"/>
  <c r="U4085" i="34"/>
  <c r="V4085" i="34"/>
  <c r="W4085" i="34"/>
  <c r="X4085" i="34"/>
  <c r="Y4085" i="34"/>
  <c r="Z4085" i="34"/>
  <c r="N4086" i="34"/>
  <c r="O4086" i="34"/>
  <c r="P4086" i="34"/>
  <c r="Q4086" i="34"/>
  <c r="R4086" i="34"/>
  <c r="S4086" i="34"/>
  <c r="T4086" i="34"/>
  <c r="U4086" i="34"/>
  <c r="V4086" i="34"/>
  <c r="W4086" i="34"/>
  <c r="X4086" i="34"/>
  <c r="Y4086" i="34"/>
  <c r="Z4086" i="34"/>
  <c r="N4087" i="34"/>
  <c r="O4087" i="34"/>
  <c r="P4087" i="34"/>
  <c r="Q4087" i="34"/>
  <c r="R4087" i="34"/>
  <c r="S4087" i="34"/>
  <c r="T4087" i="34"/>
  <c r="U4087" i="34"/>
  <c r="V4087" i="34"/>
  <c r="W4087" i="34"/>
  <c r="X4087" i="34"/>
  <c r="Y4087" i="34"/>
  <c r="Z4087" i="34"/>
  <c r="N4088" i="34"/>
  <c r="O4088" i="34"/>
  <c r="P4088" i="34"/>
  <c r="Q4088" i="34"/>
  <c r="R4088" i="34"/>
  <c r="S4088" i="34"/>
  <c r="T4088" i="34"/>
  <c r="U4088" i="34"/>
  <c r="V4088" i="34"/>
  <c r="W4088" i="34"/>
  <c r="X4088" i="34"/>
  <c r="Y4088" i="34"/>
  <c r="Z4088" i="34"/>
  <c r="N4089" i="34"/>
  <c r="O4089" i="34"/>
  <c r="P4089" i="34"/>
  <c r="Q4089" i="34"/>
  <c r="R4089" i="34"/>
  <c r="S4089" i="34"/>
  <c r="T4089" i="34"/>
  <c r="U4089" i="34"/>
  <c r="V4089" i="34"/>
  <c r="W4089" i="34"/>
  <c r="X4089" i="34"/>
  <c r="Y4089" i="34"/>
  <c r="Z4089" i="34"/>
  <c r="N4090" i="34"/>
  <c r="O4090" i="34"/>
  <c r="P4090" i="34"/>
  <c r="Q4090" i="34"/>
  <c r="R4090" i="34"/>
  <c r="S4090" i="34"/>
  <c r="T4090" i="34"/>
  <c r="U4090" i="34"/>
  <c r="V4090" i="34"/>
  <c r="W4090" i="34"/>
  <c r="X4090" i="34"/>
  <c r="Y4090" i="34"/>
  <c r="Z4090" i="34"/>
  <c r="N4091" i="34"/>
  <c r="O4091" i="34"/>
  <c r="P4091" i="34"/>
  <c r="Q4091" i="34"/>
  <c r="R4091" i="34"/>
  <c r="S4091" i="34"/>
  <c r="T4091" i="34"/>
  <c r="U4091" i="34"/>
  <c r="V4091" i="34"/>
  <c r="W4091" i="34"/>
  <c r="X4091" i="34"/>
  <c r="Y4091" i="34"/>
  <c r="Z4091" i="34"/>
  <c r="N4092" i="34"/>
  <c r="O4092" i="34"/>
  <c r="P4092" i="34"/>
  <c r="Q4092" i="34"/>
  <c r="R4092" i="34"/>
  <c r="S4092" i="34"/>
  <c r="T4092" i="34"/>
  <c r="U4092" i="34"/>
  <c r="V4092" i="34"/>
  <c r="W4092" i="34"/>
  <c r="X4092" i="34"/>
  <c r="Y4092" i="34"/>
  <c r="Z4092" i="34"/>
  <c r="N4093" i="34"/>
  <c r="O4093" i="34"/>
  <c r="P4093" i="34"/>
  <c r="Q4093" i="34"/>
  <c r="R4093" i="34"/>
  <c r="S4093" i="34"/>
  <c r="T4093" i="34"/>
  <c r="U4093" i="34"/>
  <c r="V4093" i="34"/>
  <c r="W4093" i="34"/>
  <c r="X4093" i="34"/>
  <c r="Y4093" i="34"/>
  <c r="Z4093" i="34"/>
  <c r="N4094" i="34"/>
  <c r="O4094" i="34"/>
  <c r="P4094" i="34"/>
  <c r="Q4094" i="34"/>
  <c r="R4094" i="34"/>
  <c r="S4094" i="34"/>
  <c r="T4094" i="34"/>
  <c r="U4094" i="34"/>
  <c r="V4094" i="34"/>
  <c r="W4094" i="34"/>
  <c r="X4094" i="34"/>
  <c r="Y4094" i="34"/>
  <c r="Z4094" i="34"/>
  <c r="N4095" i="34"/>
  <c r="O4095" i="34"/>
  <c r="P4095" i="34"/>
  <c r="Q4095" i="34"/>
  <c r="R4095" i="34"/>
  <c r="S4095" i="34"/>
  <c r="T4095" i="34"/>
  <c r="U4095" i="34"/>
  <c r="V4095" i="34"/>
  <c r="W4095" i="34"/>
  <c r="X4095" i="34"/>
  <c r="Y4095" i="34"/>
  <c r="Z4095" i="34"/>
  <c r="N4096" i="34"/>
  <c r="O4096" i="34"/>
  <c r="P4096" i="34"/>
  <c r="Q4096" i="34"/>
  <c r="R4096" i="34"/>
  <c r="S4096" i="34"/>
  <c r="T4096" i="34"/>
  <c r="U4096" i="34"/>
  <c r="V4096" i="34"/>
  <c r="W4096" i="34"/>
  <c r="X4096" i="34"/>
  <c r="Y4096" i="34"/>
  <c r="Z4096" i="34"/>
  <c r="N4097" i="34"/>
  <c r="O4097" i="34"/>
  <c r="P4097" i="34"/>
  <c r="Q4097" i="34"/>
  <c r="R4097" i="34"/>
  <c r="S4097" i="34"/>
  <c r="T4097" i="34"/>
  <c r="U4097" i="34"/>
  <c r="V4097" i="34"/>
  <c r="W4097" i="34"/>
  <c r="X4097" i="34"/>
  <c r="Y4097" i="34"/>
  <c r="Z4097" i="34"/>
  <c r="N4098" i="34"/>
  <c r="O4098" i="34"/>
  <c r="P4098" i="34"/>
  <c r="Q4098" i="34"/>
  <c r="R4098" i="34"/>
  <c r="S4098" i="34"/>
  <c r="T4098" i="34"/>
  <c r="U4098" i="34"/>
  <c r="V4098" i="34"/>
  <c r="W4098" i="34"/>
  <c r="X4098" i="34"/>
  <c r="Y4098" i="34"/>
  <c r="Z4098" i="34"/>
  <c r="N4099" i="34"/>
  <c r="O4099" i="34"/>
  <c r="P4099" i="34"/>
  <c r="Q4099" i="34"/>
  <c r="R4099" i="34"/>
  <c r="S4099" i="34"/>
  <c r="T4099" i="34"/>
  <c r="U4099" i="34"/>
  <c r="V4099" i="34"/>
  <c r="W4099" i="34"/>
  <c r="X4099" i="34"/>
  <c r="Y4099" i="34"/>
  <c r="Z4099" i="34"/>
  <c r="N4100" i="34"/>
  <c r="O4100" i="34"/>
  <c r="P4100" i="34"/>
  <c r="Q4100" i="34"/>
  <c r="R4100" i="34"/>
  <c r="S4100" i="34"/>
  <c r="T4100" i="34"/>
  <c r="U4100" i="34"/>
  <c r="V4100" i="34"/>
  <c r="W4100" i="34"/>
  <c r="X4100" i="34"/>
  <c r="Y4100" i="34"/>
  <c r="Z4100" i="34"/>
  <c r="N4101" i="34"/>
  <c r="O4101" i="34"/>
  <c r="P4101" i="34"/>
  <c r="Q4101" i="34"/>
  <c r="R4101" i="34"/>
  <c r="S4101" i="34"/>
  <c r="T4101" i="34"/>
  <c r="U4101" i="34"/>
  <c r="V4101" i="34"/>
  <c r="W4101" i="34"/>
  <c r="X4101" i="34"/>
  <c r="Y4101" i="34"/>
  <c r="Z4101" i="34"/>
  <c r="N4102" i="34"/>
  <c r="O4102" i="34"/>
  <c r="P4102" i="34"/>
  <c r="Q4102" i="34"/>
  <c r="R4102" i="34"/>
  <c r="S4102" i="34"/>
  <c r="T4102" i="34"/>
  <c r="U4102" i="34"/>
  <c r="V4102" i="34"/>
  <c r="W4102" i="34"/>
  <c r="X4102" i="34"/>
  <c r="Y4102" i="34"/>
  <c r="Z4102" i="34"/>
  <c r="N4103" i="34"/>
  <c r="O4103" i="34"/>
  <c r="P4103" i="34"/>
  <c r="Q4103" i="34"/>
  <c r="R4103" i="34"/>
  <c r="S4103" i="34"/>
  <c r="T4103" i="34"/>
  <c r="U4103" i="34"/>
  <c r="V4103" i="34"/>
  <c r="W4103" i="34"/>
  <c r="X4103" i="34"/>
  <c r="Y4103" i="34"/>
  <c r="Z4103" i="34"/>
  <c r="N4104" i="34"/>
  <c r="O4104" i="34"/>
  <c r="P4104" i="34"/>
  <c r="Q4104" i="34"/>
  <c r="R4104" i="34"/>
  <c r="S4104" i="34"/>
  <c r="T4104" i="34"/>
  <c r="U4104" i="34"/>
  <c r="V4104" i="34"/>
  <c r="W4104" i="34"/>
  <c r="X4104" i="34"/>
  <c r="Y4104" i="34"/>
  <c r="Z4104" i="34"/>
  <c r="N4105" i="34"/>
  <c r="O4105" i="34"/>
  <c r="P4105" i="34"/>
  <c r="Q4105" i="34"/>
  <c r="R4105" i="34"/>
  <c r="S4105" i="34"/>
  <c r="T4105" i="34"/>
  <c r="U4105" i="34"/>
  <c r="V4105" i="34"/>
  <c r="W4105" i="34"/>
  <c r="X4105" i="34"/>
  <c r="Y4105" i="34"/>
  <c r="Z4105" i="34"/>
  <c r="N4106" i="34"/>
  <c r="O4106" i="34"/>
  <c r="P4106" i="34"/>
  <c r="Q4106" i="34"/>
  <c r="R4106" i="34"/>
  <c r="S4106" i="34"/>
  <c r="T4106" i="34"/>
  <c r="U4106" i="34"/>
  <c r="V4106" i="34"/>
  <c r="W4106" i="34"/>
  <c r="X4106" i="34"/>
  <c r="Y4106" i="34"/>
  <c r="Z4106" i="34"/>
  <c r="N4107" i="34"/>
  <c r="O4107" i="34"/>
  <c r="P4107" i="34"/>
  <c r="Q4107" i="34"/>
  <c r="R4107" i="34"/>
  <c r="S4107" i="34"/>
  <c r="T4107" i="34"/>
  <c r="U4107" i="34"/>
  <c r="V4107" i="34"/>
  <c r="W4107" i="34"/>
  <c r="X4107" i="34"/>
  <c r="Y4107" i="34"/>
  <c r="Z4107" i="34"/>
  <c r="N4108" i="34"/>
  <c r="O4108" i="34"/>
  <c r="P4108" i="34"/>
  <c r="Q4108" i="34"/>
  <c r="R4108" i="34"/>
  <c r="S4108" i="34"/>
  <c r="T4108" i="34"/>
  <c r="U4108" i="34"/>
  <c r="V4108" i="34"/>
  <c r="W4108" i="34"/>
  <c r="X4108" i="34"/>
  <c r="Y4108" i="34"/>
  <c r="Z4108" i="34"/>
  <c r="N4109" i="34"/>
  <c r="O4109" i="34"/>
  <c r="P4109" i="34"/>
  <c r="Q4109" i="34"/>
  <c r="R4109" i="34"/>
  <c r="S4109" i="34"/>
  <c r="T4109" i="34"/>
  <c r="U4109" i="34"/>
  <c r="V4109" i="34"/>
  <c r="W4109" i="34"/>
  <c r="X4109" i="34"/>
  <c r="Y4109" i="34"/>
  <c r="Z4109" i="34"/>
  <c r="N4110" i="34"/>
  <c r="O4110" i="34"/>
  <c r="P4110" i="34"/>
  <c r="Q4110" i="34"/>
  <c r="R4110" i="34"/>
  <c r="S4110" i="34"/>
  <c r="T4110" i="34"/>
  <c r="U4110" i="34"/>
  <c r="V4110" i="34"/>
  <c r="W4110" i="34"/>
  <c r="X4110" i="34"/>
  <c r="Y4110" i="34"/>
  <c r="Z4110" i="34"/>
  <c r="N4111" i="34"/>
  <c r="O4111" i="34"/>
  <c r="P4111" i="34"/>
  <c r="Q4111" i="34"/>
  <c r="R4111" i="34"/>
  <c r="S4111" i="34"/>
  <c r="T4111" i="34"/>
  <c r="U4111" i="34"/>
  <c r="V4111" i="34"/>
  <c r="W4111" i="34"/>
  <c r="X4111" i="34"/>
  <c r="Y4111" i="34"/>
  <c r="Z4111" i="34"/>
  <c r="N4112" i="34"/>
  <c r="O4112" i="34"/>
  <c r="P4112" i="34"/>
  <c r="Q4112" i="34"/>
  <c r="R4112" i="34"/>
  <c r="S4112" i="34"/>
  <c r="T4112" i="34"/>
  <c r="U4112" i="34"/>
  <c r="V4112" i="34"/>
  <c r="W4112" i="34"/>
  <c r="X4112" i="34"/>
  <c r="Y4112" i="34"/>
  <c r="Z4112" i="34"/>
  <c r="N4113" i="34"/>
  <c r="O4113" i="34"/>
  <c r="P4113" i="34"/>
  <c r="Q4113" i="34"/>
  <c r="R4113" i="34"/>
  <c r="S4113" i="34"/>
  <c r="T4113" i="34"/>
  <c r="U4113" i="34"/>
  <c r="V4113" i="34"/>
  <c r="W4113" i="34"/>
  <c r="X4113" i="34"/>
  <c r="Y4113" i="34"/>
  <c r="Z4113" i="34"/>
  <c r="N4114" i="34"/>
  <c r="O4114" i="34"/>
  <c r="P4114" i="34"/>
  <c r="Q4114" i="34"/>
  <c r="R4114" i="34"/>
  <c r="S4114" i="34"/>
  <c r="T4114" i="34"/>
  <c r="U4114" i="34"/>
  <c r="V4114" i="34"/>
  <c r="W4114" i="34"/>
  <c r="X4114" i="34"/>
  <c r="Y4114" i="34"/>
  <c r="Z4114" i="34"/>
  <c r="N4115" i="34"/>
  <c r="O4115" i="34"/>
  <c r="P4115" i="34"/>
  <c r="Q4115" i="34"/>
  <c r="R4115" i="34"/>
  <c r="S4115" i="34"/>
  <c r="T4115" i="34"/>
  <c r="U4115" i="34"/>
  <c r="V4115" i="34"/>
  <c r="W4115" i="34"/>
  <c r="X4115" i="34"/>
  <c r="Y4115" i="34"/>
  <c r="Z4115" i="34"/>
  <c r="N4116" i="34"/>
  <c r="O4116" i="34"/>
  <c r="P4116" i="34"/>
  <c r="Q4116" i="34"/>
  <c r="R4116" i="34"/>
  <c r="S4116" i="34"/>
  <c r="T4116" i="34"/>
  <c r="U4116" i="34"/>
  <c r="V4116" i="34"/>
  <c r="W4116" i="34"/>
  <c r="X4116" i="34"/>
  <c r="Y4116" i="34"/>
  <c r="Z4116" i="34"/>
  <c r="N4117" i="34"/>
  <c r="O4117" i="34"/>
  <c r="P4117" i="34"/>
  <c r="Q4117" i="34"/>
  <c r="R4117" i="34"/>
  <c r="S4117" i="34"/>
  <c r="T4117" i="34"/>
  <c r="U4117" i="34"/>
  <c r="V4117" i="34"/>
  <c r="W4117" i="34"/>
  <c r="X4117" i="34"/>
  <c r="Y4117" i="34"/>
  <c r="Z4117" i="34"/>
  <c r="N4118" i="34"/>
  <c r="O4118" i="34"/>
  <c r="P4118" i="34"/>
  <c r="Q4118" i="34"/>
  <c r="R4118" i="34"/>
  <c r="S4118" i="34"/>
  <c r="T4118" i="34"/>
  <c r="U4118" i="34"/>
  <c r="V4118" i="34"/>
  <c r="W4118" i="34"/>
  <c r="X4118" i="34"/>
  <c r="Y4118" i="34"/>
  <c r="Z4118" i="34"/>
  <c r="N4119" i="34"/>
  <c r="O4119" i="34"/>
  <c r="P4119" i="34"/>
  <c r="Q4119" i="34"/>
  <c r="R4119" i="34"/>
  <c r="S4119" i="34"/>
  <c r="T4119" i="34"/>
  <c r="U4119" i="34"/>
  <c r="V4119" i="34"/>
  <c r="W4119" i="34"/>
  <c r="X4119" i="34"/>
  <c r="Y4119" i="34"/>
  <c r="Z4119" i="34"/>
  <c r="N4120" i="34"/>
  <c r="O4120" i="34"/>
  <c r="P4120" i="34"/>
  <c r="Q4120" i="34"/>
  <c r="R4120" i="34"/>
  <c r="S4120" i="34"/>
  <c r="T4120" i="34"/>
  <c r="U4120" i="34"/>
  <c r="V4120" i="34"/>
  <c r="W4120" i="34"/>
  <c r="X4120" i="34"/>
  <c r="Y4120" i="34"/>
  <c r="Z4120" i="34"/>
  <c r="N4121" i="34"/>
  <c r="O4121" i="34"/>
  <c r="P4121" i="34"/>
  <c r="Q4121" i="34"/>
  <c r="R4121" i="34"/>
  <c r="S4121" i="34"/>
  <c r="T4121" i="34"/>
  <c r="U4121" i="34"/>
  <c r="V4121" i="34"/>
  <c r="W4121" i="34"/>
  <c r="X4121" i="34"/>
  <c r="Y4121" i="34"/>
  <c r="Z4121" i="34"/>
  <c r="N4122" i="34"/>
  <c r="O4122" i="34"/>
  <c r="P4122" i="34"/>
  <c r="Q4122" i="34"/>
  <c r="R4122" i="34"/>
  <c r="S4122" i="34"/>
  <c r="T4122" i="34"/>
  <c r="U4122" i="34"/>
  <c r="V4122" i="34"/>
  <c r="W4122" i="34"/>
  <c r="X4122" i="34"/>
  <c r="Y4122" i="34"/>
  <c r="Z4122" i="34"/>
  <c r="N4123" i="34"/>
  <c r="O4123" i="34"/>
  <c r="P4123" i="34"/>
  <c r="Q4123" i="34"/>
  <c r="R4123" i="34"/>
  <c r="S4123" i="34"/>
  <c r="T4123" i="34"/>
  <c r="U4123" i="34"/>
  <c r="V4123" i="34"/>
  <c r="W4123" i="34"/>
  <c r="X4123" i="34"/>
  <c r="Y4123" i="34"/>
  <c r="Z4123" i="34"/>
  <c r="N4124" i="34"/>
  <c r="O4124" i="34"/>
  <c r="P4124" i="34"/>
  <c r="Q4124" i="34"/>
  <c r="R4124" i="34"/>
  <c r="S4124" i="34"/>
  <c r="T4124" i="34"/>
  <c r="U4124" i="34"/>
  <c r="V4124" i="34"/>
  <c r="W4124" i="34"/>
  <c r="X4124" i="34"/>
  <c r="Y4124" i="34"/>
  <c r="Z4124" i="34"/>
  <c r="N4125" i="34"/>
  <c r="O4125" i="34"/>
  <c r="P4125" i="34"/>
  <c r="Q4125" i="34"/>
  <c r="R4125" i="34"/>
  <c r="S4125" i="34"/>
  <c r="T4125" i="34"/>
  <c r="U4125" i="34"/>
  <c r="V4125" i="34"/>
  <c r="W4125" i="34"/>
  <c r="X4125" i="34"/>
  <c r="Y4125" i="34"/>
  <c r="Z4125" i="34"/>
  <c r="N4126" i="34"/>
  <c r="O4126" i="34"/>
  <c r="P4126" i="34"/>
  <c r="Q4126" i="34"/>
  <c r="R4126" i="34"/>
  <c r="S4126" i="34"/>
  <c r="T4126" i="34"/>
  <c r="U4126" i="34"/>
  <c r="V4126" i="34"/>
  <c r="W4126" i="34"/>
  <c r="X4126" i="34"/>
  <c r="Y4126" i="34"/>
  <c r="Z4126" i="34"/>
  <c r="N4127" i="34"/>
  <c r="O4127" i="34"/>
  <c r="P4127" i="34"/>
  <c r="Q4127" i="34"/>
  <c r="R4127" i="34"/>
  <c r="S4127" i="34"/>
  <c r="T4127" i="34"/>
  <c r="U4127" i="34"/>
  <c r="V4127" i="34"/>
  <c r="W4127" i="34"/>
  <c r="X4127" i="34"/>
  <c r="Y4127" i="34"/>
  <c r="Z4127" i="34"/>
  <c r="N4128" i="34"/>
  <c r="O4128" i="34"/>
  <c r="P4128" i="34"/>
  <c r="Q4128" i="34"/>
  <c r="R4128" i="34"/>
  <c r="S4128" i="34"/>
  <c r="T4128" i="34"/>
  <c r="U4128" i="34"/>
  <c r="V4128" i="34"/>
  <c r="W4128" i="34"/>
  <c r="X4128" i="34"/>
  <c r="Y4128" i="34"/>
  <c r="Z4128" i="34"/>
  <c r="N4129" i="34"/>
  <c r="O4129" i="34"/>
  <c r="P4129" i="34"/>
  <c r="Q4129" i="34"/>
  <c r="R4129" i="34"/>
  <c r="S4129" i="34"/>
  <c r="T4129" i="34"/>
  <c r="U4129" i="34"/>
  <c r="V4129" i="34"/>
  <c r="W4129" i="34"/>
  <c r="X4129" i="34"/>
  <c r="Y4129" i="34"/>
  <c r="Z4129" i="34"/>
  <c r="N4130" i="34"/>
  <c r="O4130" i="34"/>
  <c r="P4130" i="34"/>
  <c r="Q4130" i="34"/>
  <c r="R4130" i="34"/>
  <c r="S4130" i="34"/>
  <c r="T4130" i="34"/>
  <c r="U4130" i="34"/>
  <c r="V4130" i="34"/>
  <c r="W4130" i="34"/>
  <c r="X4130" i="34"/>
  <c r="Y4130" i="34"/>
  <c r="Z4130" i="34"/>
  <c r="N4131" i="34"/>
  <c r="O4131" i="34"/>
  <c r="P4131" i="34"/>
  <c r="Q4131" i="34"/>
  <c r="R4131" i="34"/>
  <c r="S4131" i="34"/>
  <c r="T4131" i="34"/>
  <c r="U4131" i="34"/>
  <c r="V4131" i="34"/>
  <c r="W4131" i="34"/>
  <c r="X4131" i="34"/>
  <c r="Y4131" i="34"/>
  <c r="Z4131" i="34"/>
  <c r="N4132" i="34"/>
  <c r="O4132" i="34"/>
  <c r="P4132" i="34"/>
  <c r="Q4132" i="34"/>
  <c r="R4132" i="34"/>
  <c r="S4132" i="34"/>
  <c r="T4132" i="34"/>
  <c r="U4132" i="34"/>
  <c r="V4132" i="34"/>
  <c r="W4132" i="34"/>
  <c r="X4132" i="34"/>
  <c r="Y4132" i="34"/>
  <c r="Z4132" i="34"/>
  <c r="N4133" i="34"/>
  <c r="O4133" i="34"/>
  <c r="P4133" i="34"/>
  <c r="Q4133" i="34"/>
  <c r="R4133" i="34"/>
  <c r="S4133" i="34"/>
  <c r="T4133" i="34"/>
  <c r="U4133" i="34"/>
  <c r="V4133" i="34"/>
  <c r="W4133" i="34"/>
  <c r="X4133" i="34"/>
  <c r="Y4133" i="34"/>
  <c r="Z4133" i="34"/>
  <c r="N4134" i="34"/>
  <c r="O4134" i="34"/>
  <c r="P4134" i="34"/>
  <c r="Q4134" i="34"/>
  <c r="R4134" i="34"/>
  <c r="S4134" i="34"/>
  <c r="T4134" i="34"/>
  <c r="U4134" i="34"/>
  <c r="V4134" i="34"/>
  <c r="W4134" i="34"/>
  <c r="X4134" i="34"/>
  <c r="Y4134" i="34"/>
  <c r="Z4134" i="34"/>
  <c r="N4135" i="34"/>
  <c r="O4135" i="34"/>
  <c r="P4135" i="34"/>
  <c r="Q4135" i="34"/>
  <c r="R4135" i="34"/>
  <c r="S4135" i="34"/>
  <c r="T4135" i="34"/>
  <c r="U4135" i="34"/>
  <c r="V4135" i="34"/>
  <c r="W4135" i="34"/>
  <c r="X4135" i="34"/>
  <c r="Y4135" i="34"/>
  <c r="Z4135" i="34"/>
  <c r="N4136" i="34"/>
  <c r="O4136" i="34"/>
  <c r="P4136" i="34"/>
  <c r="Q4136" i="34"/>
  <c r="R4136" i="34"/>
  <c r="S4136" i="34"/>
  <c r="T4136" i="34"/>
  <c r="U4136" i="34"/>
  <c r="V4136" i="34"/>
  <c r="W4136" i="34"/>
  <c r="X4136" i="34"/>
  <c r="Y4136" i="34"/>
  <c r="Z4136" i="34"/>
  <c r="N4137" i="34"/>
  <c r="O4137" i="34"/>
  <c r="P4137" i="34"/>
  <c r="Q4137" i="34"/>
  <c r="R4137" i="34"/>
  <c r="S4137" i="34"/>
  <c r="T4137" i="34"/>
  <c r="U4137" i="34"/>
  <c r="V4137" i="34"/>
  <c r="W4137" i="34"/>
  <c r="X4137" i="34"/>
  <c r="Y4137" i="34"/>
  <c r="Z4137" i="34"/>
  <c r="N4138" i="34"/>
  <c r="O4138" i="34"/>
  <c r="P4138" i="34"/>
  <c r="Q4138" i="34"/>
  <c r="R4138" i="34"/>
  <c r="S4138" i="34"/>
  <c r="T4138" i="34"/>
  <c r="U4138" i="34"/>
  <c r="V4138" i="34"/>
  <c r="W4138" i="34"/>
  <c r="X4138" i="34"/>
  <c r="Y4138" i="34"/>
  <c r="Z4138" i="34"/>
  <c r="N4139" i="34"/>
  <c r="O4139" i="34"/>
  <c r="P4139" i="34"/>
  <c r="Q4139" i="34"/>
  <c r="R4139" i="34"/>
  <c r="S4139" i="34"/>
  <c r="T4139" i="34"/>
  <c r="U4139" i="34"/>
  <c r="V4139" i="34"/>
  <c r="W4139" i="34"/>
  <c r="X4139" i="34"/>
  <c r="Y4139" i="34"/>
  <c r="Z4139" i="34"/>
  <c r="N4140" i="34"/>
  <c r="O4140" i="34"/>
  <c r="P4140" i="34"/>
  <c r="Q4140" i="34"/>
  <c r="R4140" i="34"/>
  <c r="S4140" i="34"/>
  <c r="T4140" i="34"/>
  <c r="U4140" i="34"/>
  <c r="V4140" i="34"/>
  <c r="W4140" i="34"/>
  <c r="X4140" i="34"/>
  <c r="Y4140" i="34"/>
  <c r="Z4140" i="34"/>
  <c r="N4141" i="34"/>
  <c r="O4141" i="34"/>
  <c r="P4141" i="34"/>
  <c r="Q4141" i="34"/>
  <c r="R4141" i="34"/>
  <c r="S4141" i="34"/>
  <c r="T4141" i="34"/>
  <c r="U4141" i="34"/>
  <c r="V4141" i="34"/>
  <c r="W4141" i="34"/>
  <c r="X4141" i="34"/>
  <c r="Y4141" i="34"/>
  <c r="Z4141" i="34"/>
  <c r="N4142" i="34"/>
  <c r="O4142" i="34"/>
  <c r="P4142" i="34"/>
  <c r="Q4142" i="34"/>
  <c r="R4142" i="34"/>
  <c r="S4142" i="34"/>
  <c r="T4142" i="34"/>
  <c r="U4142" i="34"/>
  <c r="V4142" i="34"/>
  <c r="W4142" i="34"/>
  <c r="X4142" i="34"/>
  <c r="Y4142" i="34"/>
  <c r="Z4142" i="34"/>
  <c r="N4143" i="34"/>
  <c r="O4143" i="34"/>
  <c r="P4143" i="34"/>
  <c r="Q4143" i="34"/>
  <c r="R4143" i="34"/>
  <c r="S4143" i="34"/>
  <c r="T4143" i="34"/>
  <c r="U4143" i="34"/>
  <c r="V4143" i="34"/>
  <c r="W4143" i="34"/>
  <c r="X4143" i="34"/>
  <c r="Y4143" i="34"/>
  <c r="Z4143" i="34"/>
  <c r="N4144" i="34"/>
  <c r="O4144" i="34"/>
  <c r="P4144" i="34"/>
  <c r="Q4144" i="34"/>
  <c r="R4144" i="34"/>
  <c r="S4144" i="34"/>
  <c r="T4144" i="34"/>
  <c r="U4144" i="34"/>
  <c r="V4144" i="34"/>
  <c r="W4144" i="34"/>
  <c r="X4144" i="34"/>
  <c r="Y4144" i="34"/>
  <c r="Z4144" i="34"/>
  <c r="N4145" i="34"/>
  <c r="O4145" i="34"/>
  <c r="P4145" i="34"/>
  <c r="Q4145" i="34"/>
  <c r="R4145" i="34"/>
  <c r="S4145" i="34"/>
  <c r="T4145" i="34"/>
  <c r="U4145" i="34"/>
  <c r="V4145" i="34"/>
  <c r="W4145" i="34"/>
  <c r="X4145" i="34"/>
  <c r="Y4145" i="34"/>
  <c r="Z4145" i="34"/>
  <c r="N4146" i="34"/>
  <c r="O4146" i="34"/>
  <c r="P4146" i="34"/>
  <c r="Q4146" i="34"/>
  <c r="R4146" i="34"/>
  <c r="S4146" i="34"/>
  <c r="T4146" i="34"/>
  <c r="U4146" i="34"/>
  <c r="V4146" i="34"/>
  <c r="W4146" i="34"/>
  <c r="X4146" i="34"/>
  <c r="Y4146" i="34"/>
  <c r="Z4146" i="34"/>
  <c r="N4147" i="34"/>
  <c r="O4147" i="34"/>
  <c r="P4147" i="34"/>
  <c r="Q4147" i="34"/>
  <c r="R4147" i="34"/>
  <c r="S4147" i="34"/>
  <c r="T4147" i="34"/>
  <c r="U4147" i="34"/>
  <c r="V4147" i="34"/>
  <c r="W4147" i="34"/>
  <c r="X4147" i="34"/>
  <c r="Y4147" i="34"/>
  <c r="Z4147" i="34"/>
  <c r="N4148" i="34"/>
  <c r="O4148" i="34"/>
  <c r="P4148" i="34"/>
  <c r="Q4148" i="34"/>
  <c r="R4148" i="34"/>
  <c r="S4148" i="34"/>
  <c r="T4148" i="34"/>
  <c r="U4148" i="34"/>
  <c r="V4148" i="34"/>
  <c r="W4148" i="34"/>
  <c r="X4148" i="34"/>
  <c r="Y4148" i="34"/>
  <c r="Z4148" i="34"/>
  <c r="N4149" i="34"/>
  <c r="O4149" i="34"/>
  <c r="P4149" i="34"/>
  <c r="Q4149" i="34"/>
  <c r="R4149" i="34"/>
  <c r="S4149" i="34"/>
  <c r="T4149" i="34"/>
  <c r="U4149" i="34"/>
  <c r="V4149" i="34"/>
  <c r="W4149" i="34"/>
  <c r="X4149" i="34"/>
  <c r="Y4149" i="34"/>
  <c r="Z4149" i="34"/>
  <c r="N4150" i="34"/>
  <c r="O4150" i="34"/>
  <c r="P4150" i="34"/>
  <c r="Q4150" i="34"/>
  <c r="R4150" i="34"/>
  <c r="S4150" i="34"/>
  <c r="T4150" i="34"/>
  <c r="U4150" i="34"/>
  <c r="V4150" i="34"/>
  <c r="W4150" i="34"/>
  <c r="X4150" i="34"/>
  <c r="Y4150" i="34"/>
  <c r="Z4150" i="34"/>
  <c r="N4151" i="34"/>
  <c r="O4151" i="34"/>
  <c r="P4151" i="34"/>
  <c r="Q4151" i="34"/>
  <c r="R4151" i="34"/>
  <c r="S4151" i="34"/>
  <c r="T4151" i="34"/>
  <c r="U4151" i="34"/>
  <c r="V4151" i="34"/>
  <c r="W4151" i="34"/>
  <c r="X4151" i="34"/>
  <c r="Y4151" i="34"/>
  <c r="Z4151" i="34"/>
  <c r="N4152" i="34"/>
  <c r="O4152" i="34"/>
  <c r="P4152" i="34"/>
  <c r="Q4152" i="34"/>
  <c r="R4152" i="34"/>
  <c r="S4152" i="34"/>
  <c r="T4152" i="34"/>
  <c r="U4152" i="34"/>
  <c r="V4152" i="34"/>
  <c r="W4152" i="34"/>
  <c r="X4152" i="34"/>
  <c r="Y4152" i="34"/>
  <c r="Z4152" i="34"/>
  <c r="N4153" i="34"/>
  <c r="O4153" i="34"/>
  <c r="P4153" i="34"/>
  <c r="Q4153" i="34"/>
  <c r="R4153" i="34"/>
  <c r="S4153" i="34"/>
  <c r="T4153" i="34"/>
  <c r="U4153" i="34"/>
  <c r="V4153" i="34"/>
  <c r="W4153" i="34"/>
  <c r="X4153" i="34"/>
  <c r="Y4153" i="34"/>
  <c r="Z4153" i="34"/>
  <c r="N4154" i="34"/>
  <c r="O4154" i="34"/>
  <c r="P4154" i="34"/>
  <c r="Q4154" i="34"/>
  <c r="R4154" i="34"/>
  <c r="S4154" i="34"/>
  <c r="T4154" i="34"/>
  <c r="U4154" i="34"/>
  <c r="V4154" i="34"/>
  <c r="W4154" i="34"/>
  <c r="X4154" i="34"/>
  <c r="Y4154" i="34"/>
  <c r="Z4154" i="34"/>
  <c r="N4155" i="34"/>
  <c r="O4155" i="34"/>
  <c r="P4155" i="34"/>
  <c r="Q4155" i="34"/>
  <c r="R4155" i="34"/>
  <c r="S4155" i="34"/>
  <c r="T4155" i="34"/>
  <c r="U4155" i="34"/>
  <c r="V4155" i="34"/>
  <c r="W4155" i="34"/>
  <c r="X4155" i="34"/>
  <c r="Y4155" i="34"/>
  <c r="Z4155" i="34"/>
  <c r="N4156" i="34"/>
  <c r="O4156" i="34"/>
  <c r="P4156" i="34"/>
  <c r="Q4156" i="34"/>
  <c r="R4156" i="34"/>
  <c r="S4156" i="34"/>
  <c r="T4156" i="34"/>
  <c r="U4156" i="34"/>
  <c r="V4156" i="34"/>
  <c r="W4156" i="34"/>
  <c r="X4156" i="34"/>
  <c r="Y4156" i="34"/>
  <c r="Z4156" i="34"/>
  <c r="N4157" i="34"/>
  <c r="O4157" i="34"/>
  <c r="P4157" i="34"/>
  <c r="Q4157" i="34"/>
  <c r="R4157" i="34"/>
  <c r="S4157" i="34"/>
  <c r="T4157" i="34"/>
  <c r="U4157" i="34"/>
  <c r="V4157" i="34"/>
  <c r="W4157" i="34"/>
  <c r="X4157" i="34"/>
  <c r="Y4157" i="34"/>
  <c r="Z4157" i="34"/>
  <c r="N4158" i="34"/>
  <c r="O4158" i="34"/>
  <c r="P4158" i="34"/>
  <c r="Q4158" i="34"/>
  <c r="R4158" i="34"/>
  <c r="S4158" i="34"/>
  <c r="T4158" i="34"/>
  <c r="U4158" i="34"/>
  <c r="V4158" i="34"/>
  <c r="W4158" i="34"/>
  <c r="X4158" i="34"/>
  <c r="Y4158" i="34"/>
  <c r="Z4158" i="34"/>
  <c r="N4159" i="34"/>
  <c r="O4159" i="34"/>
  <c r="P4159" i="34"/>
  <c r="Q4159" i="34"/>
  <c r="R4159" i="34"/>
  <c r="S4159" i="34"/>
  <c r="T4159" i="34"/>
  <c r="U4159" i="34"/>
  <c r="V4159" i="34"/>
  <c r="W4159" i="34"/>
  <c r="X4159" i="34"/>
  <c r="Y4159" i="34"/>
  <c r="Z4159" i="34"/>
  <c r="N4160" i="34"/>
  <c r="O4160" i="34"/>
  <c r="P4160" i="34"/>
  <c r="Q4160" i="34"/>
  <c r="R4160" i="34"/>
  <c r="S4160" i="34"/>
  <c r="T4160" i="34"/>
  <c r="U4160" i="34"/>
  <c r="V4160" i="34"/>
  <c r="W4160" i="34"/>
  <c r="X4160" i="34"/>
  <c r="Y4160" i="34"/>
  <c r="Z4160" i="34"/>
  <c r="N4161" i="34"/>
  <c r="O4161" i="34"/>
  <c r="P4161" i="34"/>
  <c r="Q4161" i="34"/>
  <c r="R4161" i="34"/>
  <c r="S4161" i="34"/>
  <c r="T4161" i="34"/>
  <c r="U4161" i="34"/>
  <c r="V4161" i="34"/>
  <c r="W4161" i="34"/>
  <c r="X4161" i="34"/>
  <c r="Y4161" i="34"/>
  <c r="Z4161" i="34"/>
  <c r="N4162" i="34"/>
  <c r="O4162" i="34"/>
  <c r="P4162" i="34"/>
  <c r="Q4162" i="34"/>
  <c r="R4162" i="34"/>
  <c r="S4162" i="34"/>
  <c r="T4162" i="34"/>
  <c r="U4162" i="34"/>
  <c r="V4162" i="34"/>
  <c r="W4162" i="34"/>
  <c r="X4162" i="34"/>
  <c r="Y4162" i="34"/>
  <c r="Z4162" i="34"/>
  <c r="N4163" i="34"/>
  <c r="O4163" i="34"/>
  <c r="P4163" i="34"/>
  <c r="Q4163" i="34"/>
  <c r="R4163" i="34"/>
  <c r="S4163" i="34"/>
  <c r="T4163" i="34"/>
  <c r="U4163" i="34"/>
  <c r="V4163" i="34"/>
  <c r="W4163" i="34"/>
  <c r="X4163" i="34"/>
  <c r="Y4163" i="34"/>
  <c r="Z4163" i="34"/>
  <c r="N4164" i="34"/>
  <c r="O4164" i="34"/>
  <c r="P4164" i="34"/>
  <c r="Q4164" i="34"/>
  <c r="R4164" i="34"/>
  <c r="S4164" i="34"/>
  <c r="T4164" i="34"/>
  <c r="U4164" i="34"/>
  <c r="V4164" i="34"/>
  <c r="W4164" i="34"/>
  <c r="X4164" i="34"/>
  <c r="Y4164" i="34"/>
  <c r="Z4164" i="34"/>
  <c r="N4165" i="34"/>
  <c r="O4165" i="34"/>
  <c r="P4165" i="34"/>
  <c r="Q4165" i="34"/>
  <c r="R4165" i="34"/>
  <c r="S4165" i="34"/>
  <c r="T4165" i="34"/>
  <c r="U4165" i="34"/>
  <c r="V4165" i="34"/>
  <c r="W4165" i="34"/>
  <c r="X4165" i="34"/>
  <c r="Y4165" i="34"/>
  <c r="Z4165" i="34"/>
  <c r="N4166" i="34"/>
  <c r="O4166" i="34"/>
  <c r="P4166" i="34"/>
  <c r="Q4166" i="34"/>
  <c r="R4166" i="34"/>
  <c r="S4166" i="34"/>
  <c r="T4166" i="34"/>
  <c r="U4166" i="34"/>
  <c r="V4166" i="34"/>
  <c r="W4166" i="34"/>
  <c r="X4166" i="34"/>
  <c r="Y4166" i="34"/>
  <c r="Z4166" i="34"/>
  <c r="N4167" i="34"/>
  <c r="O4167" i="34"/>
  <c r="P4167" i="34"/>
  <c r="Q4167" i="34"/>
  <c r="R4167" i="34"/>
  <c r="S4167" i="34"/>
  <c r="T4167" i="34"/>
  <c r="U4167" i="34"/>
  <c r="V4167" i="34"/>
  <c r="W4167" i="34"/>
  <c r="X4167" i="34"/>
  <c r="Y4167" i="34"/>
  <c r="Z4167" i="34"/>
  <c r="N4168" i="34"/>
  <c r="O4168" i="34"/>
  <c r="P4168" i="34"/>
  <c r="Q4168" i="34"/>
  <c r="R4168" i="34"/>
  <c r="S4168" i="34"/>
  <c r="T4168" i="34"/>
  <c r="U4168" i="34"/>
  <c r="V4168" i="34"/>
  <c r="W4168" i="34"/>
  <c r="X4168" i="34"/>
  <c r="Y4168" i="34"/>
  <c r="Z4168" i="34"/>
  <c r="N4169" i="34"/>
  <c r="O4169" i="34"/>
  <c r="P4169" i="34"/>
  <c r="Q4169" i="34"/>
  <c r="R4169" i="34"/>
  <c r="S4169" i="34"/>
  <c r="T4169" i="34"/>
  <c r="U4169" i="34"/>
  <c r="V4169" i="34"/>
  <c r="W4169" i="34"/>
  <c r="X4169" i="34"/>
  <c r="Y4169" i="34"/>
  <c r="Z4169" i="34"/>
  <c r="N4170" i="34"/>
  <c r="O4170" i="34"/>
  <c r="P4170" i="34"/>
  <c r="Q4170" i="34"/>
  <c r="R4170" i="34"/>
  <c r="S4170" i="34"/>
  <c r="T4170" i="34"/>
  <c r="U4170" i="34"/>
  <c r="V4170" i="34"/>
  <c r="W4170" i="34"/>
  <c r="X4170" i="34"/>
  <c r="Y4170" i="34"/>
  <c r="Z4170" i="34"/>
  <c r="N4171" i="34"/>
  <c r="O4171" i="34"/>
  <c r="P4171" i="34"/>
  <c r="Q4171" i="34"/>
  <c r="R4171" i="34"/>
  <c r="S4171" i="34"/>
  <c r="T4171" i="34"/>
  <c r="U4171" i="34"/>
  <c r="V4171" i="34"/>
  <c r="W4171" i="34"/>
  <c r="X4171" i="34"/>
  <c r="Y4171" i="34"/>
  <c r="Z4171" i="34"/>
  <c r="N4172" i="34"/>
  <c r="O4172" i="34"/>
  <c r="P4172" i="34"/>
  <c r="Q4172" i="34"/>
  <c r="R4172" i="34"/>
  <c r="S4172" i="34"/>
  <c r="T4172" i="34"/>
  <c r="U4172" i="34"/>
  <c r="V4172" i="34"/>
  <c r="W4172" i="34"/>
  <c r="X4172" i="34"/>
  <c r="Y4172" i="34"/>
  <c r="Z4172" i="34"/>
  <c r="N4173" i="34"/>
  <c r="O4173" i="34"/>
  <c r="P4173" i="34"/>
  <c r="Q4173" i="34"/>
  <c r="R4173" i="34"/>
  <c r="S4173" i="34"/>
  <c r="T4173" i="34"/>
  <c r="U4173" i="34"/>
  <c r="V4173" i="34"/>
  <c r="W4173" i="34"/>
  <c r="X4173" i="34"/>
  <c r="Y4173" i="34"/>
  <c r="Z4173" i="34"/>
  <c r="N4174" i="34"/>
  <c r="O4174" i="34"/>
  <c r="P4174" i="34"/>
  <c r="Q4174" i="34"/>
  <c r="R4174" i="34"/>
  <c r="S4174" i="34"/>
  <c r="T4174" i="34"/>
  <c r="U4174" i="34"/>
  <c r="V4174" i="34"/>
  <c r="W4174" i="34"/>
  <c r="X4174" i="34"/>
  <c r="Y4174" i="34"/>
  <c r="Z4174" i="34"/>
  <c r="N4175" i="34"/>
  <c r="O4175" i="34"/>
  <c r="P4175" i="34"/>
  <c r="Q4175" i="34"/>
  <c r="R4175" i="34"/>
  <c r="S4175" i="34"/>
  <c r="T4175" i="34"/>
  <c r="U4175" i="34"/>
  <c r="V4175" i="34"/>
  <c r="W4175" i="34"/>
  <c r="X4175" i="34"/>
  <c r="Y4175" i="34"/>
  <c r="Z4175" i="34"/>
  <c r="N4176" i="34"/>
  <c r="O4176" i="34"/>
  <c r="P4176" i="34"/>
  <c r="Q4176" i="34"/>
  <c r="R4176" i="34"/>
  <c r="S4176" i="34"/>
  <c r="T4176" i="34"/>
  <c r="U4176" i="34"/>
  <c r="V4176" i="34"/>
  <c r="W4176" i="34"/>
  <c r="X4176" i="34"/>
  <c r="Y4176" i="34"/>
  <c r="Z4176" i="34"/>
  <c r="N4177" i="34"/>
  <c r="O4177" i="34"/>
  <c r="P4177" i="34"/>
  <c r="Q4177" i="34"/>
  <c r="R4177" i="34"/>
  <c r="S4177" i="34"/>
  <c r="T4177" i="34"/>
  <c r="U4177" i="34"/>
  <c r="V4177" i="34"/>
  <c r="W4177" i="34"/>
  <c r="X4177" i="34"/>
  <c r="Y4177" i="34"/>
  <c r="Z4177" i="34"/>
  <c r="N4178" i="34"/>
  <c r="O4178" i="34"/>
  <c r="P4178" i="34"/>
  <c r="Q4178" i="34"/>
  <c r="R4178" i="34"/>
  <c r="S4178" i="34"/>
  <c r="T4178" i="34"/>
  <c r="U4178" i="34"/>
  <c r="V4178" i="34"/>
  <c r="W4178" i="34"/>
  <c r="X4178" i="34"/>
  <c r="Y4178" i="34"/>
  <c r="Z4178" i="34"/>
  <c r="N4179" i="34"/>
  <c r="O4179" i="34"/>
  <c r="P4179" i="34"/>
  <c r="Q4179" i="34"/>
  <c r="R4179" i="34"/>
  <c r="S4179" i="34"/>
  <c r="T4179" i="34"/>
  <c r="U4179" i="34"/>
  <c r="V4179" i="34"/>
  <c r="W4179" i="34"/>
  <c r="X4179" i="34"/>
  <c r="Y4179" i="34"/>
  <c r="Z4179" i="34"/>
  <c r="N4180" i="34"/>
  <c r="O4180" i="34"/>
  <c r="P4180" i="34"/>
  <c r="Q4180" i="34"/>
  <c r="R4180" i="34"/>
  <c r="S4180" i="34"/>
  <c r="T4180" i="34"/>
  <c r="U4180" i="34"/>
  <c r="V4180" i="34"/>
  <c r="W4180" i="34"/>
  <c r="X4180" i="34"/>
  <c r="Y4180" i="34"/>
  <c r="Z4180" i="34"/>
  <c r="N4181" i="34"/>
  <c r="O4181" i="34"/>
  <c r="P4181" i="34"/>
  <c r="Q4181" i="34"/>
  <c r="R4181" i="34"/>
  <c r="S4181" i="34"/>
  <c r="T4181" i="34"/>
  <c r="U4181" i="34"/>
  <c r="V4181" i="34"/>
  <c r="W4181" i="34"/>
  <c r="X4181" i="34"/>
  <c r="Y4181" i="34"/>
  <c r="Z4181" i="34"/>
  <c r="N4182" i="34"/>
  <c r="O4182" i="34"/>
  <c r="P4182" i="34"/>
  <c r="Q4182" i="34"/>
  <c r="R4182" i="34"/>
  <c r="S4182" i="34"/>
  <c r="T4182" i="34"/>
  <c r="U4182" i="34"/>
  <c r="V4182" i="34"/>
  <c r="W4182" i="34"/>
  <c r="X4182" i="34"/>
  <c r="Y4182" i="34"/>
  <c r="Z4182" i="34"/>
  <c r="N4183" i="34"/>
  <c r="O4183" i="34"/>
  <c r="P4183" i="34"/>
  <c r="Q4183" i="34"/>
  <c r="R4183" i="34"/>
  <c r="S4183" i="34"/>
  <c r="T4183" i="34"/>
  <c r="U4183" i="34"/>
  <c r="V4183" i="34"/>
  <c r="W4183" i="34"/>
  <c r="X4183" i="34"/>
  <c r="Y4183" i="34"/>
  <c r="Z4183" i="34"/>
  <c r="N4184" i="34"/>
  <c r="O4184" i="34"/>
  <c r="P4184" i="34"/>
  <c r="Q4184" i="34"/>
  <c r="R4184" i="34"/>
  <c r="S4184" i="34"/>
  <c r="T4184" i="34"/>
  <c r="U4184" i="34"/>
  <c r="V4184" i="34"/>
  <c r="W4184" i="34"/>
  <c r="X4184" i="34"/>
  <c r="Y4184" i="34"/>
  <c r="Z4184" i="34"/>
  <c r="N4185" i="34"/>
  <c r="O4185" i="34"/>
  <c r="P4185" i="34"/>
  <c r="Q4185" i="34"/>
  <c r="R4185" i="34"/>
  <c r="S4185" i="34"/>
  <c r="T4185" i="34"/>
  <c r="U4185" i="34"/>
  <c r="V4185" i="34"/>
  <c r="W4185" i="34"/>
  <c r="X4185" i="34"/>
  <c r="Y4185" i="34"/>
  <c r="Z4185" i="34"/>
  <c r="N4186" i="34"/>
  <c r="O4186" i="34"/>
  <c r="P4186" i="34"/>
  <c r="Q4186" i="34"/>
  <c r="R4186" i="34"/>
  <c r="S4186" i="34"/>
  <c r="T4186" i="34"/>
  <c r="U4186" i="34"/>
  <c r="V4186" i="34"/>
  <c r="W4186" i="34"/>
  <c r="X4186" i="34"/>
  <c r="Y4186" i="34"/>
  <c r="Z4186" i="34"/>
  <c r="N4187" i="34"/>
  <c r="O4187" i="34"/>
  <c r="P4187" i="34"/>
  <c r="Q4187" i="34"/>
  <c r="R4187" i="34"/>
  <c r="S4187" i="34"/>
  <c r="T4187" i="34"/>
  <c r="U4187" i="34"/>
  <c r="V4187" i="34"/>
  <c r="W4187" i="34"/>
  <c r="X4187" i="34"/>
  <c r="Y4187" i="34"/>
  <c r="Z4187" i="34"/>
  <c r="N4188" i="34"/>
  <c r="O4188" i="34"/>
  <c r="P4188" i="34"/>
  <c r="Q4188" i="34"/>
  <c r="R4188" i="34"/>
  <c r="S4188" i="34"/>
  <c r="T4188" i="34"/>
  <c r="U4188" i="34"/>
  <c r="V4188" i="34"/>
  <c r="W4188" i="34"/>
  <c r="X4188" i="34"/>
  <c r="Y4188" i="34"/>
  <c r="Z4188" i="34"/>
  <c r="N4189" i="34"/>
  <c r="O4189" i="34"/>
  <c r="P4189" i="34"/>
  <c r="Q4189" i="34"/>
  <c r="R4189" i="34"/>
  <c r="S4189" i="34"/>
  <c r="T4189" i="34"/>
  <c r="U4189" i="34"/>
  <c r="V4189" i="34"/>
  <c r="W4189" i="34"/>
  <c r="X4189" i="34"/>
  <c r="Y4189" i="34"/>
  <c r="Z4189" i="34"/>
  <c r="N4190" i="34"/>
  <c r="O4190" i="34"/>
  <c r="P4190" i="34"/>
  <c r="Q4190" i="34"/>
  <c r="R4190" i="34"/>
  <c r="S4190" i="34"/>
  <c r="T4190" i="34"/>
  <c r="U4190" i="34"/>
  <c r="V4190" i="34"/>
  <c r="W4190" i="34"/>
  <c r="X4190" i="34"/>
  <c r="Y4190" i="34"/>
  <c r="Z4190" i="34"/>
  <c r="N4191" i="34"/>
  <c r="O4191" i="34"/>
  <c r="P4191" i="34"/>
  <c r="Q4191" i="34"/>
  <c r="R4191" i="34"/>
  <c r="S4191" i="34"/>
  <c r="T4191" i="34"/>
  <c r="U4191" i="34"/>
  <c r="V4191" i="34"/>
  <c r="W4191" i="34"/>
  <c r="X4191" i="34"/>
  <c r="Y4191" i="34"/>
  <c r="Z4191" i="34"/>
  <c r="N4192" i="34"/>
  <c r="O4192" i="34"/>
  <c r="P4192" i="34"/>
  <c r="Q4192" i="34"/>
  <c r="R4192" i="34"/>
  <c r="S4192" i="34"/>
  <c r="T4192" i="34"/>
  <c r="U4192" i="34"/>
  <c r="V4192" i="34"/>
  <c r="W4192" i="34"/>
  <c r="X4192" i="34"/>
  <c r="Y4192" i="34"/>
  <c r="Z4192" i="34"/>
  <c r="N4193" i="34"/>
  <c r="O4193" i="34"/>
  <c r="P4193" i="34"/>
  <c r="Q4193" i="34"/>
  <c r="R4193" i="34"/>
  <c r="S4193" i="34"/>
  <c r="T4193" i="34"/>
  <c r="U4193" i="34"/>
  <c r="V4193" i="34"/>
  <c r="W4193" i="34"/>
  <c r="X4193" i="34"/>
  <c r="Y4193" i="34"/>
  <c r="Z4193" i="34"/>
  <c r="N4194" i="34"/>
  <c r="O4194" i="34"/>
  <c r="P4194" i="34"/>
  <c r="Q4194" i="34"/>
  <c r="R4194" i="34"/>
  <c r="S4194" i="34"/>
  <c r="T4194" i="34"/>
  <c r="U4194" i="34"/>
  <c r="V4194" i="34"/>
  <c r="W4194" i="34"/>
  <c r="X4194" i="34"/>
  <c r="Y4194" i="34"/>
  <c r="Z4194" i="34"/>
  <c r="N4195" i="34"/>
  <c r="O4195" i="34"/>
  <c r="P4195" i="34"/>
  <c r="Q4195" i="34"/>
  <c r="R4195" i="34"/>
  <c r="S4195" i="34"/>
  <c r="T4195" i="34"/>
  <c r="U4195" i="34"/>
  <c r="V4195" i="34"/>
  <c r="W4195" i="34"/>
  <c r="X4195" i="34"/>
  <c r="Y4195" i="34"/>
  <c r="Z4195" i="34"/>
  <c r="N4196" i="34"/>
  <c r="O4196" i="34"/>
  <c r="P4196" i="34"/>
  <c r="Q4196" i="34"/>
  <c r="R4196" i="34"/>
  <c r="S4196" i="34"/>
  <c r="T4196" i="34"/>
  <c r="U4196" i="34"/>
  <c r="V4196" i="34"/>
  <c r="W4196" i="34"/>
  <c r="X4196" i="34"/>
  <c r="Y4196" i="34"/>
  <c r="Z4196" i="34"/>
  <c r="N4197" i="34"/>
  <c r="O4197" i="34"/>
  <c r="P4197" i="34"/>
  <c r="Q4197" i="34"/>
  <c r="R4197" i="34"/>
  <c r="S4197" i="34"/>
  <c r="T4197" i="34"/>
  <c r="U4197" i="34"/>
  <c r="V4197" i="34"/>
  <c r="W4197" i="34"/>
  <c r="X4197" i="34"/>
  <c r="Y4197" i="34"/>
  <c r="Z4197" i="34"/>
  <c r="N4198" i="34"/>
  <c r="O4198" i="34"/>
  <c r="P4198" i="34"/>
  <c r="Q4198" i="34"/>
  <c r="R4198" i="34"/>
  <c r="S4198" i="34"/>
  <c r="T4198" i="34"/>
  <c r="U4198" i="34"/>
  <c r="V4198" i="34"/>
  <c r="W4198" i="34"/>
  <c r="X4198" i="34"/>
  <c r="Y4198" i="34"/>
  <c r="Z4198" i="34"/>
  <c r="N4199" i="34"/>
  <c r="O4199" i="34"/>
  <c r="P4199" i="34"/>
  <c r="Q4199" i="34"/>
  <c r="R4199" i="34"/>
  <c r="S4199" i="34"/>
  <c r="T4199" i="34"/>
  <c r="U4199" i="34"/>
  <c r="V4199" i="34"/>
  <c r="W4199" i="34"/>
  <c r="X4199" i="34"/>
  <c r="Y4199" i="34"/>
  <c r="Z4199" i="34"/>
  <c r="N4200" i="34"/>
  <c r="O4200" i="34"/>
  <c r="P4200" i="34"/>
  <c r="Q4200" i="34"/>
  <c r="R4200" i="34"/>
  <c r="S4200" i="34"/>
  <c r="T4200" i="34"/>
  <c r="U4200" i="34"/>
  <c r="V4200" i="34"/>
  <c r="W4200" i="34"/>
  <c r="X4200" i="34"/>
  <c r="Y4200" i="34"/>
  <c r="Z4200" i="34"/>
  <c r="N4201" i="34"/>
  <c r="O4201" i="34"/>
  <c r="P4201" i="34"/>
  <c r="Q4201" i="34"/>
  <c r="R4201" i="34"/>
  <c r="S4201" i="34"/>
  <c r="T4201" i="34"/>
  <c r="U4201" i="34"/>
  <c r="V4201" i="34"/>
  <c r="W4201" i="34"/>
  <c r="X4201" i="34"/>
  <c r="Y4201" i="34"/>
  <c r="Z4201" i="34"/>
  <c r="N4202" i="34"/>
  <c r="O4202" i="34"/>
  <c r="P4202" i="34"/>
  <c r="Q4202" i="34"/>
  <c r="R4202" i="34"/>
  <c r="S4202" i="34"/>
  <c r="T4202" i="34"/>
  <c r="U4202" i="34"/>
  <c r="V4202" i="34"/>
  <c r="W4202" i="34"/>
  <c r="X4202" i="34"/>
  <c r="Y4202" i="34"/>
  <c r="Z4202" i="34"/>
  <c r="N4203" i="34"/>
  <c r="O4203" i="34"/>
  <c r="P4203" i="34"/>
  <c r="Q4203" i="34"/>
  <c r="R4203" i="34"/>
  <c r="S4203" i="34"/>
  <c r="T4203" i="34"/>
  <c r="U4203" i="34"/>
  <c r="V4203" i="34"/>
  <c r="W4203" i="34"/>
  <c r="X4203" i="34"/>
  <c r="Y4203" i="34"/>
  <c r="Z4203" i="34"/>
  <c r="N4204" i="34"/>
  <c r="O4204" i="34"/>
  <c r="P4204" i="34"/>
  <c r="Q4204" i="34"/>
  <c r="R4204" i="34"/>
  <c r="S4204" i="34"/>
  <c r="T4204" i="34"/>
  <c r="U4204" i="34"/>
  <c r="V4204" i="34"/>
  <c r="W4204" i="34"/>
  <c r="X4204" i="34"/>
  <c r="Y4204" i="34"/>
  <c r="Z4204" i="34"/>
  <c r="N4205" i="34"/>
  <c r="O4205" i="34"/>
  <c r="P4205" i="34"/>
  <c r="Q4205" i="34"/>
  <c r="R4205" i="34"/>
  <c r="S4205" i="34"/>
  <c r="T4205" i="34"/>
  <c r="U4205" i="34"/>
  <c r="V4205" i="34"/>
  <c r="W4205" i="34"/>
  <c r="X4205" i="34"/>
  <c r="Y4205" i="34"/>
  <c r="Z4205" i="34"/>
  <c r="N4206" i="34"/>
  <c r="O4206" i="34"/>
  <c r="P4206" i="34"/>
  <c r="Q4206" i="34"/>
  <c r="R4206" i="34"/>
  <c r="S4206" i="34"/>
  <c r="T4206" i="34"/>
  <c r="U4206" i="34"/>
  <c r="V4206" i="34"/>
  <c r="W4206" i="34"/>
  <c r="X4206" i="34"/>
  <c r="Y4206" i="34"/>
  <c r="Z4206" i="34"/>
  <c r="N4207" i="34"/>
  <c r="O4207" i="34"/>
  <c r="P4207" i="34"/>
  <c r="Q4207" i="34"/>
  <c r="R4207" i="34"/>
  <c r="S4207" i="34"/>
  <c r="T4207" i="34"/>
  <c r="U4207" i="34"/>
  <c r="V4207" i="34"/>
  <c r="W4207" i="34"/>
  <c r="X4207" i="34"/>
  <c r="Y4207" i="34"/>
  <c r="Z4207" i="34"/>
  <c r="N4208" i="34"/>
  <c r="O4208" i="34"/>
  <c r="P4208" i="34"/>
  <c r="Q4208" i="34"/>
  <c r="R4208" i="34"/>
  <c r="S4208" i="34"/>
  <c r="T4208" i="34"/>
  <c r="U4208" i="34"/>
  <c r="V4208" i="34"/>
  <c r="W4208" i="34"/>
  <c r="X4208" i="34"/>
  <c r="Y4208" i="34"/>
  <c r="Z4208" i="34"/>
  <c r="N4209" i="34"/>
  <c r="O4209" i="34"/>
  <c r="P4209" i="34"/>
  <c r="Q4209" i="34"/>
  <c r="R4209" i="34"/>
  <c r="S4209" i="34"/>
  <c r="T4209" i="34"/>
  <c r="U4209" i="34"/>
  <c r="V4209" i="34"/>
  <c r="W4209" i="34"/>
  <c r="X4209" i="34"/>
  <c r="Y4209" i="34"/>
  <c r="Z4209" i="34"/>
  <c r="N4210" i="34"/>
  <c r="O4210" i="34"/>
  <c r="P4210" i="34"/>
  <c r="Q4210" i="34"/>
  <c r="R4210" i="34"/>
  <c r="S4210" i="34"/>
  <c r="T4210" i="34"/>
  <c r="U4210" i="34"/>
  <c r="V4210" i="34"/>
  <c r="W4210" i="34"/>
  <c r="X4210" i="34"/>
  <c r="Y4210" i="34"/>
  <c r="Z4210" i="34"/>
  <c r="N4211" i="34"/>
  <c r="O4211" i="34"/>
  <c r="P4211" i="34"/>
  <c r="Q4211" i="34"/>
  <c r="R4211" i="34"/>
  <c r="S4211" i="34"/>
  <c r="T4211" i="34"/>
  <c r="U4211" i="34"/>
  <c r="V4211" i="34"/>
  <c r="W4211" i="34"/>
  <c r="X4211" i="34"/>
  <c r="Y4211" i="34"/>
  <c r="Z4211" i="34"/>
  <c r="N4212" i="34"/>
  <c r="O4212" i="34"/>
  <c r="P4212" i="34"/>
  <c r="Q4212" i="34"/>
  <c r="R4212" i="34"/>
  <c r="S4212" i="34"/>
  <c r="T4212" i="34"/>
  <c r="U4212" i="34"/>
  <c r="V4212" i="34"/>
  <c r="W4212" i="34"/>
  <c r="X4212" i="34"/>
  <c r="Y4212" i="34"/>
  <c r="Z4212" i="34"/>
  <c r="N4213" i="34"/>
  <c r="O4213" i="34"/>
  <c r="P4213" i="34"/>
  <c r="Q4213" i="34"/>
  <c r="R4213" i="34"/>
  <c r="S4213" i="34"/>
  <c r="T4213" i="34"/>
  <c r="U4213" i="34"/>
  <c r="V4213" i="34"/>
  <c r="W4213" i="34"/>
  <c r="X4213" i="34"/>
  <c r="Y4213" i="34"/>
  <c r="Z4213" i="34"/>
  <c r="N4214" i="34"/>
  <c r="O4214" i="34"/>
  <c r="P4214" i="34"/>
  <c r="Q4214" i="34"/>
  <c r="R4214" i="34"/>
  <c r="S4214" i="34"/>
  <c r="T4214" i="34"/>
  <c r="U4214" i="34"/>
  <c r="V4214" i="34"/>
  <c r="W4214" i="34"/>
  <c r="X4214" i="34"/>
  <c r="Y4214" i="34"/>
  <c r="Z4214" i="34"/>
  <c r="N4215" i="34"/>
  <c r="O4215" i="34"/>
  <c r="P4215" i="34"/>
  <c r="Q4215" i="34"/>
  <c r="R4215" i="34"/>
  <c r="S4215" i="34"/>
  <c r="T4215" i="34"/>
  <c r="U4215" i="34"/>
  <c r="V4215" i="34"/>
  <c r="W4215" i="34"/>
  <c r="X4215" i="34"/>
  <c r="Y4215" i="34"/>
  <c r="Z4215" i="34"/>
  <c r="N4216" i="34"/>
  <c r="O4216" i="34"/>
  <c r="P4216" i="34"/>
  <c r="Q4216" i="34"/>
  <c r="R4216" i="34"/>
  <c r="S4216" i="34"/>
  <c r="T4216" i="34"/>
  <c r="U4216" i="34"/>
  <c r="V4216" i="34"/>
  <c r="W4216" i="34"/>
  <c r="X4216" i="34"/>
  <c r="Y4216" i="34"/>
  <c r="Z4216" i="34"/>
  <c r="N4217" i="34"/>
  <c r="O4217" i="34"/>
  <c r="P4217" i="34"/>
  <c r="Q4217" i="34"/>
  <c r="R4217" i="34"/>
  <c r="S4217" i="34"/>
  <c r="T4217" i="34"/>
  <c r="U4217" i="34"/>
  <c r="V4217" i="34"/>
  <c r="W4217" i="34"/>
  <c r="X4217" i="34"/>
  <c r="Y4217" i="34"/>
  <c r="Z4217" i="34"/>
  <c r="N4218" i="34"/>
  <c r="O4218" i="34"/>
  <c r="P4218" i="34"/>
  <c r="Q4218" i="34"/>
  <c r="R4218" i="34"/>
  <c r="S4218" i="34"/>
  <c r="T4218" i="34"/>
  <c r="U4218" i="34"/>
  <c r="V4218" i="34"/>
  <c r="W4218" i="34"/>
  <c r="X4218" i="34"/>
  <c r="Y4218" i="34"/>
  <c r="Z4218" i="34"/>
  <c r="N4219" i="34"/>
  <c r="O4219" i="34"/>
  <c r="P4219" i="34"/>
  <c r="Q4219" i="34"/>
  <c r="R4219" i="34"/>
  <c r="S4219" i="34"/>
  <c r="T4219" i="34"/>
  <c r="U4219" i="34"/>
  <c r="V4219" i="34"/>
  <c r="W4219" i="34"/>
  <c r="X4219" i="34"/>
  <c r="Y4219" i="34"/>
  <c r="Z4219" i="34"/>
  <c r="N4220" i="34"/>
  <c r="O4220" i="34"/>
  <c r="P4220" i="34"/>
  <c r="Q4220" i="34"/>
  <c r="R4220" i="34"/>
  <c r="S4220" i="34"/>
  <c r="T4220" i="34"/>
  <c r="U4220" i="34"/>
  <c r="V4220" i="34"/>
  <c r="W4220" i="34"/>
  <c r="X4220" i="34"/>
  <c r="Y4220" i="34"/>
  <c r="Z4220" i="34"/>
  <c r="N4221" i="34"/>
  <c r="O4221" i="34"/>
  <c r="P4221" i="34"/>
  <c r="Q4221" i="34"/>
  <c r="R4221" i="34"/>
  <c r="S4221" i="34"/>
  <c r="T4221" i="34"/>
  <c r="U4221" i="34"/>
  <c r="V4221" i="34"/>
  <c r="W4221" i="34"/>
  <c r="X4221" i="34"/>
  <c r="Y4221" i="34"/>
  <c r="Z4221" i="34"/>
  <c r="N4222" i="34"/>
  <c r="O4222" i="34"/>
  <c r="P4222" i="34"/>
  <c r="Q4222" i="34"/>
  <c r="R4222" i="34"/>
  <c r="S4222" i="34"/>
  <c r="T4222" i="34"/>
  <c r="U4222" i="34"/>
  <c r="V4222" i="34"/>
  <c r="W4222" i="34"/>
  <c r="X4222" i="34"/>
  <c r="Y4222" i="34"/>
  <c r="Z4222" i="34"/>
  <c r="N4223" i="34"/>
  <c r="O4223" i="34"/>
  <c r="P4223" i="34"/>
  <c r="Q4223" i="34"/>
  <c r="R4223" i="34"/>
  <c r="S4223" i="34"/>
  <c r="T4223" i="34"/>
  <c r="U4223" i="34"/>
  <c r="V4223" i="34"/>
  <c r="W4223" i="34"/>
  <c r="X4223" i="34"/>
  <c r="Y4223" i="34"/>
  <c r="Z4223" i="34"/>
  <c r="N4224" i="34"/>
  <c r="O4224" i="34"/>
  <c r="P4224" i="34"/>
  <c r="Q4224" i="34"/>
  <c r="R4224" i="34"/>
  <c r="S4224" i="34"/>
  <c r="T4224" i="34"/>
  <c r="U4224" i="34"/>
  <c r="V4224" i="34"/>
  <c r="W4224" i="34"/>
  <c r="X4224" i="34"/>
  <c r="Y4224" i="34"/>
  <c r="Z4224" i="34"/>
  <c r="N4225" i="34"/>
  <c r="O4225" i="34"/>
  <c r="P4225" i="34"/>
  <c r="Q4225" i="34"/>
  <c r="R4225" i="34"/>
  <c r="S4225" i="34"/>
  <c r="T4225" i="34"/>
  <c r="U4225" i="34"/>
  <c r="V4225" i="34"/>
  <c r="W4225" i="34"/>
  <c r="X4225" i="34"/>
  <c r="Y4225" i="34"/>
  <c r="Z4225" i="34"/>
  <c r="N4226" i="34"/>
  <c r="O4226" i="34"/>
  <c r="P4226" i="34"/>
  <c r="Q4226" i="34"/>
  <c r="R4226" i="34"/>
  <c r="S4226" i="34"/>
  <c r="T4226" i="34"/>
  <c r="U4226" i="34"/>
  <c r="V4226" i="34"/>
  <c r="W4226" i="34"/>
  <c r="X4226" i="34"/>
  <c r="Y4226" i="34"/>
  <c r="Z4226" i="34"/>
  <c r="N4227" i="34"/>
  <c r="O4227" i="34"/>
  <c r="P4227" i="34"/>
  <c r="Q4227" i="34"/>
  <c r="R4227" i="34"/>
  <c r="S4227" i="34"/>
  <c r="T4227" i="34"/>
  <c r="U4227" i="34"/>
  <c r="V4227" i="34"/>
  <c r="W4227" i="34"/>
  <c r="X4227" i="34"/>
  <c r="Y4227" i="34"/>
  <c r="Z4227" i="34"/>
  <c r="N4228" i="34"/>
  <c r="O4228" i="34"/>
  <c r="P4228" i="34"/>
  <c r="Q4228" i="34"/>
  <c r="R4228" i="34"/>
  <c r="S4228" i="34"/>
  <c r="T4228" i="34"/>
  <c r="U4228" i="34"/>
  <c r="V4228" i="34"/>
  <c r="W4228" i="34"/>
  <c r="X4228" i="34"/>
  <c r="Y4228" i="34"/>
  <c r="Z4228" i="34"/>
  <c r="N4229" i="34"/>
  <c r="O4229" i="34"/>
  <c r="P4229" i="34"/>
  <c r="Q4229" i="34"/>
  <c r="R4229" i="34"/>
  <c r="S4229" i="34"/>
  <c r="T4229" i="34"/>
  <c r="U4229" i="34"/>
  <c r="V4229" i="34"/>
  <c r="W4229" i="34"/>
  <c r="X4229" i="34"/>
  <c r="Y4229" i="34"/>
  <c r="Z4229" i="34"/>
  <c r="N4230" i="34"/>
  <c r="O4230" i="34"/>
  <c r="P4230" i="34"/>
  <c r="Q4230" i="34"/>
  <c r="R4230" i="34"/>
  <c r="S4230" i="34"/>
  <c r="T4230" i="34"/>
  <c r="U4230" i="34"/>
  <c r="V4230" i="34"/>
  <c r="W4230" i="34"/>
  <c r="X4230" i="34"/>
  <c r="Y4230" i="34"/>
  <c r="Z4230" i="34"/>
  <c r="N4231" i="34"/>
  <c r="O4231" i="34"/>
  <c r="P4231" i="34"/>
  <c r="Q4231" i="34"/>
  <c r="R4231" i="34"/>
  <c r="S4231" i="34"/>
  <c r="T4231" i="34"/>
  <c r="U4231" i="34"/>
  <c r="V4231" i="34"/>
  <c r="W4231" i="34"/>
  <c r="X4231" i="34"/>
  <c r="Y4231" i="34"/>
  <c r="Z4231" i="34"/>
  <c r="N4232" i="34"/>
  <c r="O4232" i="34"/>
  <c r="P4232" i="34"/>
  <c r="Q4232" i="34"/>
  <c r="R4232" i="34"/>
  <c r="S4232" i="34"/>
  <c r="T4232" i="34"/>
  <c r="U4232" i="34"/>
  <c r="V4232" i="34"/>
  <c r="W4232" i="34"/>
  <c r="X4232" i="34"/>
  <c r="Y4232" i="34"/>
  <c r="Z4232" i="34"/>
  <c r="N4233" i="34"/>
  <c r="O4233" i="34"/>
  <c r="P4233" i="34"/>
  <c r="Q4233" i="34"/>
  <c r="R4233" i="34"/>
  <c r="S4233" i="34"/>
  <c r="T4233" i="34"/>
  <c r="U4233" i="34"/>
  <c r="V4233" i="34"/>
  <c r="W4233" i="34"/>
  <c r="X4233" i="34"/>
  <c r="Y4233" i="34"/>
  <c r="Z4233" i="34"/>
  <c r="N4234" i="34"/>
  <c r="O4234" i="34"/>
  <c r="P4234" i="34"/>
  <c r="Q4234" i="34"/>
  <c r="R4234" i="34"/>
  <c r="S4234" i="34"/>
  <c r="T4234" i="34"/>
  <c r="U4234" i="34"/>
  <c r="V4234" i="34"/>
  <c r="W4234" i="34"/>
  <c r="X4234" i="34"/>
  <c r="Y4234" i="34"/>
  <c r="Z4234" i="34"/>
  <c r="N4235" i="34"/>
  <c r="O4235" i="34"/>
  <c r="P4235" i="34"/>
  <c r="Q4235" i="34"/>
  <c r="R4235" i="34"/>
  <c r="S4235" i="34"/>
  <c r="T4235" i="34"/>
  <c r="U4235" i="34"/>
  <c r="V4235" i="34"/>
  <c r="W4235" i="34"/>
  <c r="X4235" i="34"/>
  <c r="Y4235" i="34"/>
  <c r="Z4235" i="34"/>
  <c r="N4236" i="34"/>
  <c r="O4236" i="34"/>
  <c r="P4236" i="34"/>
  <c r="Q4236" i="34"/>
  <c r="R4236" i="34"/>
  <c r="S4236" i="34"/>
  <c r="T4236" i="34"/>
  <c r="U4236" i="34"/>
  <c r="V4236" i="34"/>
  <c r="W4236" i="34"/>
  <c r="X4236" i="34"/>
  <c r="Y4236" i="34"/>
  <c r="Z4236" i="34"/>
  <c r="N4237" i="34"/>
  <c r="O4237" i="34"/>
  <c r="P4237" i="34"/>
  <c r="Q4237" i="34"/>
  <c r="R4237" i="34"/>
  <c r="S4237" i="34"/>
  <c r="T4237" i="34"/>
  <c r="U4237" i="34"/>
  <c r="V4237" i="34"/>
  <c r="W4237" i="34"/>
  <c r="X4237" i="34"/>
  <c r="Y4237" i="34"/>
  <c r="Z4237" i="34"/>
  <c r="N4238" i="34"/>
  <c r="O4238" i="34"/>
  <c r="P4238" i="34"/>
  <c r="Q4238" i="34"/>
  <c r="R4238" i="34"/>
  <c r="S4238" i="34"/>
  <c r="T4238" i="34"/>
  <c r="U4238" i="34"/>
  <c r="V4238" i="34"/>
  <c r="W4238" i="34"/>
  <c r="X4238" i="34"/>
  <c r="Y4238" i="34"/>
  <c r="Z4238" i="34"/>
  <c r="N4239" i="34"/>
  <c r="O4239" i="34"/>
  <c r="P4239" i="34"/>
  <c r="Q4239" i="34"/>
  <c r="R4239" i="34"/>
  <c r="S4239" i="34"/>
  <c r="T4239" i="34"/>
  <c r="U4239" i="34"/>
  <c r="V4239" i="34"/>
  <c r="W4239" i="34"/>
  <c r="X4239" i="34"/>
  <c r="Y4239" i="34"/>
  <c r="Z4239" i="34"/>
  <c r="N4240" i="34"/>
  <c r="O4240" i="34"/>
  <c r="P4240" i="34"/>
  <c r="Q4240" i="34"/>
  <c r="R4240" i="34"/>
  <c r="S4240" i="34"/>
  <c r="T4240" i="34"/>
  <c r="U4240" i="34"/>
  <c r="V4240" i="34"/>
  <c r="W4240" i="34"/>
  <c r="X4240" i="34"/>
  <c r="Y4240" i="34"/>
  <c r="Z4240" i="34"/>
  <c r="N4241" i="34"/>
  <c r="O4241" i="34"/>
  <c r="P4241" i="34"/>
  <c r="Q4241" i="34"/>
  <c r="R4241" i="34"/>
  <c r="S4241" i="34"/>
  <c r="T4241" i="34"/>
  <c r="U4241" i="34"/>
  <c r="V4241" i="34"/>
  <c r="W4241" i="34"/>
  <c r="X4241" i="34"/>
  <c r="Y4241" i="34"/>
  <c r="Z4241" i="34"/>
  <c r="N4242" i="34"/>
  <c r="O4242" i="34"/>
  <c r="P4242" i="34"/>
  <c r="Q4242" i="34"/>
  <c r="R4242" i="34"/>
  <c r="S4242" i="34"/>
  <c r="T4242" i="34"/>
  <c r="U4242" i="34"/>
  <c r="V4242" i="34"/>
  <c r="W4242" i="34"/>
  <c r="X4242" i="34"/>
  <c r="Y4242" i="34"/>
  <c r="Z4242" i="34"/>
  <c r="N4243" i="34"/>
  <c r="O4243" i="34"/>
  <c r="P4243" i="34"/>
  <c r="Q4243" i="34"/>
  <c r="R4243" i="34"/>
  <c r="S4243" i="34"/>
  <c r="T4243" i="34"/>
  <c r="U4243" i="34"/>
  <c r="V4243" i="34"/>
  <c r="W4243" i="34"/>
  <c r="X4243" i="34"/>
  <c r="Y4243" i="34"/>
  <c r="Z4243" i="34"/>
  <c r="N4244" i="34"/>
  <c r="O4244" i="34"/>
  <c r="P4244" i="34"/>
  <c r="Q4244" i="34"/>
  <c r="R4244" i="34"/>
  <c r="S4244" i="34"/>
  <c r="T4244" i="34"/>
  <c r="U4244" i="34"/>
  <c r="V4244" i="34"/>
  <c r="W4244" i="34"/>
  <c r="X4244" i="34"/>
  <c r="Y4244" i="34"/>
  <c r="Z4244" i="34"/>
  <c r="N4245" i="34"/>
  <c r="O4245" i="34"/>
  <c r="P4245" i="34"/>
  <c r="Q4245" i="34"/>
  <c r="R4245" i="34"/>
  <c r="S4245" i="34"/>
  <c r="T4245" i="34"/>
  <c r="U4245" i="34"/>
  <c r="V4245" i="34"/>
  <c r="W4245" i="34"/>
  <c r="X4245" i="34"/>
  <c r="Y4245" i="34"/>
  <c r="Z4245" i="34"/>
  <c r="N4246" i="34"/>
  <c r="O4246" i="34"/>
  <c r="P4246" i="34"/>
  <c r="Q4246" i="34"/>
  <c r="R4246" i="34"/>
  <c r="S4246" i="34"/>
  <c r="T4246" i="34"/>
  <c r="U4246" i="34"/>
  <c r="V4246" i="34"/>
  <c r="W4246" i="34"/>
  <c r="X4246" i="34"/>
  <c r="Y4246" i="34"/>
  <c r="Z4246" i="34"/>
  <c r="N4247" i="34"/>
  <c r="O4247" i="34"/>
  <c r="P4247" i="34"/>
  <c r="Q4247" i="34"/>
  <c r="R4247" i="34"/>
  <c r="S4247" i="34"/>
  <c r="T4247" i="34"/>
  <c r="U4247" i="34"/>
  <c r="V4247" i="34"/>
  <c r="W4247" i="34"/>
  <c r="X4247" i="34"/>
  <c r="Y4247" i="34"/>
  <c r="Z4247" i="34"/>
  <c r="N4248" i="34"/>
  <c r="O4248" i="34"/>
  <c r="P4248" i="34"/>
  <c r="Q4248" i="34"/>
  <c r="R4248" i="34"/>
  <c r="S4248" i="34"/>
  <c r="T4248" i="34"/>
  <c r="U4248" i="34"/>
  <c r="V4248" i="34"/>
  <c r="W4248" i="34"/>
  <c r="X4248" i="34"/>
  <c r="Y4248" i="34"/>
  <c r="Z4248" i="34"/>
  <c r="N4249" i="34"/>
  <c r="O4249" i="34"/>
  <c r="P4249" i="34"/>
  <c r="Q4249" i="34"/>
  <c r="R4249" i="34"/>
  <c r="S4249" i="34"/>
  <c r="T4249" i="34"/>
  <c r="U4249" i="34"/>
  <c r="V4249" i="34"/>
  <c r="W4249" i="34"/>
  <c r="X4249" i="34"/>
  <c r="Y4249" i="34"/>
  <c r="Z4249" i="34"/>
  <c r="N4250" i="34"/>
  <c r="O4250" i="34"/>
  <c r="P4250" i="34"/>
  <c r="Q4250" i="34"/>
  <c r="R4250" i="34"/>
  <c r="S4250" i="34"/>
  <c r="T4250" i="34"/>
  <c r="U4250" i="34"/>
  <c r="V4250" i="34"/>
  <c r="W4250" i="34"/>
  <c r="X4250" i="34"/>
  <c r="Y4250" i="34"/>
  <c r="Z4250" i="34"/>
  <c r="N4251" i="34"/>
  <c r="O4251" i="34"/>
  <c r="P4251" i="34"/>
  <c r="Q4251" i="34"/>
  <c r="R4251" i="34"/>
  <c r="S4251" i="34"/>
  <c r="T4251" i="34"/>
  <c r="U4251" i="34"/>
  <c r="V4251" i="34"/>
  <c r="W4251" i="34"/>
  <c r="X4251" i="34"/>
  <c r="Y4251" i="34"/>
  <c r="Z4251" i="34"/>
  <c r="N4252" i="34"/>
  <c r="O4252" i="34"/>
  <c r="P4252" i="34"/>
  <c r="Q4252" i="34"/>
  <c r="R4252" i="34"/>
  <c r="S4252" i="34"/>
  <c r="T4252" i="34"/>
  <c r="U4252" i="34"/>
  <c r="V4252" i="34"/>
  <c r="W4252" i="34"/>
  <c r="X4252" i="34"/>
  <c r="Y4252" i="34"/>
  <c r="Z4252" i="34"/>
  <c r="N4253" i="34"/>
  <c r="O4253" i="34"/>
  <c r="P4253" i="34"/>
  <c r="Q4253" i="34"/>
  <c r="R4253" i="34"/>
  <c r="S4253" i="34"/>
  <c r="T4253" i="34"/>
  <c r="U4253" i="34"/>
  <c r="V4253" i="34"/>
  <c r="W4253" i="34"/>
  <c r="X4253" i="34"/>
  <c r="Y4253" i="34"/>
  <c r="Z4253" i="34"/>
  <c r="N4254" i="34"/>
  <c r="O4254" i="34"/>
  <c r="P4254" i="34"/>
  <c r="Q4254" i="34"/>
  <c r="R4254" i="34"/>
  <c r="S4254" i="34"/>
  <c r="T4254" i="34"/>
  <c r="U4254" i="34"/>
  <c r="V4254" i="34"/>
  <c r="W4254" i="34"/>
  <c r="X4254" i="34"/>
  <c r="Y4254" i="34"/>
  <c r="Z4254" i="34"/>
  <c r="N4255" i="34"/>
  <c r="O4255" i="34"/>
  <c r="P4255" i="34"/>
  <c r="Q4255" i="34"/>
  <c r="R4255" i="34"/>
  <c r="S4255" i="34"/>
  <c r="T4255" i="34"/>
  <c r="U4255" i="34"/>
  <c r="V4255" i="34"/>
  <c r="W4255" i="34"/>
  <c r="X4255" i="34"/>
  <c r="Y4255" i="34"/>
  <c r="Z4255" i="34"/>
  <c r="N4256" i="34"/>
  <c r="O4256" i="34"/>
  <c r="P4256" i="34"/>
  <c r="Q4256" i="34"/>
  <c r="R4256" i="34"/>
  <c r="S4256" i="34"/>
  <c r="T4256" i="34"/>
  <c r="U4256" i="34"/>
  <c r="V4256" i="34"/>
  <c r="W4256" i="34"/>
  <c r="X4256" i="34"/>
  <c r="Y4256" i="34"/>
  <c r="Z4256" i="34"/>
  <c r="N4257" i="34"/>
  <c r="O4257" i="34"/>
  <c r="P4257" i="34"/>
  <c r="Q4257" i="34"/>
  <c r="R4257" i="34"/>
  <c r="S4257" i="34"/>
  <c r="T4257" i="34"/>
  <c r="U4257" i="34"/>
  <c r="V4257" i="34"/>
  <c r="W4257" i="34"/>
  <c r="X4257" i="34"/>
  <c r="Y4257" i="34"/>
  <c r="Z4257" i="34"/>
  <c r="N4258" i="34"/>
  <c r="O4258" i="34"/>
  <c r="P4258" i="34"/>
  <c r="Q4258" i="34"/>
  <c r="R4258" i="34"/>
  <c r="S4258" i="34"/>
  <c r="T4258" i="34"/>
  <c r="U4258" i="34"/>
  <c r="V4258" i="34"/>
  <c r="W4258" i="34"/>
  <c r="X4258" i="34"/>
  <c r="Y4258" i="34"/>
  <c r="Z4258" i="34"/>
  <c r="N4259" i="34"/>
  <c r="O4259" i="34"/>
  <c r="P4259" i="34"/>
  <c r="Q4259" i="34"/>
  <c r="R4259" i="34"/>
  <c r="S4259" i="34"/>
  <c r="T4259" i="34"/>
  <c r="U4259" i="34"/>
  <c r="V4259" i="34"/>
  <c r="W4259" i="34"/>
  <c r="X4259" i="34"/>
  <c r="Y4259" i="34"/>
  <c r="Z4259" i="34"/>
  <c r="N4260" i="34"/>
  <c r="O4260" i="34"/>
  <c r="P4260" i="34"/>
  <c r="Q4260" i="34"/>
  <c r="R4260" i="34"/>
  <c r="S4260" i="34"/>
  <c r="T4260" i="34"/>
  <c r="U4260" i="34"/>
  <c r="V4260" i="34"/>
  <c r="W4260" i="34"/>
  <c r="X4260" i="34"/>
  <c r="Y4260" i="34"/>
  <c r="Z4260" i="34"/>
  <c r="N4261" i="34"/>
  <c r="O4261" i="34"/>
  <c r="P4261" i="34"/>
  <c r="Q4261" i="34"/>
  <c r="R4261" i="34"/>
  <c r="S4261" i="34"/>
  <c r="T4261" i="34"/>
  <c r="U4261" i="34"/>
  <c r="V4261" i="34"/>
  <c r="W4261" i="34"/>
  <c r="X4261" i="34"/>
  <c r="Y4261" i="34"/>
  <c r="Z4261" i="34"/>
  <c r="N4262" i="34"/>
  <c r="O4262" i="34"/>
  <c r="P4262" i="34"/>
  <c r="Q4262" i="34"/>
  <c r="R4262" i="34"/>
  <c r="S4262" i="34"/>
  <c r="T4262" i="34"/>
  <c r="U4262" i="34"/>
  <c r="V4262" i="34"/>
  <c r="W4262" i="34"/>
  <c r="X4262" i="34"/>
  <c r="Y4262" i="34"/>
  <c r="Z4262" i="34"/>
  <c r="N4263" i="34"/>
  <c r="O4263" i="34"/>
  <c r="P4263" i="34"/>
  <c r="Q4263" i="34"/>
  <c r="R4263" i="34"/>
  <c r="S4263" i="34"/>
  <c r="T4263" i="34"/>
  <c r="U4263" i="34"/>
  <c r="V4263" i="34"/>
  <c r="W4263" i="34"/>
  <c r="X4263" i="34"/>
  <c r="Y4263" i="34"/>
  <c r="Z4263" i="34"/>
  <c r="N4264" i="34"/>
  <c r="O4264" i="34"/>
  <c r="P4264" i="34"/>
  <c r="Q4264" i="34"/>
  <c r="R4264" i="34"/>
  <c r="S4264" i="34"/>
  <c r="T4264" i="34"/>
  <c r="U4264" i="34"/>
  <c r="V4264" i="34"/>
  <c r="W4264" i="34"/>
  <c r="X4264" i="34"/>
  <c r="Y4264" i="34"/>
  <c r="Z4264" i="34"/>
  <c r="N4265" i="34"/>
  <c r="O4265" i="34"/>
  <c r="P4265" i="34"/>
  <c r="Q4265" i="34"/>
  <c r="R4265" i="34"/>
  <c r="S4265" i="34"/>
  <c r="T4265" i="34"/>
  <c r="U4265" i="34"/>
  <c r="V4265" i="34"/>
  <c r="W4265" i="34"/>
  <c r="X4265" i="34"/>
  <c r="Y4265" i="34"/>
  <c r="Z4265" i="34"/>
  <c r="N4266" i="34"/>
  <c r="O4266" i="34"/>
  <c r="P4266" i="34"/>
  <c r="Q4266" i="34"/>
  <c r="R4266" i="34"/>
  <c r="S4266" i="34"/>
  <c r="T4266" i="34"/>
  <c r="U4266" i="34"/>
  <c r="V4266" i="34"/>
  <c r="W4266" i="34"/>
  <c r="X4266" i="34"/>
  <c r="Y4266" i="34"/>
  <c r="Z4266" i="34"/>
  <c r="N4267" i="34"/>
  <c r="O4267" i="34"/>
  <c r="P4267" i="34"/>
  <c r="Q4267" i="34"/>
  <c r="R4267" i="34"/>
  <c r="S4267" i="34"/>
  <c r="T4267" i="34"/>
  <c r="U4267" i="34"/>
  <c r="V4267" i="34"/>
  <c r="W4267" i="34"/>
  <c r="X4267" i="34"/>
  <c r="Y4267" i="34"/>
  <c r="Z4267" i="34"/>
  <c r="N4268" i="34"/>
  <c r="O4268" i="34"/>
  <c r="P4268" i="34"/>
  <c r="Q4268" i="34"/>
  <c r="R4268" i="34"/>
  <c r="S4268" i="34"/>
  <c r="T4268" i="34"/>
  <c r="U4268" i="34"/>
  <c r="V4268" i="34"/>
  <c r="W4268" i="34"/>
  <c r="X4268" i="34"/>
  <c r="Y4268" i="34"/>
  <c r="Z4268" i="34"/>
  <c r="N4269" i="34"/>
  <c r="O4269" i="34"/>
  <c r="P4269" i="34"/>
  <c r="Q4269" i="34"/>
  <c r="R4269" i="34"/>
  <c r="S4269" i="34"/>
  <c r="T4269" i="34"/>
  <c r="U4269" i="34"/>
  <c r="V4269" i="34"/>
  <c r="W4269" i="34"/>
  <c r="X4269" i="34"/>
  <c r="Y4269" i="34"/>
  <c r="Z4269" i="34"/>
  <c r="N4270" i="34"/>
  <c r="O4270" i="34"/>
  <c r="P4270" i="34"/>
  <c r="Q4270" i="34"/>
  <c r="R4270" i="34"/>
  <c r="S4270" i="34"/>
  <c r="T4270" i="34"/>
  <c r="U4270" i="34"/>
  <c r="V4270" i="34"/>
  <c r="W4270" i="34"/>
  <c r="X4270" i="34"/>
  <c r="Y4270" i="34"/>
  <c r="Z4270" i="34"/>
  <c r="N4271" i="34"/>
  <c r="O4271" i="34"/>
  <c r="P4271" i="34"/>
  <c r="Q4271" i="34"/>
  <c r="R4271" i="34"/>
  <c r="S4271" i="34"/>
  <c r="T4271" i="34"/>
  <c r="U4271" i="34"/>
  <c r="V4271" i="34"/>
  <c r="W4271" i="34"/>
  <c r="X4271" i="34"/>
  <c r="Y4271" i="34"/>
  <c r="Z4271" i="34"/>
  <c r="N4272" i="34"/>
  <c r="O4272" i="34"/>
  <c r="P4272" i="34"/>
  <c r="Q4272" i="34"/>
  <c r="R4272" i="34"/>
  <c r="S4272" i="34"/>
  <c r="T4272" i="34"/>
  <c r="U4272" i="34"/>
  <c r="V4272" i="34"/>
  <c r="W4272" i="34"/>
  <c r="X4272" i="34"/>
  <c r="Y4272" i="34"/>
  <c r="Z4272" i="34"/>
  <c r="N4273" i="34"/>
  <c r="O4273" i="34"/>
  <c r="P4273" i="34"/>
  <c r="Q4273" i="34"/>
  <c r="R4273" i="34"/>
  <c r="S4273" i="34"/>
  <c r="T4273" i="34"/>
  <c r="U4273" i="34"/>
  <c r="V4273" i="34"/>
  <c r="W4273" i="34"/>
  <c r="X4273" i="34"/>
  <c r="Y4273" i="34"/>
  <c r="Z4273" i="34"/>
  <c r="N4274" i="34"/>
  <c r="O4274" i="34"/>
  <c r="P4274" i="34"/>
  <c r="Q4274" i="34"/>
  <c r="R4274" i="34"/>
  <c r="S4274" i="34"/>
  <c r="T4274" i="34"/>
  <c r="U4274" i="34"/>
  <c r="V4274" i="34"/>
  <c r="W4274" i="34"/>
  <c r="X4274" i="34"/>
  <c r="Y4274" i="34"/>
  <c r="Z4274" i="34"/>
  <c r="N4275" i="34"/>
  <c r="O4275" i="34"/>
  <c r="P4275" i="34"/>
  <c r="Q4275" i="34"/>
  <c r="R4275" i="34"/>
  <c r="S4275" i="34"/>
  <c r="T4275" i="34"/>
  <c r="U4275" i="34"/>
  <c r="V4275" i="34"/>
  <c r="W4275" i="34"/>
  <c r="X4275" i="34"/>
  <c r="Y4275" i="34"/>
  <c r="Z4275" i="34"/>
  <c r="N4276" i="34"/>
  <c r="O4276" i="34"/>
  <c r="P4276" i="34"/>
  <c r="Q4276" i="34"/>
  <c r="R4276" i="34"/>
  <c r="S4276" i="34"/>
  <c r="T4276" i="34"/>
  <c r="U4276" i="34"/>
  <c r="V4276" i="34"/>
  <c r="W4276" i="34"/>
  <c r="X4276" i="34"/>
  <c r="Y4276" i="34"/>
  <c r="Z4276" i="34"/>
  <c r="N4277" i="34"/>
  <c r="O4277" i="34"/>
  <c r="P4277" i="34"/>
  <c r="Q4277" i="34"/>
  <c r="R4277" i="34"/>
  <c r="S4277" i="34"/>
  <c r="T4277" i="34"/>
  <c r="U4277" i="34"/>
  <c r="V4277" i="34"/>
  <c r="W4277" i="34"/>
  <c r="X4277" i="34"/>
  <c r="Y4277" i="34"/>
  <c r="Z4277" i="34"/>
  <c r="N4278" i="34"/>
  <c r="O4278" i="34"/>
  <c r="P4278" i="34"/>
  <c r="Q4278" i="34"/>
  <c r="R4278" i="34"/>
  <c r="S4278" i="34"/>
  <c r="T4278" i="34"/>
  <c r="U4278" i="34"/>
  <c r="V4278" i="34"/>
  <c r="W4278" i="34"/>
  <c r="X4278" i="34"/>
  <c r="Y4278" i="34"/>
  <c r="Z4278" i="34"/>
  <c r="N4279" i="34"/>
  <c r="O4279" i="34"/>
  <c r="P4279" i="34"/>
  <c r="Q4279" i="34"/>
  <c r="R4279" i="34"/>
  <c r="S4279" i="34"/>
  <c r="T4279" i="34"/>
  <c r="U4279" i="34"/>
  <c r="V4279" i="34"/>
  <c r="W4279" i="34"/>
  <c r="X4279" i="34"/>
  <c r="Y4279" i="34"/>
  <c r="Z4279" i="34"/>
  <c r="N4280" i="34"/>
  <c r="O4280" i="34"/>
  <c r="P4280" i="34"/>
  <c r="Q4280" i="34"/>
  <c r="R4280" i="34"/>
  <c r="S4280" i="34"/>
  <c r="T4280" i="34"/>
  <c r="U4280" i="34"/>
  <c r="V4280" i="34"/>
  <c r="W4280" i="34"/>
  <c r="X4280" i="34"/>
  <c r="Y4280" i="34"/>
  <c r="Z4280" i="34"/>
  <c r="N4281" i="34"/>
  <c r="O4281" i="34"/>
  <c r="P4281" i="34"/>
  <c r="Q4281" i="34"/>
  <c r="R4281" i="34"/>
  <c r="S4281" i="34"/>
  <c r="T4281" i="34"/>
  <c r="U4281" i="34"/>
  <c r="V4281" i="34"/>
  <c r="W4281" i="34"/>
  <c r="X4281" i="34"/>
  <c r="Y4281" i="34"/>
  <c r="Z4281" i="34"/>
  <c r="N4282" i="34"/>
  <c r="O4282" i="34"/>
  <c r="P4282" i="34"/>
  <c r="Q4282" i="34"/>
  <c r="R4282" i="34"/>
  <c r="S4282" i="34"/>
  <c r="T4282" i="34"/>
  <c r="U4282" i="34"/>
  <c r="V4282" i="34"/>
  <c r="W4282" i="34"/>
  <c r="X4282" i="34"/>
  <c r="Y4282" i="34"/>
  <c r="Z4282" i="34"/>
  <c r="N4283" i="34"/>
  <c r="O4283" i="34"/>
  <c r="P4283" i="34"/>
  <c r="Q4283" i="34"/>
  <c r="R4283" i="34"/>
  <c r="S4283" i="34"/>
  <c r="T4283" i="34"/>
  <c r="U4283" i="34"/>
  <c r="V4283" i="34"/>
  <c r="W4283" i="34"/>
  <c r="X4283" i="34"/>
  <c r="Y4283" i="34"/>
  <c r="Z4283" i="34"/>
  <c r="N4284" i="34"/>
  <c r="O4284" i="34"/>
  <c r="P4284" i="34"/>
  <c r="Q4284" i="34"/>
  <c r="R4284" i="34"/>
  <c r="S4284" i="34"/>
  <c r="T4284" i="34"/>
  <c r="U4284" i="34"/>
  <c r="V4284" i="34"/>
  <c r="W4284" i="34"/>
  <c r="X4284" i="34"/>
  <c r="Y4284" i="34"/>
  <c r="Z4284" i="34"/>
  <c r="N4285" i="34"/>
  <c r="O4285" i="34"/>
  <c r="P4285" i="34"/>
  <c r="Q4285" i="34"/>
  <c r="R4285" i="34"/>
  <c r="S4285" i="34"/>
  <c r="T4285" i="34"/>
  <c r="U4285" i="34"/>
  <c r="V4285" i="34"/>
  <c r="W4285" i="34"/>
  <c r="X4285" i="34"/>
  <c r="Y4285" i="34"/>
  <c r="Z4285" i="34"/>
  <c r="N4286" i="34"/>
  <c r="O4286" i="34"/>
  <c r="P4286" i="34"/>
  <c r="Q4286" i="34"/>
  <c r="R4286" i="34"/>
  <c r="S4286" i="34"/>
  <c r="T4286" i="34"/>
  <c r="U4286" i="34"/>
  <c r="V4286" i="34"/>
  <c r="W4286" i="34"/>
  <c r="X4286" i="34"/>
  <c r="Y4286" i="34"/>
  <c r="Z4286" i="34"/>
  <c r="N4287" i="34"/>
  <c r="O4287" i="34"/>
  <c r="P4287" i="34"/>
  <c r="Q4287" i="34"/>
  <c r="R4287" i="34"/>
  <c r="S4287" i="34"/>
  <c r="T4287" i="34"/>
  <c r="U4287" i="34"/>
  <c r="V4287" i="34"/>
  <c r="W4287" i="34"/>
  <c r="X4287" i="34"/>
  <c r="Y4287" i="34"/>
  <c r="Z4287" i="34"/>
  <c r="N4288" i="34"/>
  <c r="O4288" i="34"/>
  <c r="P4288" i="34"/>
  <c r="Q4288" i="34"/>
  <c r="R4288" i="34"/>
  <c r="S4288" i="34"/>
  <c r="T4288" i="34"/>
  <c r="U4288" i="34"/>
  <c r="V4288" i="34"/>
  <c r="W4288" i="34"/>
  <c r="X4288" i="34"/>
  <c r="Y4288" i="34"/>
  <c r="Z4288" i="34"/>
  <c r="N4289" i="34"/>
  <c r="O4289" i="34"/>
  <c r="P4289" i="34"/>
  <c r="Q4289" i="34"/>
  <c r="R4289" i="34"/>
  <c r="S4289" i="34"/>
  <c r="T4289" i="34"/>
  <c r="U4289" i="34"/>
  <c r="V4289" i="34"/>
  <c r="W4289" i="34"/>
  <c r="X4289" i="34"/>
  <c r="Y4289" i="34"/>
  <c r="Z4289" i="34"/>
  <c r="N4290" i="34"/>
  <c r="O4290" i="34"/>
  <c r="P4290" i="34"/>
  <c r="Q4290" i="34"/>
  <c r="R4290" i="34"/>
  <c r="S4290" i="34"/>
  <c r="T4290" i="34"/>
  <c r="U4290" i="34"/>
  <c r="V4290" i="34"/>
  <c r="W4290" i="34"/>
  <c r="X4290" i="34"/>
  <c r="Y4290" i="34"/>
  <c r="Z4290" i="34"/>
  <c r="N4291" i="34"/>
  <c r="O4291" i="34"/>
  <c r="P4291" i="34"/>
  <c r="Q4291" i="34"/>
  <c r="R4291" i="34"/>
  <c r="S4291" i="34"/>
  <c r="T4291" i="34"/>
  <c r="U4291" i="34"/>
  <c r="V4291" i="34"/>
  <c r="W4291" i="34"/>
  <c r="X4291" i="34"/>
  <c r="Y4291" i="34"/>
  <c r="Z4291" i="34"/>
  <c r="N4292" i="34"/>
  <c r="O4292" i="34"/>
  <c r="P4292" i="34"/>
  <c r="Q4292" i="34"/>
  <c r="R4292" i="34"/>
  <c r="S4292" i="34"/>
  <c r="T4292" i="34"/>
  <c r="U4292" i="34"/>
  <c r="V4292" i="34"/>
  <c r="W4292" i="34"/>
  <c r="X4292" i="34"/>
  <c r="Y4292" i="34"/>
  <c r="Z4292" i="34"/>
  <c r="N4293" i="34"/>
  <c r="O4293" i="34"/>
  <c r="P4293" i="34"/>
  <c r="Q4293" i="34"/>
  <c r="R4293" i="34"/>
  <c r="S4293" i="34"/>
  <c r="T4293" i="34"/>
  <c r="U4293" i="34"/>
  <c r="V4293" i="34"/>
  <c r="W4293" i="34"/>
  <c r="X4293" i="34"/>
  <c r="Y4293" i="34"/>
  <c r="Z4293" i="34"/>
  <c r="N4294" i="34"/>
  <c r="O4294" i="34"/>
  <c r="P4294" i="34"/>
  <c r="Q4294" i="34"/>
  <c r="R4294" i="34"/>
  <c r="S4294" i="34"/>
  <c r="T4294" i="34"/>
  <c r="U4294" i="34"/>
  <c r="V4294" i="34"/>
  <c r="W4294" i="34"/>
  <c r="X4294" i="34"/>
  <c r="Y4294" i="34"/>
  <c r="Z4294" i="34"/>
  <c r="N4295" i="34"/>
  <c r="O4295" i="34"/>
  <c r="P4295" i="34"/>
  <c r="Q4295" i="34"/>
  <c r="R4295" i="34"/>
  <c r="S4295" i="34"/>
  <c r="T4295" i="34"/>
  <c r="U4295" i="34"/>
  <c r="V4295" i="34"/>
  <c r="W4295" i="34"/>
  <c r="X4295" i="34"/>
  <c r="Y4295" i="34"/>
  <c r="Z4295" i="34"/>
  <c r="N4296" i="34"/>
  <c r="O4296" i="34"/>
  <c r="P4296" i="34"/>
  <c r="Q4296" i="34"/>
  <c r="R4296" i="34"/>
  <c r="S4296" i="34"/>
  <c r="T4296" i="34"/>
  <c r="U4296" i="34"/>
  <c r="V4296" i="34"/>
  <c r="W4296" i="34"/>
  <c r="X4296" i="34"/>
  <c r="Y4296" i="34"/>
  <c r="Z4296" i="34"/>
  <c r="N4297" i="34"/>
  <c r="O4297" i="34"/>
  <c r="P4297" i="34"/>
  <c r="Q4297" i="34"/>
  <c r="R4297" i="34"/>
  <c r="S4297" i="34"/>
  <c r="T4297" i="34"/>
  <c r="U4297" i="34"/>
  <c r="V4297" i="34"/>
  <c r="W4297" i="34"/>
  <c r="X4297" i="34"/>
  <c r="Y4297" i="34"/>
  <c r="Z4297" i="34"/>
  <c r="N4298" i="34"/>
  <c r="O4298" i="34"/>
  <c r="P4298" i="34"/>
  <c r="Q4298" i="34"/>
  <c r="R4298" i="34"/>
  <c r="S4298" i="34"/>
  <c r="T4298" i="34"/>
  <c r="U4298" i="34"/>
  <c r="V4298" i="34"/>
  <c r="W4298" i="34"/>
  <c r="X4298" i="34"/>
  <c r="Y4298" i="34"/>
  <c r="Z4298" i="34"/>
  <c r="N4299" i="34"/>
  <c r="O4299" i="34"/>
  <c r="P4299" i="34"/>
  <c r="Q4299" i="34"/>
  <c r="R4299" i="34"/>
  <c r="S4299" i="34"/>
  <c r="T4299" i="34"/>
  <c r="U4299" i="34"/>
  <c r="V4299" i="34"/>
  <c r="W4299" i="34"/>
  <c r="X4299" i="34"/>
  <c r="Y4299" i="34"/>
  <c r="Z4299" i="34"/>
  <c r="N4300" i="34"/>
  <c r="O4300" i="34"/>
  <c r="P4300" i="34"/>
  <c r="Q4300" i="34"/>
  <c r="R4300" i="34"/>
  <c r="S4300" i="34"/>
  <c r="T4300" i="34"/>
  <c r="U4300" i="34"/>
  <c r="V4300" i="34"/>
  <c r="W4300" i="34"/>
  <c r="X4300" i="34"/>
  <c r="Y4300" i="34"/>
  <c r="Z4300" i="34"/>
  <c r="N4301" i="34"/>
  <c r="O4301" i="34"/>
  <c r="P4301" i="34"/>
  <c r="Q4301" i="34"/>
  <c r="R4301" i="34"/>
  <c r="S4301" i="34"/>
  <c r="T4301" i="34"/>
  <c r="U4301" i="34"/>
  <c r="V4301" i="34"/>
  <c r="W4301" i="34"/>
  <c r="X4301" i="34"/>
  <c r="Y4301" i="34"/>
  <c r="Z4301" i="34"/>
  <c r="N4302" i="34"/>
  <c r="O4302" i="34"/>
  <c r="P4302" i="34"/>
  <c r="Q4302" i="34"/>
  <c r="R4302" i="34"/>
  <c r="S4302" i="34"/>
  <c r="T4302" i="34"/>
  <c r="U4302" i="34"/>
  <c r="V4302" i="34"/>
  <c r="W4302" i="34"/>
  <c r="X4302" i="34"/>
  <c r="Y4302" i="34"/>
  <c r="Z4302" i="34"/>
  <c r="N4303" i="34"/>
  <c r="O4303" i="34"/>
  <c r="P4303" i="34"/>
  <c r="Q4303" i="34"/>
  <c r="R4303" i="34"/>
  <c r="S4303" i="34"/>
  <c r="T4303" i="34"/>
  <c r="U4303" i="34"/>
  <c r="V4303" i="34"/>
  <c r="W4303" i="34"/>
  <c r="X4303" i="34"/>
  <c r="Y4303" i="34"/>
  <c r="Z4303" i="34"/>
  <c r="N4304" i="34"/>
  <c r="O4304" i="34"/>
  <c r="P4304" i="34"/>
  <c r="Q4304" i="34"/>
  <c r="R4304" i="34"/>
  <c r="S4304" i="34"/>
  <c r="T4304" i="34"/>
  <c r="U4304" i="34"/>
  <c r="V4304" i="34"/>
  <c r="W4304" i="34"/>
  <c r="X4304" i="34"/>
  <c r="Y4304" i="34"/>
  <c r="Z4304" i="34"/>
  <c r="N4305" i="34"/>
  <c r="O4305" i="34"/>
  <c r="P4305" i="34"/>
  <c r="Q4305" i="34"/>
  <c r="R4305" i="34"/>
  <c r="S4305" i="34"/>
  <c r="T4305" i="34"/>
  <c r="U4305" i="34"/>
  <c r="V4305" i="34"/>
  <c r="W4305" i="34"/>
  <c r="X4305" i="34"/>
  <c r="Y4305" i="34"/>
  <c r="Z4305" i="34"/>
  <c r="N4306" i="34"/>
  <c r="O4306" i="34"/>
  <c r="P4306" i="34"/>
  <c r="Q4306" i="34"/>
  <c r="R4306" i="34"/>
  <c r="S4306" i="34"/>
  <c r="T4306" i="34"/>
  <c r="U4306" i="34"/>
  <c r="V4306" i="34"/>
  <c r="W4306" i="34"/>
  <c r="X4306" i="34"/>
  <c r="Y4306" i="34"/>
  <c r="Z4306" i="34"/>
  <c r="N4307" i="34"/>
  <c r="O4307" i="34"/>
  <c r="P4307" i="34"/>
  <c r="Q4307" i="34"/>
  <c r="R4307" i="34"/>
  <c r="S4307" i="34"/>
  <c r="T4307" i="34"/>
  <c r="U4307" i="34"/>
  <c r="V4307" i="34"/>
  <c r="W4307" i="34"/>
  <c r="X4307" i="34"/>
  <c r="Y4307" i="34"/>
  <c r="Z4307" i="34"/>
  <c r="N4308" i="34"/>
  <c r="O4308" i="34"/>
  <c r="P4308" i="34"/>
  <c r="Q4308" i="34"/>
  <c r="R4308" i="34"/>
  <c r="S4308" i="34"/>
  <c r="T4308" i="34"/>
  <c r="U4308" i="34"/>
  <c r="V4308" i="34"/>
  <c r="W4308" i="34"/>
  <c r="X4308" i="34"/>
  <c r="Y4308" i="34"/>
  <c r="Z4308" i="34"/>
  <c r="N4309" i="34"/>
  <c r="O4309" i="34"/>
  <c r="P4309" i="34"/>
  <c r="Q4309" i="34"/>
  <c r="R4309" i="34"/>
  <c r="S4309" i="34"/>
  <c r="T4309" i="34"/>
  <c r="U4309" i="34"/>
  <c r="V4309" i="34"/>
  <c r="W4309" i="34"/>
  <c r="X4309" i="34"/>
  <c r="Y4309" i="34"/>
  <c r="Z4309" i="34"/>
  <c r="N4310" i="34"/>
  <c r="O4310" i="34"/>
  <c r="P4310" i="34"/>
  <c r="Q4310" i="34"/>
  <c r="R4310" i="34"/>
  <c r="S4310" i="34"/>
  <c r="T4310" i="34"/>
  <c r="U4310" i="34"/>
  <c r="V4310" i="34"/>
  <c r="W4310" i="34"/>
  <c r="X4310" i="34"/>
  <c r="Y4310" i="34"/>
  <c r="Z4310" i="34"/>
  <c r="N4311" i="34"/>
  <c r="O4311" i="34"/>
  <c r="P4311" i="34"/>
  <c r="Q4311" i="34"/>
  <c r="R4311" i="34"/>
  <c r="S4311" i="34"/>
  <c r="T4311" i="34"/>
  <c r="U4311" i="34"/>
  <c r="V4311" i="34"/>
  <c r="W4311" i="34"/>
  <c r="X4311" i="34"/>
  <c r="Y4311" i="34"/>
  <c r="Z4311" i="34"/>
  <c r="N4312" i="34"/>
  <c r="O4312" i="34"/>
  <c r="P4312" i="34"/>
  <c r="Q4312" i="34"/>
  <c r="R4312" i="34"/>
  <c r="S4312" i="34"/>
  <c r="T4312" i="34"/>
  <c r="U4312" i="34"/>
  <c r="V4312" i="34"/>
  <c r="W4312" i="34"/>
  <c r="X4312" i="34"/>
  <c r="Y4312" i="34"/>
  <c r="Z4312" i="34"/>
  <c r="N4313" i="34"/>
  <c r="O4313" i="34"/>
  <c r="P4313" i="34"/>
  <c r="Q4313" i="34"/>
  <c r="R4313" i="34"/>
  <c r="S4313" i="34"/>
  <c r="T4313" i="34"/>
  <c r="U4313" i="34"/>
  <c r="V4313" i="34"/>
  <c r="W4313" i="34"/>
  <c r="X4313" i="34"/>
  <c r="Y4313" i="34"/>
  <c r="Z4313" i="34"/>
  <c r="N4314" i="34"/>
  <c r="O4314" i="34"/>
  <c r="P4314" i="34"/>
  <c r="Q4314" i="34"/>
  <c r="R4314" i="34"/>
  <c r="S4314" i="34"/>
  <c r="T4314" i="34"/>
  <c r="U4314" i="34"/>
  <c r="V4314" i="34"/>
  <c r="W4314" i="34"/>
  <c r="X4314" i="34"/>
  <c r="Y4314" i="34"/>
  <c r="Z4314" i="34"/>
  <c r="N4315" i="34"/>
  <c r="O4315" i="34"/>
  <c r="P4315" i="34"/>
  <c r="Q4315" i="34"/>
  <c r="R4315" i="34"/>
  <c r="S4315" i="34"/>
  <c r="T4315" i="34"/>
  <c r="U4315" i="34"/>
  <c r="V4315" i="34"/>
  <c r="W4315" i="34"/>
  <c r="X4315" i="34"/>
  <c r="Y4315" i="34"/>
  <c r="Z4315" i="34"/>
  <c r="N4316" i="34"/>
  <c r="O4316" i="34"/>
  <c r="P4316" i="34"/>
  <c r="Q4316" i="34"/>
  <c r="R4316" i="34"/>
  <c r="S4316" i="34"/>
  <c r="T4316" i="34"/>
  <c r="U4316" i="34"/>
  <c r="V4316" i="34"/>
  <c r="W4316" i="34"/>
  <c r="X4316" i="34"/>
  <c r="Y4316" i="34"/>
  <c r="Z4316" i="34"/>
  <c r="N4317" i="34"/>
  <c r="O4317" i="34"/>
  <c r="P4317" i="34"/>
  <c r="Q4317" i="34"/>
  <c r="R4317" i="34"/>
  <c r="S4317" i="34"/>
  <c r="T4317" i="34"/>
  <c r="U4317" i="34"/>
  <c r="V4317" i="34"/>
  <c r="W4317" i="34"/>
  <c r="X4317" i="34"/>
  <c r="Y4317" i="34"/>
  <c r="Z4317" i="34"/>
  <c r="N4318" i="34"/>
  <c r="O4318" i="34"/>
  <c r="P4318" i="34"/>
  <c r="Q4318" i="34"/>
  <c r="R4318" i="34"/>
  <c r="S4318" i="34"/>
  <c r="T4318" i="34"/>
  <c r="U4318" i="34"/>
  <c r="V4318" i="34"/>
  <c r="W4318" i="34"/>
  <c r="X4318" i="34"/>
  <c r="Y4318" i="34"/>
  <c r="Z4318" i="34"/>
  <c r="N4319" i="34"/>
  <c r="O4319" i="34"/>
  <c r="P4319" i="34"/>
  <c r="Q4319" i="34"/>
  <c r="R4319" i="34"/>
  <c r="S4319" i="34"/>
  <c r="T4319" i="34"/>
  <c r="U4319" i="34"/>
  <c r="V4319" i="34"/>
  <c r="W4319" i="34"/>
  <c r="X4319" i="34"/>
  <c r="Y4319" i="34"/>
  <c r="Z4319" i="34"/>
  <c r="N4320" i="34"/>
  <c r="O4320" i="34"/>
  <c r="P4320" i="34"/>
  <c r="Q4320" i="34"/>
  <c r="R4320" i="34"/>
  <c r="S4320" i="34"/>
  <c r="T4320" i="34"/>
  <c r="U4320" i="34"/>
  <c r="V4320" i="34"/>
  <c r="W4320" i="34"/>
  <c r="X4320" i="34"/>
  <c r="Y4320" i="34"/>
  <c r="Z4320" i="34"/>
  <c r="N4321" i="34"/>
  <c r="O4321" i="34"/>
  <c r="P4321" i="34"/>
  <c r="Q4321" i="34"/>
  <c r="R4321" i="34"/>
  <c r="S4321" i="34"/>
  <c r="T4321" i="34"/>
  <c r="U4321" i="34"/>
  <c r="V4321" i="34"/>
  <c r="W4321" i="34"/>
  <c r="X4321" i="34"/>
  <c r="Y4321" i="34"/>
  <c r="Z4321" i="34"/>
  <c r="N4322" i="34"/>
  <c r="O4322" i="34"/>
  <c r="P4322" i="34"/>
  <c r="Q4322" i="34"/>
  <c r="R4322" i="34"/>
  <c r="S4322" i="34"/>
  <c r="T4322" i="34"/>
  <c r="U4322" i="34"/>
  <c r="V4322" i="34"/>
  <c r="W4322" i="34"/>
  <c r="X4322" i="34"/>
  <c r="Y4322" i="34"/>
  <c r="Z4322" i="34"/>
  <c r="N4323" i="34"/>
  <c r="O4323" i="34"/>
  <c r="P4323" i="34"/>
  <c r="Q4323" i="34"/>
  <c r="R4323" i="34"/>
  <c r="S4323" i="34"/>
  <c r="T4323" i="34"/>
  <c r="U4323" i="34"/>
  <c r="V4323" i="34"/>
  <c r="W4323" i="34"/>
  <c r="X4323" i="34"/>
  <c r="Y4323" i="34"/>
  <c r="Z4323" i="34"/>
  <c r="N4324" i="34"/>
  <c r="O4324" i="34"/>
  <c r="P4324" i="34"/>
  <c r="Q4324" i="34"/>
  <c r="R4324" i="34"/>
  <c r="S4324" i="34"/>
  <c r="T4324" i="34"/>
  <c r="U4324" i="34"/>
  <c r="V4324" i="34"/>
  <c r="W4324" i="34"/>
  <c r="X4324" i="34"/>
  <c r="Y4324" i="34"/>
  <c r="Z4324" i="34"/>
  <c r="N4325" i="34"/>
  <c r="O4325" i="34"/>
  <c r="P4325" i="34"/>
  <c r="Q4325" i="34"/>
  <c r="R4325" i="34"/>
  <c r="S4325" i="34"/>
  <c r="T4325" i="34"/>
  <c r="U4325" i="34"/>
  <c r="V4325" i="34"/>
  <c r="W4325" i="34"/>
  <c r="X4325" i="34"/>
  <c r="Y4325" i="34"/>
  <c r="Z4325" i="34"/>
  <c r="N4326" i="34"/>
  <c r="O4326" i="34"/>
  <c r="P4326" i="34"/>
  <c r="Q4326" i="34"/>
  <c r="R4326" i="34"/>
  <c r="S4326" i="34"/>
  <c r="T4326" i="34"/>
  <c r="U4326" i="34"/>
  <c r="V4326" i="34"/>
  <c r="W4326" i="34"/>
  <c r="X4326" i="34"/>
  <c r="Y4326" i="34"/>
  <c r="Z4326" i="34"/>
  <c r="N4327" i="34"/>
  <c r="O4327" i="34"/>
  <c r="P4327" i="34"/>
  <c r="Q4327" i="34"/>
  <c r="R4327" i="34"/>
  <c r="S4327" i="34"/>
  <c r="T4327" i="34"/>
  <c r="U4327" i="34"/>
  <c r="V4327" i="34"/>
  <c r="W4327" i="34"/>
  <c r="X4327" i="34"/>
  <c r="Y4327" i="34"/>
  <c r="Z4327" i="34"/>
  <c r="N4328" i="34"/>
  <c r="O4328" i="34"/>
  <c r="P4328" i="34"/>
  <c r="Q4328" i="34"/>
  <c r="R4328" i="34"/>
  <c r="S4328" i="34"/>
  <c r="T4328" i="34"/>
  <c r="U4328" i="34"/>
  <c r="V4328" i="34"/>
  <c r="W4328" i="34"/>
  <c r="X4328" i="34"/>
  <c r="Y4328" i="34"/>
  <c r="Z4328" i="34"/>
  <c r="N4329" i="34"/>
  <c r="O4329" i="34"/>
  <c r="P4329" i="34"/>
  <c r="Q4329" i="34"/>
  <c r="R4329" i="34"/>
  <c r="S4329" i="34"/>
  <c r="T4329" i="34"/>
  <c r="U4329" i="34"/>
  <c r="V4329" i="34"/>
  <c r="W4329" i="34"/>
  <c r="X4329" i="34"/>
  <c r="Y4329" i="34"/>
  <c r="Z4329" i="34"/>
  <c r="N4330" i="34"/>
  <c r="O4330" i="34"/>
  <c r="P4330" i="34"/>
  <c r="Q4330" i="34"/>
  <c r="R4330" i="34"/>
  <c r="S4330" i="34"/>
  <c r="T4330" i="34"/>
  <c r="U4330" i="34"/>
  <c r="V4330" i="34"/>
  <c r="W4330" i="34"/>
  <c r="X4330" i="34"/>
  <c r="Y4330" i="34"/>
  <c r="Z4330" i="34"/>
  <c r="N4331" i="34"/>
  <c r="O4331" i="34"/>
  <c r="P4331" i="34"/>
  <c r="Q4331" i="34"/>
  <c r="R4331" i="34"/>
  <c r="S4331" i="34"/>
  <c r="T4331" i="34"/>
  <c r="U4331" i="34"/>
  <c r="V4331" i="34"/>
  <c r="W4331" i="34"/>
  <c r="X4331" i="34"/>
  <c r="Y4331" i="34"/>
  <c r="Z4331" i="34"/>
  <c r="N4332" i="34"/>
  <c r="O4332" i="34"/>
  <c r="P4332" i="34"/>
  <c r="Q4332" i="34"/>
  <c r="R4332" i="34"/>
  <c r="S4332" i="34"/>
  <c r="T4332" i="34"/>
  <c r="U4332" i="34"/>
  <c r="V4332" i="34"/>
  <c r="W4332" i="34"/>
  <c r="X4332" i="34"/>
  <c r="Y4332" i="34"/>
  <c r="Z4332" i="34"/>
  <c r="N4333" i="34"/>
  <c r="O4333" i="34"/>
  <c r="P4333" i="34"/>
  <c r="Q4333" i="34"/>
  <c r="R4333" i="34"/>
  <c r="S4333" i="34"/>
  <c r="T4333" i="34"/>
  <c r="U4333" i="34"/>
  <c r="V4333" i="34"/>
  <c r="W4333" i="34"/>
  <c r="X4333" i="34"/>
  <c r="Y4333" i="34"/>
  <c r="Z4333" i="34"/>
  <c r="N4334" i="34"/>
  <c r="O4334" i="34"/>
  <c r="P4334" i="34"/>
  <c r="Q4334" i="34"/>
  <c r="R4334" i="34"/>
  <c r="S4334" i="34"/>
  <c r="T4334" i="34"/>
  <c r="U4334" i="34"/>
  <c r="V4334" i="34"/>
  <c r="W4334" i="34"/>
  <c r="X4334" i="34"/>
  <c r="Y4334" i="34"/>
  <c r="Z4334" i="34"/>
  <c r="N4335" i="34"/>
  <c r="O4335" i="34"/>
  <c r="P4335" i="34"/>
  <c r="Q4335" i="34"/>
  <c r="R4335" i="34"/>
  <c r="S4335" i="34"/>
  <c r="T4335" i="34"/>
  <c r="U4335" i="34"/>
  <c r="V4335" i="34"/>
  <c r="W4335" i="34"/>
  <c r="X4335" i="34"/>
  <c r="Y4335" i="34"/>
  <c r="Z4335" i="34"/>
  <c r="N4336" i="34"/>
  <c r="O4336" i="34"/>
  <c r="P4336" i="34"/>
  <c r="Q4336" i="34"/>
  <c r="R4336" i="34"/>
  <c r="S4336" i="34"/>
  <c r="T4336" i="34"/>
  <c r="U4336" i="34"/>
  <c r="V4336" i="34"/>
  <c r="W4336" i="34"/>
  <c r="X4336" i="34"/>
  <c r="Y4336" i="34"/>
  <c r="Z4336" i="34"/>
  <c r="N4337" i="34"/>
  <c r="O4337" i="34"/>
  <c r="P4337" i="34"/>
  <c r="Q4337" i="34"/>
  <c r="R4337" i="34"/>
  <c r="S4337" i="34"/>
  <c r="T4337" i="34"/>
  <c r="U4337" i="34"/>
  <c r="V4337" i="34"/>
  <c r="W4337" i="34"/>
  <c r="X4337" i="34"/>
  <c r="Y4337" i="34"/>
  <c r="Z4337" i="34"/>
  <c r="N4338" i="34"/>
  <c r="O4338" i="34"/>
  <c r="P4338" i="34"/>
  <c r="Q4338" i="34"/>
  <c r="R4338" i="34"/>
  <c r="S4338" i="34"/>
  <c r="T4338" i="34"/>
  <c r="U4338" i="34"/>
  <c r="V4338" i="34"/>
  <c r="W4338" i="34"/>
  <c r="X4338" i="34"/>
  <c r="Y4338" i="34"/>
  <c r="Z4338" i="34"/>
  <c r="N4339" i="34"/>
  <c r="O4339" i="34"/>
  <c r="P4339" i="34"/>
  <c r="Q4339" i="34"/>
  <c r="R4339" i="34"/>
  <c r="S4339" i="34"/>
  <c r="T4339" i="34"/>
  <c r="U4339" i="34"/>
  <c r="V4339" i="34"/>
  <c r="W4339" i="34"/>
  <c r="X4339" i="34"/>
  <c r="Y4339" i="34"/>
  <c r="Z4339" i="34"/>
  <c r="N4340" i="34"/>
  <c r="O4340" i="34"/>
  <c r="P4340" i="34"/>
  <c r="Q4340" i="34"/>
  <c r="R4340" i="34"/>
  <c r="S4340" i="34"/>
  <c r="T4340" i="34"/>
  <c r="U4340" i="34"/>
  <c r="V4340" i="34"/>
  <c r="W4340" i="34"/>
  <c r="X4340" i="34"/>
  <c r="Y4340" i="34"/>
  <c r="Z4340" i="34"/>
  <c r="N4341" i="34"/>
  <c r="O4341" i="34"/>
  <c r="P4341" i="34"/>
  <c r="Q4341" i="34"/>
  <c r="R4341" i="34"/>
  <c r="S4341" i="34"/>
  <c r="T4341" i="34"/>
  <c r="U4341" i="34"/>
  <c r="V4341" i="34"/>
  <c r="W4341" i="34"/>
  <c r="X4341" i="34"/>
  <c r="Y4341" i="34"/>
  <c r="Z4341" i="34"/>
  <c r="N4342" i="34"/>
  <c r="O4342" i="34"/>
  <c r="P4342" i="34"/>
  <c r="Q4342" i="34"/>
  <c r="R4342" i="34"/>
  <c r="S4342" i="34"/>
  <c r="T4342" i="34"/>
  <c r="U4342" i="34"/>
  <c r="V4342" i="34"/>
  <c r="W4342" i="34"/>
  <c r="X4342" i="34"/>
  <c r="Y4342" i="34"/>
  <c r="Z4342" i="34"/>
  <c r="N4343" i="34"/>
  <c r="O4343" i="34"/>
  <c r="P4343" i="34"/>
  <c r="Q4343" i="34"/>
  <c r="R4343" i="34"/>
  <c r="S4343" i="34"/>
  <c r="T4343" i="34"/>
  <c r="U4343" i="34"/>
  <c r="V4343" i="34"/>
  <c r="W4343" i="34"/>
  <c r="X4343" i="34"/>
  <c r="Y4343" i="34"/>
  <c r="Z4343" i="34"/>
  <c r="N4344" i="34"/>
  <c r="O4344" i="34"/>
  <c r="P4344" i="34"/>
  <c r="Q4344" i="34"/>
  <c r="R4344" i="34"/>
  <c r="S4344" i="34"/>
  <c r="T4344" i="34"/>
  <c r="U4344" i="34"/>
  <c r="V4344" i="34"/>
  <c r="W4344" i="34"/>
  <c r="X4344" i="34"/>
  <c r="Y4344" i="34"/>
  <c r="Z4344" i="34"/>
  <c r="N4345" i="34"/>
  <c r="O4345" i="34"/>
  <c r="P4345" i="34"/>
  <c r="Q4345" i="34"/>
  <c r="R4345" i="34"/>
  <c r="S4345" i="34"/>
  <c r="T4345" i="34"/>
  <c r="U4345" i="34"/>
  <c r="V4345" i="34"/>
  <c r="W4345" i="34"/>
  <c r="X4345" i="34"/>
  <c r="Y4345" i="34"/>
  <c r="Z4345" i="34"/>
  <c r="N4346" i="34"/>
  <c r="O4346" i="34"/>
  <c r="P4346" i="34"/>
  <c r="Q4346" i="34"/>
  <c r="R4346" i="34"/>
  <c r="S4346" i="34"/>
  <c r="T4346" i="34"/>
  <c r="U4346" i="34"/>
  <c r="V4346" i="34"/>
  <c r="W4346" i="34"/>
  <c r="X4346" i="34"/>
  <c r="Y4346" i="34"/>
  <c r="Z4346" i="34"/>
  <c r="N4347" i="34"/>
  <c r="O4347" i="34"/>
  <c r="P4347" i="34"/>
  <c r="Q4347" i="34"/>
  <c r="R4347" i="34"/>
  <c r="S4347" i="34"/>
  <c r="T4347" i="34"/>
  <c r="U4347" i="34"/>
  <c r="V4347" i="34"/>
  <c r="W4347" i="34"/>
  <c r="X4347" i="34"/>
  <c r="Y4347" i="34"/>
  <c r="Z4347" i="34"/>
  <c r="N4348" i="34"/>
  <c r="O4348" i="34"/>
  <c r="P4348" i="34"/>
  <c r="Q4348" i="34"/>
  <c r="R4348" i="34"/>
  <c r="S4348" i="34"/>
  <c r="T4348" i="34"/>
  <c r="U4348" i="34"/>
  <c r="V4348" i="34"/>
  <c r="W4348" i="34"/>
  <c r="X4348" i="34"/>
  <c r="Y4348" i="34"/>
  <c r="Z4348" i="34"/>
  <c r="N4349" i="34"/>
  <c r="O4349" i="34"/>
  <c r="P4349" i="34"/>
  <c r="Q4349" i="34"/>
  <c r="R4349" i="34"/>
  <c r="S4349" i="34"/>
  <c r="T4349" i="34"/>
  <c r="U4349" i="34"/>
  <c r="V4349" i="34"/>
  <c r="W4349" i="34"/>
  <c r="X4349" i="34"/>
  <c r="Y4349" i="34"/>
  <c r="Z4349" i="34"/>
  <c r="N4350" i="34"/>
  <c r="O4350" i="34"/>
  <c r="P4350" i="34"/>
  <c r="Q4350" i="34"/>
  <c r="R4350" i="34"/>
  <c r="S4350" i="34"/>
  <c r="T4350" i="34"/>
  <c r="U4350" i="34"/>
  <c r="V4350" i="34"/>
  <c r="W4350" i="34"/>
  <c r="X4350" i="34"/>
  <c r="Y4350" i="34"/>
  <c r="Z4350" i="34"/>
  <c r="N4351" i="34"/>
  <c r="O4351" i="34"/>
  <c r="P4351" i="34"/>
  <c r="Q4351" i="34"/>
  <c r="R4351" i="34"/>
  <c r="S4351" i="34"/>
  <c r="T4351" i="34"/>
  <c r="U4351" i="34"/>
  <c r="V4351" i="34"/>
  <c r="W4351" i="34"/>
  <c r="X4351" i="34"/>
  <c r="Y4351" i="34"/>
  <c r="Z4351" i="34"/>
  <c r="N4352" i="34"/>
  <c r="O4352" i="34"/>
  <c r="P4352" i="34"/>
  <c r="Q4352" i="34"/>
  <c r="R4352" i="34"/>
  <c r="S4352" i="34"/>
  <c r="T4352" i="34"/>
  <c r="U4352" i="34"/>
  <c r="V4352" i="34"/>
  <c r="W4352" i="34"/>
  <c r="X4352" i="34"/>
  <c r="Y4352" i="34"/>
  <c r="Z4352" i="34"/>
  <c r="N4353" i="34"/>
  <c r="O4353" i="34"/>
  <c r="P4353" i="34"/>
  <c r="Q4353" i="34"/>
  <c r="R4353" i="34"/>
  <c r="S4353" i="34"/>
  <c r="T4353" i="34"/>
  <c r="U4353" i="34"/>
  <c r="V4353" i="34"/>
  <c r="W4353" i="34"/>
  <c r="X4353" i="34"/>
  <c r="Y4353" i="34"/>
  <c r="Z4353" i="34"/>
  <c r="N4354" i="34"/>
  <c r="O4354" i="34"/>
  <c r="P4354" i="34"/>
  <c r="Q4354" i="34"/>
  <c r="R4354" i="34"/>
  <c r="S4354" i="34"/>
  <c r="T4354" i="34"/>
  <c r="U4354" i="34"/>
  <c r="V4354" i="34"/>
  <c r="W4354" i="34"/>
  <c r="X4354" i="34"/>
  <c r="Y4354" i="34"/>
  <c r="Z4354" i="34"/>
  <c r="N4355" i="34"/>
  <c r="O4355" i="34"/>
  <c r="P4355" i="34"/>
  <c r="Q4355" i="34"/>
  <c r="R4355" i="34"/>
  <c r="S4355" i="34"/>
  <c r="T4355" i="34"/>
  <c r="U4355" i="34"/>
  <c r="V4355" i="34"/>
  <c r="W4355" i="34"/>
  <c r="X4355" i="34"/>
  <c r="Y4355" i="34"/>
  <c r="Z4355" i="34"/>
  <c r="N4356" i="34"/>
  <c r="O4356" i="34"/>
  <c r="P4356" i="34"/>
  <c r="Q4356" i="34"/>
  <c r="R4356" i="34"/>
  <c r="S4356" i="34"/>
  <c r="T4356" i="34"/>
  <c r="U4356" i="34"/>
  <c r="V4356" i="34"/>
  <c r="W4356" i="34"/>
  <c r="X4356" i="34"/>
  <c r="Y4356" i="34"/>
  <c r="Z4356" i="34"/>
  <c r="N4357" i="34"/>
  <c r="O4357" i="34"/>
  <c r="P4357" i="34"/>
  <c r="Q4357" i="34"/>
  <c r="R4357" i="34"/>
  <c r="S4357" i="34"/>
  <c r="T4357" i="34"/>
  <c r="U4357" i="34"/>
  <c r="V4357" i="34"/>
  <c r="W4357" i="34"/>
  <c r="X4357" i="34"/>
  <c r="Y4357" i="34"/>
  <c r="Z4357" i="34"/>
  <c r="N4358" i="34"/>
  <c r="O4358" i="34"/>
  <c r="P4358" i="34"/>
  <c r="Q4358" i="34"/>
  <c r="R4358" i="34"/>
  <c r="S4358" i="34"/>
  <c r="T4358" i="34"/>
  <c r="U4358" i="34"/>
  <c r="V4358" i="34"/>
  <c r="W4358" i="34"/>
  <c r="X4358" i="34"/>
  <c r="Y4358" i="34"/>
  <c r="Z4358" i="34"/>
  <c r="N4359" i="34"/>
  <c r="O4359" i="34"/>
  <c r="P4359" i="34"/>
  <c r="Q4359" i="34"/>
  <c r="R4359" i="34"/>
  <c r="S4359" i="34"/>
  <c r="T4359" i="34"/>
  <c r="U4359" i="34"/>
  <c r="V4359" i="34"/>
  <c r="W4359" i="34"/>
  <c r="X4359" i="34"/>
  <c r="Y4359" i="34"/>
  <c r="Z4359" i="34"/>
  <c r="N4360" i="34"/>
  <c r="O4360" i="34"/>
  <c r="P4360" i="34"/>
  <c r="Q4360" i="34"/>
  <c r="R4360" i="34"/>
  <c r="S4360" i="34"/>
  <c r="T4360" i="34"/>
  <c r="U4360" i="34"/>
  <c r="V4360" i="34"/>
  <c r="W4360" i="34"/>
  <c r="X4360" i="34"/>
  <c r="Y4360" i="34"/>
  <c r="Z4360" i="34"/>
  <c r="N4361" i="34"/>
  <c r="O4361" i="34"/>
  <c r="P4361" i="34"/>
  <c r="Q4361" i="34"/>
  <c r="R4361" i="34"/>
  <c r="S4361" i="34"/>
  <c r="T4361" i="34"/>
  <c r="U4361" i="34"/>
  <c r="V4361" i="34"/>
  <c r="W4361" i="34"/>
  <c r="X4361" i="34"/>
  <c r="Y4361" i="34"/>
  <c r="Z4361" i="34"/>
  <c r="N4362" i="34"/>
  <c r="O4362" i="34"/>
  <c r="P4362" i="34"/>
  <c r="Q4362" i="34"/>
  <c r="R4362" i="34"/>
  <c r="S4362" i="34"/>
  <c r="T4362" i="34"/>
  <c r="U4362" i="34"/>
  <c r="V4362" i="34"/>
  <c r="W4362" i="34"/>
  <c r="X4362" i="34"/>
  <c r="Y4362" i="34"/>
  <c r="Z4362" i="34"/>
  <c r="N4363" i="34"/>
  <c r="O4363" i="34"/>
  <c r="P4363" i="34"/>
  <c r="Q4363" i="34"/>
  <c r="R4363" i="34"/>
  <c r="S4363" i="34"/>
  <c r="T4363" i="34"/>
  <c r="U4363" i="34"/>
  <c r="V4363" i="34"/>
  <c r="W4363" i="34"/>
  <c r="X4363" i="34"/>
  <c r="Y4363" i="34"/>
  <c r="Z4363" i="34"/>
  <c r="N4364" i="34"/>
  <c r="O4364" i="34"/>
  <c r="P4364" i="34"/>
  <c r="Q4364" i="34"/>
  <c r="R4364" i="34"/>
  <c r="S4364" i="34"/>
  <c r="T4364" i="34"/>
  <c r="U4364" i="34"/>
  <c r="V4364" i="34"/>
  <c r="W4364" i="34"/>
  <c r="X4364" i="34"/>
  <c r="Y4364" i="34"/>
  <c r="Z4364" i="34"/>
  <c r="N4365" i="34"/>
  <c r="O4365" i="34"/>
  <c r="P4365" i="34"/>
  <c r="Q4365" i="34"/>
  <c r="R4365" i="34"/>
  <c r="S4365" i="34"/>
  <c r="T4365" i="34"/>
  <c r="U4365" i="34"/>
  <c r="V4365" i="34"/>
  <c r="W4365" i="34"/>
  <c r="X4365" i="34"/>
  <c r="Y4365" i="34"/>
  <c r="Z4365" i="34"/>
  <c r="N4366" i="34"/>
  <c r="O4366" i="34"/>
  <c r="P4366" i="34"/>
  <c r="Q4366" i="34"/>
  <c r="R4366" i="34"/>
  <c r="S4366" i="34"/>
  <c r="T4366" i="34"/>
  <c r="U4366" i="34"/>
  <c r="V4366" i="34"/>
  <c r="W4366" i="34"/>
  <c r="X4366" i="34"/>
  <c r="Y4366" i="34"/>
  <c r="Z4366" i="34"/>
  <c r="N4367" i="34"/>
  <c r="O4367" i="34"/>
  <c r="P4367" i="34"/>
  <c r="Q4367" i="34"/>
  <c r="R4367" i="34"/>
  <c r="S4367" i="34"/>
  <c r="T4367" i="34"/>
  <c r="U4367" i="34"/>
  <c r="V4367" i="34"/>
  <c r="W4367" i="34"/>
  <c r="X4367" i="34"/>
  <c r="Y4367" i="34"/>
  <c r="Z4367" i="34"/>
  <c r="N4368" i="34"/>
  <c r="O4368" i="34"/>
  <c r="P4368" i="34"/>
  <c r="Q4368" i="34"/>
  <c r="R4368" i="34"/>
  <c r="S4368" i="34"/>
  <c r="T4368" i="34"/>
  <c r="U4368" i="34"/>
  <c r="V4368" i="34"/>
  <c r="W4368" i="34"/>
  <c r="X4368" i="34"/>
  <c r="Y4368" i="34"/>
  <c r="Z4368" i="34"/>
  <c r="N4369" i="34"/>
  <c r="O4369" i="34"/>
  <c r="P4369" i="34"/>
  <c r="Q4369" i="34"/>
  <c r="R4369" i="34"/>
  <c r="S4369" i="34"/>
  <c r="T4369" i="34"/>
  <c r="U4369" i="34"/>
  <c r="V4369" i="34"/>
  <c r="W4369" i="34"/>
  <c r="X4369" i="34"/>
  <c r="Y4369" i="34"/>
  <c r="Z4369" i="34"/>
  <c r="N4370" i="34"/>
  <c r="O4370" i="34"/>
  <c r="P4370" i="34"/>
  <c r="Q4370" i="34"/>
  <c r="R4370" i="34"/>
  <c r="S4370" i="34"/>
  <c r="T4370" i="34"/>
  <c r="U4370" i="34"/>
  <c r="V4370" i="34"/>
  <c r="W4370" i="34"/>
  <c r="X4370" i="34"/>
  <c r="Y4370" i="34"/>
  <c r="Z4370" i="34"/>
  <c r="N4371" i="34"/>
  <c r="O4371" i="34"/>
  <c r="P4371" i="34"/>
  <c r="Q4371" i="34"/>
  <c r="R4371" i="34"/>
  <c r="S4371" i="34"/>
  <c r="T4371" i="34"/>
  <c r="U4371" i="34"/>
  <c r="V4371" i="34"/>
  <c r="W4371" i="34"/>
  <c r="X4371" i="34"/>
  <c r="Y4371" i="34"/>
  <c r="Z4371" i="34"/>
  <c r="N4372" i="34"/>
  <c r="O4372" i="34"/>
  <c r="P4372" i="34"/>
  <c r="Q4372" i="34"/>
  <c r="R4372" i="34"/>
  <c r="S4372" i="34"/>
  <c r="T4372" i="34"/>
  <c r="U4372" i="34"/>
  <c r="V4372" i="34"/>
  <c r="W4372" i="34"/>
  <c r="X4372" i="34"/>
  <c r="Y4372" i="34"/>
  <c r="Z4372" i="34"/>
  <c r="N4373" i="34"/>
  <c r="O4373" i="34"/>
  <c r="P4373" i="34"/>
  <c r="Q4373" i="34"/>
  <c r="R4373" i="34"/>
  <c r="S4373" i="34"/>
  <c r="T4373" i="34"/>
  <c r="U4373" i="34"/>
  <c r="V4373" i="34"/>
  <c r="W4373" i="34"/>
  <c r="X4373" i="34"/>
  <c r="Y4373" i="34"/>
  <c r="Z4373" i="34"/>
  <c r="N4374" i="34"/>
  <c r="O4374" i="34"/>
  <c r="P4374" i="34"/>
  <c r="Q4374" i="34"/>
  <c r="R4374" i="34"/>
  <c r="S4374" i="34"/>
  <c r="T4374" i="34"/>
  <c r="U4374" i="34"/>
  <c r="V4374" i="34"/>
  <c r="W4374" i="34"/>
  <c r="X4374" i="34"/>
  <c r="Y4374" i="34"/>
  <c r="Z4374" i="34"/>
  <c r="N4375" i="34"/>
  <c r="O4375" i="34"/>
  <c r="P4375" i="34"/>
  <c r="Q4375" i="34"/>
  <c r="R4375" i="34"/>
  <c r="S4375" i="34"/>
  <c r="T4375" i="34"/>
  <c r="U4375" i="34"/>
  <c r="V4375" i="34"/>
  <c r="W4375" i="34"/>
  <c r="X4375" i="34"/>
  <c r="Y4375" i="34"/>
  <c r="Z4375" i="34"/>
  <c r="N4376" i="34"/>
  <c r="O4376" i="34"/>
  <c r="P4376" i="34"/>
  <c r="Q4376" i="34"/>
  <c r="R4376" i="34"/>
  <c r="S4376" i="34"/>
  <c r="T4376" i="34"/>
  <c r="U4376" i="34"/>
  <c r="V4376" i="34"/>
  <c r="W4376" i="34"/>
  <c r="X4376" i="34"/>
  <c r="Y4376" i="34"/>
  <c r="Z4376" i="34"/>
  <c r="N4377" i="34"/>
  <c r="O4377" i="34"/>
  <c r="P4377" i="34"/>
  <c r="Q4377" i="34"/>
  <c r="R4377" i="34"/>
  <c r="S4377" i="34"/>
  <c r="T4377" i="34"/>
  <c r="U4377" i="34"/>
  <c r="V4377" i="34"/>
  <c r="W4377" i="34"/>
  <c r="X4377" i="34"/>
  <c r="Y4377" i="34"/>
  <c r="Z4377" i="34"/>
  <c r="N4378" i="34"/>
  <c r="O4378" i="34"/>
  <c r="P4378" i="34"/>
  <c r="Q4378" i="34"/>
  <c r="R4378" i="34"/>
  <c r="S4378" i="34"/>
  <c r="T4378" i="34"/>
  <c r="U4378" i="34"/>
  <c r="V4378" i="34"/>
  <c r="W4378" i="34"/>
  <c r="X4378" i="34"/>
  <c r="Y4378" i="34"/>
  <c r="Z4378" i="34"/>
  <c r="N4379" i="34"/>
  <c r="O4379" i="34"/>
  <c r="P4379" i="34"/>
  <c r="Q4379" i="34"/>
  <c r="R4379" i="34"/>
  <c r="S4379" i="34"/>
  <c r="T4379" i="34"/>
  <c r="U4379" i="34"/>
  <c r="V4379" i="34"/>
  <c r="W4379" i="34"/>
  <c r="X4379" i="34"/>
  <c r="Y4379" i="34"/>
  <c r="Z4379" i="34"/>
  <c r="N4380" i="34"/>
  <c r="O4380" i="34"/>
  <c r="P4380" i="34"/>
  <c r="Q4380" i="34"/>
  <c r="R4380" i="34"/>
  <c r="S4380" i="34"/>
  <c r="T4380" i="34"/>
  <c r="U4380" i="34"/>
  <c r="V4380" i="34"/>
  <c r="W4380" i="34"/>
  <c r="X4380" i="34"/>
  <c r="Y4380" i="34"/>
  <c r="Z4380" i="34"/>
  <c r="N4381" i="34"/>
  <c r="O4381" i="34"/>
  <c r="P4381" i="34"/>
  <c r="Q4381" i="34"/>
  <c r="R4381" i="34"/>
  <c r="S4381" i="34"/>
  <c r="T4381" i="34"/>
  <c r="U4381" i="34"/>
  <c r="V4381" i="34"/>
  <c r="W4381" i="34"/>
  <c r="X4381" i="34"/>
  <c r="Y4381" i="34"/>
  <c r="Z4381" i="34"/>
  <c r="N4382" i="34"/>
  <c r="O4382" i="34"/>
  <c r="P4382" i="34"/>
  <c r="Q4382" i="34"/>
  <c r="R4382" i="34"/>
  <c r="S4382" i="34"/>
  <c r="T4382" i="34"/>
  <c r="U4382" i="34"/>
  <c r="V4382" i="34"/>
  <c r="W4382" i="34"/>
  <c r="X4382" i="34"/>
  <c r="Y4382" i="34"/>
  <c r="Z4382" i="34"/>
  <c r="N4383" i="34"/>
  <c r="O4383" i="34"/>
  <c r="P4383" i="34"/>
  <c r="Q4383" i="34"/>
  <c r="R4383" i="34"/>
  <c r="S4383" i="34"/>
  <c r="T4383" i="34"/>
  <c r="U4383" i="34"/>
  <c r="V4383" i="34"/>
  <c r="W4383" i="34"/>
  <c r="X4383" i="34"/>
  <c r="Y4383" i="34"/>
  <c r="Z4383" i="34"/>
  <c r="N4384" i="34"/>
  <c r="O4384" i="34"/>
  <c r="P4384" i="34"/>
  <c r="Q4384" i="34"/>
  <c r="R4384" i="34"/>
  <c r="S4384" i="34"/>
  <c r="T4384" i="34"/>
  <c r="U4384" i="34"/>
  <c r="V4384" i="34"/>
  <c r="W4384" i="34"/>
  <c r="X4384" i="34"/>
  <c r="Y4384" i="34"/>
  <c r="Z4384" i="34"/>
  <c r="N4385" i="34"/>
  <c r="O4385" i="34"/>
  <c r="P4385" i="34"/>
  <c r="Q4385" i="34"/>
  <c r="R4385" i="34"/>
  <c r="S4385" i="34"/>
  <c r="T4385" i="34"/>
  <c r="U4385" i="34"/>
  <c r="V4385" i="34"/>
  <c r="W4385" i="34"/>
  <c r="X4385" i="34"/>
  <c r="Y4385" i="34"/>
  <c r="Z4385" i="34"/>
  <c r="N4386" i="34"/>
  <c r="O4386" i="34"/>
  <c r="P4386" i="34"/>
  <c r="Q4386" i="34"/>
  <c r="R4386" i="34"/>
  <c r="S4386" i="34"/>
  <c r="T4386" i="34"/>
  <c r="U4386" i="34"/>
  <c r="V4386" i="34"/>
  <c r="W4386" i="34"/>
  <c r="X4386" i="34"/>
  <c r="Y4386" i="34"/>
  <c r="Z4386" i="34"/>
  <c r="N4387" i="34"/>
  <c r="O4387" i="34"/>
  <c r="P4387" i="34"/>
  <c r="Q4387" i="34"/>
  <c r="R4387" i="34"/>
  <c r="S4387" i="34"/>
  <c r="T4387" i="34"/>
  <c r="U4387" i="34"/>
  <c r="V4387" i="34"/>
  <c r="W4387" i="34"/>
  <c r="X4387" i="34"/>
  <c r="Y4387" i="34"/>
  <c r="Z4387" i="34"/>
  <c r="N4388" i="34"/>
  <c r="O4388" i="34"/>
  <c r="P4388" i="34"/>
  <c r="Q4388" i="34"/>
  <c r="R4388" i="34"/>
  <c r="S4388" i="34"/>
  <c r="T4388" i="34"/>
  <c r="U4388" i="34"/>
  <c r="V4388" i="34"/>
  <c r="W4388" i="34"/>
  <c r="X4388" i="34"/>
  <c r="Y4388" i="34"/>
  <c r="Z4388" i="34"/>
  <c r="N4389" i="34"/>
  <c r="O4389" i="34"/>
  <c r="P4389" i="34"/>
  <c r="Q4389" i="34"/>
  <c r="R4389" i="34"/>
  <c r="S4389" i="34"/>
  <c r="T4389" i="34"/>
  <c r="U4389" i="34"/>
  <c r="V4389" i="34"/>
  <c r="W4389" i="34"/>
  <c r="X4389" i="34"/>
  <c r="Y4389" i="34"/>
  <c r="Z4389" i="34"/>
  <c r="N4390" i="34"/>
  <c r="O4390" i="34"/>
  <c r="P4390" i="34"/>
  <c r="Q4390" i="34"/>
  <c r="R4390" i="34"/>
  <c r="S4390" i="34"/>
  <c r="T4390" i="34"/>
  <c r="U4390" i="34"/>
  <c r="V4390" i="34"/>
  <c r="W4390" i="34"/>
  <c r="X4390" i="34"/>
  <c r="Y4390" i="34"/>
  <c r="Z4390" i="34"/>
  <c r="N4391" i="34"/>
  <c r="O4391" i="34"/>
  <c r="P4391" i="34"/>
  <c r="Q4391" i="34"/>
  <c r="R4391" i="34"/>
  <c r="S4391" i="34"/>
  <c r="T4391" i="34"/>
  <c r="U4391" i="34"/>
  <c r="V4391" i="34"/>
  <c r="W4391" i="34"/>
  <c r="X4391" i="34"/>
  <c r="Y4391" i="34"/>
  <c r="Z4391" i="34"/>
  <c r="N4392" i="34"/>
  <c r="O4392" i="34"/>
  <c r="P4392" i="34"/>
  <c r="Q4392" i="34"/>
  <c r="R4392" i="34"/>
  <c r="S4392" i="34"/>
  <c r="T4392" i="34"/>
  <c r="U4392" i="34"/>
  <c r="V4392" i="34"/>
  <c r="W4392" i="34"/>
  <c r="X4392" i="34"/>
  <c r="Y4392" i="34"/>
  <c r="Z4392" i="34"/>
  <c r="N4393" i="34"/>
  <c r="O4393" i="34"/>
  <c r="P4393" i="34"/>
  <c r="Q4393" i="34"/>
  <c r="R4393" i="34"/>
  <c r="S4393" i="34"/>
  <c r="T4393" i="34"/>
  <c r="U4393" i="34"/>
  <c r="V4393" i="34"/>
  <c r="W4393" i="34"/>
  <c r="X4393" i="34"/>
  <c r="Y4393" i="34"/>
  <c r="Z4393" i="34"/>
  <c r="N4394" i="34"/>
  <c r="O4394" i="34"/>
  <c r="P4394" i="34"/>
  <c r="Q4394" i="34"/>
  <c r="R4394" i="34"/>
  <c r="S4394" i="34"/>
  <c r="T4394" i="34"/>
  <c r="U4394" i="34"/>
  <c r="V4394" i="34"/>
  <c r="W4394" i="34"/>
  <c r="X4394" i="34"/>
  <c r="Y4394" i="34"/>
  <c r="Z4394" i="34"/>
  <c r="N4395" i="34"/>
  <c r="O4395" i="34"/>
  <c r="P4395" i="34"/>
  <c r="Q4395" i="34"/>
  <c r="R4395" i="34"/>
  <c r="S4395" i="34"/>
  <c r="T4395" i="34"/>
  <c r="U4395" i="34"/>
  <c r="V4395" i="34"/>
  <c r="W4395" i="34"/>
  <c r="X4395" i="34"/>
  <c r="Y4395" i="34"/>
  <c r="Z4395" i="34"/>
  <c r="N4396" i="34"/>
  <c r="O4396" i="34"/>
  <c r="P4396" i="34"/>
  <c r="Q4396" i="34"/>
  <c r="R4396" i="34"/>
  <c r="S4396" i="34"/>
  <c r="T4396" i="34"/>
  <c r="U4396" i="34"/>
  <c r="V4396" i="34"/>
  <c r="W4396" i="34"/>
  <c r="X4396" i="34"/>
  <c r="Y4396" i="34"/>
  <c r="Z4396" i="34"/>
  <c r="N4397" i="34"/>
  <c r="O4397" i="34"/>
  <c r="P4397" i="34"/>
  <c r="Q4397" i="34"/>
  <c r="R4397" i="34"/>
  <c r="S4397" i="34"/>
  <c r="T4397" i="34"/>
  <c r="U4397" i="34"/>
  <c r="V4397" i="34"/>
  <c r="W4397" i="34"/>
  <c r="X4397" i="34"/>
  <c r="Y4397" i="34"/>
  <c r="Z4397" i="34"/>
  <c r="N4398" i="34"/>
  <c r="O4398" i="34"/>
  <c r="P4398" i="34"/>
  <c r="Q4398" i="34"/>
  <c r="R4398" i="34"/>
  <c r="S4398" i="34"/>
  <c r="T4398" i="34"/>
  <c r="U4398" i="34"/>
  <c r="V4398" i="34"/>
  <c r="W4398" i="34"/>
  <c r="X4398" i="34"/>
  <c r="Y4398" i="34"/>
  <c r="Z4398" i="34"/>
  <c r="N4399" i="34"/>
  <c r="O4399" i="34"/>
  <c r="P4399" i="34"/>
  <c r="Q4399" i="34"/>
  <c r="R4399" i="34"/>
  <c r="S4399" i="34"/>
  <c r="T4399" i="34"/>
  <c r="U4399" i="34"/>
  <c r="V4399" i="34"/>
  <c r="W4399" i="34"/>
  <c r="X4399" i="34"/>
  <c r="Y4399" i="34"/>
  <c r="Z4399" i="34"/>
  <c r="N4400" i="34"/>
  <c r="O4400" i="34"/>
  <c r="P4400" i="34"/>
  <c r="Q4400" i="34"/>
  <c r="R4400" i="34"/>
  <c r="S4400" i="34"/>
  <c r="T4400" i="34"/>
  <c r="U4400" i="34"/>
  <c r="V4400" i="34"/>
  <c r="W4400" i="34"/>
  <c r="X4400" i="34"/>
  <c r="Y4400" i="34"/>
  <c r="Z4400" i="34"/>
  <c r="N4401" i="34"/>
  <c r="O4401" i="34"/>
  <c r="P4401" i="34"/>
  <c r="Q4401" i="34"/>
  <c r="R4401" i="34"/>
  <c r="S4401" i="34"/>
  <c r="T4401" i="34"/>
  <c r="U4401" i="34"/>
  <c r="V4401" i="34"/>
  <c r="W4401" i="34"/>
  <c r="X4401" i="34"/>
  <c r="Y4401" i="34"/>
  <c r="Z4401" i="34"/>
  <c r="N4402" i="34"/>
  <c r="O4402" i="34"/>
  <c r="P4402" i="34"/>
  <c r="Q4402" i="34"/>
  <c r="R4402" i="34"/>
  <c r="S4402" i="34"/>
  <c r="T4402" i="34"/>
  <c r="U4402" i="34"/>
  <c r="V4402" i="34"/>
  <c r="W4402" i="34"/>
  <c r="X4402" i="34"/>
  <c r="Y4402" i="34"/>
  <c r="Z4402" i="34"/>
  <c r="N4403" i="34"/>
  <c r="O4403" i="34"/>
  <c r="P4403" i="34"/>
  <c r="Q4403" i="34"/>
  <c r="R4403" i="34"/>
  <c r="S4403" i="34"/>
  <c r="T4403" i="34"/>
  <c r="U4403" i="34"/>
  <c r="V4403" i="34"/>
  <c r="W4403" i="34"/>
  <c r="X4403" i="34"/>
  <c r="Y4403" i="34"/>
  <c r="Z4403" i="34"/>
  <c r="N4404" i="34"/>
  <c r="O4404" i="34"/>
  <c r="P4404" i="34"/>
  <c r="Q4404" i="34"/>
  <c r="R4404" i="34"/>
  <c r="S4404" i="34"/>
  <c r="T4404" i="34"/>
  <c r="U4404" i="34"/>
  <c r="V4404" i="34"/>
  <c r="W4404" i="34"/>
  <c r="X4404" i="34"/>
  <c r="Y4404" i="34"/>
  <c r="Z4404" i="34"/>
  <c r="N4405" i="34"/>
  <c r="O4405" i="34"/>
  <c r="P4405" i="34"/>
  <c r="Q4405" i="34"/>
  <c r="R4405" i="34"/>
  <c r="S4405" i="34"/>
  <c r="T4405" i="34"/>
  <c r="U4405" i="34"/>
  <c r="V4405" i="34"/>
  <c r="W4405" i="34"/>
  <c r="X4405" i="34"/>
  <c r="Y4405" i="34"/>
  <c r="Z4405" i="34"/>
  <c r="N4406" i="34"/>
  <c r="O4406" i="34"/>
  <c r="P4406" i="34"/>
  <c r="Q4406" i="34"/>
  <c r="R4406" i="34"/>
  <c r="S4406" i="34"/>
  <c r="T4406" i="34"/>
  <c r="U4406" i="34"/>
  <c r="V4406" i="34"/>
  <c r="W4406" i="34"/>
  <c r="X4406" i="34"/>
  <c r="Y4406" i="34"/>
  <c r="Z4406" i="34"/>
  <c r="N4407" i="34"/>
  <c r="O4407" i="34"/>
  <c r="P4407" i="34"/>
  <c r="Q4407" i="34"/>
  <c r="R4407" i="34"/>
  <c r="S4407" i="34"/>
  <c r="T4407" i="34"/>
  <c r="U4407" i="34"/>
  <c r="V4407" i="34"/>
  <c r="W4407" i="34"/>
  <c r="X4407" i="34"/>
  <c r="Y4407" i="34"/>
  <c r="Z4407" i="34"/>
  <c r="N4408" i="34"/>
  <c r="O4408" i="34"/>
  <c r="P4408" i="34"/>
  <c r="Q4408" i="34"/>
  <c r="R4408" i="34"/>
  <c r="S4408" i="34"/>
  <c r="T4408" i="34"/>
  <c r="U4408" i="34"/>
  <c r="V4408" i="34"/>
  <c r="W4408" i="34"/>
  <c r="X4408" i="34"/>
  <c r="Y4408" i="34"/>
  <c r="Z4408" i="34"/>
  <c r="N4409" i="34"/>
  <c r="O4409" i="34"/>
  <c r="P4409" i="34"/>
  <c r="Q4409" i="34"/>
  <c r="R4409" i="34"/>
  <c r="S4409" i="34"/>
  <c r="T4409" i="34"/>
  <c r="U4409" i="34"/>
  <c r="V4409" i="34"/>
  <c r="W4409" i="34"/>
  <c r="X4409" i="34"/>
  <c r="Y4409" i="34"/>
  <c r="Z4409" i="34"/>
  <c r="N4410" i="34"/>
  <c r="O4410" i="34"/>
  <c r="P4410" i="34"/>
  <c r="Q4410" i="34"/>
  <c r="R4410" i="34"/>
  <c r="S4410" i="34"/>
  <c r="T4410" i="34"/>
  <c r="U4410" i="34"/>
  <c r="V4410" i="34"/>
  <c r="W4410" i="34"/>
  <c r="X4410" i="34"/>
  <c r="Y4410" i="34"/>
  <c r="Z4410" i="34"/>
  <c r="N4411" i="34"/>
  <c r="O4411" i="34"/>
  <c r="P4411" i="34"/>
  <c r="Q4411" i="34"/>
  <c r="R4411" i="34"/>
  <c r="S4411" i="34"/>
  <c r="T4411" i="34"/>
  <c r="U4411" i="34"/>
  <c r="V4411" i="34"/>
  <c r="W4411" i="34"/>
  <c r="X4411" i="34"/>
  <c r="Y4411" i="34"/>
  <c r="Z4411" i="34"/>
  <c r="N4412" i="34"/>
  <c r="O4412" i="34"/>
  <c r="P4412" i="34"/>
  <c r="Q4412" i="34"/>
  <c r="R4412" i="34"/>
  <c r="S4412" i="34"/>
  <c r="T4412" i="34"/>
  <c r="U4412" i="34"/>
  <c r="V4412" i="34"/>
  <c r="W4412" i="34"/>
  <c r="X4412" i="34"/>
  <c r="Y4412" i="34"/>
  <c r="Z4412" i="34"/>
  <c r="N4413" i="34"/>
  <c r="O4413" i="34"/>
  <c r="P4413" i="34"/>
  <c r="Q4413" i="34"/>
  <c r="R4413" i="34"/>
  <c r="S4413" i="34"/>
  <c r="T4413" i="34"/>
  <c r="U4413" i="34"/>
  <c r="V4413" i="34"/>
  <c r="W4413" i="34"/>
  <c r="X4413" i="34"/>
  <c r="Y4413" i="34"/>
  <c r="Z4413" i="34"/>
  <c r="N4414" i="34"/>
  <c r="O4414" i="34"/>
  <c r="P4414" i="34"/>
  <c r="Q4414" i="34"/>
  <c r="R4414" i="34"/>
  <c r="S4414" i="34"/>
  <c r="T4414" i="34"/>
  <c r="U4414" i="34"/>
  <c r="V4414" i="34"/>
  <c r="W4414" i="34"/>
  <c r="X4414" i="34"/>
  <c r="Y4414" i="34"/>
  <c r="Z4414" i="34"/>
  <c r="N4415" i="34"/>
  <c r="O4415" i="34"/>
  <c r="P4415" i="34"/>
  <c r="Q4415" i="34"/>
  <c r="R4415" i="34"/>
  <c r="S4415" i="34"/>
  <c r="T4415" i="34"/>
  <c r="U4415" i="34"/>
  <c r="V4415" i="34"/>
  <c r="W4415" i="34"/>
  <c r="X4415" i="34"/>
  <c r="Y4415" i="34"/>
  <c r="Z4415" i="34"/>
  <c r="N4416" i="34"/>
  <c r="O4416" i="34"/>
  <c r="P4416" i="34"/>
  <c r="Q4416" i="34"/>
  <c r="R4416" i="34"/>
  <c r="S4416" i="34"/>
  <c r="T4416" i="34"/>
  <c r="U4416" i="34"/>
  <c r="V4416" i="34"/>
  <c r="W4416" i="34"/>
  <c r="X4416" i="34"/>
  <c r="Y4416" i="34"/>
  <c r="Z4416" i="34"/>
  <c r="N4417" i="34"/>
  <c r="O4417" i="34"/>
  <c r="P4417" i="34"/>
  <c r="Q4417" i="34"/>
  <c r="R4417" i="34"/>
  <c r="S4417" i="34"/>
  <c r="T4417" i="34"/>
  <c r="U4417" i="34"/>
  <c r="V4417" i="34"/>
  <c r="W4417" i="34"/>
  <c r="X4417" i="34"/>
  <c r="Y4417" i="34"/>
  <c r="Z4417" i="34"/>
  <c r="N4418" i="34"/>
  <c r="O4418" i="34"/>
  <c r="P4418" i="34"/>
  <c r="Q4418" i="34"/>
  <c r="R4418" i="34"/>
  <c r="S4418" i="34"/>
  <c r="T4418" i="34"/>
  <c r="U4418" i="34"/>
  <c r="V4418" i="34"/>
  <c r="W4418" i="34"/>
  <c r="X4418" i="34"/>
  <c r="Y4418" i="34"/>
  <c r="Z4418" i="34"/>
  <c r="N4419" i="34"/>
  <c r="O4419" i="34"/>
  <c r="P4419" i="34"/>
  <c r="Q4419" i="34"/>
  <c r="R4419" i="34"/>
  <c r="S4419" i="34"/>
  <c r="T4419" i="34"/>
  <c r="U4419" i="34"/>
  <c r="V4419" i="34"/>
  <c r="W4419" i="34"/>
  <c r="X4419" i="34"/>
  <c r="Y4419" i="34"/>
  <c r="Z4419" i="34"/>
  <c r="N4420" i="34"/>
  <c r="O4420" i="34"/>
  <c r="P4420" i="34"/>
  <c r="Q4420" i="34"/>
  <c r="R4420" i="34"/>
  <c r="S4420" i="34"/>
  <c r="T4420" i="34"/>
  <c r="U4420" i="34"/>
  <c r="V4420" i="34"/>
  <c r="W4420" i="34"/>
  <c r="X4420" i="34"/>
  <c r="Y4420" i="34"/>
  <c r="Z4420" i="34"/>
  <c r="N4421" i="34"/>
  <c r="O4421" i="34"/>
  <c r="P4421" i="34"/>
  <c r="Q4421" i="34"/>
  <c r="R4421" i="34"/>
  <c r="S4421" i="34"/>
  <c r="T4421" i="34"/>
  <c r="U4421" i="34"/>
  <c r="V4421" i="34"/>
  <c r="W4421" i="34"/>
  <c r="X4421" i="34"/>
  <c r="Y4421" i="34"/>
  <c r="Z4421" i="34"/>
  <c r="N4422" i="34"/>
  <c r="O4422" i="34"/>
  <c r="P4422" i="34"/>
  <c r="Q4422" i="34"/>
  <c r="R4422" i="34"/>
  <c r="S4422" i="34"/>
  <c r="T4422" i="34"/>
  <c r="U4422" i="34"/>
  <c r="V4422" i="34"/>
  <c r="W4422" i="34"/>
  <c r="X4422" i="34"/>
  <c r="Y4422" i="34"/>
  <c r="Z4422" i="34"/>
  <c r="N4423" i="34"/>
  <c r="O4423" i="34"/>
  <c r="P4423" i="34"/>
  <c r="Q4423" i="34"/>
  <c r="R4423" i="34"/>
  <c r="S4423" i="34"/>
  <c r="T4423" i="34"/>
  <c r="U4423" i="34"/>
  <c r="V4423" i="34"/>
  <c r="W4423" i="34"/>
  <c r="X4423" i="34"/>
  <c r="Y4423" i="34"/>
  <c r="Z4423" i="34"/>
  <c r="N4424" i="34"/>
  <c r="O4424" i="34"/>
  <c r="P4424" i="34"/>
  <c r="Q4424" i="34"/>
  <c r="R4424" i="34"/>
  <c r="S4424" i="34"/>
  <c r="T4424" i="34"/>
  <c r="U4424" i="34"/>
  <c r="V4424" i="34"/>
  <c r="W4424" i="34"/>
  <c r="X4424" i="34"/>
  <c r="Y4424" i="34"/>
  <c r="Z4424" i="34"/>
  <c r="N4425" i="34"/>
  <c r="O4425" i="34"/>
  <c r="P4425" i="34"/>
  <c r="Q4425" i="34"/>
  <c r="R4425" i="34"/>
  <c r="S4425" i="34"/>
  <c r="T4425" i="34"/>
  <c r="U4425" i="34"/>
  <c r="V4425" i="34"/>
  <c r="W4425" i="34"/>
  <c r="X4425" i="34"/>
  <c r="Y4425" i="34"/>
  <c r="Z4425" i="34"/>
  <c r="N4426" i="34"/>
  <c r="O4426" i="34"/>
  <c r="P4426" i="34"/>
  <c r="Q4426" i="34"/>
  <c r="R4426" i="34"/>
  <c r="S4426" i="34"/>
  <c r="T4426" i="34"/>
  <c r="U4426" i="34"/>
  <c r="V4426" i="34"/>
  <c r="W4426" i="34"/>
  <c r="X4426" i="34"/>
  <c r="Y4426" i="34"/>
  <c r="Z4426" i="34"/>
  <c r="N4427" i="34"/>
  <c r="O4427" i="34"/>
  <c r="P4427" i="34"/>
  <c r="Q4427" i="34"/>
  <c r="R4427" i="34"/>
  <c r="S4427" i="34"/>
  <c r="T4427" i="34"/>
  <c r="U4427" i="34"/>
  <c r="V4427" i="34"/>
  <c r="W4427" i="34"/>
  <c r="X4427" i="34"/>
  <c r="Y4427" i="34"/>
  <c r="Z4427" i="34"/>
  <c r="N4428" i="34"/>
  <c r="O4428" i="34"/>
  <c r="P4428" i="34"/>
  <c r="Q4428" i="34"/>
  <c r="R4428" i="34"/>
  <c r="S4428" i="34"/>
  <c r="T4428" i="34"/>
  <c r="U4428" i="34"/>
  <c r="V4428" i="34"/>
  <c r="W4428" i="34"/>
  <c r="X4428" i="34"/>
  <c r="Y4428" i="34"/>
  <c r="Z4428" i="34"/>
  <c r="N4429" i="34"/>
  <c r="O4429" i="34"/>
  <c r="P4429" i="34"/>
  <c r="Q4429" i="34"/>
  <c r="R4429" i="34"/>
  <c r="S4429" i="34"/>
  <c r="T4429" i="34"/>
  <c r="U4429" i="34"/>
  <c r="V4429" i="34"/>
  <c r="W4429" i="34"/>
  <c r="X4429" i="34"/>
  <c r="Y4429" i="34"/>
  <c r="Z4429" i="34"/>
  <c r="N4430" i="34"/>
  <c r="O4430" i="34"/>
  <c r="P4430" i="34"/>
  <c r="Q4430" i="34"/>
  <c r="R4430" i="34"/>
  <c r="S4430" i="34"/>
  <c r="T4430" i="34"/>
  <c r="U4430" i="34"/>
  <c r="V4430" i="34"/>
  <c r="W4430" i="34"/>
  <c r="X4430" i="34"/>
  <c r="Y4430" i="34"/>
  <c r="Z4430" i="34"/>
  <c r="N4431" i="34"/>
  <c r="O4431" i="34"/>
  <c r="P4431" i="34"/>
  <c r="Q4431" i="34"/>
  <c r="R4431" i="34"/>
  <c r="S4431" i="34"/>
  <c r="T4431" i="34"/>
  <c r="U4431" i="34"/>
  <c r="V4431" i="34"/>
  <c r="W4431" i="34"/>
  <c r="X4431" i="34"/>
  <c r="Y4431" i="34"/>
  <c r="Z4431" i="34"/>
  <c r="N4432" i="34"/>
  <c r="O4432" i="34"/>
  <c r="P4432" i="34"/>
  <c r="Q4432" i="34"/>
  <c r="R4432" i="34"/>
  <c r="S4432" i="34"/>
  <c r="T4432" i="34"/>
  <c r="U4432" i="34"/>
  <c r="V4432" i="34"/>
  <c r="W4432" i="34"/>
  <c r="X4432" i="34"/>
  <c r="Y4432" i="34"/>
  <c r="Z4432" i="34"/>
  <c r="N4433" i="34"/>
  <c r="O4433" i="34"/>
  <c r="P4433" i="34"/>
  <c r="Q4433" i="34"/>
  <c r="R4433" i="34"/>
  <c r="S4433" i="34"/>
  <c r="T4433" i="34"/>
  <c r="U4433" i="34"/>
  <c r="V4433" i="34"/>
  <c r="W4433" i="34"/>
  <c r="X4433" i="34"/>
  <c r="Y4433" i="34"/>
  <c r="Z4433" i="34"/>
  <c r="N4434" i="34"/>
  <c r="O4434" i="34"/>
  <c r="P4434" i="34"/>
  <c r="Q4434" i="34"/>
  <c r="R4434" i="34"/>
  <c r="S4434" i="34"/>
  <c r="T4434" i="34"/>
  <c r="U4434" i="34"/>
  <c r="V4434" i="34"/>
  <c r="W4434" i="34"/>
  <c r="X4434" i="34"/>
  <c r="Y4434" i="34"/>
  <c r="Z4434" i="34"/>
  <c r="N4435" i="34"/>
  <c r="O4435" i="34"/>
  <c r="P4435" i="34"/>
  <c r="Q4435" i="34"/>
  <c r="R4435" i="34"/>
  <c r="S4435" i="34"/>
  <c r="T4435" i="34"/>
  <c r="U4435" i="34"/>
  <c r="V4435" i="34"/>
  <c r="W4435" i="34"/>
  <c r="X4435" i="34"/>
  <c r="Y4435" i="34"/>
  <c r="Z4435" i="34"/>
  <c r="N4436" i="34"/>
  <c r="O4436" i="34"/>
  <c r="P4436" i="34"/>
  <c r="Q4436" i="34"/>
  <c r="R4436" i="34"/>
  <c r="S4436" i="34"/>
  <c r="T4436" i="34"/>
  <c r="U4436" i="34"/>
  <c r="V4436" i="34"/>
  <c r="W4436" i="34"/>
  <c r="X4436" i="34"/>
  <c r="Y4436" i="34"/>
  <c r="Z4436" i="34"/>
  <c r="N4437" i="34"/>
  <c r="O4437" i="34"/>
  <c r="P4437" i="34"/>
  <c r="Q4437" i="34"/>
  <c r="R4437" i="34"/>
  <c r="S4437" i="34"/>
  <c r="T4437" i="34"/>
  <c r="U4437" i="34"/>
  <c r="V4437" i="34"/>
  <c r="W4437" i="34"/>
  <c r="X4437" i="34"/>
  <c r="Y4437" i="34"/>
  <c r="Z4437" i="34"/>
  <c r="N4438" i="34"/>
  <c r="O4438" i="34"/>
  <c r="P4438" i="34"/>
  <c r="Q4438" i="34"/>
  <c r="R4438" i="34"/>
  <c r="S4438" i="34"/>
  <c r="T4438" i="34"/>
  <c r="U4438" i="34"/>
  <c r="V4438" i="34"/>
  <c r="W4438" i="34"/>
  <c r="X4438" i="34"/>
  <c r="Y4438" i="34"/>
  <c r="Z4438" i="34"/>
  <c r="N4439" i="34"/>
  <c r="O4439" i="34"/>
  <c r="P4439" i="34"/>
  <c r="Q4439" i="34"/>
  <c r="R4439" i="34"/>
  <c r="S4439" i="34"/>
  <c r="T4439" i="34"/>
  <c r="U4439" i="34"/>
  <c r="V4439" i="34"/>
  <c r="W4439" i="34"/>
  <c r="X4439" i="34"/>
  <c r="Y4439" i="34"/>
  <c r="Z4439" i="34"/>
  <c r="N4440" i="34"/>
  <c r="O4440" i="34"/>
  <c r="P4440" i="34"/>
  <c r="Q4440" i="34"/>
  <c r="R4440" i="34"/>
  <c r="S4440" i="34"/>
  <c r="T4440" i="34"/>
  <c r="U4440" i="34"/>
  <c r="V4440" i="34"/>
  <c r="W4440" i="34"/>
  <c r="X4440" i="34"/>
  <c r="Y4440" i="34"/>
  <c r="Z4440" i="34"/>
  <c r="N4441" i="34"/>
  <c r="O4441" i="34"/>
  <c r="P4441" i="34"/>
  <c r="Q4441" i="34"/>
  <c r="R4441" i="34"/>
  <c r="S4441" i="34"/>
  <c r="T4441" i="34"/>
  <c r="U4441" i="34"/>
  <c r="V4441" i="34"/>
  <c r="W4441" i="34"/>
  <c r="X4441" i="34"/>
  <c r="Y4441" i="34"/>
  <c r="Z4441" i="34"/>
  <c r="N4442" i="34"/>
  <c r="O4442" i="34"/>
  <c r="P4442" i="34"/>
  <c r="Q4442" i="34"/>
  <c r="R4442" i="34"/>
  <c r="S4442" i="34"/>
  <c r="T4442" i="34"/>
  <c r="U4442" i="34"/>
  <c r="V4442" i="34"/>
  <c r="W4442" i="34"/>
  <c r="X4442" i="34"/>
  <c r="Y4442" i="34"/>
  <c r="Z4442" i="34"/>
  <c r="N4443" i="34"/>
  <c r="O4443" i="34"/>
  <c r="P4443" i="34"/>
  <c r="Q4443" i="34"/>
  <c r="R4443" i="34"/>
  <c r="S4443" i="34"/>
  <c r="T4443" i="34"/>
  <c r="U4443" i="34"/>
  <c r="V4443" i="34"/>
  <c r="W4443" i="34"/>
  <c r="X4443" i="34"/>
  <c r="Y4443" i="34"/>
  <c r="Z4443" i="34"/>
  <c r="N4444" i="34"/>
  <c r="O4444" i="34"/>
  <c r="P4444" i="34"/>
  <c r="Q4444" i="34"/>
  <c r="R4444" i="34"/>
  <c r="S4444" i="34"/>
  <c r="T4444" i="34"/>
  <c r="U4444" i="34"/>
  <c r="V4444" i="34"/>
  <c r="W4444" i="34"/>
  <c r="X4444" i="34"/>
  <c r="Y4444" i="34"/>
  <c r="Z4444" i="34"/>
  <c r="N4445" i="34"/>
  <c r="O4445" i="34"/>
  <c r="P4445" i="34"/>
  <c r="Q4445" i="34"/>
  <c r="R4445" i="34"/>
  <c r="S4445" i="34"/>
  <c r="T4445" i="34"/>
  <c r="U4445" i="34"/>
  <c r="V4445" i="34"/>
  <c r="W4445" i="34"/>
  <c r="X4445" i="34"/>
  <c r="Y4445" i="34"/>
  <c r="Z4445" i="34"/>
  <c r="N4446" i="34"/>
  <c r="O4446" i="34"/>
  <c r="P4446" i="34"/>
  <c r="Q4446" i="34"/>
  <c r="R4446" i="34"/>
  <c r="S4446" i="34"/>
  <c r="T4446" i="34"/>
  <c r="U4446" i="34"/>
  <c r="V4446" i="34"/>
  <c r="W4446" i="34"/>
  <c r="X4446" i="34"/>
  <c r="Y4446" i="34"/>
  <c r="Z4446" i="34"/>
  <c r="N4447" i="34"/>
  <c r="O4447" i="34"/>
  <c r="P4447" i="34"/>
  <c r="Q4447" i="34"/>
  <c r="R4447" i="34"/>
  <c r="S4447" i="34"/>
  <c r="T4447" i="34"/>
  <c r="U4447" i="34"/>
  <c r="V4447" i="34"/>
  <c r="W4447" i="34"/>
  <c r="X4447" i="34"/>
  <c r="Y4447" i="34"/>
  <c r="Z4447" i="34"/>
  <c r="N4448" i="34"/>
  <c r="O4448" i="34"/>
  <c r="P4448" i="34"/>
  <c r="Q4448" i="34"/>
  <c r="R4448" i="34"/>
  <c r="S4448" i="34"/>
  <c r="T4448" i="34"/>
  <c r="U4448" i="34"/>
  <c r="V4448" i="34"/>
  <c r="W4448" i="34"/>
  <c r="X4448" i="34"/>
  <c r="Y4448" i="34"/>
  <c r="Z4448" i="34"/>
  <c r="N4449" i="34"/>
  <c r="O4449" i="34"/>
  <c r="P4449" i="34"/>
  <c r="Q4449" i="34"/>
  <c r="R4449" i="34"/>
  <c r="S4449" i="34"/>
  <c r="T4449" i="34"/>
  <c r="U4449" i="34"/>
  <c r="V4449" i="34"/>
  <c r="W4449" i="34"/>
  <c r="X4449" i="34"/>
  <c r="Y4449" i="34"/>
  <c r="Z4449" i="34"/>
  <c r="N4450" i="34"/>
  <c r="O4450" i="34"/>
  <c r="P4450" i="34"/>
  <c r="Q4450" i="34"/>
  <c r="R4450" i="34"/>
  <c r="S4450" i="34"/>
  <c r="T4450" i="34"/>
  <c r="U4450" i="34"/>
  <c r="V4450" i="34"/>
  <c r="W4450" i="34"/>
  <c r="X4450" i="34"/>
  <c r="Y4450" i="34"/>
  <c r="Z4450" i="34"/>
  <c r="N4451" i="34"/>
  <c r="O4451" i="34"/>
  <c r="P4451" i="34"/>
  <c r="Q4451" i="34"/>
  <c r="R4451" i="34"/>
  <c r="S4451" i="34"/>
  <c r="T4451" i="34"/>
  <c r="U4451" i="34"/>
  <c r="V4451" i="34"/>
  <c r="W4451" i="34"/>
  <c r="X4451" i="34"/>
  <c r="Y4451" i="34"/>
  <c r="Z4451" i="34"/>
  <c r="N4452" i="34"/>
  <c r="O4452" i="34"/>
  <c r="P4452" i="34"/>
  <c r="Q4452" i="34"/>
  <c r="R4452" i="34"/>
  <c r="S4452" i="34"/>
  <c r="T4452" i="34"/>
  <c r="U4452" i="34"/>
  <c r="V4452" i="34"/>
  <c r="W4452" i="34"/>
  <c r="X4452" i="34"/>
  <c r="Y4452" i="34"/>
  <c r="Z4452" i="34"/>
  <c r="N4453" i="34"/>
  <c r="O4453" i="34"/>
  <c r="P4453" i="34"/>
  <c r="Q4453" i="34"/>
  <c r="R4453" i="34"/>
  <c r="S4453" i="34"/>
  <c r="T4453" i="34"/>
  <c r="U4453" i="34"/>
  <c r="V4453" i="34"/>
  <c r="W4453" i="34"/>
  <c r="X4453" i="34"/>
  <c r="Y4453" i="34"/>
  <c r="Z4453" i="34"/>
  <c r="N4454" i="34"/>
  <c r="O4454" i="34"/>
  <c r="P4454" i="34"/>
  <c r="Q4454" i="34"/>
  <c r="R4454" i="34"/>
  <c r="S4454" i="34"/>
  <c r="T4454" i="34"/>
  <c r="U4454" i="34"/>
  <c r="V4454" i="34"/>
  <c r="W4454" i="34"/>
  <c r="X4454" i="34"/>
  <c r="Y4454" i="34"/>
  <c r="Z4454" i="34"/>
  <c r="N4455" i="34"/>
  <c r="O4455" i="34"/>
  <c r="P4455" i="34"/>
  <c r="Q4455" i="34"/>
  <c r="R4455" i="34"/>
  <c r="S4455" i="34"/>
  <c r="T4455" i="34"/>
  <c r="U4455" i="34"/>
  <c r="V4455" i="34"/>
  <c r="W4455" i="34"/>
  <c r="X4455" i="34"/>
  <c r="Y4455" i="34"/>
  <c r="Z4455" i="34"/>
  <c r="N4456" i="34"/>
  <c r="O4456" i="34"/>
  <c r="P4456" i="34"/>
  <c r="Q4456" i="34"/>
  <c r="R4456" i="34"/>
  <c r="S4456" i="34"/>
  <c r="T4456" i="34"/>
  <c r="U4456" i="34"/>
  <c r="V4456" i="34"/>
  <c r="W4456" i="34"/>
  <c r="X4456" i="34"/>
  <c r="Y4456" i="34"/>
  <c r="Z4456" i="34"/>
  <c r="N4457" i="34"/>
  <c r="O4457" i="34"/>
  <c r="P4457" i="34"/>
  <c r="Q4457" i="34"/>
  <c r="R4457" i="34"/>
  <c r="S4457" i="34"/>
  <c r="T4457" i="34"/>
  <c r="U4457" i="34"/>
  <c r="V4457" i="34"/>
  <c r="W4457" i="34"/>
  <c r="X4457" i="34"/>
  <c r="Y4457" i="34"/>
  <c r="Z4457" i="34"/>
  <c r="N4458" i="34"/>
  <c r="O4458" i="34"/>
  <c r="P4458" i="34"/>
  <c r="Q4458" i="34"/>
  <c r="R4458" i="34"/>
  <c r="S4458" i="34"/>
  <c r="T4458" i="34"/>
  <c r="U4458" i="34"/>
  <c r="V4458" i="34"/>
  <c r="W4458" i="34"/>
  <c r="X4458" i="34"/>
  <c r="Y4458" i="34"/>
  <c r="Z4458" i="34"/>
  <c r="N4459" i="34"/>
  <c r="O4459" i="34"/>
  <c r="P4459" i="34"/>
  <c r="Q4459" i="34"/>
  <c r="R4459" i="34"/>
  <c r="S4459" i="34"/>
  <c r="T4459" i="34"/>
  <c r="U4459" i="34"/>
  <c r="V4459" i="34"/>
  <c r="W4459" i="34"/>
  <c r="X4459" i="34"/>
  <c r="Y4459" i="34"/>
  <c r="Z4459" i="34"/>
  <c r="N4460" i="34"/>
  <c r="O4460" i="34"/>
  <c r="P4460" i="34"/>
  <c r="Q4460" i="34"/>
  <c r="R4460" i="34"/>
  <c r="S4460" i="34"/>
  <c r="T4460" i="34"/>
  <c r="U4460" i="34"/>
  <c r="V4460" i="34"/>
  <c r="W4460" i="34"/>
  <c r="X4460" i="34"/>
  <c r="Y4460" i="34"/>
  <c r="Z4460" i="34"/>
  <c r="N4461" i="34"/>
  <c r="O4461" i="34"/>
  <c r="P4461" i="34"/>
  <c r="Q4461" i="34"/>
  <c r="R4461" i="34"/>
  <c r="S4461" i="34"/>
  <c r="T4461" i="34"/>
  <c r="U4461" i="34"/>
  <c r="V4461" i="34"/>
  <c r="W4461" i="34"/>
  <c r="X4461" i="34"/>
  <c r="Y4461" i="34"/>
  <c r="Z4461" i="34"/>
  <c r="N4462" i="34"/>
  <c r="O4462" i="34"/>
  <c r="P4462" i="34"/>
  <c r="Q4462" i="34"/>
  <c r="R4462" i="34"/>
  <c r="S4462" i="34"/>
  <c r="T4462" i="34"/>
  <c r="U4462" i="34"/>
  <c r="V4462" i="34"/>
  <c r="W4462" i="34"/>
  <c r="X4462" i="34"/>
  <c r="Y4462" i="34"/>
  <c r="Z4462" i="34"/>
  <c r="N4463" i="34"/>
  <c r="O4463" i="34"/>
  <c r="P4463" i="34"/>
  <c r="Q4463" i="34"/>
  <c r="R4463" i="34"/>
  <c r="S4463" i="34"/>
  <c r="T4463" i="34"/>
  <c r="U4463" i="34"/>
  <c r="V4463" i="34"/>
  <c r="W4463" i="34"/>
  <c r="X4463" i="34"/>
  <c r="Y4463" i="34"/>
  <c r="Z4463" i="34"/>
  <c r="N4464" i="34"/>
  <c r="O4464" i="34"/>
  <c r="P4464" i="34"/>
  <c r="Q4464" i="34"/>
  <c r="R4464" i="34"/>
  <c r="S4464" i="34"/>
  <c r="T4464" i="34"/>
  <c r="U4464" i="34"/>
  <c r="V4464" i="34"/>
  <c r="W4464" i="34"/>
  <c r="X4464" i="34"/>
  <c r="Y4464" i="34"/>
  <c r="Z4464" i="34"/>
  <c r="N4465" i="34"/>
  <c r="O4465" i="34"/>
  <c r="P4465" i="34"/>
  <c r="Q4465" i="34"/>
  <c r="R4465" i="34"/>
  <c r="S4465" i="34"/>
  <c r="T4465" i="34"/>
  <c r="U4465" i="34"/>
  <c r="V4465" i="34"/>
  <c r="W4465" i="34"/>
  <c r="X4465" i="34"/>
  <c r="Y4465" i="34"/>
  <c r="Z4465" i="34"/>
  <c r="N4466" i="34"/>
  <c r="O4466" i="34"/>
  <c r="P4466" i="34"/>
  <c r="Q4466" i="34"/>
  <c r="R4466" i="34"/>
  <c r="S4466" i="34"/>
  <c r="T4466" i="34"/>
  <c r="U4466" i="34"/>
  <c r="V4466" i="34"/>
  <c r="W4466" i="34"/>
  <c r="X4466" i="34"/>
  <c r="Y4466" i="34"/>
  <c r="Z4466" i="34"/>
  <c r="N4467" i="34"/>
  <c r="O4467" i="34"/>
  <c r="P4467" i="34"/>
  <c r="Q4467" i="34"/>
  <c r="R4467" i="34"/>
  <c r="S4467" i="34"/>
  <c r="T4467" i="34"/>
  <c r="U4467" i="34"/>
  <c r="V4467" i="34"/>
  <c r="W4467" i="34"/>
  <c r="X4467" i="34"/>
  <c r="Y4467" i="34"/>
  <c r="Z4467" i="34"/>
  <c r="N4468" i="34"/>
  <c r="O4468" i="34"/>
  <c r="P4468" i="34"/>
  <c r="Q4468" i="34"/>
  <c r="R4468" i="34"/>
  <c r="S4468" i="34"/>
  <c r="T4468" i="34"/>
  <c r="U4468" i="34"/>
  <c r="V4468" i="34"/>
  <c r="W4468" i="34"/>
  <c r="X4468" i="34"/>
  <c r="Y4468" i="34"/>
  <c r="Z4468" i="34"/>
  <c r="N4469" i="34"/>
  <c r="O4469" i="34"/>
  <c r="P4469" i="34"/>
  <c r="Q4469" i="34"/>
  <c r="R4469" i="34"/>
  <c r="S4469" i="34"/>
  <c r="T4469" i="34"/>
  <c r="U4469" i="34"/>
  <c r="V4469" i="34"/>
  <c r="W4469" i="34"/>
  <c r="X4469" i="34"/>
  <c r="Y4469" i="34"/>
  <c r="Z4469" i="34"/>
  <c r="N4470" i="34"/>
  <c r="O4470" i="34"/>
  <c r="P4470" i="34"/>
  <c r="Q4470" i="34"/>
  <c r="R4470" i="34"/>
  <c r="S4470" i="34"/>
  <c r="T4470" i="34"/>
  <c r="U4470" i="34"/>
  <c r="V4470" i="34"/>
  <c r="W4470" i="34"/>
  <c r="X4470" i="34"/>
  <c r="Y4470" i="34"/>
  <c r="Z4470" i="34"/>
  <c r="N4471" i="34"/>
  <c r="O4471" i="34"/>
  <c r="P4471" i="34"/>
  <c r="Q4471" i="34"/>
  <c r="R4471" i="34"/>
  <c r="S4471" i="34"/>
  <c r="T4471" i="34"/>
  <c r="U4471" i="34"/>
  <c r="V4471" i="34"/>
  <c r="W4471" i="34"/>
  <c r="X4471" i="34"/>
  <c r="Y4471" i="34"/>
  <c r="Z4471" i="34"/>
  <c r="N4472" i="34"/>
  <c r="O4472" i="34"/>
  <c r="P4472" i="34"/>
  <c r="Q4472" i="34"/>
  <c r="R4472" i="34"/>
  <c r="S4472" i="34"/>
  <c r="T4472" i="34"/>
  <c r="U4472" i="34"/>
  <c r="V4472" i="34"/>
  <c r="W4472" i="34"/>
  <c r="X4472" i="34"/>
  <c r="Y4472" i="34"/>
  <c r="Z4472" i="34"/>
  <c r="N4473" i="34"/>
  <c r="O4473" i="34"/>
  <c r="P4473" i="34"/>
  <c r="Q4473" i="34"/>
  <c r="R4473" i="34"/>
  <c r="S4473" i="34"/>
  <c r="T4473" i="34"/>
  <c r="U4473" i="34"/>
  <c r="V4473" i="34"/>
  <c r="W4473" i="34"/>
  <c r="X4473" i="34"/>
  <c r="Y4473" i="34"/>
  <c r="Z4473" i="34"/>
  <c r="N4474" i="34"/>
  <c r="O4474" i="34"/>
  <c r="P4474" i="34"/>
  <c r="Q4474" i="34"/>
  <c r="R4474" i="34"/>
  <c r="S4474" i="34"/>
  <c r="T4474" i="34"/>
  <c r="U4474" i="34"/>
  <c r="V4474" i="34"/>
  <c r="W4474" i="34"/>
  <c r="X4474" i="34"/>
  <c r="Y4474" i="34"/>
  <c r="Z4474" i="34"/>
  <c r="N4475" i="34"/>
  <c r="O4475" i="34"/>
  <c r="P4475" i="34"/>
  <c r="Q4475" i="34"/>
  <c r="R4475" i="34"/>
  <c r="S4475" i="34"/>
  <c r="T4475" i="34"/>
  <c r="U4475" i="34"/>
  <c r="V4475" i="34"/>
  <c r="W4475" i="34"/>
  <c r="X4475" i="34"/>
  <c r="Y4475" i="34"/>
  <c r="Z4475" i="34"/>
  <c r="N4476" i="34"/>
  <c r="O4476" i="34"/>
  <c r="P4476" i="34"/>
  <c r="Q4476" i="34"/>
  <c r="R4476" i="34"/>
  <c r="S4476" i="34"/>
  <c r="T4476" i="34"/>
  <c r="U4476" i="34"/>
  <c r="V4476" i="34"/>
  <c r="W4476" i="34"/>
  <c r="X4476" i="34"/>
  <c r="Y4476" i="34"/>
  <c r="Z4476" i="34"/>
  <c r="N4477" i="34"/>
  <c r="O4477" i="34"/>
  <c r="P4477" i="34"/>
  <c r="Q4477" i="34"/>
  <c r="R4477" i="34"/>
  <c r="S4477" i="34"/>
  <c r="T4477" i="34"/>
  <c r="U4477" i="34"/>
  <c r="V4477" i="34"/>
  <c r="W4477" i="34"/>
  <c r="X4477" i="34"/>
  <c r="Y4477" i="34"/>
  <c r="Z4477" i="34"/>
  <c r="N4478" i="34"/>
  <c r="O4478" i="34"/>
  <c r="P4478" i="34"/>
  <c r="Q4478" i="34"/>
  <c r="R4478" i="34"/>
  <c r="S4478" i="34"/>
  <c r="T4478" i="34"/>
  <c r="U4478" i="34"/>
  <c r="V4478" i="34"/>
  <c r="W4478" i="34"/>
  <c r="X4478" i="34"/>
  <c r="Y4478" i="34"/>
  <c r="Z4478" i="34"/>
  <c r="N4479" i="34"/>
  <c r="O4479" i="34"/>
  <c r="P4479" i="34"/>
  <c r="Q4479" i="34"/>
  <c r="R4479" i="34"/>
  <c r="S4479" i="34"/>
  <c r="T4479" i="34"/>
  <c r="U4479" i="34"/>
  <c r="V4479" i="34"/>
  <c r="W4479" i="34"/>
  <c r="X4479" i="34"/>
  <c r="Y4479" i="34"/>
  <c r="Z4479" i="34"/>
  <c r="N4480" i="34"/>
  <c r="O4480" i="34"/>
  <c r="P4480" i="34"/>
  <c r="Q4480" i="34"/>
  <c r="R4480" i="34"/>
  <c r="S4480" i="34"/>
  <c r="T4480" i="34"/>
  <c r="U4480" i="34"/>
  <c r="V4480" i="34"/>
  <c r="W4480" i="34"/>
  <c r="X4480" i="34"/>
  <c r="Y4480" i="34"/>
  <c r="Z4480" i="34"/>
  <c r="N4481" i="34"/>
  <c r="O4481" i="34"/>
  <c r="P4481" i="34"/>
  <c r="Q4481" i="34"/>
  <c r="R4481" i="34"/>
  <c r="S4481" i="34"/>
  <c r="T4481" i="34"/>
  <c r="U4481" i="34"/>
  <c r="V4481" i="34"/>
  <c r="W4481" i="34"/>
  <c r="X4481" i="34"/>
  <c r="Y4481" i="34"/>
  <c r="Z4481" i="34"/>
  <c r="N4482" i="34"/>
  <c r="O4482" i="34"/>
  <c r="P4482" i="34"/>
  <c r="Q4482" i="34"/>
  <c r="R4482" i="34"/>
  <c r="S4482" i="34"/>
  <c r="T4482" i="34"/>
  <c r="U4482" i="34"/>
  <c r="V4482" i="34"/>
  <c r="W4482" i="34"/>
  <c r="X4482" i="34"/>
  <c r="Y4482" i="34"/>
  <c r="Z4482" i="34"/>
  <c r="N4483" i="34"/>
  <c r="O4483" i="34"/>
  <c r="P4483" i="34"/>
  <c r="Q4483" i="34"/>
  <c r="R4483" i="34"/>
  <c r="S4483" i="34"/>
  <c r="T4483" i="34"/>
  <c r="U4483" i="34"/>
  <c r="V4483" i="34"/>
  <c r="W4483" i="34"/>
  <c r="X4483" i="34"/>
  <c r="Y4483" i="34"/>
  <c r="Z4483" i="34"/>
  <c r="N4484" i="34"/>
  <c r="O4484" i="34"/>
  <c r="P4484" i="34"/>
  <c r="Q4484" i="34"/>
  <c r="R4484" i="34"/>
  <c r="S4484" i="34"/>
  <c r="T4484" i="34"/>
  <c r="U4484" i="34"/>
  <c r="V4484" i="34"/>
  <c r="W4484" i="34"/>
  <c r="X4484" i="34"/>
  <c r="Y4484" i="34"/>
  <c r="Z4484" i="34"/>
  <c r="N4485" i="34"/>
  <c r="O4485" i="34"/>
  <c r="P4485" i="34"/>
  <c r="Q4485" i="34"/>
  <c r="R4485" i="34"/>
  <c r="S4485" i="34"/>
  <c r="T4485" i="34"/>
  <c r="U4485" i="34"/>
  <c r="V4485" i="34"/>
  <c r="W4485" i="34"/>
  <c r="X4485" i="34"/>
  <c r="Y4485" i="34"/>
  <c r="Z4485" i="34"/>
  <c r="N4486" i="34"/>
  <c r="O4486" i="34"/>
  <c r="P4486" i="34"/>
  <c r="Q4486" i="34"/>
  <c r="R4486" i="34"/>
  <c r="S4486" i="34"/>
  <c r="T4486" i="34"/>
  <c r="U4486" i="34"/>
  <c r="V4486" i="34"/>
  <c r="W4486" i="34"/>
  <c r="X4486" i="34"/>
  <c r="Y4486" i="34"/>
  <c r="Z4486" i="34"/>
  <c r="N4487" i="34"/>
  <c r="O4487" i="34"/>
  <c r="P4487" i="34"/>
  <c r="Q4487" i="34"/>
  <c r="R4487" i="34"/>
  <c r="S4487" i="34"/>
  <c r="T4487" i="34"/>
  <c r="U4487" i="34"/>
  <c r="V4487" i="34"/>
  <c r="W4487" i="34"/>
  <c r="X4487" i="34"/>
  <c r="Y4487" i="34"/>
  <c r="Z4487" i="34"/>
  <c r="N4488" i="34"/>
  <c r="O4488" i="34"/>
  <c r="P4488" i="34"/>
  <c r="Q4488" i="34"/>
  <c r="R4488" i="34"/>
  <c r="S4488" i="34"/>
  <c r="T4488" i="34"/>
  <c r="U4488" i="34"/>
  <c r="V4488" i="34"/>
  <c r="W4488" i="34"/>
  <c r="X4488" i="34"/>
  <c r="Y4488" i="34"/>
  <c r="Z4488" i="34"/>
  <c r="N4489" i="34"/>
  <c r="O4489" i="34"/>
  <c r="P4489" i="34"/>
  <c r="Q4489" i="34"/>
  <c r="R4489" i="34"/>
  <c r="S4489" i="34"/>
  <c r="T4489" i="34"/>
  <c r="U4489" i="34"/>
  <c r="V4489" i="34"/>
  <c r="W4489" i="34"/>
  <c r="X4489" i="34"/>
  <c r="Y4489" i="34"/>
  <c r="Z4489" i="34"/>
  <c r="N4490" i="34"/>
  <c r="O4490" i="34"/>
  <c r="P4490" i="34"/>
  <c r="Q4490" i="34"/>
  <c r="R4490" i="34"/>
  <c r="S4490" i="34"/>
  <c r="T4490" i="34"/>
  <c r="U4490" i="34"/>
  <c r="V4490" i="34"/>
  <c r="W4490" i="34"/>
  <c r="X4490" i="34"/>
  <c r="Y4490" i="34"/>
  <c r="Z4490" i="34"/>
  <c r="N4491" i="34"/>
  <c r="O4491" i="34"/>
  <c r="P4491" i="34"/>
  <c r="Q4491" i="34"/>
  <c r="R4491" i="34"/>
  <c r="S4491" i="34"/>
  <c r="T4491" i="34"/>
  <c r="U4491" i="34"/>
  <c r="V4491" i="34"/>
  <c r="W4491" i="34"/>
  <c r="X4491" i="34"/>
  <c r="Y4491" i="34"/>
  <c r="Z4491" i="34"/>
  <c r="N4492" i="34"/>
  <c r="O4492" i="34"/>
  <c r="P4492" i="34"/>
  <c r="Q4492" i="34"/>
  <c r="R4492" i="34"/>
  <c r="S4492" i="34"/>
  <c r="T4492" i="34"/>
  <c r="U4492" i="34"/>
  <c r="V4492" i="34"/>
  <c r="W4492" i="34"/>
  <c r="X4492" i="34"/>
  <c r="Y4492" i="34"/>
  <c r="Z4492" i="34"/>
  <c r="N4493" i="34"/>
  <c r="O4493" i="34"/>
  <c r="P4493" i="34"/>
  <c r="Q4493" i="34"/>
  <c r="R4493" i="34"/>
  <c r="S4493" i="34"/>
  <c r="T4493" i="34"/>
  <c r="U4493" i="34"/>
  <c r="V4493" i="34"/>
  <c r="W4493" i="34"/>
  <c r="X4493" i="34"/>
  <c r="Y4493" i="34"/>
  <c r="Z4493" i="34"/>
  <c r="N4494" i="34"/>
  <c r="O4494" i="34"/>
  <c r="P4494" i="34"/>
  <c r="Q4494" i="34"/>
  <c r="R4494" i="34"/>
  <c r="S4494" i="34"/>
  <c r="T4494" i="34"/>
  <c r="U4494" i="34"/>
  <c r="V4494" i="34"/>
  <c r="W4494" i="34"/>
  <c r="X4494" i="34"/>
  <c r="Y4494" i="34"/>
  <c r="Z4494" i="34"/>
  <c r="N4495" i="34"/>
  <c r="O4495" i="34"/>
  <c r="P4495" i="34"/>
  <c r="Q4495" i="34"/>
  <c r="R4495" i="34"/>
  <c r="S4495" i="34"/>
  <c r="T4495" i="34"/>
  <c r="U4495" i="34"/>
  <c r="V4495" i="34"/>
  <c r="W4495" i="34"/>
  <c r="X4495" i="34"/>
  <c r="Y4495" i="34"/>
  <c r="Z4495" i="34"/>
  <c r="N4496" i="34"/>
  <c r="O4496" i="34"/>
  <c r="P4496" i="34"/>
  <c r="Q4496" i="34"/>
  <c r="R4496" i="34"/>
  <c r="S4496" i="34"/>
  <c r="T4496" i="34"/>
  <c r="U4496" i="34"/>
  <c r="V4496" i="34"/>
  <c r="W4496" i="34"/>
  <c r="X4496" i="34"/>
  <c r="Y4496" i="34"/>
  <c r="Z4496" i="34"/>
  <c r="N4497" i="34"/>
  <c r="O4497" i="34"/>
  <c r="P4497" i="34"/>
  <c r="Q4497" i="34"/>
  <c r="R4497" i="34"/>
  <c r="S4497" i="34"/>
  <c r="T4497" i="34"/>
  <c r="U4497" i="34"/>
  <c r="V4497" i="34"/>
  <c r="W4497" i="34"/>
  <c r="X4497" i="34"/>
  <c r="Y4497" i="34"/>
  <c r="Z4497" i="34"/>
  <c r="N4498" i="34"/>
  <c r="O4498" i="34"/>
  <c r="P4498" i="34"/>
  <c r="Q4498" i="34"/>
  <c r="R4498" i="34"/>
  <c r="S4498" i="34"/>
  <c r="T4498" i="34"/>
  <c r="U4498" i="34"/>
  <c r="V4498" i="34"/>
  <c r="W4498" i="34"/>
  <c r="X4498" i="34"/>
  <c r="Y4498" i="34"/>
  <c r="Z4498" i="34"/>
  <c r="N4499" i="34"/>
  <c r="O4499" i="34"/>
  <c r="P4499" i="34"/>
  <c r="Q4499" i="34"/>
  <c r="R4499" i="34"/>
  <c r="S4499" i="34"/>
  <c r="T4499" i="34"/>
  <c r="U4499" i="34"/>
  <c r="V4499" i="34"/>
  <c r="W4499" i="34"/>
  <c r="X4499" i="34"/>
  <c r="Y4499" i="34"/>
  <c r="Z4499" i="34"/>
  <c r="N4500" i="34"/>
  <c r="O4500" i="34"/>
  <c r="P4500" i="34"/>
  <c r="Q4500" i="34"/>
  <c r="R4500" i="34"/>
  <c r="S4500" i="34"/>
  <c r="T4500" i="34"/>
  <c r="U4500" i="34"/>
  <c r="V4500" i="34"/>
  <c r="W4500" i="34"/>
  <c r="X4500" i="34"/>
  <c r="Y4500" i="34"/>
  <c r="Z4500" i="34"/>
  <c r="N4501" i="34"/>
  <c r="O4501" i="34"/>
  <c r="P4501" i="34"/>
  <c r="Q4501" i="34"/>
  <c r="R4501" i="34"/>
  <c r="S4501" i="34"/>
  <c r="T4501" i="34"/>
  <c r="U4501" i="34"/>
  <c r="V4501" i="34"/>
  <c r="W4501" i="34"/>
  <c r="X4501" i="34"/>
  <c r="Y4501" i="34"/>
  <c r="Z4501" i="34"/>
  <c r="N4502" i="34"/>
  <c r="O4502" i="34"/>
  <c r="P4502" i="34"/>
  <c r="Q4502" i="34"/>
  <c r="R4502" i="34"/>
  <c r="S4502" i="34"/>
  <c r="T4502" i="34"/>
  <c r="U4502" i="34"/>
  <c r="V4502" i="34"/>
  <c r="W4502" i="34"/>
  <c r="X4502" i="34"/>
  <c r="Y4502" i="34"/>
  <c r="Z4502" i="34"/>
  <c r="N4503" i="34"/>
  <c r="O4503" i="34"/>
  <c r="P4503" i="34"/>
  <c r="Q4503" i="34"/>
  <c r="R4503" i="34"/>
  <c r="S4503" i="34"/>
  <c r="T4503" i="34"/>
  <c r="U4503" i="34"/>
  <c r="V4503" i="34"/>
  <c r="W4503" i="34"/>
  <c r="X4503" i="34"/>
  <c r="Y4503" i="34"/>
  <c r="Z4503" i="34"/>
  <c r="N4504" i="34"/>
  <c r="O4504" i="34"/>
  <c r="P4504" i="34"/>
  <c r="Q4504" i="34"/>
  <c r="R4504" i="34"/>
  <c r="S4504" i="34"/>
  <c r="T4504" i="34"/>
  <c r="U4504" i="34"/>
  <c r="V4504" i="34"/>
  <c r="W4504" i="34"/>
  <c r="X4504" i="34"/>
  <c r="Y4504" i="34"/>
  <c r="Z4504" i="34"/>
  <c r="N4505" i="34"/>
  <c r="O4505" i="34"/>
  <c r="P4505" i="34"/>
  <c r="Q4505" i="34"/>
  <c r="R4505" i="34"/>
  <c r="S4505" i="34"/>
  <c r="T4505" i="34"/>
  <c r="U4505" i="34"/>
  <c r="V4505" i="34"/>
  <c r="W4505" i="34"/>
  <c r="X4505" i="34"/>
  <c r="Y4505" i="34"/>
  <c r="Z4505" i="34"/>
  <c r="N4506" i="34"/>
  <c r="O4506" i="34"/>
  <c r="P4506" i="34"/>
  <c r="Q4506" i="34"/>
  <c r="R4506" i="34"/>
  <c r="S4506" i="34"/>
  <c r="T4506" i="34"/>
  <c r="U4506" i="34"/>
  <c r="V4506" i="34"/>
  <c r="W4506" i="34"/>
  <c r="X4506" i="34"/>
  <c r="Y4506" i="34"/>
  <c r="Z4506" i="34"/>
  <c r="N4507" i="34"/>
  <c r="O4507" i="34"/>
  <c r="P4507" i="34"/>
  <c r="Q4507" i="34"/>
  <c r="R4507" i="34"/>
  <c r="S4507" i="34"/>
  <c r="T4507" i="34"/>
  <c r="U4507" i="34"/>
  <c r="V4507" i="34"/>
  <c r="W4507" i="34"/>
  <c r="X4507" i="34"/>
  <c r="Y4507" i="34"/>
  <c r="Z4507" i="34"/>
  <c r="N4508" i="34"/>
  <c r="O4508" i="34"/>
  <c r="P4508" i="34"/>
  <c r="Q4508" i="34"/>
  <c r="R4508" i="34"/>
  <c r="S4508" i="34"/>
  <c r="T4508" i="34"/>
  <c r="U4508" i="34"/>
  <c r="V4508" i="34"/>
  <c r="W4508" i="34"/>
  <c r="X4508" i="34"/>
  <c r="Y4508" i="34"/>
  <c r="Z4508" i="34"/>
  <c r="N4509" i="34"/>
  <c r="O4509" i="34"/>
  <c r="P4509" i="34"/>
  <c r="Q4509" i="34"/>
  <c r="R4509" i="34"/>
  <c r="S4509" i="34"/>
  <c r="T4509" i="34"/>
  <c r="U4509" i="34"/>
  <c r="V4509" i="34"/>
  <c r="W4509" i="34"/>
  <c r="X4509" i="34"/>
  <c r="Y4509" i="34"/>
  <c r="Z4509" i="34"/>
  <c r="N4510" i="34"/>
  <c r="O4510" i="34"/>
  <c r="P4510" i="34"/>
  <c r="Q4510" i="34"/>
  <c r="R4510" i="34"/>
  <c r="S4510" i="34"/>
  <c r="T4510" i="34"/>
  <c r="U4510" i="34"/>
  <c r="V4510" i="34"/>
  <c r="W4510" i="34"/>
  <c r="X4510" i="34"/>
  <c r="Y4510" i="34"/>
  <c r="Z4510" i="34"/>
  <c r="N4511" i="34"/>
  <c r="O4511" i="34"/>
  <c r="P4511" i="34"/>
  <c r="Q4511" i="34"/>
  <c r="R4511" i="34"/>
  <c r="S4511" i="34"/>
  <c r="T4511" i="34"/>
  <c r="U4511" i="34"/>
  <c r="V4511" i="34"/>
  <c r="W4511" i="34"/>
  <c r="X4511" i="34"/>
  <c r="Y4511" i="34"/>
  <c r="Z4511" i="34"/>
  <c r="N4512" i="34"/>
  <c r="O4512" i="34"/>
  <c r="P4512" i="34"/>
  <c r="Q4512" i="34"/>
  <c r="R4512" i="34"/>
  <c r="S4512" i="34"/>
  <c r="T4512" i="34"/>
  <c r="U4512" i="34"/>
  <c r="V4512" i="34"/>
  <c r="W4512" i="34"/>
  <c r="X4512" i="34"/>
  <c r="Y4512" i="34"/>
  <c r="Z4512" i="34"/>
  <c r="N4513" i="34"/>
  <c r="O4513" i="34"/>
  <c r="P4513" i="34"/>
  <c r="Q4513" i="34"/>
  <c r="R4513" i="34"/>
  <c r="S4513" i="34"/>
  <c r="T4513" i="34"/>
  <c r="U4513" i="34"/>
  <c r="V4513" i="34"/>
  <c r="W4513" i="34"/>
  <c r="X4513" i="34"/>
  <c r="Y4513" i="34"/>
  <c r="Z4513" i="34"/>
  <c r="N4514" i="34"/>
  <c r="O4514" i="34"/>
  <c r="P4514" i="34"/>
  <c r="Q4514" i="34"/>
  <c r="R4514" i="34"/>
  <c r="S4514" i="34"/>
  <c r="T4514" i="34"/>
  <c r="U4514" i="34"/>
  <c r="V4514" i="34"/>
  <c r="W4514" i="34"/>
  <c r="X4514" i="34"/>
  <c r="Y4514" i="34"/>
  <c r="Z4514" i="34"/>
  <c r="N4515" i="34"/>
  <c r="O4515" i="34"/>
  <c r="P4515" i="34"/>
  <c r="Q4515" i="34"/>
  <c r="R4515" i="34"/>
  <c r="S4515" i="34"/>
  <c r="T4515" i="34"/>
  <c r="U4515" i="34"/>
  <c r="V4515" i="34"/>
  <c r="W4515" i="34"/>
  <c r="X4515" i="34"/>
  <c r="Y4515" i="34"/>
  <c r="Z4515" i="34"/>
  <c r="N4516" i="34"/>
  <c r="O4516" i="34"/>
  <c r="P4516" i="34"/>
  <c r="Q4516" i="34"/>
  <c r="R4516" i="34"/>
  <c r="S4516" i="34"/>
  <c r="T4516" i="34"/>
  <c r="U4516" i="34"/>
  <c r="V4516" i="34"/>
  <c r="W4516" i="34"/>
  <c r="X4516" i="34"/>
  <c r="Y4516" i="34"/>
  <c r="Z4516" i="34"/>
  <c r="N4517" i="34"/>
  <c r="O4517" i="34"/>
  <c r="P4517" i="34"/>
  <c r="Q4517" i="34"/>
  <c r="R4517" i="34"/>
  <c r="S4517" i="34"/>
  <c r="T4517" i="34"/>
  <c r="U4517" i="34"/>
  <c r="V4517" i="34"/>
  <c r="W4517" i="34"/>
  <c r="X4517" i="34"/>
  <c r="Y4517" i="34"/>
  <c r="Z4517" i="34"/>
  <c r="N4518" i="34"/>
  <c r="O4518" i="34"/>
  <c r="P4518" i="34"/>
  <c r="Q4518" i="34"/>
  <c r="R4518" i="34"/>
  <c r="S4518" i="34"/>
  <c r="T4518" i="34"/>
  <c r="U4518" i="34"/>
  <c r="V4518" i="34"/>
  <c r="W4518" i="34"/>
  <c r="X4518" i="34"/>
  <c r="Y4518" i="34"/>
  <c r="Z4518" i="34"/>
  <c r="N4519" i="34"/>
  <c r="O4519" i="34"/>
  <c r="P4519" i="34"/>
  <c r="Q4519" i="34"/>
  <c r="R4519" i="34"/>
  <c r="S4519" i="34"/>
  <c r="T4519" i="34"/>
  <c r="U4519" i="34"/>
  <c r="V4519" i="34"/>
  <c r="W4519" i="34"/>
  <c r="X4519" i="34"/>
  <c r="Y4519" i="34"/>
  <c r="Z4519" i="34"/>
  <c r="N4520" i="34"/>
  <c r="O4520" i="34"/>
  <c r="P4520" i="34"/>
  <c r="Q4520" i="34"/>
  <c r="R4520" i="34"/>
  <c r="S4520" i="34"/>
  <c r="T4520" i="34"/>
  <c r="U4520" i="34"/>
  <c r="V4520" i="34"/>
  <c r="W4520" i="34"/>
  <c r="X4520" i="34"/>
  <c r="Y4520" i="34"/>
  <c r="Z4520" i="34"/>
  <c r="N4521" i="34"/>
  <c r="O4521" i="34"/>
  <c r="P4521" i="34"/>
  <c r="Q4521" i="34"/>
  <c r="R4521" i="34"/>
  <c r="S4521" i="34"/>
  <c r="T4521" i="34"/>
  <c r="U4521" i="34"/>
  <c r="V4521" i="34"/>
  <c r="W4521" i="34"/>
  <c r="X4521" i="34"/>
  <c r="Y4521" i="34"/>
  <c r="Z4521" i="34"/>
  <c r="N4522" i="34"/>
  <c r="O4522" i="34"/>
  <c r="P4522" i="34"/>
  <c r="Q4522" i="34"/>
  <c r="R4522" i="34"/>
  <c r="S4522" i="34"/>
  <c r="T4522" i="34"/>
  <c r="U4522" i="34"/>
  <c r="V4522" i="34"/>
  <c r="W4522" i="34"/>
  <c r="X4522" i="34"/>
  <c r="Y4522" i="34"/>
  <c r="Z4522" i="34"/>
  <c r="N4523" i="34"/>
  <c r="O4523" i="34"/>
  <c r="P4523" i="34"/>
  <c r="Q4523" i="34"/>
  <c r="R4523" i="34"/>
  <c r="S4523" i="34"/>
  <c r="T4523" i="34"/>
  <c r="U4523" i="34"/>
  <c r="V4523" i="34"/>
  <c r="W4523" i="34"/>
  <c r="X4523" i="34"/>
  <c r="Y4523" i="34"/>
  <c r="Z4523" i="34"/>
  <c r="N4524" i="34"/>
  <c r="O4524" i="34"/>
  <c r="P4524" i="34"/>
  <c r="Q4524" i="34"/>
  <c r="R4524" i="34"/>
  <c r="S4524" i="34"/>
  <c r="T4524" i="34"/>
  <c r="U4524" i="34"/>
  <c r="V4524" i="34"/>
  <c r="W4524" i="34"/>
  <c r="X4524" i="34"/>
  <c r="Y4524" i="34"/>
  <c r="Z4524" i="34"/>
  <c r="N4525" i="34"/>
  <c r="O4525" i="34"/>
  <c r="P4525" i="34"/>
  <c r="Q4525" i="34"/>
  <c r="R4525" i="34"/>
  <c r="S4525" i="34"/>
  <c r="T4525" i="34"/>
  <c r="U4525" i="34"/>
  <c r="V4525" i="34"/>
  <c r="W4525" i="34"/>
  <c r="X4525" i="34"/>
  <c r="Y4525" i="34"/>
  <c r="Z4525" i="34"/>
  <c r="N4526" i="34"/>
  <c r="O4526" i="34"/>
  <c r="P4526" i="34"/>
  <c r="Q4526" i="34"/>
  <c r="R4526" i="34"/>
  <c r="S4526" i="34"/>
  <c r="T4526" i="34"/>
  <c r="U4526" i="34"/>
  <c r="V4526" i="34"/>
  <c r="W4526" i="34"/>
  <c r="X4526" i="34"/>
  <c r="Y4526" i="34"/>
  <c r="Z4526" i="34"/>
  <c r="N4527" i="34"/>
  <c r="O4527" i="34"/>
  <c r="P4527" i="34"/>
  <c r="Q4527" i="34"/>
  <c r="R4527" i="34"/>
  <c r="S4527" i="34"/>
  <c r="T4527" i="34"/>
  <c r="U4527" i="34"/>
  <c r="V4527" i="34"/>
  <c r="W4527" i="34"/>
  <c r="X4527" i="34"/>
  <c r="Y4527" i="34"/>
  <c r="Z4527" i="34"/>
  <c r="N4528" i="34"/>
  <c r="O4528" i="34"/>
  <c r="P4528" i="34"/>
  <c r="Q4528" i="34"/>
  <c r="R4528" i="34"/>
  <c r="S4528" i="34"/>
  <c r="T4528" i="34"/>
  <c r="U4528" i="34"/>
  <c r="V4528" i="34"/>
  <c r="W4528" i="34"/>
  <c r="X4528" i="34"/>
  <c r="Y4528" i="34"/>
  <c r="Z4528" i="34"/>
  <c r="N4529" i="34"/>
  <c r="O4529" i="34"/>
  <c r="P4529" i="34"/>
  <c r="Q4529" i="34"/>
  <c r="R4529" i="34"/>
  <c r="S4529" i="34"/>
  <c r="T4529" i="34"/>
  <c r="U4529" i="34"/>
  <c r="V4529" i="34"/>
  <c r="W4529" i="34"/>
  <c r="X4529" i="34"/>
  <c r="Y4529" i="34"/>
  <c r="Z4529" i="34"/>
  <c r="N4530" i="34"/>
  <c r="O4530" i="34"/>
  <c r="P4530" i="34"/>
  <c r="Q4530" i="34"/>
  <c r="R4530" i="34"/>
  <c r="S4530" i="34"/>
  <c r="T4530" i="34"/>
  <c r="U4530" i="34"/>
  <c r="V4530" i="34"/>
  <c r="W4530" i="34"/>
  <c r="X4530" i="34"/>
  <c r="Y4530" i="34"/>
  <c r="Z4530" i="34"/>
  <c r="N4531" i="34"/>
  <c r="O4531" i="34"/>
  <c r="P4531" i="34"/>
  <c r="Q4531" i="34"/>
  <c r="R4531" i="34"/>
  <c r="S4531" i="34"/>
  <c r="T4531" i="34"/>
  <c r="U4531" i="34"/>
  <c r="V4531" i="34"/>
  <c r="W4531" i="34"/>
  <c r="X4531" i="34"/>
  <c r="Y4531" i="34"/>
  <c r="Z4531" i="34"/>
  <c r="N4532" i="34"/>
  <c r="O4532" i="34"/>
  <c r="P4532" i="34"/>
  <c r="Q4532" i="34"/>
  <c r="R4532" i="34"/>
  <c r="S4532" i="34"/>
  <c r="T4532" i="34"/>
  <c r="U4532" i="34"/>
  <c r="V4532" i="34"/>
  <c r="W4532" i="34"/>
  <c r="X4532" i="34"/>
  <c r="Y4532" i="34"/>
  <c r="Z4532" i="34"/>
  <c r="N4533" i="34"/>
  <c r="O4533" i="34"/>
  <c r="P4533" i="34"/>
  <c r="Q4533" i="34"/>
  <c r="R4533" i="34"/>
  <c r="S4533" i="34"/>
  <c r="T4533" i="34"/>
  <c r="U4533" i="34"/>
  <c r="V4533" i="34"/>
  <c r="W4533" i="34"/>
  <c r="X4533" i="34"/>
  <c r="Y4533" i="34"/>
  <c r="Z4533" i="34"/>
  <c r="N4534" i="34"/>
  <c r="O4534" i="34"/>
  <c r="P4534" i="34"/>
  <c r="Q4534" i="34"/>
  <c r="R4534" i="34"/>
  <c r="S4534" i="34"/>
  <c r="T4534" i="34"/>
  <c r="U4534" i="34"/>
  <c r="V4534" i="34"/>
  <c r="W4534" i="34"/>
  <c r="X4534" i="34"/>
  <c r="Y4534" i="34"/>
  <c r="Z4534" i="34"/>
  <c r="N4535" i="34"/>
  <c r="O4535" i="34"/>
  <c r="P4535" i="34"/>
  <c r="Q4535" i="34"/>
  <c r="R4535" i="34"/>
  <c r="S4535" i="34"/>
  <c r="T4535" i="34"/>
  <c r="U4535" i="34"/>
  <c r="V4535" i="34"/>
  <c r="W4535" i="34"/>
  <c r="X4535" i="34"/>
  <c r="Y4535" i="34"/>
  <c r="Z4535" i="34"/>
  <c r="N4536" i="34"/>
  <c r="O4536" i="34"/>
  <c r="P4536" i="34"/>
  <c r="Q4536" i="34"/>
  <c r="R4536" i="34"/>
  <c r="S4536" i="34"/>
  <c r="T4536" i="34"/>
  <c r="U4536" i="34"/>
  <c r="V4536" i="34"/>
  <c r="W4536" i="34"/>
  <c r="X4536" i="34"/>
  <c r="Y4536" i="34"/>
  <c r="Z4536" i="34"/>
  <c r="N4537" i="34"/>
  <c r="O4537" i="34"/>
  <c r="P4537" i="34"/>
  <c r="Q4537" i="34"/>
  <c r="R4537" i="34"/>
  <c r="S4537" i="34"/>
  <c r="T4537" i="34"/>
  <c r="U4537" i="34"/>
  <c r="V4537" i="34"/>
  <c r="W4537" i="34"/>
  <c r="X4537" i="34"/>
  <c r="Y4537" i="34"/>
  <c r="Z4537" i="34"/>
  <c r="N4538" i="34"/>
  <c r="O4538" i="34"/>
  <c r="P4538" i="34"/>
  <c r="Q4538" i="34"/>
  <c r="R4538" i="34"/>
  <c r="S4538" i="34"/>
  <c r="T4538" i="34"/>
  <c r="U4538" i="34"/>
  <c r="V4538" i="34"/>
  <c r="W4538" i="34"/>
  <c r="X4538" i="34"/>
  <c r="Y4538" i="34"/>
  <c r="Z4538" i="34"/>
  <c r="N4539" i="34"/>
  <c r="O4539" i="34"/>
  <c r="P4539" i="34"/>
  <c r="Q4539" i="34"/>
  <c r="R4539" i="34"/>
  <c r="S4539" i="34"/>
  <c r="T4539" i="34"/>
  <c r="U4539" i="34"/>
  <c r="V4539" i="34"/>
  <c r="W4539" i="34"/>
  <c r="X4539" i="34"/>
  <c r="Y4539" i="34"/>
  <c r="Z4539" i="34"/>
  <c r="N4540" i="34"/>
  <c r="O4540" i="34"/>
  <c r="P4540" i="34"/>
  <c r="Q4540" i="34"/>
  <c r="R4540" i="34"/>
  <c r="S4540" i="34"/>
  <c r="T4540" i="34"/>
  <c r="U4540" i="34"/>
  <c r="V4540" i="34"/>
  <c r="W4540" i="34"/>
  <c r="X4540" i="34"/>
  <c r="Y4540" i="34"/>
  <c r="Z4540" i="34"/>
  <c r="N4541" i="34"/>
  <c r="O4541" i="34"/>
  <c r="P4541" i="34"/>
  <c r="Q4541" i="34"/>
  <c r="R4541" i="34"/>
  <c r="S4541" i="34"/>
  <c r="T4541" i="34"/>
  <c r="U4541" i="34"/>
  <c r="V4541" i="34"/>
  <c r="W4541" i="34"/>
  <c r="X4541" i="34"/>
  <c r="Y4541" i="34"/>
  <c r="Z4541" i="34"/>
  <c r="N4542" i="34"/>
  <c r="O4542" i="34"/>
  <c r="P4542" i="34"/>
  <c r="Q4542" i="34"/>
  <c r="R4542" i="34"/>
  <c r="S4542" i="34"/>
  <c r="T4542" i="34"/>
  <c r="U4542" i="34"/>
  <c r="V4542" i="34"/>
  <c r="W4542" i="34"/>
  <c r="X4542" i="34"/>
  <c r="Y4542" i="34"/>
  <c r="Z4542" i="34"/>
  <c r="N4543" i="34"/>
  <c r="O4543" i="34"/>
  <c r="P4543" i="34"/>
  <c r="Q4543" i="34"/>
  <c r="R4543" i="34"/>
  <c r="S4543" i="34"/>
  <c r="T4543" i="34"/>
  <c r="U4543" i="34"/>
  <c r="V4543" i="34"/>
  <c r="W4543" i="34"/>
  <c r="X4543" i="34"/>
  <c r="Y4543" i="34"/>
  <c r="Z4543" i="34"/>
  <c r="N4544" i="34"/>
  <c r="O4544" i="34"/>
  <c r="P4544" i="34"/>
  <c r="Q4544" i="34"/>
  <c r="R4544" i="34"/>
  <c r="S4544" i="34"/>
  <c r="T4544" i="34"/>
  <c r="U4544" i="34"/>
  <c r="V4544" i="34"/>
  <c r="W4544" i="34"/>
  <c r="X4544" i="34"/>
  <c r="Y4544" i="34"/>
  <c r="Z4544" i="34"/>
  <c r="N4545" i="34"/>
  <c r="O4545" i="34"/>
  <c r="P4545" i="34"/>
  <c r="Q4545" i="34"/>
  <c r="R4545" i="34"/>
  <c r="S4545" i="34"/>
  <c r="T4545" i="34"/>
  <c r="U4545" i="34"/>
  <c r="V4545" i="34"/>
  <c r="W4545" i="34"/>
  <c r="X4545" i="34"/>
  <c r="Y4545" i="34"/>
  <c r="Z4545" i="34"/>
  <c r="N4546" i="34"/>
  <c r="O4546" i="34"/>
  <c r="P4546" i="34"/>
  <c r="Q4546" i="34"/>
  <c r="R4546" i="34"/>
  <c r="S4546" i="34"/>
  <c r="T4546" i="34"/>
  <c r="U4546" i="34"/>
  <c r="V4546" i="34"/>
  <c r="W4546" i="34"/>
  <c r="X4546" i="34"/>
  <c r="Y4546" i="34"/>
  <c r="Z4546" i="34"/>
  <c r="N4547" i="34"/>
  <c r="O4547" i="34"/>
  <c r="P4547" i="34"/>
  <c r="Q4547" i="34"/>
  <c r="R4547" i="34"/>
  <c r="S4547" i="34"/>
  <c r="T4547" i="34"/>
  <c r="U4547" i="34"/>
  <c r="V4547" i="34"/>
  <c r="W4547" i="34"/>
  <c r="X4547" i="34"/>
  <c r="Y4547" i="34"/>
  <c r="Z4547" i="34"/>
  <c r="N4548" i="34"/>
  <c r="O4548" i="34"/>
  <c r="P4548" i="34"/>
  <c r="Q4548" i="34"/>
  <c r="R4548" i="34"/>
  <c r="S4548" i="34"/>
  <c r="T4548" i="34"/>
  <c r="U4548" i="34"/>
  <c r="V4548" i="34"/>
  <c r="W4548" i="34"/>
  <c r="X4548" i="34"/>
  <c r="Y4548" i="34"/>
  <c r="Z4548" i="34"/>
  <c r="N4549" i="34"/>
  <c r="O4549" i="34"/>
  <c r="P4549" i="34"/>
  <c r="Q4549" i="34"/>
  <c r="R4549" i="34"/>
  <c r="S4549" i="34"/>
  <c r="T4549" i="34"/>
  <c r="U4549" i="34"/>
  <c r="V4549" i="34"/>
  <c r="W4549" i="34"/>
  <c r="X4549" i="34"/>
  <c r="Y4549" i="34"/>
  <c r="Z4549" i="34"/>
  <c r="N4550" i="34"/>
  <c r="O4550" i="34"/>
  <c r="P4550" i="34"/>
  <c r="Q4550" i="34"/>
  <c r="R4550" i="34"/>
  <c r="S4550" i="34"/>
  <c r="T4550" i="34"/>
  <c r="U4550" i="34"/>
  <c r="V4550" i="34"/>
  <c r="W4550" i="34"/>
  <c r="X4550" i="34"/>
  <c r="Y4550" i="34"/>
  <c r="Z4550" i="34"/>
  <c r="N4551" i="34"/>
  <c r="O4551" i="34"/>
  <c r="P4551" i="34"/>
  <c r="Q4551" i="34"/>
  <c r="R4551" i="34"/>
  <c r="S4551" i="34"/>
  <c r="T4551" i="34"/>
  <c r="U4551" i="34"/>
  <c r="V4551" i="34"/>
  <c r="W4551" i="34"/>
  <c r="X4551" i="34"/>
  <c r="Y4551" i="34"/>
  <c r="Z4551" i="34"/>
  <c r="N4552" i="34"/>
  <c r="O4552" i="34"/>
  <c r="P4552" i="34"/>
  <c r="Q4552" i="34"/>
  <c r="R4552" i="34"/>
  <c r="S4552" i="34"/>
  <c r="T4552" i="34"/>
  <c r="U4552" i="34"/>
  <c r="V4552" i="34"/>
  <c r="W4552" i="34"/>
  <c r="X4552" i="34"/>
  <c r="Y4552" i="34"/>
  <c r="Z4552" i="34"/>
  <c r="N4553" i="34"/>
  <c r="O4553" i="34"/>
  <c r="P4553" i="34"/>
  <c r="Q4553" i="34"/>
  <c r="R4553" i="34"/>
  <c r="S4553" i="34"/>
  <c r="T4553" i="34"/>
  <c r="U4553" i="34"/>
  <c r="V4553" i="34"/>
  <c r="W4553" i="34"/>
  <c r="X4553" i="34"/>
  <c r="Y4553" i="34"/>
  <c r="Z4553" i="34"/>
  <c r="N4554" i="34"/>
  <c r="O4554" i="34"/>
  <c r="P4554" i="34"/>
  <c r="Q4554" i="34"/>
  <c r="R4554" i="34"/>
  <c r="S4554" i="34"/>
  <c r="T4554" i="34"/>
  <c r="U4554" i="34"/>
  <c r="V4554" i="34"/>
  <c r="W4554" i="34"/>
  <c r="X4554" i="34"/>
  <c r="Y4554" i="34"/>
  <c r="Z4554" i="34"/>
  <c r="N4555" i="34"/>
  <c r="O4555" i="34"/>
  <c r="P4555" i="34"/>
  <c r="Q4555" i="34"/>
  <c r="R4555" i="34"/>
  <c r="S4555" i="34"/>
  <c r="T4555" i="34"/>
  <c r="U4555" i="34"/>
  <c r="V4555" i="34"/>
  <c r="W4555" i="34"/>
  <c r="X4555" i="34"/>
  <c r="Y4555" i="34"/>
  <c r="Z4555" i="34"/>
  <c r="N4556" i="34"/>
  <c r="O4556" i="34"/>
  <c r="P4556" i="34"/>
  <c r="Q4556" i="34"/>
  <c r="R4556" i="34"/>
  <c r="S4556" i="34"/>
  <c r="T4556" i="34"/>
  <c r="U4556" i="34"/>
  <c r="V4556" i="34"/>
  <c r="W4556" i="34"/>
  <c r="X4556" i="34"/>
  <c r="Y4556" i="34"/>
  <c r="Z4556" i="34"/>
  <c r="N4557" i="34"/>
  <c r="O4557" i="34"/>
  <c r="P4557" i="34"/>
  <c r="Q4557" i="34"/>
  <c r="R4557" i="34"/>
  <c r="S4557" i="34"/>
  <c r="T4557" i="34"/>
  <c r="U4557" i="34"/>
  <c r="V4557" i="34"/>
  <c r="W4557" i="34"/>
  <c r="X4557" i="34"/>
  <c r="Y4557" i="34"/>
  <c r="Z4557" i="34"/>
  <c r="N4558" i="34"/>
  <c r="O4558" i="34"/>
  <c r="P4558" i="34"/>
  <c r="Q4558" i="34"/>
  <c r="R4558" i="34"/>
  <c r="S4558" i="34"/>
  <c r="T4558" i="34"/>
  <c r="U4558" i="34"/>
  <c r="V4558" i="34"/>
  <c r="W4558" i="34"/>
  <c r="X4558" i="34"/>
  <c r="Y4558" i="34"/>
  <c r="Z4558" i="34"/>
  <c r="N4559" i="34"/>
  <c r="O4559" i="34"/>
  <c r="P4559" i="34"/>
  <c r="Q4559" i="34"/>
  <c r="R4559" i="34"/>
  <c r="S4559" i="34"/>
  <c r="T4559" i="34"/>
  <c r="U4559" i="34"/>
  <c r="V4559" i="34"/>
  <c r="W4559" i="34"/>
  <c r="X4559" i="34"/>
  <c r="Y4559" i="34"/>
  <c r="Z4559" i="34"/>
  <c r="N4560" i="34"/>
  <c r="O4560" i="34"/>
  <c r="P4560" i="34"/>
  <c r="Q4560" i="34"/>
  <c r="R4560" i="34"/>
  <c r="S4560" i="34"/>
  <c r="T4560" i="34"/>
  <c r="U4560" i="34"/>
  <c r="V4560" i="34"/>
  <c r="W4560" i="34"/>
  <c r="X4560" i="34"/>
  <c r="Y4560" i="34"/>
  <c r="Z4560" i="34"/>
  <c r="N4561" i="34"/>
  <c r="O4561" i="34"/>
  <c r="P4561" i="34"/>
  <c r="Q4561" i="34"/>
  <c r="R4561" i="34"/>
  <c r="S4561" i="34"/>
  <c r="T4561" i="34"/>
  <c r="U4561" i="34"/>
  <c r="V4561" i="34"/>
  <c r="W4561" i="34"/>
  <c r="X4561" i="34"/>
  <c r="Y4561" i="34"/>
  <c r="Z4561" i="34"/>
  <c r="N4562" i="34"/>
  <c r="O4562" i="34"/>
  <c r="P4562" i="34"/>
  <c r="Q4562" i="34"/>
  <c r="R4562" i="34"/>
  <c r="S4562" i="34"/>
  <c r="T4562" i="34"/>
  <c r="U4562" i="34"/>
  <c r="V4562" i="34"/>
  <c r="W4562" i="34"/>
  <c r="X4562" i="34"/>
  <c r="Y4562" i="34"/>
  <c r="Z4562" i="34"/>
  <c r="N4563" i="34"/>
  <c r="O4563" i="34"/>
  <c r="P4563" i="34"/>
  <c r="Q4563" i="34"/>
  <c r="R4563" i="34"/>
  <c r="S4563" i="34"/>
  <c r="T4563" i="34"/>
  <c r="U4563" i="34"/>
  <c r="V4563" i="34"/>
  <c r="W4563" i="34"/>
  <c r="X4563" i="34"/>
  <c r="Y4563" i="34"/>
  <c r="Z4563" i="34"/>
  <c r="N4564" i="34"/>
  <c r="O4564" i="34"/>
  <c r="P4564" i="34"/>
  <c r="Q4564" i="34"/>
  <c r="R4564" i="34"/>
  <c r="S4564" i="34"/>
  <c r="T4564" i="34"/>
  <c r="U4564" i="34"/>
  <c r="V4564" i="34"/>
  <c r="W4564" i="34"/>
  <c r="X4564" i="34"/>
  <c r="Y4564" i="34"/>
  <c r="Z4564" i="34"/>
  <c r="N4565" i="34"/>
  <c r="O4565" i="34"/>
  <c r="P4565" i="34"/>
  <c r="Q4565" i="34"/>
  <c r="R4565" i="34"/>
  <c r="S4565" i="34"/>
  <c r="T4565" i="34"/>
  <c r="U4565" i="34"/>
  <c r="V4565" i="34"/>
  <c r="W4565" i="34"/>
  <c r="X4565" i="34"/>
  <c r="Y4565" i="34"/>
  <c r="Z4565" i="34"/>
  <c r="N4566" i="34"/>
  <c r="O4566" i="34"/>
  <c r="P4566" i="34"/>
  <c r="Q4566" i="34"/>
  <c r="R4566" i="34"/>
  <c r="S4566" i="34"/>
  <c r="T4566" i="34"/>
  <c r="U4566" i="34"/>
  <c r="V4566" i="34"/>
  <c r="W4566" i="34"/>
  <c r="X4566" i="34"/>
  <c r="Y4566" i="34"/>
  <c r="Z4566" i="34"/>
  <c r="N4567" i="34"/>
  <c r="O4567" i="34"/>
  <c r="P4567" i="34"/>
  <c r="Q4567" i="34"/>
  <c r="R4567" i="34"/>
  <c r="S4567" i="34"/>
  <c r="T4567" i="34"/>
  <c r="U4567" i="34"/>
  <c r="V4567" i="34"/>
  <c r="W4567" i="34"/>
  <c r="X4567" i="34"/>
  <c r="Y4567" i="34"/>
  <c r="Z4567" i="34"/>
  <c r="N4568" i="34"/>
  <c r="O4568" i="34"/>
  <c r="P4568" i="34"/>
  <c r="Q4568" i="34"/>
  <c r="R4568" i="34"/>
  <c r="S4568" i="34"/>
  <c r="T4568" i="34"/>
  <c r="U4568" i="34"/>
  <c r="V4568" i="34"/>
  <c r="W4568" i="34"/>
  <c r="X4568" i="34"/>
  <c r="Y4568" i="34"/>
  <c r="Z4568" i="34"/>
  <c r="N4569" i="34"/>
  <c r="O4569" i="34"/>
  <c r="P4569" i="34"/>
  <c r="Q4569" i="34"/>
  <c r="R4569" i="34"/>
  <c r="S4569" i="34"/>
  <c r="T4569" i="34"/>
  <c r="U4569" i="34"/>
  <c r="V4569" i="34"/>
  <c r="W4569" i="34"/>
  <c r="X4569" i="34"/>
  <c r="Y4569" i="34"/>
  <c r="Z4569" i="34"/>
  <c r="N4570" i="34"/>
  <c r="O4570" i="34"/>
  <c r="P4570" i="34"/>
  <c r="Q4570" i="34"/>
  <c r="R4570" i="34"/>
  <c r="S4570" i="34"/>
  <c r="T4570" i="34"/>
  <c r="U4570" i="34"/>
  <c r="V4570" i="34"/>
  <c r="W4570" i="34"/>
  <c r="X4570" i="34"/>
  <c r="Y4570" i="34"/>
  <c r="Z4570" i="34"/>
  <c r="N4571" i="34"/>
  <c r="O4571" i="34"/>
  <c r="P4571" i="34"/>
  <c r="Q4571" i="34"/>
  <c r="R4571" i="34"/>
  <c r="S4571" i="34"/>
  <c r="T4571" i="34"/>
  <c r="U4571" i="34"/>
  <c r="V4571" i="34"/>
  <c r="W4571" i="34"/>
  <c r="X4571" i="34"/>
  <c r="Y4571" i="34"/>
  <c r="Z4571" i="34"/>
  <c r="N4572" i="34"/>
  <c r="O4572" i="34"/>
  <c r="P4572" i="34"/>
  <c r="Q4572" i="34"/>
  <c r="R4572" i="34"/>
  <c r="S4572" i="34"/>
  <c r="T4572" i="34"/>
  <c r="U4572" i="34"/>
  <c r="V4572" i="34"/>
  <c r="W4572" i="34"/>
  <c r="X4572" i="34"/>
  <c r="Y4572" i="34"/>
  <c r="Z4572" i="34"/>
  <c r="N4573" i="34"/>
  <c r="O4573" i="34"/>
  <c r="P4573" i="34"/>
  <c r="Q4573" i="34"/>
  <c r="R4573" i="34"/>
  <c r="S4573" i="34"/>
  <c r="T4573" i="34"/>
  <c r="U4573" i="34"/>
  <c r="V4573" i="34"/>
  <c r="W4573" i="34"/>
  <c r="X4573" i="34"/>
  <c r="Y4573" i="34"/>
  <c r="Z4573" i="34"/>
  <c r="N4574" i="34"/>
  <c r="O4574" i="34"/>
  <c r="P4574" i="34"/>
  <c r="Q4574" i="34"/>
  <c r="R4574" i="34"/>
  <c r="S4574" i="34"/>
  <c r="T4574" i="34"/>
  <c r="U4574" i="34"/>
  <c r="V4574" i="34"/>
  <c r="W4574" i="34"/>
  <c r="X4574" i="34"/>
  <c r="Y4574" i="34"/>
  <c r="Z4574" i="34"/>
  <c r="N4575" i="34"/>
  <c r="O4575" i="34"/>
  <c r="P4575" i="34"/>
  <c r="Q4575" i="34"/>
  <c r="R4575" i="34"/>
  <c r="S4575" i="34"/>
  <c r="T4575" i="34"/>
  <c r="U4575" i="34"/>
  <c r="V4575" i="34"/>
  <c r="W4575" i="34"/>
  <c r="X4575" i="34"/>
  <c r="Y4575" i="34"/>
  <c r="Z4575" i="34"/>
  <c r="N4576" i="34"/>
  <c r="O4576" i="34"/>
  <c r="P4576" i="34"/>
  <c r="Q4576" i="34"/>
  <c r="R4576" i="34"/>
  <c r="S4576" i="34"/>
  <c r="T4576" i="34"/>
  <c r="U4576" i="34"/>
  <c r="V4576" i="34"/>
  <c r="W4576" i="34"/>
  <c r="X4576" i="34"/>
  <c r="Y4576" i="34"/>
  <c r="Z4576" i="34"/>
  <c r="N4577" i="34"/>
  <c r="O4577" i="34"/>
  <c r="P4577" i="34"/>
  <c r="Q4577" i="34"/>
  <c r="R4577" i="34"/>
  <c r="S4577" i="34"/>
  <c r="T4577" i="34"/>
  <c r="U4577" i="34"/>
  <c r="V4577" i="34"/>
  <c r="W4577" i="34"/>
  <c r="X4577" i="34"/>
  <c r="Y4577" i="34"/>
  <c r="Z4577" i="34"/>
  <c r="N4578" i="34"/>
  <c r="O4578" i="34"/>
  <c r="P4578" i="34"/>
  <c r="Q4578" i="34"/>
  <c r="R4578" i="34"/>
  <c r="S4578" i="34"/>
  <c r="T4578" i="34"/>
  <c r="U4578" i="34"/>
  <c r="V4578" i="34"/>
  <c r="W4578" i="34"/>
  <c r="X4578" i="34"/>
  <c r="Y4578" i="34"/>
  <c r="Z4578" i="34"/>
  <c r="N4579" i="34"/>
  <c r="O4579" i="34"/>
  <c r="P4579" i="34"/>
  <c r="Q4579" i="34"/>
  <c r="R4579" i="34"/>
  <c r="S4579" i="34"/>
  <c r="T4579" i="34"/>
  <c r="U4579" i="34"/>
  <c r="V4579" i="34"/>
  <c r="W4579" i="34"/>
  <c r="X4579" i="34"/>
  <c r="Y4579" i="34"/>
  <c r="Z4579" i="34"/>
  <c r="N4580" i="34"/>
  <c r="O4580" i="34"/>
  <c r="P4580" i="34"/>
  <c r="Q4580" i="34"/>
  <c r="R4580" i="34"/>
  <c r="S4580" i="34"/>
  <c r="T4580" i="34"/>
  <c r="U4580" i="34"/>
  <c r="V4580" i="34"/>
  <c r="W4580" i="34"/>
  <c r="X4580" i="34"/>
  <c r="Y4580" i="34"/>
  <c r="Z4580" i="34"/>
  <c r="N4581" i="34"/>
  <c r="O4581" i="34"/>
  <c r="P4581" i="34"/>
  <c r="Q4581" i="34"/>
  <c r="R4581" i="34"/>
  <c r="S4581" i="34"/>
  <c r="T4581" i="34"/>
  <c r="U4581" i="34"/>
  <c r="V4581" i="34"/>
  <c r="W4581" i="34"/>
  <c r="X4581" i="34"/>
  <c r="Y4581" i="34"/>
  <c r="Z4581" i="34"/>
  <c r="N4582" i="34"/>
  <c r="O4582" i="34"/>
  <c r="P4582" i="34"/>
  <c r="Q4582" i="34"/>
  <c r="R4582" i="34"/>
  <c r="S4582" i="34"/>
  <c r="T4582" i="34"/>
  <c r="U4582" i="34"/>
  <c r="V4582" i="34"/>
  <c r="W4582" i="34"/>
  <c r="X4582" i="34"/>
  <c r="Y4582" i="34"/>
  <c r="Z4582" i="34"/>
  <c r="N4583" i="34"/>
  <c r="O4583" i="34"/>
  <c r="P4583" i="34"/>
  <c r="Q4583" i="34"/>
  <c r="R4583" i="34"/>
  <c r="S4583" i="34"/>
  <c r="T4583" i="34"/>
  <c r="U4583" i="34"/>
  <c r="V4583" i="34"/>
  <c r="W4583" i="34"/>
  <c r="X4583" i="34"/>
  <c r="Y4583" i="34"/>
  <c r="Z4583" i="34"/>
  <c r="N4584" i="34"/>
  <c r="O4584" i="34"/>
  <c r="P4584" i="34"/>
  <c r="Q4584" i="34"/>
  <c r="R4584" i="34"/>
  <c r="S4584" i="34"/>
  <c r="T4584" i="34"/>
  <c r="U4584" i="34"/>
  <c r="V4584" i="34"/>
  <c r="W4584" i="34"/>
  <c r="X4584" i="34"/>
  <c r="Y4584" i="34"/>
  <c r="Z4584" i="34"/>
  <c r="N4585" i="34"/>
  <c r="O4585" i="34"/>
  <c r="P4585" i="34"/>
  <c r="Q4585" i="34"/>
  <c r="R4585" i="34"/>
  <c r="S4585" i="34"/>
  <c r="T4585" i="34"/>
  <c r="U4585" i="34"/>
  <c r="V4585" i="34"/>
  <c r="W4585" i="34"/>
  <c r="X4585" i="34"/>
  <c r="Y4585" i="34"/>
  <c r="Z4585" i="34"/>
  <c r="N4586" i="34"/>
  <c r="O4586" i="34"/>
  <c r="P4586" i="34"/>
  <c r="Q4586" i="34"/>
  <c r="R4586" i="34"/>
  <c r="S4586" i="34"/>
  <c r="T4586" i="34"/>
  <c r="U4586" i="34"/>
  <c r="V4586" i="34"/>
  <c r="W4586" i="34"/>
  <c r="X4586" i="34"/>
  <c r="Y4586" i="34"/>
  <c r="Z4586" i="34"/>
  <c r="N4587" i="34"/>
  <c r="O4587" i="34"/>
  <c r="P4587" i="34"/>
  <c r="Q4587" i="34"/>
  <c r="R4587" i="34"/>
  <c r="S4587" i="34"/>
  <c r="T4587" i="34"/>
  <c r="U4587" i="34"/>
  <c r="V4587" i="34"/>
  <c r="W4587" i="34"/>
  <c r="X4587" i="34"/>
  <c r="Y4587" i="34"/>
  <c r="Z4587" i="34"/>
  <c r="N4588" i="34"/>
  <c r="O4588" i="34"/>
  <c r="P4588" i="34"/>
  <c r="Q4588" i="34"/>
  <c r="R4588" i="34"/>
  <c r="S4588" i="34"/>
  <c r="T4588" i="34"/>
  <c r="U4588" i="34"/>
  <c r="V4588" i="34"/>
  <c r="W4588" i="34"/>
  <c r="X4588" i="34"/>
  <c r="Y4588" i="34"/>
  <c r="Z4588" i="34"/>
  <c r="N4589" i="34"/>
  <c r="O4589" i="34"/>
  <c r="P4589" i="34"/>
  <c r="Q4589" i="34"/>
  <c r="R4589" i="34"/>
  <c r="S4589" i="34"/>
  <c r="T4589" i="34"/>
  <c r="U4589" i="34"/>
  <c r="V4589" i="34"/>
  <c r="W4589" i="34"/>
  <c r="X4589" i="34"/>
  <c r="Y4589" i="34"/>
  <c r="Z4589" i="34"/>
  <c r="N4590" i="34"/>
  <c r="O4590" i="34"/>
  <c r="P4590" i="34"/>
  <c r="Q4590" i="34"/>
  <c r="R4590" i="34"/>
  <c r="S4590" i="34"/>
  <c r="T4590" i="34"/>
  <c r="U4590" i="34"/>
  <c r="V4590" i="34"/>
  <c r="W4590" i="34"/>
  <c r="X4590" i="34"/>
  <c r="Y4590" i="34"/>
  <c r="Z4590" i="34"/>
  <c r="N4591" i="34"/>
  <c r="O4591" i="34"/>
  <c r="P4591" i="34"/>
  <c r="Q4591" i="34"/>
  <c r="R4591" i="34"/>
  <c r="S4591" i="34"/>
  <c r="T4591" i="34"/>
  <c r="U4591" i="34"/>
  <c r="V4591" i="34"/>
  <c r="W4591" i="34"/>
  <c r="X4591" i="34"/>
  <c r="Y4591" i="34"/>
  <c r="Z4591" i="34"/>
  <c r="N4592" i="34"/>
  <c r="O4592" i="34"/>
  <c r="P4592" i="34"/>
  <c r="Q4592" i="34"/>
  <c r="R4592" i="34"/>
  <c r="S4592" i="34"/>
  <c r="T4592" i="34"/>
  <c r="U4592" i="34"/>
  <c r="V4592" i="34"/>
  <c r="W4592" i="34"/>
  <c r="X4592" i="34"/>
  <c r="Y4592" i="34"/>
  <c r="Z4592" i="34"/>
  <c r="N4593" i="34"/>
  <c r="O4593" i="34"/>
  <c r="P4593" i="34"/>
  <c r="Q4593" i="34"/>
  <c r="R4593" i="34"/>
  <c r="S4593" i="34"/>
  <c r="T4593" i="34"/>
  <c r="U4593" i="34"/>
  <c r="V4593" i="34"/>
  <c r="W4593" i="34"/>
  <c r="X4593" i="34"/>
  <c r="Y4593" i="34"/>
  <c r="Z4593" i="34"/>
  <c r="N4594" i="34"/>
  <c r="O4594" i="34"/>
  <c r="P4594" i="34"/>
  <c r="Q4594" i="34"/>
  <c r="R4594" i="34"/>
  <c r="S4594" i="34"/>
  <c r="T4594" i="34"/>
  <c r="U4594" i="34"/>
  <c r="V4594" i="34"/>
  <c r="W4594" i="34"/>
  <c r="X4594" i="34"/>
  <c r="Y4594" i="34"/>
  <c r="Z4594" i="34"/>
  <c r="N4595" i="34"/>
  <c r="O4595" i="34"/>
  <c r="P4595" i="34"/>
  <c r="Q4595" i="34"/>
  <c r="R4595" i="34"/>
  <c r="S4595" i="34"/>
  <c r="T4595" i="34"/>
  <c r="U4595" i="34"/>
  <c r="V4595" i="34"/>
  <c r="W4595" i="34"/>
  <c r="X4595" i="34"/>
  <c r="Y4595" i="34"/>
  <c r="Z4595" i="34"/>
  <c r="N4596" i="34"/>
  <c r="O4596" i="34"/>
  <c r="P4596" i="34"/>
  <c r="Q4596" i="34"/>
  <c r="R4596" i="34"/>
  <c r="S4596" i="34"/>
  <c r="T4596" i="34"/>
  <c r="U4596" i="34"/>
  <c r="V4596" i="34"/>
  <c r="W4596" i="34"/>
  <c r="X4596" i="34"/>
  <c r="Y4596" i="34"/>
  <c r="Z4596" i="34"/>
  <c r="N4597" i="34"/>
  <c r="O4597" i="34"/>
  <c r="P4597" i="34"/>
  <c r="Q4597" i="34"/>
  <c r="R4597" i="34"/>
  <c r="S4597" i="34"/>
  <c r="T4597" i="34"/>
  <c r="U4597" i="34"/>
  <c r="V4597" i="34"/>
  <c r="W4597" i="34"/>
  <c r="X4597" i="34"/>
  <c r="Y4597" i="34"/>
  <c r="Z4597" i="34"/>
  <c r="N4598" i="34"/>
  <c r="O4598" i="34"/>
  <c r="P4598" i="34"/>
  <c r="Q4598" i="34"/>
  <c r="R4598" i="34"/>
  <c r="S4598" i="34"/>
  <c r="T4598" i="34"/>
  <c r="U4598" i="34"/>
  <c r="V4598" i="34"/>
  <c r="W4598" i="34"/>
  <c r="X4598" i="34"/>
  <c r="Y4598" i="34"/>
  <c r="Z4598" i="34"/>
  <c r="N4599" i="34"/>
  <c r="O4599" i="34"/>
  <c r="P4599" i="34"/>
  <c r="Q4599" i="34"/>
  <c r="R4599" i="34"/>
  <c r="S4599" i="34"/>
  <c r="T4599" i="34"/>
  <c r="U4599" i="34"/>
  <c r="V4599" i="34"/>
  <c r="W4599" i="34"/>
  <c r="X4599" i="34"/>
  <c r="Y4599" i="34"/>
  <c r="Z4599" i="34"/>
  <c r="N4600" i="34"/>
  <c r="O4600" i="34"/>
  <c r="P4600" i="34"/>
  <c r="Q4600" i="34"/>
  <c r="R4600" i="34"/>
  <c r="S4600" i="34"/>
  <c r="T4600" i="34"/>
  <c r="U4600" i="34"/>
  <c r="V4600" i="34"/>
  <c r="W4600" i="34"/>
  <c r="X4600" i="34"/>
  <c r="Y4600" i="34"/>
  <c r="Z4600" i="34"/>
  <c r="N4601" i="34"/>
  <c r="O4601" i="34"/>
  <c r="P4601" i="34"/>
  <c r="Q4601" i="34"/>
  <c r="R4601" i="34"/>
  <c r="S4601" i="34"/>
  <c r="T4601" i="34"/>
  <c r="U4601" i="34"/>
  <c r="V4601" i="34"/>
  <c r="W4601" i="34"/>
  <c r="X4601" i="34"/>
  <c r="Y4601" i="34"/>
  <c r="Z4601" i="34"/>
  <c r="N4602" i="34"/>
  <c r="O4602" i="34"/>
  <c r="P4602" i="34"/>
  <c r="Q4602" i="34"/>
  <c r="R4602" i="34"/>
  <c r="S4602" i="34"/>
  <c r="T4602" i="34"/>
  <c r="U4602" i="34"/>
  <c r="V4602" i="34"/>
  <c r="W4602" i="34"/>
  <c r="X4602" i="34"/>
  <c r="Y4602" i="34"/>
  <c r="Z4602" i="34"/>
  <c r="N4603" i="34"/>
  <c r="O4603" i="34"/>
  <c r="P4603" i="34"/>
  <c r="Q4603" i="34"/>
  <c r="R4603" i="34"/>
  <c r="S4603" i="34"/>
  <c r="T4603" i="34"/>
  <c r="U4603" i="34"/>
  <c r="V4603" i="34"/>
  <c r="W4603" i="34"/>
  <c r="X4603" i="34"/>
  <c r="Y4603" i="34"/>
  <c r="Z4603" i="34"/>
  <c r="N4604" i="34"/>
  <c r="O4604" i="34"/>
  <c r="P4604" i="34"/>
  <c r="Q4604" i="34"/>
  <c r="R4604" i="34"/>
  <c r="S4604" i="34"/>
  <c r="T4604" i="34"/>
  <c r="U4604" i="34"/>
  <c r="V4604" i="34"/>
  <c r="W4604" i="34"/>
  <c r="X4604" i="34"/>
  <c r="Y4604" i="34"/>
  <c r="Z4604" i="34"/>
  <c r="N4605" i="34"/>
  <c r="O4605" i="34"/>
  <c r="P4605" i="34"/>
  <c r="Q4605" i="34"/>
  <c r="R4605" i="34"/>
  <c r="S4605" i="34"/>
  <c r="T4605" i="34"/>
  <c r="U4605" i="34"/>
  <c r="V4605" i="34"/>
  <c r="W4605" i="34"/>
  <c r="X4605" i="34"/>
  <c r="Y4605" i="34"/>
  <c r="Z4605" i="34"/>
  <c r="N4606" i="34"/>
  <c r="O4606" i="34"/>
  <c r="P4606" i="34"/>
  <c r="Q4606" i="34"/>
  <c r="R4606" i="34"/>
  <c r="S4606" i="34"/>
  <c r="T4606" i="34"/>
  <c r="U4606" i="34"/>
  <c r="V4606" i="34"/>
  <c r="W4606" i="34"/>
  <c r="X4606" i="34"/>
  <c r="Y4606" i="34"/>
  <c r="Z4606" i="34"/>
  <c r="N4607" i="34"/>
  <c r="O4607" i="34"/>
  <c r="P4607" i="34"/>
  <c r="Q4607" i="34"/>
  <c r="R4607" i="34"/>
  <c r="S4607" i="34"/>
  <c r="T4607" i="34"/>
  <c r="U4607" i="34"/>
  <c r="V4607" i="34"/>
  <c r="W4607" i="34"/>
  <c r="X4607" i="34"/>
  <c r="Y4607" i="34"/>
  <c r="Z4607" i="34"/>
  <c r="N4608" i="34"/>
  <c r="O4608" i="34"/>
  <c r="P4608" i="34"/>
  <c r="Q4608" i="34"/>
  <c r="R4608" i="34"/>
  <c r="S4608" i="34"/>
  <c r="T4608" i="34"/>
  <c r="U4608" i="34"/>
  <c r="V4608" i="34"/>
  <c r="W4608" i="34"/>
  <c r="X4608" i="34"/>
  <c r="Y4608" i="34"/>
  <c r="Z4608" i="34"/>
  <c r="N4609" i="34"/>
  <c r="O4609" i="34"/>
  <c r="P4609" i="34"/>
  <c r="Q4609" i="34"/>
  <c r="R4609" i="34"/>
  <c r="S4609" i="34"/>
  <c r="T4609" i="34"/>
  <c r="U4609" i="34"/>
  <c r="V4609" i="34"/>
  <c r="W4609" i="34"/>
  <c r="X4609" i="34"/>
  <c r="Y4609" i="34"/>
  <c r="Z4609" i="34"/>
  <c r="N4610" i="34"/>
  <c r="O4610" i="34"/>
  <c r="P4610" i="34"/>
  <c r="Q4610" i="34"/>
  <c r="R4610" i="34"/>
  <c r="S4610" i="34"/>
  <c r="T4610" i="34"/>
  <c r="U4610" i="34"/>
  <c r="V4610" i="34"/>
  <c r="W4610" i="34"/>
  <c r="X4610" i="34"/>
  <c r="Y4610" i="34"/>
  <c r="Z4610" i="34"/>
  <c r="N4611" i="34"/>
  <c r="O4611" i="34"/>
  <c r="P4611" i="34"/>
  <c r="Q4611" i="34"/>
  <c r="R4611" i="34"/>
  <c r="S4611" i="34"/>
  <c r="T4611" i="34"/>
  <c r="U4611" i="34"/>
  <c r="V4611" i="34"/>
  <c r="W4611" i="34"/>
  <c r="X4611" i="34"/>
  <c r="Y4611" i="34"/>
  <c r="Z4611" i="34"/>
  <c r="N4612" i="34"/>
  <c r="O4612" i="34"/>
  <c r="P4612" i="34"/>
  <c r="Q4612" i="34"/>
  <c r="R4612" i="34"/>
  <c r="S4612" i="34"/>
  <c r="T4612" i="34"/>
  <c r="U4612" i="34"/>
  <c r="V4612" i="34"/>
  <c r="W4612" i="34"/>
  <c r="X4612" i="34"/>
  <c r="Y4612" i="34"/>
  <c r="Z4612" i="34"/>
  <c r="N4613" i="34"/>
  <c r="O4613" i="34"/>
  <c r="P4613" i="34"/>
  <c r="Q4613" i="34"/>
  <c r="R4613" i="34"/>
  <c r="S4613" i="34"/>
  <c r="T4613" i="34"/>
  <c r="U4613" i="34"/>
  <c r="V4613" i="34"/>
  <c r="W4613" i="34"/>
  <c r="X4613" i="34"/>
  <c r="Y4613" i="34"/>
  <c r="Z4613" i="34"/>
  <c r="N4614" i="34"/>
  <c r="O4614" i="34"/>
  <c r="P4614" i="34"/>
  <c r="Q4614" i="34"/>
  <c r="R4614" i="34"/>
  <c r="S4614" i="34"/>
  <c r="T4614" i="34"/>
  <c r="U4614" i="34"/>
  <c r="V4614" i="34"/>
  <c r="W4614" i="34"/>
  <c r="X4614" i="34"/>
  <c r="Y4614" i="34"/>
  <c r="Z4614" i="34"/>
  <c r="N4615" i="34"/>
  <c r="O4615" i="34"/>
  <c r="P4615" i="34"/>
  <c r="Q4615" i="34"/>
  <c r="R4615" i="34"/>
  <c r="S4615" i="34"/>
  <c r="T4615" i="34"/>
  <c r="U4615" i="34"/>
  <c r="V4615" i="34"/>
  <c r="W4615" i="34"/>
  <c r="X4615" i="34"/>
  <c r="Y4615" i="34"/>
  <c r="Z4615" i="34"/>
  <c r="N4616" i="34"/>
  <c r="O4616" i="34"/>
  <c r="P4616" i="34"/>
  <c r="Q4616" i="34"/>
  <c r="R4616" i="34"/>
  <c r="S4616" i="34"/>
  <c r="T4616" i="34"/>
  <c r="U4616" i="34"/>
  <c r="V4616" i="34"/>
  <c r="W4616" i="34"/>
  <c r="X4616" i="34"/>
  <c r="Y4616" i="34"/>
  <c r="Z4616" i="34"/>
  <c r="N4617" i="34"/>
  <c r="O4617" i="34"/>
  <c r="P4617" i="34"/>
  <c r="Q4617" i="34"/>
  <c r="R4617" i="34"/>
  <c r="S4617" i="34"/>
  <c r="T4617" i="34"/>
  <c r="U4617" i="34"/>
  <c r="V4617" i="34"/>
  <c r="W4617" i="34"/>
  <c r="X4617" i="34"/>
  <c r="Y4617" i="34"/>
  <c r="Z4617" i="34"/>
  <c r="N4618" i="34"/>
  <c r="O4618" i="34"/>
  <c r="P4618" i="34"/>
  <c r="Q4618" i="34"/>
  <c r="R4618" i="34"/>
  <c r="S4618" i="34"/>
  <c r="T4618" i="34"/>
  <c r="U4618" i="34"/>
  <c r="V4618" i="34"/>
  <c r="W4618" i="34"/>
  <c r="X4618" i="34"/>
  <c r="Y4618" i="34"/>
  <c r="Z4618" i="34"/>
  <c r="N4619" i="34"/>
  <c r="O4619" i="34"/>
  <c r="P4619" i="34"/>
  <c r="Q4619" i="34"/>
  <c r="R4619" i="34"/>
  <c r="S4619" i="34"/>
  <c r="T4619" i="34"/>
  <c r="U4619" i="34"/>
  <c r="V4619" i="34"/>
  <c r="W4619" i="34"/>
  <c r="X4619" i="34"/>
  <c r="Y4619" i="34"/>
  <c r="Z4619" i="34"/>
  <c r="N4620" i="34"/>
  <c r="O4620" i="34"/>
  <c r="P4620" i="34"/>
  <c r="Q4620" i="34"/>
  <c r="R4620" i="34"/>
  <c r="S4620" i="34"/>
  <c r="T4620" i="34"/>
  <c r="U4620" i="34"/>
  <c r="V4620" i="34"/>
  <c r="W4620" i="34"/>
  <c r="X4620" i="34"/>
  <c r="Y4620" i="34"/>
  <c r="Z4620" i="34"/>
  <c r="N4621" i="34"/>
  <c r="O4621" i="34"/>
  <c r="P4621" i="34"/>
  <c r="Q4621" i="34"/>
  <c r="R4621" i="34"/>
  <c r="S4621" i="34"/>
  <c r="T4621" i="34"/>
  <c r="U4621" i="34"/>
  <c r="V4621" i="34"/>
  <c r="W4621" i="34"/>
  <c r="X4621" i="34"/>
  <c r="Y4621" i="34"/>
  <c r="Z4621" i="34"/>
  <c r="N4622" i="34"/>
  <c r="O4622" i="34"/>
  <c r="P4622" i="34"/>
  <c r="Q4622" i="34"/>
  <c r="R4622" i="34"/>
  <c r="S4622" i="34"/>
  <c r="T4622" i="34"/>
  <c r="U4622" i="34"/>
  <c r="V4622" i="34"/>
  <c r="W4622" i="34"/>
  <c r="X4622" i="34"/>
  <c r="Y4622" i="34"/>
  <c r="Z4622" i="34"/>
  <c r="N4623" i="34"/>
  <c r="O4623" i="34"/>
  <c r="P4623" i="34"/>
  <c r="Q4623" i="34"/>
  <c r="R4623" i="34"/>
  <c r="S4623" i="34"/>
  <c r="T4623" i="34"/>
  <c r="U4623" i="34"/>
  <c r="V4623" i="34"/>
  <c r="W4623" i="34"/>
  <c r="X4623" i="34"/>
  <c r="Y4623" i="34"/>
  <c r="Z4623" i="34"/>
  <c r="N4624" i="34"/>
  <c r="O4624" i="34"/>
  <c r="P4624" i="34"/>
  <c r="Q4624" i="34"/>
  <c r="R4624" i="34"/>
  <c r="S4624" i="34"/>
  <c r="T4624" i="34"/>
  <c r="U4624" i="34"/>
  <c r="V4624" i="34"/>
  <c r="W4624" i="34"/>
  <c r="X4624" i="34"/>
  <c r="Y4624" i="34"/>
  <c r="Z4624" i="34"/>
  <c r="N4625" i="34"/>
  <c r="O4625" i="34"/>
  <c r="P4625" i="34"/>
  <c r="Q4625" i="34"/>
  <c r="R4625" i="34"/>
  <c r="S4625" i="34"/>
  <c r="T4625" i="34"/>
  <c r="U4625" i="34"/>
  <c r="V4625" i="34"/>
  <c r="W4625" i="34"/>
  <c r="X4625" i="34"/>
  <c r="Y4625" i="34"/>
  <c r="Z4625" i="34"/>
  <c r="N4626" i="34"/>
  <c r="O4626" i="34"/>
  <c r="P4626" i="34"/>
  <c r="Q4626" i="34"/>
  <c r="R4626" i="34"/>
  <c r="S4626" i="34"/>
  <c r="T4626" i="34"/>
  <c r="U4626" i="34"/>
  <c r="V4626" i="34"/>
  <c r="W4626" i="34"/>
  <c r="X4626" i="34"/>
  <c r="Y4626" i="34"/>
  <c r="Z4626" i="34"/>
  <c r="N4627" i="34"/>
  <c r="O4627" i="34"/>
  <c r="P4627" i="34"/>
  <c r="Q4627" i="34"/>
  <c r="R4627" i="34"/>
  <c r="S4627" i="34"/>
  <c r="T4627" i="34"/>
  <c r="U4627" i="34"/>
  <c r="V4627" i="34"/>
  <c r="W4627" i="34"/>
  <c r="X4627" i="34"/>
  <c r="Y4627" i="34"/>
  <c r="Z4627" i="34"/>
  <c r="N4628" i="34"/>
  <c r="O4628" i="34"/>
  <c r="P4628" i="34"/>
  <c r="Q4628" i="34"/>
  <c r="R4628" i="34"/>
  <c r="S4628" i="34"/>
  <c r="T4628" i="34"/>
  <c r="U4628" i="34"/>
  <c r="V4628" i="34"/>
  <c r="W4628" i="34"/>
  <c r="X4628" i="34"/>
  <c r="Y4628" i="34"/>
  <c r="Z4628" i="34"/>
  <c r="N4629" i="34"/>
  <c r="O4629" i="34"/>
  <c r="P4629" i="34"/>
  <c r="Q4629" i="34"/>
  <c r="R4629" i="34"/>
  <c r="S4629" i="34"/>
  <c r="T4629" i="34"/>
  <c r="U4629" i="34"/>
  <c r="V4629" i="34"/>
  <c r="W4629" i="34"/>
  <c r="X4629" i="34"/>
  <c r="Y4629" i="34"/>
  <c r="Z4629" i="34"/>
  <c r="N4630" i="34"/>
  <c r="O4630" i="34"/>
  <c r="P4630" i="34"/>
  <c r="Q4630" i="34"/>
  <c r="R4630" i="34"/>
  <c r="S4630" i="34"/>
  <c r="T4630" i="34"/>
  <c r="U4630" i="34"/>
  <c r="V4630" i="34"/>
  <c r="W4630" i="34"/>
  <c r="X4630" i="34"/>
  <c r="Y4630" i="34"/>
  <c r="Z4630" i="34"/>
  <c r="N4631" i="34"/>
  <c r="O4631" i="34"/>
  <c r="P4631" i="34"/>
  <c r="Q4631" i="34"/>
  <c r="R4631" i="34"/>
  <c r="S4631" i="34"/>
  <c r="T4631" i="34"/>
  <c r="U4631" i="34"/>
  <c r="V4631" i="34"/>
  <c r="W4631" i="34"/>
  <c r="X4631" i="34"/>
  <c r="Y4631" i="34"/>
  <c r="Z4631" i="34"/>
  <c r="N4632" i="34"/>
  <c r="O4632" i="34"/>
  <c r="P4632" i="34"/>
  <c r="Q4632" i="34"/>
  <c r="R4632" i="34"/>
  <c r="S4632" i="34"/>
  <c r="T4632" i="34"/>
  <c r="U4632" i="34"/>
  <c r="V4632" i="34"/>
  <c r="W4632" i="34"/>
  <c r="X4632" i="34"/>
  <c r="Y4632" i="34"/>
  <c r="Z4632" i="34"/>
  <c r="N4633" i="34"/>
  <c r="O4633" i="34"/>
  <c r="P4633" i="34"/>
  <c r="Q4633" i="34"/>
  <c r="R4633" i="34"/>
  <c r="S4633" i="34"/>
  <c r="T4633" i="34"/>
  <c r="U4633" i="34"/>
  <c r="V4633" i="34"/>
  <c r="W4633" i="34"/>
  <c r="X4633" i="34"/>
  <c r="Y4633" i="34"/>
  <c r="Z4633" i="34"/>
  <c r="N4634" i="34"/>
  <c r="O4634" i="34"/>
  <c r="P4634" i="34"/>
  <c r="Q4634" i="34"/>
  <c r="R4634" i="34"/>
  <c r="S4634" i="34"/>
  <c r="T4634" i="34"/>
  <c r="U4634" i="34"/>
  <c r="V4634" i="34"/>
  <c r="W4634" i="34"/>
  <c r="X4634" i="34"/>
  <c r="Y4634" i="34"/>
  <c r="Z4634" i="34"/>
  <c r="N4635" i="34"/>
  <c r="O4635" i="34"/>
  <c r="P4635" i="34"/>
  <c r="Q4635" i="34"/>
  <c r="R4635" i="34"/>
  <c r="S4635" i="34"/>
  <c r="T4635" i="34"/>
  <c r="U4635" i="34"/>
  <c r="V4635" i="34"/>
  <c r="W4635" i="34"/>
  <c r="X4635" i="34"/>
  <c r="Y4635" i="34"/>
  <c r="Z4635" i="34"/>
  <c r="N4636" i="34"/>
  <c r="O4636" i="34"/>
  <c r="P4636" i="34"/>
  <c r="Q4636" i="34"/>
  <c r="R4636" i="34"/>
  <c r="S4636" i="34"/>
  <c r="T4636" i="34"/>
  <c r="U4636" i="34"/>
  <c r="V4636" i="34"/>
  <c r="W4636" i="34"/>
  <c r="X4636" i="34"/>
  <c r="Y4636" i="34"/>
  <c r="Z4636" i="34"/>
  <c r="N4637" i="34"/>
  <c r="O4637" i="34"/>
  <c r="P4637" i="34"/>
  <c r="Q4637" i="34"/>
  <c r="R4637" i="34"/>
  <c r="S4637" i="34"/>
  <c r="T4637" i="34"/>
  <c r="U4637" i="34"/>
  <c r="V4637" i="34"/>
  <c r="W4637" i="34"/>
  <c r="X4637" i="34"/>
  <c r="Y4637" i="34"/>
  <c r="Z4637" i="34"/>
  <c r="N4638" i="34"/>
  <c r="O4638" i="34"/>
  <c r="P4638" i="34"/>
  <c r="Q4638" i="34"/>
  <c r="R4638" i="34"/>
  <c r="S4638" i="34"/>
  <c r="T4638" i="34"/>
  <c r="U4638" i="34"/>
  <c r="V4638" i="34"/>
  <c r="W4638" i="34"/>
  <c r="X4638" i="34"/>
  <c r="Y4638" i="34"/>
  <c r="Z4638" i="34"/>
  <c r="N4639" i="34"/>
  <c r="O4639" i="34"/>
  <c r="P4639" i="34"/>
  <c r="Q4639" i="34"/>
  <c r="R4639" i="34"/>
  <c r="S4639" i="34"/>
  <c r="T4639" i="34"/>
  <c r="U4639" i="34"/>
  <c r="V4639" i="34"/>
  <c r="W4639" i="34"/>
  <c r="X4639" i="34"/>
  <c r="Y4639" i="34"/>
  <c r="Z4639" i="34"/>
  <c r="N4640" i="34"/>
  <c r="O4640" i="34"/>
  <c r="P4640" i="34"/>
  <c r="Q4640" i="34"/>
  <c r="R4640" i="34"/>
  <c r="S4640" i="34"/>
  <c r="T4640" i="34"/>
  <c r="U4640" i="34"/>
  <c r="V4640" i="34"/>
  <c r="W4640" i="34"/>
  <c r="X4640" i="34"/>
  <c r="Y4640" i="34"/>
  <c r="Z4640" i="34"/>
  <c r="N4641" i="34"/>
  <c r="O4641" i="34"/>
  <c r="P4641" i="34"/>
  <c r="Q4641" i="34"/>
  <c r="R4641" i="34"/>
  <c r="S4641" i="34"/>
  <c r="T4641" i="34"/>
  <c r="U4641" i="34"/>
  <c r="V4641" i="34"/>
  <c r="W4641" i="34"/>
  <c r="X4641" i="34"/>
  <c r="Y4641" i="34"/>
  <c r="Z4641" i="34"/>
  <c r="N4642" i="34"/>
  <c r="O4642" i="34"/>
  <c r="P4642" i="34"/>
  <c r="Q4642" i="34"/>
  <c r="R4642" i="34"/>
  <c r="S4642" i="34"/>
  <c r="T4642" i="34"/>
  <c r="U4642" i="34"/>
  <c r="V4642" i="34"/>
  <c r="W4642" i="34"/>
  <c r="X4642" i="34"/>
  <c r="Y4642" i="34"/>
  <c r="Z4642" i="34"/>
  <c r="N4643" i="34"/>
  <c r="O4643" i="34"/>
  <c r="P4643" i="34"/>
  <c r="Q4643" i="34"/>
  <c r="R4643" i="34"/>
  <c r="S4643" i="34"/>
  <c r="T4643" i="34"/>
  <c r="U4643" i="34"/>
  <c r="V4643" i="34"/>
  <c r="W4643" i="34"/>
  <c r="X4643" i="34"/>
  <c r="Y4643" i="34"/>
  <c r="Z4643" i="34"/>
  <c r="N4644" i="34"/>
  <c r="O4644" i="34"/>
  <c r="P4644" i="34"/>
  <c r="Q4644" i="34"/>
  <c r="R4644" i="34"/>
  <c r="S4644" i="34"/>
  <c r="T4644" i="34"/>
  <c r="U4644" i="34"/>
  <c r="V4644" i="34"/>
  <c r="W4644" i="34"/>
  <c r="X4644" i="34"/>
  <c r="Y4644" i="34"/>
  <c r="Z4644" i="34"/>
  <c r="N4645" i="34"/>
  <c r="O4645" i="34"/>
  <c r="P4645" i="34"/>
  <c r="Q4645" i="34"/>
  <c r="R4645" i="34"/>
  <c r="S4645" i="34"/>
  <c r="T4645" i="34"/>
  <c r="U4645" i="34"/>
  <c r="V4645" i="34"/>
  <c r="W4645" i="34"/>
  <c r="X4645" i="34"/>
  <c r="Y4645" i="34"/>
  <c r="Z4645" i="34"/>
  <c r="N4646" i="34"/>
  <c r="O4646" i="34"/>
  <c r="P4646" i="34"/>
  <c r="Q4646" i="34"/>
  <c r="R4646" i="34"/>
  <c r="S4646" i="34"/>
  <c r="T4646" i="34"/>
  <c r="U4646" i="34"/>
  <c r="V4646" i="34"/>
  <c r="W4646" i="34"/>
  <c r="X4646" i="34"/>
  <c r="Y4646" i="34"/>
  <c r="Z4646" i="34"/>
  <c r="N4647" i="34"/>
  <c r="O4647" i="34"/>
  <c r="P4647" i="34"/>
  <c r="Q4647" i="34"/>
  <c r="R4647" i="34"/>
  <c r="S4647" i="34"/>
  <c r="T4647" i="34"/>
  <c r="U4647" i="34"/>
  <c r="V4647" i="34"/>
  <c r="W4647" i="34"/>
  <c r="X4647" i="34"/>
  <c r="Y4647" i="34"/>
  <c r="Z4647" i="34"/>
  <c r="N4648" i="34"/>
  <c r="O4648" i="34"/>
  <c r="P4648" i="34"/>
  <c r="Q4648" i="34"/>
  <c r="R4648" i="34"/>
  <c r="S4648" i="34"/>
  <c r="T4648" i="34"/>
  <c r="U4648" i="34"/>
  <c r="V4648" i="34"/>
  <c r="W4648" i="34"/>
  <c r="X4648" i="34"/>
  <c r="Y4648" i="34"/>
  <c r="Z4648" i="34"/>
  <c r="N4649" i="34"/>
  <c r="O4649" i="34"/>
  <c r="P4649" i="34"/>
  <c r="Q4649" i="34"/>
  <c r="R4649" i="34"/>
  <c r="S4649" i="34"/>
  <c r="T4649" i="34"/>
  <c r="U4649" i="34"/>
  <c r="V4649" i="34"/>
  <c r="W4649" i="34"/>
  <c r="X4649" i="34"/>
  <c r="Y4649" i="34"/>
  <c r="Z4649" i="34"/>
  <c r="N4650" i="34"/>
  <c r="O4650" i="34"/>
  <c r="P4650" i="34"/>
  <c r="Q4650" i="34"/>
  <c r="R4650" i="34"/>
  <c r="S4650" i="34"/>
  <c r="T4650" i="34"/>
  <c r="U4650" i="34"/>
  <c r="V4650" i="34"/>
  <c r="W4650" i="34"/>
  <c r="X4650" i="34"/>
  <c r="Y4650" i="34"/>
  <c r="Z4650" i="34"/>
  <c r="N4651" i="34"/>
  <c r="O4651" i="34"/>
  <c r="P4651" i="34"/>
  <c r="Q4651" i="34"/>
  <c r="R4651" i="34"/>
  <c r="S4651" i="34"/>
  <c r="T4651" i="34"/>
  <c r="U4651" i="34"/>
  <c r="V4651" i="34"/>
  <c r="W4651" i="34"/>
  <c r="X4651" i="34"/>
  <c r="Y4651" i="34"/>
  <c r="Z4651" i="34"/>
  <c r="N4652" i="34"/>
  <c r="O4652" i="34"/>
  <c r="P4652" i="34"/>
  <c r="Q4652" i="34"/>
  <c r="R4652" i="34"/>
  <c r="S4652" i="34"/>
  <c r="T4652" i="34"/>
  <c r="U4652" i="34"/>
  <c r="V4652" i="34"/>
  <c r="W4652" i="34"/>
  <c r="X4652" i="34"/>
  <c r="Y4652" i="34"/>
  <c r="Z4652" i="34"/>
  <c r="N4653" i="34"/>
  <c r="O4653" i="34"/>
  <c r="P4653" i="34"/>
  <c r="Q4653" i="34"/>
  <c r="R4653" i="34"/>
  <c r="S4653" i="34"/>
  <c r="T4653" i="34"/>
  <c r="U4653" i="34"/>
  <c r="V4653" i="34"/>
  <c r="W4653" i="34"/>
  <c r="X4653" i="34"/>
  <c r="Y4653" i="34"/>
  <c r="Z4653" i="34"/>
  <c r="N4654" i="34"/>
  <c r="O4654" i="34"/>
  <c r="P4654" i="34"/>
  <c r="Q4654" i="34"/>
  <c r="R4654" i="34"/>
  <c r="S4654" i="34"/>
  <c r="T4654" i="34"/>
  <c r="U4654" i="34"/>
  <c r="V4654" i="34"/>
  <c r="W4654" i="34"/>
  <c r="X4654" i="34"/>
  <c r="Y4654" i="34"/>
  <c r="Z4654" i="34"/>
  <c r="N4655" i="34"/>
  <c r="O4655" i="34"/>
  <c r="P4655" i="34"/>
  <c r="Q4655" i="34"/>
  <c r="R4655" i="34"/>
  <c r="S4655" i="34"/>
  <c r="T4655" i="34"/>
  <c r="U4655" i="34"/>
  <c r="V4655" i="34"/>
  <c r="W4655" i="34"/>
  <c r="X4655" i="34"/>
  <c r="Y4655" i="34"/>
  <c r="Z4655" i="34"/>
  <c r="N4656" i="34"/>
  <c r="O4656" i="34"/>
  <c r="P4656" i="34"/>
  <c r="Q4656" i="34"/>
  <c r="R4656" i="34"/>
  <c r="S4656" i="34"/>
  <c r="T4656" i="34"/>
  <c r="U4656" i="34"/>
  <c r="V4656" i="34"/>
  <c r="W4656" i="34"/>
  <c r="X4656" i="34"/>
  <c r="Y4656" i="34"/>
  <c r="Z4656" i="34"/>
  <c r="N4657" i="34"/>
  <c r="O4657" i="34"/>
  <c r="P4657" i="34"/>
  <c r="Q4657" i="34"/>
  <c r="R4657" i="34"/>
  <c r="S4657" i="34"/>
  <c r="T4657" i="34"/>
  <c r="U4657" i="34"/>
  <c r="V4657" i="34"/>
  <c r="W4657" i="34"/>
  <c r="X4657" i="34"/>
  <c r="Y4657" i="34"/>
  <c r="Z4657" i="34"/>
  <c r="N4658" i="34"/>
  <c r="O4658" i="34"/>
  <c r="P4658" i="34"/>
  <c r="Q4658" i="34"/>
  <c r="R4658" i="34"/>
  <c r="S4658" i="34"/>
  <c r="T4658" i="34"/>
  <c r="U4658" i="34"/>
  <c r="V4658" i="34"/>
  <c r="W4658" i="34"/>
  <c r="X4658" i="34"/>
  <c r="Y4658" i="34"/>
  <c r="Z4658" i="34"/>
  <c r="N4659" i="34"/>
  <c r="O4659" i="34"/>
  <c r="P4659" i="34"/>
  <c r="Q4659" i="34"/>
  <c r="R4659" i="34"/>
  <c r="S4659" i="34"/>
  <c r="T4659" i="34"/>
  <c r="U4659" i="34"/>
  <c r="V4659" i="34"/>
  <c r="W4659" i="34"/>
  <c r="X4659" i="34"/>
  <c r="Y4659" i="34"/>
  <c r="Z4659" i="34"/>
  <c r="N4660" i="34"/>
  <c r="O4660" i="34"/>
  <c r="P4660" i="34"/>
  <c r="Q4660" i="34"/>
  <c r="R4660" i="34"/>
  <c r="S4660" i="34"/>
  <c r="T4660" i="34"/>
  <c r="U4660" i="34"/>
  <c r="V4660" i="34"/>
  <c r="W4660" i="34"/>
  <c r="X4660" i="34"/>
  <c r="Y4660" i="34"/>
  <c r="Z4660" i="34"/>
  <c r="N4661" i="34"/>
  <c r="O4661" i="34"/>
  <c r="P4661" i="34"/>
  <c r="Q4661" i="34"/>
  <c r="R4661" i="34"/>
  <c r="S4661" i="34"/>
  <c r="T4661" i="34"/>
  <c r="U4661" i="34"/>
  <c r="V4661" i="34"/>
  <c r="W4661" i="34"/>
  <c r="X4661" i="34"/>
  <c r="Y4661" i="34"/>
  <c r="Z4661" i="34"/>
  <c r="N4662" i="34"/>
  <c r="O4662" i="34"/>
  <c r="P4662" i="34"/>
  <c r="Q4662" i="34"/>
  <c r="R4662" i="34"/>
  <c r="S4662" i="34"/>
  <c r="T4662" i="34"/>
  <c r="U4662" i="34"/>
  <c r="V4662" i="34"/>
  <c r="W4662" i="34"/>
  <c r="X4662" i="34"/>
  <c r="Y4662" i="34"/>
  <c r="Z4662" i="34"/>
  <c r="N4663" i="34"/>
  <c r="O4663" i="34"/>
  <c r="P4663" i="34"/>
  <c r="Q4663" i="34"/>
  <c r="R4663" i="34"/>
  <c r="S4663" i="34"/>
  <c r="T4663" i="34"/>
  <c r="U4663" i="34"/>
  <c r="V4663" i="34"/>
  <c r="W4663" i="34"/>
  <c r="X4663" i="34"/>
  <c r="Y4663" i="34"/>
  <c r="Z4663" i="34"/>
  <c r="N4664" i="34"/>
  <c r="O4664" i="34"/>
  <c r="P4664" i="34"/>
  <c r="Q4664" i="34"/>
  <c r="R4664" i="34"/>
  <c r="S4664" i="34"/>
  <c r="T4664" i="34"/>
  <c r="U4664" i="34"/>
  <c r="V4664" i="34"/>
  <c r="W4664" i="34"/>
  <c r="X4664" i="34"/>
  <c r="Y4664" i="34"/>
  <c r="Z4664" i="34"/>
  <c r="N4665" i="34"/>
  <c r="O4665" i="34"/>
  <c r="P4665" i="34"/>
  <c r="Q4665" i="34"/>
  <c r="R4665" i="34"/>
  <c r="S4665" i="34"/>
  <c r="T4665" i="34"/>
  <c r="U4665" i="34"/>
  <c r="V4665" i="34"/>
  <c r="W4665" i="34"/>
  <c r="X4665" i="34"/>
  <c r="Y4665" i="34"/>
  <c r="Z4665" i="34"/>
  <c r="N4666" i="34"/>
  <c r="O4666" i="34"/>
  <c r="P4666" i="34"/>
  <c r="Q4666" i="34"/>
  <c r="R4666" i="34"/>
  <c r="S4666" i="34"/>
  <c r="T4666" i="34"/>
  <c r="U4666" i="34"/>
  <c r="V4666" i="34"/>
  <c r="W4666" i="34"/>
  <c r="X4666" i="34"/>
  <c r="Y4666" i="34"/>
  <c r="Z4666" i="34"/>
  <c r="N4667" i="34"/>
  <c r="O4667" i="34"/>
  <c r="P4667" i="34"/>
  <c r="Q4667" i="34"/>
  <c r="R4667" i="34"/>
  <c r="S4667" i="34"/>
  <c r="T4667" i="34"/>
  <c r="U4667" i="34"/>
  <c r="V4667" i="34"/>
  <c r="W4667" i="34"/>
  <c r="X4667" i="34"/>
  <c r="Y4667" i="34"/>
  <c r="Z4667" i="34"/>
  <c r="N4668" i="34"/>
  <c r="O4668" i="34"/>
  <c r="P4668" i="34"/>
  <c r="Q4668" i="34"/>
  <c r="R4668" i="34"/>
  <c r="S4668" i="34"/>
  <c r="T4668" i="34"/>
  <c r="U4668" i="34"/>
  <c r="V4668" i="34"/>
  <c r="W4668" i="34"/>
  <c r="X4668" i="34"/>
  <c r="Y4668" i="34"/>
  <c r="Z4668" i="34"/>
  <c r="N4669" i="34"/>
  <c r="O4669" i="34"/>
  <c r="P4669" i="34"/>
  <c r="Q4669" i="34"/>
  <c r="R4669" i="34"/>
  <c r="S4669" i="34"/>
  <c r="T4669" i="34"/>
  <c r="U4669" i="34"/>
  <c r="V4669" i="34"/>
  <c r="W4669" i="34"/>
  <c r="X4669" i="34"/>
  <c r="Y4669" i="34"/>
  <c r="Z4669" i="34"/>
  <c r="N4670" i="34"/>
  <c r="O4670" i="34"/>
  <c r="P4670" i="34"/>
  <c r="Q4670" i="34"/>
  <c r="R4670" i="34"/>
  <c r="S4670" i="34"/>
  <c r="T4670" i="34"/>
  <c r="U4670" i="34"/>
  <c r="V4670" i="34"/>
  <c r="W4670" i="34"/>
  <c r="X4670" i="34"/>
  <c r="Y4670" i="34"/>
  <c r="Z4670" i="34"/>
  <c r="N4671" i="34"/>
  <c r="O4671" i="34"/>
  <c r="P4671" i="34"/>
  <c r="Q4671" i="34"/>
  <c r="R4671" i="34"/>
  <c r="S4671" i="34"/>
  <c r="T4671" i="34"/>
  <c r="U4671" i="34"/>
  <c r="V4671" i="34"/>
  <c r="W4671" i="34"/>
  <c r="X4671" i="34"/>
  <c r="Y4671" i="34"/>
  <c r="Z4671" i="34"/>
  <c r="N4672" i="34"/>
  <c r="O4672" i="34"/>
  <c r="P4672" i="34"/>
  <c r="Q4672" i="34"/>
  <c r="R4672" i="34"/>
  <c r="S4672" i="34"/>
  <c r="T4672" i="34"/>
  <c r="U4672" i="34"/>
  <c r="V4672" i="34"/>
  <c r="W4672" i="34"/>
  <c r="X4672" i="34"/>
  <c r="Y4672" i="34"/>
  <c r="Z4672" i="34"/>
  <c r="N4673" i="34"/>
  <c r="O4673" i="34"/>
  <c r="P4673" i="34"/>
  <c r="Q4673" i="34"/>
  <c r="R4673" i="34"/>
  <c r="S4673" i="34"/>
  <c r="T4673" i="34"/>
  <c r="U4673" i="34"/>
  <c r="V4673" i="34"/>
  <c r="W4673" i="34"/>
  <c r="X4673" i="34"/>
  <c r="Y4673" i="34"/>
  <c r="Z4673" i="34"/>
  <c r="N4674" i="34"/>
  <c r="O4674" i="34"/>
  <c r="P4674" i="34"/>
  <c r="Q4674" i="34"/>
  <c r="R4674" i="34"/>
  <c r="S4674" i="34"/>
  <c r="T4674" i="34"/>
  <c r="U4674" i="34"/>
  <c r="V4674" i="34"/>
  <c r="W4674" i="34"/>
  <c r="X4674" i="34"/>
  <c r="Y4674" i="34"/>
  <c r="Z4674" i="34"/>
  <c r="N4675" i="34"/>
  <c r="O4675" i="34"/>
  <c r="P4675" i="34"/>
  <c r="Q4675" i="34"/>
  <c r="R4675" i="34"/>
  <c r="S4675" i="34"/>
  <c r="T4675" i="34"/>
  <c r="U4675" i="34"/>
  <c r="V4675" i="34"/>
  <c r="W4675" i="34"/>
  <c r="X4675" i="34"/>
  <c r="Y4675" i="34"/>
  <c r="Z4675" i="34"/>
  <c r="N4676" i="34"/>
  <c r="O4676" i="34"/>
  <c r="P4676" i="34"/>
  <c r="Q4676" i="34"/>
  <c r="R4676" i="34"/>
  <c r="S4676" i="34"/>
  <c r="T4676" i="34"/>
  <c r="U4676" i="34"/>
  <c r="V4676" i="34"/>
  <c r="W4676" i="34"/>
  <c r="X4676" i="34"/>
  <c r="Y4676" i="34"/>
  <c r="Z4676" i="34"/>
  <c r="N4677" i="34"/>
  <c r="O4677" i="34"/>
  <c r="P4677" i="34"/>
  <c r="Q4677" i="34"/>
  <c r="R4677" i="34"/>
  <c r="S4677" i="34"/>
  <c r="T4677" i="34"/>
  <c r="U4677" i="34"/>
  <c r="V4677" i="34"/>
  <c r="W4677" i="34"/>
  <c r="X4677" i="34"/>
  <c r="Y4677" i="34"/>
  <c r="Z4677" i="34"/>
  <c r="N4678" i="34"/>
  <c r="O4678" i="34"/>
  <c r="P4678" i="34"/>
  <c r="Q4678" i="34"/>
  <c r="R4678" i="34"/>
  <c r="S4678" i="34"/>
  <c r="T4678" i="34"/>
  <c r="U4678" i="34"/>
  <c r="V4678" i="34"/>
  <c r="W4678" i="34"/>
  <c r="X4678" i="34"/>
  <c r="Y4678" i="34"/>
  <c r="Z4678" i="34"/>
  <c r="N4679" i="34"/>
  <c r="O4679" i="34"/>
  <c r="P4679" i="34"/>
  <c r="Q4679" i="34"/>
  <c r="R4679" i="34"/>
  <c r="S4679" i="34"/>
  <c r="T4679" i="34"/>
  <c r="U4679" i="34"/>
  <c r="V4679" i="34"/>
  <c r="W4679" i="34"/>
  <c r="X4679" i="34"/>
  <c r="Y4679" i="34"/>
  <c r="Z4679" i="34"/>
  <c r="N4680" i="34"/>
  <c r="O4680" i="34"/>
  <c r="P4680" i="34"/>
  <c r="Q4680" i="34"/>
  <c r="R4680" i="34"/>
  <c r="S4680" i="34"/>
  <c r="T4680" i="34"/>
  <c r="U4680" i="34"/>
  <c r="V4680" i="34"/>
  <c r="W4680" i="34"/>
  <c r="X4680" i="34"/>
  <c r="Y4680" i="34"/>
  <c r="Z4680" i="34"/>
  <c r="N4681" i="34"/>
  <c r="O4681" i="34"/>
  <c r="P4681" i="34"/>
  <c r="Q4681" i="34"/>
  <c r="R4681" i="34"/>
  <c r="S4681" i="34"/>
  <c r="T4681" i="34"/>
  <c r="U4681" i="34"/>
  <c r="V4681" i="34"/>
  <c r="W4681" i="34"/>
  <c r="X4681" i="34"/>
  <c r="Y4681" i="34"/>
  <c r="Z4681" i="34"/>
  <c r="N4682" i="34"/>
  <c r="O4682" i="34"/>
  <c r="P4682" i="34"/>
  <c r="Q4682" i="34"/>
  <c r="R4682" i="34"/>
  <c r="S4682" i="34"/>
  <c r="T4682" i="34"/>
  <c r="U4682" i="34"/>
  <c r="V4682" i="34"/>
  <c r="W4682" i="34"/>
  <c r="X4682" i="34"/>
  <c r="Y4682" i="34"/>
  <c r="Z4682" i="34"/>
  <c r="N4683" i="34"/>
  <c r="O4683" i="34"/>
  <c r="P4683" i="34"/>
  <c r="Q4683" i="34"/>
  <c r="R4683" i="34"/>
  <c r="S4683" i="34"/>
  <c r="T4683" i="34"/>
  <c r="U4683" i="34"/>
  <c r="V4683" i="34"/>
  <c r="W4683" i="34"/>
  <c r="X4683" i="34"/>
  <c r="Y4683" i="34"/>
  <c r="Z4683" i="34"/>
  <c r="N4684" i="34"/>
  <c r="O4684" i="34"/>
  <c r="P4684" i="34"/>
  <c r="Q4684" i="34"/>
  <c r="R4684" i="34"/>
  <c r="S4684" i="34"/>
  <c r="T4684" i="34"/>
  <c r="U4684" i="34"/>
  <c r="V4684" i="34"/>
  <c r="W4684" i="34"/>
  <c r="X4684" i="34"/>
  <c r="Y4684" i="34"/>
  <c r="Z4684" i="34"/>
  <c r="N4685" i="34"/>
  <c r="O4685" i="34"/>
  <c r="P4685" i="34"/>
  <c r="Q4685" i="34"/>
  <c r="R4685" i="34"/>
  <c r="S4685" i="34"/>
  <c r="T4685" i="34"/>
  <c r="U4685" i="34"/>
  <c r="V4685" i="34"/>
  <c r="W4685" i="34"/>
  <c r="X4685" i="34"/>
  <c r="Y4685" i="34"/>
  <c r="Z4685" i="34"/>
  <c r="N4686" i="34"/>
  <c r="O4686" i="34"/>
  <c r="P4686" i="34"/>
  <c r="Q4686" i="34"/>
  <c r="R4686" i="34"/>
  <c r="S4686" i="34"/>
  <c r="T4686" i="34"/>
  <c r="U4686" i="34"/>
  <c r="V4686" i="34"/>
  <c r="W4686" i="34"/>
  <c r="X4686" i="34"/>
  <c r="Y4686" i="34"/>
  <c r="Z4686" i="34"/>
  <c r="N4687" i="34"/>
  <c r="O4687" i="34"/>
  <c r="P4687" i="34"/>
  <c r="Q4687" i="34"/>
  <c r="R4687" i="34"/>
  <c r="S4687" i="34"/>
  <c r="T4687" i="34"/>
  <c r="U4687" i="34"/>
  <c r="V4687" i="34"/>
  <c r="W4687" i="34"/>
  <c r="X4687" i="34"/>
  <c r="Y4687" i="34"/>
  <c r="Z4687" i="34"/>
  <c r="N4688" i="34"/>
  <c r="O4688" i="34"/>
  <c r="P4688" i="34"/>
  <c r="Q4688" i="34"/>
  <c r="R4688" i="34"/>
  <c r="S4688" i="34"/>
  <c r="T4688" i="34"/>
  <c r="U4688" i="34"/>
  <c r="V4688" i="34"/>
  <c r="W4688" i="34"/>
  <c r="X4688" i="34"/>
  <c r="Y4688" i="34"/>
  <c r="Z4688" i="34"/>
  <c r="N4689" i="34"/>
  <c r="O4689" i="34"/>
  <c r="P4689" i="34"/>
  <c r="Q4689" i="34"/>
  <c r="R4689" i="34"/>
  <c r="S4689" i="34"/>
  <c r="T4689" i="34"/>
  <c r="U4689" i="34"/>
  <c r="V4689" i="34"/>
  <c r="W4689" i="34"/>
  <c r="X4689" i="34"/>
  <c r="Y4689" i="34"/>
  <c r="Z4689" i="34"/>
  <c r="N4690" i="34"/>
  <c r="O4690" i="34"/>
  <c r="P4690" i="34"/>
  <c r="Q4690" i="34"/>
  <c r="R4690" i="34"/>
  <c r="S4690" i="34"/>
  <c r="T4690" i="34"/>
  <c r="U4690" i="34"/>
  <c r="V4690" i="34"/>
  <c r="W4690" i="34"/>
  <c r="X4690" i="34"/>
  <c r="Y4690" i="34"/>
  <c r="Z4690" i="34"/>
  <c r="N4691" i="34"/>
  <c r="O4691" i="34"/>
  <c r="P4691" i="34"/>
  <c r="Q4691" i="34"/>
  <c r="R4691" i="34"/>
  <c r="S4691" i="34"/>
  <c r="T4691" i="34"/>
  <c r="U4691" i="34"/>
  <c r="V4691" i="34"/>
  <c r="W4691" i="34"/>
  <c r="X4691" i="34"/>
  <c r="Y4691" i="34"/>
  <c r="Z4691" i="34"/>
  <c r="N4692" i="34"/>
  <c r="O4692" i="34"/>
  <c r="P4692" i="34"/>
  <c r="Q4692" i="34"/>
  <c r="R4692" i="34"/>
  <c r="S4692" i="34"/>
  <c r="T4692" i="34"/>
  <c r="U4692" i="34"/>
  <c r="V4692" i="34"/>
  <c r="W4692" i="34"/>
  <c r="X4692" i="34"/>
  <c r="Y4692" i="34"/>
  <c r="Z4692" i="34"/>
  <c r="N4693" i="34"/>
  <c r="O4693" i="34"/>
  <c r="P4693" i="34"/>
  <c r="Q4693" i="34"/>
  <c r="R4693" i="34"/>
  <c r="S4693" i="34"/>
  <c r="T4693" i="34"/>
  <c r="U4693" i="34"/>
  <c r="V4693" i="34"/>
  <c r="W4693" i="34"/>
  <c r="X4693" i="34"/>
  <c r="Y4693" i="34"/>
  <c r="Z4693" i="34"/>
  <c r="N4694" i="34"/>
  <c r="O4694" i="34"/>
  <c r="P4694" i="34"/>
  <c r="Q4694" i="34"/>
  <c r="R4694" i="34"/>
  <c r="S4694" i="34"/>
  <c r="T4694" i="34"/>
  <c r="U4694" i="34"/>
  <c r="V4694" i="34"/>
  <c r="W4694" i="34"/>
  <c r="X4694" i="34"/>
  <c r="Y4694" i="34"/>
  <c r="Z4694" i="34"/>
  <c r="N4695" i="34"/>
  <c r="O4695" i="34"/>
  <c r="P4695" i="34"/>
  <c r="Q4695" i="34"/>
  <c r="R4695" i="34"/>
  <c r="S4695" i="34"/>
  <c r="T4695" i="34"/>
  <c r="U4695" i="34"/>
  <c r="V4695" i="34"/>
  <c r="W4695" i="34"/>
  <c r="X4695" i="34"/>
  <c r="Y4695" i="34"/>
  <c r="Z4695" i="34"/>
  <c r="N4696" i="34"/>
  <c r="O4696" i="34"/>
  <c r="P4696" i="34"/>
  <c r="Q4696" i="34"/>
  <c r="R4696" i="34"/>
  <c r="S4696" i="34"/>
  <c r="T4696" i="34"/>
  <c r="U4696" i="34"/>
  <c r="V4696" i="34"/>
  <c r="W4696" i="34"/>
  <c r="X4696" i="34"/>
  <c r="Y4696" i="34"/>
  <c r="Z4696" i="34"/>
  <c r="N4697" i="34"/>
  <c r="O4697" i="34"/>
  <c r="P4697" i="34"/>
  <c r="Q4697" i="34"/>
  <c r="R4697" i="34"/>
  <c r="S4697" i="34"/>
  <c r="T4697" i="34"/>
  <c r="U4697" i="34"/>
  <c r="V4697" i="34"/>
  <c r="W4697" i="34"/>
  <c r="X4697" i="34"/>
  <c r="Y4697" i="34"/>
  <c r="Z4697" i="34"/>
  <c r="N4698" i="34"/>
  <c r="O4698" i="34"/>
  <c r="P4698" i="34"/>
  <c r="Q4698" i="34"/>
  <c r="R4698" i="34"/>
  <c r="S4698" i="34"/>
  <c r="T4698" i="34"/>
  <c r="U4698" i="34"/>
  <c r="V4698" i="34"/>
  <c r="W4698" i="34"/>
  <c r="X4698" i="34"/>
  <c r="Y4698" i="34"/>
  <c r="Z4698" i="34"/>
  <c r="N4699" i="34"/>
  <c r="O4699" i="34"/>
  <c r="P4699" i="34"/>
  <c r="Q4699" i="34"/>
  <c r="R4699" i="34"/>
  <c r="S4699" i="34"/>
  <c r="T4699" i="34"/>
  <c r="U4699" i="34"/>
  <c r="V4699" i="34"/>
  <c r="W4699" i="34"/>
  <c r="X4699" i="34"/>
  <c r="Y4699" i="34"/>
  <c r="Z4699" i="34"/>
  <c r="N4700" i="34"/>
  <c r="O4700" i="34"/>
  <c r="P4700" i="34"/>
  <c r="Q4700" i="34"/>
  <c r="R4700" i="34"/>
  <c r="S4700" i="34"/>
  <c r="T4700" i="34"/>
  <c r="U4700" i="34"/>
  <c r="V4700" i="34"/>
  <c r="W4700" i="34"/>
  <c r="X4700" i="34"/>
  <c r="Y4700" i="34"/>
  <c r="Z4700" i="34"/>
  <c r="N4701" i="34"/>
  <c r="O4701" i="34"/>
  <c r="P4701" i="34"/>
  <c r="Q4701" i="34"/>
  <c r="R4701" i="34"/>
  <c r="S4701" i="34"/>
  <c r="T4701" i="34"/>
  <c r="U4701" i="34"/>
  <c r="V4701" i="34"/>
  <c r="W4701" i="34"/>
  <c r="X4701" i="34"/>
  <c r="Y4701" i="34"/>
  <c r="Z4701" i="34"/>
  <c r="N4702" i="34"/>
  <c r="O4702" i="34"/>
  <c r="P4702" i="34"/>
  <c r="Q4702" i="34"/>
  <c r="R4702" i="34"/>
  <c r="S4702" i="34"/>
  <c r="T4702" i="34"/>
  <c r="U4702" i="34"/>
  <c r="V4702" i="34"/>
  <c r="W4702" i="34"/>
  <c r="X4702" i="34"/>
  <c r="Y4702" i="34"/>
  <c r="Z4702" i="34"/>
  <c r="N4703" i="34"/>
  <c r="O4703" i="34"/>
  <c r="P4703" i="34"/>
  <c r="Q4703" i="34"/>
  <c r="R4703" i="34"/>
  <c r="S4703" i="34"/>
  <c r="T4703" i="34"/>
  <c r="U4703" i="34"/>
  <c r="V4703" i="34"/>
  <c r="W4703" i="34"/>
  <c r="X4703" i="34"/>
  <c r="Y4703" i="34"/>
  <c r="Z4703" i="34"/>
  <c r="N4704" i="34"/>
  <c r="O4704" i="34"/>
  <c r="P4704" i="34"/>
  <c r="Q4704" i="34"/>
  <c r="R4704" i="34"/>
  <c r="S4704" i="34"/>
  <c r="T4704" i="34"/>
  <c r="U4704" i="34"/>
  <c r="V4704" i="34"/>
  <c r="W4704" i="34"/>
  <c r="X4704" i="34"/>
  <c r="Y4704" i="34"/>
  <c r="Z4704" i="34"/>
  <c r="N4705" i="34"/>
  <c r="O4705" i="34"/>
  <c r="P4705" i="34"/>
  <c r="Q4705" i="34"/>
  <c r="R4705" i="34"/>
  <c r="S4705" i="34"/>
  <c r="T4705" i="34"/>
  <c r="U4705" i="34"/>
  <c r="V4705" i="34"/>
  <c r="W4705" i="34"/>
  <c r="X4705" i="34"/>
  <c r="Y4705" i="34"/>
  <c r="Z4705" i="34"/>
  <c r="N4706" i="34"/>
  <c r="O4706" i="34"/>
  <c r="P4706" i="34"/>
  <c r="Q4706" i="34"/>
  <c r="R4706" i="34"/>
  <c r="S4706" i="34"/>
  <c r="T4706" i="34"/>
  <c r="U4706" i="34"/>
  <c r="V4706" i="34"/>
  <c r="W4706" i="34"/>
  <c r="X4706" i="34"/>
  <c r="Y4706" i="34"/>
  <c r="Z4706" i="34"/>
  <c r="N4707" i="34"/>
  <c r="O4707" i="34"/>
  <c r="P4707" i="34"/>
  <c r="Q4707" i="34"/>
  <c r="R4707" i="34"/>
  <c r="S4707" i="34"/>
  <c r="T4707" i="34"/>
  <c r="U4707" i="34"/>
  <c r="V4707" i="34"/>
  <c r="W4707" i="34"/>
  <c r="X4707" i="34"/>
  <c r="Y4707" i="34"/>
  <c r="Z4707" i="34"/>
  <c r="N4708" i="34"/>
  <c r="O4708" i="34"/>
  <c r="P4708" i="34"/>
  <c r="Q4708" i="34"/>
  <c r="R4708" i="34"/>
  <c r="S4708" i="34"/>
  <c r="T4708" i="34"/>
  <c r="U4708" i="34"/>
  <c r="V4708" i="34"/>
  <c r="W4708" i="34"/>
  <c r="X4708" i="34"/>
  <c r="Y4708" i="34"/>
  <c r="Z4708" i="34"/>
  <c r="N4709" i="34"/>
  <c r="O4709" i="34"/>
  <c r="P4709" i="34"/>
  <c r="Q4709" i="34"/>
  <c r="R4709" i="34"/>
  <c r="S4709" i="34"/>
  <c r="T4709" i="34"/>
  <c r="U4709" i="34"/>
  <c r="V4709" i="34"/>
  <c r="W4709" i="34"/>
  <c r="X4709" i="34"/>
  <c r="Y4709" i="34"/>
  <c r="Z4709" i="34"/>
  <c r="N4710" i="34"/>
  <c r="O4710" i="34"/>
  <c r="P4710" i="34"/>
  <c r="Q4710" i="34"/>
  <c r="R4710" i="34"/>
  <c r="S4710" i="34"/>
  <c r="T4710" i="34"/>
  <c r="U4710" i="34"/>
  <c r="V4710" i="34"/>
  <c r="W4710" i="34"/>
  <c r="X4710" i="34"/>
  <c r="Y4710" i="34"/>
  <c r="Z4710" i="34"/>
  <c r="N4711" i="34"/>
  <c r="O4711" i="34"/>
  <c r="P4711" i="34"/>
  <c r="Q4711" i="34"/>
  <c r="R4711" i="34"/>
  <c r="S4711" i="34"/>
  <c r="T4711" i="34"/>
  <c r="U4711" i="34"/>
  <c r="V4711" i="34"/>
  <c r="W4711" i="34"/>
  <c r="X4711" i="34"/>
  <c r="Y4711" i="34"/>
  <c r="Z4711" i="34"/>
  <c r="N4712" i="34"/>
  <c r="O4712" i="34"/>
  <c r="P4712" i="34"/>
  <c r="Q4712" i="34"/>
  <c r="R4712" i="34"/>
  <c r="S4712" i="34"/>
  <c r="T4712" i="34"/>
  <c r="U4712" i="34"/>
  <c r="V4712" i="34"/>
  <c r="W4712" i="34"/>
  <c r="X4712" i="34"/>
  <c r="Y4712" i="34"/>
  <c r="Z4712" i="34"/>
  <c r="N4713" i="34"/>
  <c r="O4713" i="34"/>
  <c r="P4713" i="34"/>
  <c r="Q4713" i="34"/>
  <c r="R4713" i="34"/>
  <c r="S4713" i="34"/>
  <c r="T4713" i="34"/>
  <c r="U4713" i="34"/>
  <c r="V4713" i="34"/>
  <c r="W4713" i="34"/>
  <c r="X4713" i="34"/>
  <c r="Y4713" i="34"/>
  <c r="Z4713" i="34"/>
  <c r="N4714" i="34"/>
  <c r="O4714" i="34"/>
  <c r="P4714" i="34"/>
  <c r="Q4714" i="34"/>
  <c r="R4714" i="34"/>
  <c r="S4714" i="34"/>
  <c r="T4714" i="34"/>
  <c r="U4714" i="34"/>
  <c r="V4714" i="34"/>
  <c r="W4714" i="34"/>
  <c r="X4714" i="34"/>
  <c r="Y4714" i="34"/>
  <c r="Z4714" i="34"/>
  <c r="N4715" i="34"/>
  <c r="O4715" i="34"/>
  <c r="P4715" i="34"/>
  <c r="Q4715" i="34"/>
  <c r="R4715" i="34"/>
  <c r="S4715" i="34"/>
  <c r="T4715" i="34"/>
  <c r="U4715" i="34"/>
  <c r="V4715" i="34"/>
  <c r="W4715" i="34"/>
  <c r="X4715" i="34"/>
  <c r="Y4715" i="34"/>
  <c r="Z4715" i="34"/>
  <c r="N4716" i="34"/>
  <c r="O4716" i="34"/>
  <c r="P4716" i="34"/>
  <c r="Q4716" i="34"/>
  <c r="R4716" i="34"/>
  <c r="S4716" i="34"/>
  <c r="T4716" i="34"/>
  <c r="U4716" i="34"/>
  <c r="V4716" i="34"/>
  <c r="W4716" i="34"/>
  <c r="X4716" i="34"/>
  <c r="Y4716" i="34"/>
  <c r="Z4716" i="34"/>
  <c r="N4717" i="34"/>
  <c r="O4717" i="34"/>
  <c r="P4717" i="34"/>
  <c r="Q4717" i="34"/>
  <c r="R4717" i="34"/>
  <c r="S4717" i="34"/>
  <c r="T4717" i="34"/>
  <c r="U4717" i="34"/>
  <c r="V4717" i="34"/>
  <c r="W4717" i="34"/>
  <c r="X4717" i="34"/>
  <c r="Y4717" i="34"/>
  <c r="Z4717" i="34"/>
  <c r="N4718" i="34"/>
  <c r="O4718" i="34"/>
  <c r="P4718" i="34"/>
  <c r="Q4718" i="34"/>
  <c r="R4718" i="34"/>
  <c r="S4718" i="34"/>
  <c r="T4718" i="34"/>
  <c r="U4718" i="34"/>
  <c r="V4718" i="34"/>
  <c r="W4718" i="34"/>
  <c r="X4718" i="34"/>
  <c r="Y4718" i="34"/>
  <c r="Z4718" i="34"/>
  <c r="N4719" i="34"/>
  <c r="O4719" i="34"/>
  <c r="P4719" i="34"/>
  <c r="Q4719" i="34"/>
  <c r="R4719" i="34"/>
  <c r="S4719" i="34"/>
  <c r="T4719" i="34"/>
  <c r="U4719" i="34"/>
  <c r="V4719" i="34"/>
  <c r="W4719" i="34"/>
  <c r="X4719" i="34"/>
  <c r="Y4719" i="34"/>
  <c r="Z4719" i="34"/>
  <c r="N4720" i="34"/>
  <c r="O4720" i="34"/>
  <c r="P4720" i="34"/>
  <c r="Q4720" i="34"/>
  <c r="R4720" i="34"/>
  <c r="S4720" i="34"/>
  <c r="T4720" i="34"/>
  <c r="U4720" i="34"/>
  <c r="V4720" i="34"/>
  <c r="W4720" i="34"/>
  <c r="X4720" i="34"/>
  <c r="Y4720" i="34"/>
  <c r="Z4720" i="34"/>
  <c r="N4721" i="34"/>
  <c r="O4721" i="34"/>
  <c r="P4721" i="34"/>
  <c r="Q4721" i="34"/>
  <c r="R4721" i="34"/>
  <c r="S4721" i="34"/>
  <c r="T4721" i="34"/>
  <c r="U4721" i="34"/>
  <c r="V4721" i="34"/>
  <c r="W4721" i="34"/>
  <c r="X4721" i="34"/>
  <c r="Y4721" i="34"/>
  <c r="Z4721" i="34"/>
  <c r="N4722" i="34"/>
  <c r="O4722" i="34"/>
  <c r="P4722" i="34"/>
  <c r="Q4722" i="34"/>
  <c r="R4722" i="34"/>
  <c r="S4722" i="34"/>
  <c r="T4722" i="34"/>
  <c r="U4722" i="34"/>
  <c r="V4722" i="34"/>
  <c r="W4722" i="34"/>
  <c r="X4722" i="34"/>
  <c r="Y4722" i="34"/>
  <c r="Z4722" i="34"/>
  <c r="N4723" i="34"/>
  <c r="O4723" i="34"/>
  <c r="P4723" i="34"/>
  <c r="Q4723" i="34"/>
  <c r="R4723" i="34"/>
  <c r="S4723" i="34"/>
  <c r="T4723" i="34"/>
  <c r="U4723" i="34"/>
  <c r="V4723" i="34"/>
  <c r="W4723" i="34"/>
  <c r="X4723" i="34"/>
  <c r="Y4723" i="34"/>
  <c r="Z4723" i="34"/>
  <c r="N4724" i="34"/>
  <c r="O4724" i="34"/>
  <c r="P4724" i="34"/>
  <c r="Q4724" i="34"/>
  <c r="R4724" i="34"/>
  <c r="S4724" i="34"/>
  <c r="T4724" i="34"/>
  <c r="U4724" i="34"/>
  <c r="V4724" i="34"/>
  <c r="W4724" i="34"/>
  <c r="X4724" i="34"/>
  <c r="Y4724" i="34"/>
  <c r="Z4724" i="34"/>
  <c r="N4725" i="34"/>
  <c r="O4725" i="34"/>
  <c r="P4725" i="34"/>
  <c r="Q4725" i="34"/>
  <c r="R4725" i="34"/>
  <c r="S4725" i="34"/>
  <c r="T4725" i="34"/>
  <c r="U4725" i="34"/>
  <c r="V4725" i="34"/>
  <c r="W4725" i="34"/>
  <c r="X4725" i="34"/>
  <c r="Y4725" i="34"/>
  <c r="Z4725" i="34"/>
  <c r="N4726" i="34"/>
  <c r="O4726" i="34"/>
  <c r="P4726" i="34"/>
  <c r="Q4726" i="34"/>
  <c r="R4726" i="34"/>
  <c r="S4726" i="34"/>
  <c r="T4726" i="34"/>
  <c r="U4726" i="34"/>
  <c r="V4726" i="34"/>
  <c r="W4726" i="34"/>
  <c r="X4726" i="34"/>
  <c r="Y4726" i="34"/>
  <c r="Z4726" i="34"/>
  <c r="N4727" i="34"/>
  <c r="O4727" i="34"/>
  <c r="P4727" i="34"/>
  <c r="Q4727" i="34"/>
  <c r="R4727" i="34"/>
  <c r="S4727" i="34"/>
  <c r="T4727" i="34"/>
  <c r="U4727" i="34"/>
  <c r="V4727" i="34"/>
  <c r="W4727" i="34"/>
  <c r="X4727" i="34"/>
  <c r="Y4727" i="34"/>
  <c r="Z4727" i="34"/>
  <c r="N4728" i="34"/>
  <c r="O4728" i="34"/>
  <c r="P4728" i="34"/>
  <c r="Q4728" i="34"/>
  <c r="R4728" i="34"/>
  <c r="S4728" i="34"/>
  <c r="T4728" i="34"/>
  <c r="U4728" i="34"/>
  <c r="V4728" i="34"/>
  <c r="W4728" i="34"/>
  <c r="X4728" i="34"/>
  <c r="Y4728" i="34"/>
  <c r="Z4728" i="34"/>
  <c r="N4729" i="34"/>
  <c r="O4729" i="34"/>
  <c r="P4729" i="34"/>
  <c r="Q4729" i="34"/>
  <c r="R4729" i="34"/>
  <c r="S4729" i="34"/>
  <c r="T4729" i="34"/>
  <c r="U4729" i="34"/>
  <c r="V4729" i="34"/>
  <c r="W4729" i="34"/>
  <c r="X4729" i="34"/>
  <c r="Y4729" i="34"/>
  <c r="Z4729" i="34"/>
  <c r="N4730" i="34"/>
  <c r="O4730" i="34"/>
  <c r="P4730" i="34"/>
  <c r="Q4730" i="34"/>
  <c r="R4730" i="34"/>
  <c r="S4730" i="34"/>
  <c r="T4730" i="34"/>
  <c r="U4730" i="34"/>
  <c r="V4730" i="34"/>
  <c r="W4730" i="34"/>
  <c r="X4730" i="34"/>
  <c r="Y4730" i="34"/>
  <c r="Z4730" i="34"/>
  <c r="N4731" i="34"/>
  <c r="O4731" i="34"/>
  <c r="P4731" i="34"/>
  <c r="Q4731" i="34"/>
  <c r="R4731" i="34"/>
  <c r="S4731" i="34"/>
  <c r="T4731" i="34"/>
  <c r="U4731" i="34"/>
  <c r="V4731" i="34"/>
  <c r="W4731" i="34"/>
  <c r="X4731" i="34"/>
  <c r="Y4731" i="34"/>
  <c r="Z4731" i="34"/>
  <c r="N4732" i="34"/>
  <c r="O4732" i="34"/>
  <c r="P4732" i="34"/>
  <c r="Q4732" i="34"/>
  <c r="R4732" i="34"/>
  <c r="S4732" i="34"/>
  <c r="T4732" i="34"/>
  <c r="U4732" i="34"/>
  <c r="V4732" i="34"/>
  <c r="W4732" i="34"/>
  <c r="X4732" i="34"/>
  <c r="Y4732" i="34"/>
  <c r="Z4732" i="34"/>
  <c r="N4733" i="34"/>
  <c r="O4733" i="34"/>
  <c r="P4733" i="34"/>
  <c r="Q4733" i="34"/>
  <c r="R4733" i="34"/>
  <c r="S4733" i="34"/>
  <c r="T4733" i="34"/>
  <c r="U4733" i="34"/>
  <c r="V4733" i="34"/>
  <c r="W4733" i="34"/>
  <c r="X4733" i="34"/>
  <c r="Y4733" i="34"/>
  <c r="Z4733" i="34"/>
  <c r="N4734" i="34"/>
  <c r="O4734" i="34"/>
  <c r="P4734" i="34"/>
  <c r="Q4734" i="34"/>
  <c r="R4734" i="34"/>
  <c r="S4734" i="34"/>
  <c r="T4734" i="34"/>
  <c r="U4734" i="34"/>
  <c r="V4734" i="34"/>
  <c r="W4734" i="34"/>
  <c r="X4734" i="34"/>
  <c r="Y4734" i="34"/>
  <c r="Z4734" i="34"/>
  <c r="N4735" i="34"/>
  <c r="O4735" i="34"/>
  <c r="P4735" i="34"/>
  <c r="Q4735" i="34"/>
  <c r="R4735" i="34"/>
  <c r="S4735" i="34"/>
  <c r="T4735" i="34"/>
  <c r="U4735" i="34"/>
  <c r="V4735" i="34"/>
  <c r="W4735" i="34"/>
  <c r="X4735" i="34"/>
  <c r="Y4735" i="34"/>
  <c r="Z4735" i="34"/>
  <c r="N4736" i="34"/>
  <c r="O4736" i="34"/>
  <c r="P4736" i="34"/>
  <c r="Q4736" i="34"/>
  <c r="R4736" i="34"/>
  <c r="S4736" i="34"/>
  <c r="T4736" i="34"/>
  <c r="U4736" i="34"/>
  <c r="V4736" i="34"/>
  <c r="W4736" i="34"/>
  <c r="X4736" i="34"/>
  <c r="Y4736" i="34"/>
  <c r="Z4736" i="34"/>
  <c r="N4737" i="34"/>
  <c r="O4737" i="34"/>
  <c r="P4737" i="34"/>
  <c r="Q4737" i="34"/>
  <c r="R4737" i="34"/>
  <c r="S4737" i="34"/>
  <c r="T4737" i="34"/>
  <c r="U4737" i="34"/>
  <c r="V4737" i="34"/>
  <c r="W4737" i="34"/>
  <c r="X4737" i="34"/>
  <c r="Y4737" i="34"/>
  <c r="Z4737" i="34"/>
  <c r="N4738" i="34"/>
  <c r="O4738" i="34"/>
  <c r="P4738" i="34"/>
  <c r="Q4738" i="34"/>
  <c r="R4738" i="34"/>
  <c r="S4738" i="34"/>
  <c r="T4738" i="34"/>
  <c r="U4738" i="34"/>
  <c r="V4738" i="34"/>
  <c r="W4738" i="34"/>
  <c r="X4738" i="34"/>
  <c r="Y4738" i="34"/>
  <c r="Z4738" i="34"/>
  <c r="N4739" i="34"/>
  <c r="O4739" i="34"/>
  <c r="P4739" i="34"/>
  <c r="Q4739" i="34"/>
  <c r="R4739" i="34"/>
  <c r="S4739" i="34"/>
  <c r="T4739" i="34"/>
  <c r="U4739" i="34"/>
  <c r="V4739" i="34"/>
  <c r="W4739" i="34"/>
  <c r="X4739" i="34"/>
  <c r="Y4739" i="34"/>
  <c r="Z4739" i="34"/>
  <c r="N4740" i="34"/>
  <c r="O4740" i="34"/>
  <c r="P4740" i="34"/>
  <c r="Q4740" i="34"/>
  <c r="R4740" i="34"/>
  <c r="S4740" i="34"/>
  <c r="T4740" i="34"/>
  <c r="U4740" i="34"/>
  <c r="V4740" i="34"/>
  <c r="W4740" i="34"/>
  <c r="X4740" i="34"/>
  <c r="Y4740" i="34"/>
  <c r="Z4740" i="34"/>
  <c r="N4741" i="34"/>
  <c r="O4741" i="34"/>
  <c r="P4741" i="34"/>
  <c r="Q4741" i="34"/>
  <c r="R4741" i="34"/>
  <c r="S4741" i="34"/>
  <c r="T4741" i="34"/>
  <c r="U4741" i="34"/>
  <c r="V4741" i="34"/>
  <c r="W4741" i="34"/>
  <c r="X4741" i="34"/>
  <c r="Y4741" i="34"/>
  <c r="Z4741" i="34"/>
  <c r="N4742" i="34"/>
  <c r="O4742" i="34"/>
  <c r="P4742" i="34"/>
  <c r="Q4742" i="34"/>
  <c r="R4742" i="34"/>
  <c r="S4742" i="34"/>
  <c r="T4742" i="34"/>
  <c r="U4742" i="34"/>
  <c r="V4742" i="34"/>
  <c r="W4742" i="34"/>
  <c r="X4742" i="34"/>
  <c r="Y4742" i="34"/>
  <c r="Z4742" i="34"/>
  <c r="N4743" i="34"/>
  <c r="O4743" i="34"/>
  <c r="P4743" i="34"/>
  <c r="Q4743" i="34"/>
  <c r="R4743" i="34"/>
  <c r="S4743" i="34"/>
  <c r="T4743" i="34"/>
  <c r="U4743" i="34"/>
  <c r="V4743" i="34"/>
  <c r="W4743" i="34"/>
  <c r="X4743" i="34"/>
  <c r="Y4743" i="34"/>
  <c r="Z4743" i="34"/>
  <c r="N4744" i="34"/>
  <c r="O4744" i="34"/>
  <c r="P4744" i="34"/>
  <c r="Q4744" i="34"/>
  <c r="R4744" i="34"/>
  <c r="S4744" i="34"/>
  <c r="T4744" i="34"/>
  <c r="U4744" i="34"/>
  <c r="V4744" i="34"/>
  <c r="W4744" i="34"/>
  <c r="X4744" i="34"/>
  <c r="Y4744" i="34"/>
  <c r="Z4744" i="34"/>
  <c r="N4745" i="34"/>
  <c r="O4745" i="34"/>
  <c r="P4745" i="34"/>
  <c r="Q4745" i="34"/>
  <c r="R4745" i="34"/>
  <c r="S4745" i="34"/>
  <c r="T4745" i="34"/>
  <c r="U4745" i="34"/>
  <c r="V4745" i="34"/>
  <c r="W4745" i="34"/>
  <c r="X4745" i="34"/>
  <c r="Y4745" i="34"/>
  <c r="Z4745" i="34"/>
  <c r="N4746" i="34"/>
  <c r="O4746" i="34"/>
  <c r="P4746" i="34"/>
  <c r="Q4746" i="34"/>
  <c r="R4746" i="34"/>
  <c r="S4746" i="34"/>
  <c r="T4746" i="34"/>
  <c r="U4746" i="34"/>
  <c r="V4746" i="34"/>
  <c r="W4746" i="34"/>
  <c r="X4746" i="34"/>
  <c r="Y4746" i="34"/>
  <c r="Z4746" i="34"/>
  <c r="N4747" i="34"/>
  <c r="O4747" i="34"/>
  <c r="P4747" i="34"/>
  <c r="Q4747" i="34"/>
  <c r="R4747" i="34"/>
  <c r="S4747" i="34"/>
  <c r="T4747" i="34"/>
  <c r="U4747" i="34"/>
  <c r="V4747" i="34"/>
  <c r="W4747" i="34"/>
  <c r="X4747" i="34"/>
  <c r="Y4747" i="34"/>
  <c r="Z4747" i="34"/>
  <c r="N4748" i="34"/>
  <c r="O4748" i="34"/>
  <c r="P4748" i="34"/>
  <c r="Q4748" i="34"/>
  <c r="R4748" i="34"/>
  <c r="S4748" i="34"/>
  <c r="T4748" i="34"/>
  <c r="U4748" i="34"/>
  <c r="V4748" i="34"/>
  <c r="W4748" i="34"/>
  <c r="X4748" i="34"/>
  <c r="Y4748" i="34"/>
  <c r="Z4748" i="34"/>
  <c r="N4749" i="34"/>
  <c r="O4749" i="34"/>
  <c r="P4749" i="34"/>
  <c r="Q4749" i="34"/>
  <c r="R4749" i="34"/>
  <c r="S4749" i="34"/>
  <c r="T4749" i="34"/>
  <c r="U4749" i="34"/>
  <c r="V4749" i="34"/>
  <c r="W4749" i="34"/>
  <c r="X4749" i="34"/>
  <c r="Y4749" i="34"/>
  <c r="Z4749" i="34"/>
  <c r="N4750" i="34"/>
  <c r="O4750" i="34"/>
  <c r="P4750" i="34"/>
  <c r="Q4750" i="34"/>
  <c r="R4750" i="34"/>
  <c r="S4750" i="34"/>
  <c r="T4750" i="34"/>
  <c r="U4750" i="34"/>
  <c r="V4750" i="34"/>
  <c r="W4750" i="34"/>
  <c r="X4750" i="34"/>
  <c r="Y4750" i="34"/>
  <c r="Z4750" i="34"/>
  <c r="N4751" i="34"/>
  <c r="O4751" i="34"/>
  <c r="P4751" i="34"/>
  <c r="Q4751" i="34"/>
  <c r="R4751" i="34"/>
  <c r="S4751" i="34"/>
  <c r="T4751" i="34"/>
  <c r="U4751" i="34"/>
  <c r="V4751" i="34"/>
  <c r="W4751" i="34"/>
  <c r="X4751" i="34"/>
  <c r="Y4751" i="34"/>
  <c r="Z4751" i="34"/>
  <c r="N4752" i="34"/>
  <c r="O4752" i="34"/>
  <c r="P4752" i="34"/>
  <c r="Q4752" i="34"/>
  <c r="R4752" i="34"/>
  <c r="S4752" i="34"/>
  <c r="T4752" i="34"/>
  <c r="U4752" i="34"/>
  <c r="V4752" i="34"/>
  <c r="W4752" i="34"/>
  <c r="X4752" i="34"/>
  <c r="Y4752" i="34"/>
  <c r="Z4752" i="34"/>
  <c r="N4753" i="34"/>
  <c r="O4753" i="34"/>
  <c r="P4753" i="34"/>
  <c r="Q4753" i="34"/>
  <c r="R4753" i="34"/>
  <c r="S4753" i="34"/>
  <c r="T4753" i="34"/>
  <c r="U4753" i="34"/>
  <c r="V4753" i="34"/>
  <c r="W4753" i="34"/>
  <c r="X4753" i="34"/>
  <c r="Y4753" i="34"/>
  <c r="Z4753" i="34"/>
  <c r="N4754" i="34"/>
  <c r="O4754" i="34"/>
  <c r="P4754" i="34"/>
  <c r="Q4754" i="34"/>
  <c r="R4754" i="34"/>
  <c r="S4754" i="34"/>
  <c r="T4754" i="34"/>
  <c r="U4754" i="34"/>
  <c r="V4754" i="34"/>
  <c r="W4754" i="34"/>
  <c r="X4754" i="34"/>
  <c r="Y4754" i="34"/>
  <c r="Z4754" i="34"/>
  <c r="N4755" i="34"/>
  <c r="O4755" i="34"/>
  <c r="P4755" i="34"/>
  <c r="Q4755" i="34"/>
  <c r="R4755" i="34"/>
  <c r="S4755" i="34"/>
  <c r="T4755" i="34"/>
  <c r="U4755" i="34"/>
  <c r="V4755" i="34"/>
  <c r="W4755" i="34"/>
  <c r="X4755" i="34"/>
  <c r="Y4755" i="34"/>
  <c r="Z4755" i="34"/>
  <c r="N4756" i="34"/>
  <c r="O4756" i="34"/>
  <c r="P4756" i="34"/>
  <c r="Q4756" i="34"/>
  <c r="R4756" i="34"/>
  <c r="S4756" i="34"/>
  <c r="T4756" i="34"/>
  <c r="U4756" i="34"/>
  <c r="V4756" i="34"/>
  <c r="W4756" i="34"/>
  <c r="X4756" i="34"/>
  <c r="Y4756" i="34"/>
  <c r="Z4756" i="34"/>
  <c r="N4757" i="34"/>
  <c r="O4757" i="34"/>
  <c r="P4757" i="34"/>
  <c r="Q4757" i="34"/>
  <c r="R4757" i="34"/>
  <c r="S4757" i="34"/>
  <c r="T4757" i="34"/>
  <c r="U4757" i="34"/>
  <c r="V4757" i="34"/>
  <c r="W4757" i="34"/>
  <c r="X4757" i="34"/>
  <c r="Y4757" i="34"/>
  <c r="Z4757" i="34"/>
  <c r="N4758" i="34"/>
  <c r="O4758" i="34"/>
  <c r="P4758" i="34"/>
  <c r="Q4758" i="34"/>
  <c r="R4758" i="34"/>
  <c r="S4758" i="34"/>
  <c r="T4758" i="34"/>
  <c r="U4758" i="34"/>
  <c r="V4758" i="34"/>
  <c r="W4758" i="34"/>
  <c r="X4758" i="34"/>
  <c r="Y4758" i="34"/>
  <c r="Z4758" i="34"/>
  <c r="N4759" i="34"/>
  <c r="O4759" i="34"/>
  <c r="P4759" i="34"/>
  <c r="Q4759" i="34"/>
  <c r="R4759" i="34"/>
  <c r="S4759" i="34"/>
  <c r="T4759" i="34"/>
  <c r="U4759" i="34"/>
  <c r="V4759" i="34"/>
  <c r="W4759" i="34"/>
  <c r="X4759" i="34"/>
  <c r="Y4759" i="34"/>
  <c r="Z4759" i="34"/>
  <c r="N4760" i="34"/>
  <c r="O4760" i="34"/>
  <c r="P4760" i="34"/>
  <c r="Q4760" i="34"/>
  <c r="R4760" i="34"/>
  <c r="S4760" i="34"/>
  <c r="T4760" i="34"/>
  <c r="U4760" i="34"/>
  <c r="V4760" i="34"/>
  <c r="W4760" i="34"/>
  <c r="X4760" i="34"/>
  <c r="Y4760" i="34"/>
  <c r="Z4760" i="34"/>
  <c r="N4761" i="34"/>
  <c r="O4761" i="34"/>
  <c r="P4761" i="34"/>
  <c r="Q4761" i="34"/>
  <c r="R4761" i="34"/>
  <c r="S4761" i="34"/>
  <c r="T4761" i="34"/>
  <c r="U4761" i="34"/>
  <c r="V4761" i="34"/>
  <c r="W4761" i="34"/>
  <c r="X4761" i="34"/>
  <c r="Y4761" i="34"/>
  <c r="Z4761" i="34"/>
  <c r="N4762" i="34"/>
  <c r="O4762" i="34"/>
  <c r="P4762" i="34"/>
  <c r="Q4762" i="34"/>
  <c r="R4762" i="34"/>
  <c r="S4762" i="34"/>
  <c r="T4762" i="34"/>
  <c r="U4762" i="34"/>
  <c r="V4762" i="34"/>
  <c r="W4762" i="34"/>
  <c r="X4762" i="34"/>
  <c r="Y4762" i="34"/>
  <c r="Z4762" i="34"/>
  <c r="N4763" i="34"/>
  <c r="O4763" i="34"/>
  <c r="P4763" i="34"/>
  <c r="Q4763" i="34"/>
  <c r="R4763" i="34"/>
  <c r="S4763" i="34"/>
  <c r="T4763" i="34"/>
  <c r="U4763" i="34"/>
  <c r="V4763" i="34"/>
  <c r="W4763" i="34"/>
  <c r="X4763" i="34"/>
  <c r="Y4763" i="34"/>
  <c r="Z4763" i="34"/>
  <c r="N4764" i="34"/>
  <c r="O4764" i="34"/>
  <c r="P4764" i="34"/>
  <c r="Q4764" i="34"/>
  <c r="R4764" i="34"/>
  <c r="S4764" i="34"/>
  <c r="T4764" i="34"/>
  <c r="U4764" i="34"/>
  <c r="V4764" i="34"/>
  <c r="W4764" i="34"/>
  <c r="X4764" i="34"/>
  <c r="Y4764" i="34"/>
  <c r="Z4764" i="34"/>
  <c r="N4765" i="34"/>
  <c r="O4765" i="34"/>
  <c r="P4765" i="34"/>
  <c r="Q4765" i="34"/>
  <c r="R4765" i="34"/>
  <c r="S4765" i="34"/>
  <c r="T4765" i="34"/>
  <c r="U4765" i="34"/>
  <c r="V4765" i="34"/>
  <c r="W4765" i="34"/>
  <c r="X4765" i="34"/>
  <c r="Y4765" i="34"/>
  <c r="Z4765" i="34"/>
  <c r="N4766" i="34"/>
  <c r="O4766" i="34"/>
  <c r="P4766" i="34"/>
  <c r="Q4766" i="34"/>
  <c r="R4766" i="34"/>
  <c r="S4766" i="34"/>
  <c r="T4766" i="34"/>
  <c r="U4766" i="34"/>
  <c r="V4766" i="34"/>
  <c r="W4766" i="34"/>
  <c r="X4766" i="34"/>
  <c r="Y4766" i="34"/>
  <c r="Z4766" i="34"/>
  <c r="N4767" i="34"/>
  <c r="O4767" i="34"/>
  <c r="P4767" i="34"/>
  <c r="Q4767" i="34"/>
  <c r="R4767" i="34"/>
  <c r="S4767" i="34"/>
  <c r="T4767" i="34"/>
  <c r="U4767" i="34"/>
  <c r="V4767" i="34"/>
  <c r="W4767" i="34"/>
  <c r="X4767" i="34"/>
  <c r="Y4767" i="34"/>
  <c r="Z4767" i="34"/>
  <c r="N4768" i="34"/>
  <c r="O4768" i="34"/>
  <c r="P4768" i="34"/>
  <c r="Q4768" i="34"/>
  <c r="R4768" i="34"/>
  <c r="S4768" i="34"/>
  <c r="T4768" i="34"/>
  <c r="U4768" i="34"/>
  <c r="V4768" i="34"/>
  <c r="W4768" i="34"/>
  <c r="X4768" i="34"/>
  <c r="Y4768" i="34"/>
  <c r="Z4768" i="34"/>
  <c r="N4769" i="34"/>
  <c r="O4769" i="34"/>
  <c r="P4769" i="34"/>
  <c r="Q4769" i="34"/>
  <c r="R4769" i="34"/>
  <c r="S4769" i="34"/>
  <c r="T4769" i="34"/>
  <c r="U4769" i="34"/>
  <c r="V4769" i="34"/>
  <c r="W4769" i="34"/>
  <c r="X4769" i="34"/>
  <c r="Y4769" i="34"/>
  <c r="Z4769" i="34"/>
  <c r="N4770" i="34"/>
  <c r="O4770" i="34"/>
  <c r="P4770" i="34"/>
  <c r="Q4770" i="34"/>
  <c r="R4770" i="34"/>
  <c r="S4770" i="34"/>
  <c r="T4770" i="34"/>
  <c r="U4770" i="34"/>
  <c r="V4770" i="34"/>
  <c r="W4770" i="34"/>
  <c r="X4770" i="34"/>
  <c r="Y4770" i="34"/>
  <c r="Z4770" i="34"/>
  <c r="N4771" i="34"/>
  <c r="O4771" i="34"/>
  <c r="P4771" i="34"/>
  <c r="Q4771" i="34"/>
  <c r="R4771" i="34"/>
  <c r="S4771" i="34"/>
  <c r="T4771" i="34"/>
  <c r="U4771" i="34"/>
  <c r="V4771" i="34"/>
  <c r="W4771" i="34"/>
  <c r="X4771" i="34"/>
  <c r="Y4771" i="34"/>
  <c r="Z4771" i="34"/>
  <c r="N4772" i="34"/>
  <c r="O4772" i="34"/>
  <c r="P4772" i="34"/>
  <c r="Q4772" i="34"/>
  <c r="R4772" i="34"/>
  <c r="S4772" i="34"/>
  <c r="T4772" i="34"/>
  <c r="U4772" i="34"/>
  <c r="V4772" i="34"/>
  <c r="W4772" i="34"/>
  <c r="X4772" i="34"/>
  <c r="Y4772" i="34"/>
  <c r="Z4772" i="34"/>
  <c r="N4773" i="34"/>
  <c r="O4773" i="34"/>
  <c r="P4773" i="34"/>
  <c r="Q4773" i="34"/>
  <c r="R4773" i="34"/>
  <c r="S4773" i="34"/>
  <c r="T4773" i="34"/>
  <c r="U4773" i="34"/>
  <c r="V4773" i="34"/>
  <c r="W4773" i="34"/>
  <c r="X4773" i="34"/>
  <c r="Y4773" i="34"/>
  <c r="Z4773" i="34"/>
  <c r="N4774" i="34"/>
  <c r="O4774" i="34"/>
  <c r="P4774" i="34"/>
  <c r="Q4774" i="34"/>
  <c r="R4774" i="34"/>
  <c r="S4774" i="34"/>
  <c r="T4774" i="34"/>
  <c r="U4774" i="34"/>
  <c r="V4774" i="34"/>
  <c r="W4774" i="34"/>
  <c r="X4774" i="34"/>
  <c r="Y4774" i="34"/>
  <c r="Z4774" i="34"/>
  <c r="N4775" i="34"/>
  <c r="O4775" i="34"/>
  <c r="P4775" i="34"/>
  <c r="Q4775" i="34"/>
  <c r="R4775" i="34"/>
  <c r="S4775" i="34"/>
  <c r="T4775" i="34"/>
  <c r="U4775" i="34"/>
  <c r="V4775" i="34"/>
  <c r="W4775" i="34"/>
  <c r="X4775" i="34"/>
  <c r="Y4775" i="34"/>
  <c r="Z4775" i="34"/>
  <c r="N4776" i="34"/>
  <c r="O4776" i="34"/>
  <c r="P4776" i="34"/>
  <c r="Q4776" i="34"/>
  <c r="R4776" i="34"/>
  <c r="S4776" i="34"/>
  <c r="T4776" i="34"/>
  <c r="U4776" i="34"/>
  <c r="V4776" i="34"/>
  <c r="W4776" i="34"/>
  <c r="X4776" i="34"/>
  <c r="Y4776" i="34"/>
  <c r="Z4776" i="34"/>
  <c r="N4777" i="34"/>
  <c r="O4777" i="34"/>
  <c r="P4777" i="34"/>
  <c r="Q4777" i="34"/>
  <c r="R4777" i="34"/>
  <c r="S4777" i="34"/>
  <c r="T4777" i="34"/>
  <c r="U4777" i="34"/>
  <c r="V4777" i="34"/>
  <c r="W4777" i="34"/>
  <c r="X4777" i="34"/>
  <c r="Y4777" i="34"/>
  <c r="Z4777" i="34"/>
  <c r="N4778" i="34"/>
  <c r="O4778" i="34"/>
  <c r="P4778" i="34"/>
  <c r="Q4778" i="34"/>
  <c r="R4778" i="34"/>
  <c r="S4778" i="34"/>
  <c r="T4778" i="34"/>
  <c r="U4778" i="34"/>
  <c r="V4778" i="34"/>
  <c r="W4778" i="34"/>
  <c r="X4778" i="34"/>
  <c r="Y4778" i="34"/>
  <c r="Z4778" i="34"/>
  <c r="N4779" i="34"/>
  <c r="O4779" i="34"/>
  <c r="P4779" i="34"/>
  <c r="Q4779" i="34"/>
  <c r="R4779" i="34"/>
  <c r="S4779" i="34"/>
  <c r="T4779" i="34"/>
  <c r="U4779" i="34"/>
  <c r="V4779" i="34"/>
  <c r="W4779" i="34"/>
  <c r="X4779" i="34"/>
  <c r="Y4779" i="34"/>
  <c r="Z4779" i="34"/>
  <c r="N4780" i="34"/>
  <c r="O4780" i="34"/>
  <c r="P4780" i="34"/>
  <c r="Q4780" i="34"/>
  <c r="R4780" i="34"/>
  <c r="S4780" i="34"/>
  <c r="T4780" i="34"/>
  <c r="U4780" i="34"/>
  <c r="V4780" i="34"/>
  <c r="W4780" i="34"/>
  <c r="X4780" i="34"/>
  <c r="Y4780" i="34"/>
  <c r="Z4780" i="34"/>
  <c r="N4781" i="34"/>
  <c r="O4781" i="34"/>
  <c r="P4781" i="34"/>
  <c r="Q4781" i="34"/>
  <c r="R4781" i="34"/>
  <c r="S4781" i="34"/>
  <c r="T4781" i="34"/>
  <c r="U4781" i="34"/>
  <c r="V4781" i="34"/>
  <c r="W4781" i="34"/>
  <c r="X4781" i="34"/>
  <c r="Y4781" i="34"/>
  <c r="Z4781" i="34"/>
  <c r="N4782" i="34"/>
  <c r="O4782" i="34"/>
  <c r="P4782" i="34"/>
  <c r="Q4782" i="34"/>
  <c r="R4782" i="34"/>
  <c r="S4782" i="34"/>
  <c r="T4782" i="34"/>
  <c r="U4782" i="34"/>
  <c r="V4782" i="34"/>
  <c r="W4782" i="34"/>
  <c r="X4782" i="34"/>
  <c r="Y4782" i="34"/>
  <c r="Z4782" i="34"/>
  <c r="N4783" i="34"/>
  <c r="O4783" i="34"/>
  <c r="P4783" i="34"/>
  <c r="Q4783" i="34"/>
  <c r="R4783" i="34"/>
  <c r="S4783" i="34"/>
  <c r="T4783" i="34"/>
  <c r="U4783" i="34"/>
  <c r="V4783" i="34"/>
  <c r="W4783" i="34"/>
  <c r="X4783" i="34"/>
  <c r="Y4783" i="34"/>
  <c r="Z4783" i="34"/>
  <c r="N4784" i="34"/>
  <c r="O4784" i="34"/>
  <c r="P4784" i="34"/>
  <c r="Q4784" i="34"/>
  <c r="R4784" i="34"/>
  <c r="S4784" i="34"/>
  <c r="T4784" i="34"/>
  <c r="U4784" i="34"/>
  <c r="V4784" i="34"/>
  <c r="W4784" i="34"/>
  <c r="X4784" i="34"/>
  <c r="Y4784" i="34"/>
  <c r="Z4784" i="34"/>
  <c r="N4785" i="34"/>
  <c r="O4785" i="34"/>
  <c r="P4785" i="34"/>
  <c r="Q4785" i="34"/>
  <c r="R4785" i="34"/>
  <c r="S4785" i="34"/>
  <c r="T4785" i="34"/>
  <c r="U4785" i="34"/>
  <c r="V4785" i="34"/>
  <c r="W4785" i="34"/>
  <c r="X4785" i="34"/>
  <c r="Y4785" i="34"/>
  <c r="Z4785" i="34"/>
  <c r="N4786" i="34"/>
  <c r="O4786" i="34"/>
  <c r="P4786" i="34"/>
  <c r="Q4786" i="34"/>
  <c r="R4786" i="34"/>
  <c r="S4786" i="34"/>
  <c r="T4786" i="34"/>
  <c r="U4786" i="34"/>
  <c r="V4786" i="34"/>
  <c r="W4786" i="34"/>
  <c r="X4786" i="34"/>
  <c r="Y4786" i="34"/>
  <c r="Z4786" i="34"/>
  <c r="N4787" i="34"/>
  <c r="O4787" i="34"/>
  <c r="P4787" i="34"/>
  <c r="Q4787" i="34"/>
  <c r="R4787" i="34"/>
  <c r="S4787" i="34"/>
  <c r="T4787" i="34"/>
  <c r="U4787" i="34"/>
  <c r="V4787" i="34"/>
  <c r="W4787" i="34"/>
  <c r="X4787" i="34"/>
  <c r="Y4787" i="34"/>
  <c r="Z4787" i="34"/>
  <c r="N4788" i="34"/>
  <c r="O4788" i="34"/>
  <c r="P4788" i="34"/>
  <c r="Q4788" i="34"/>
  <c r="R4788" i="34"/>
  <c r="S4788" i="34"/>
  <c r="T4788" i="34"/>
  <c r="U4788" i="34"/>
  <c r="V4788" i="34"/>
  <c r="W4788" i="34"/>
  <c r="X4788" i="34"/>
  <c r="Y4788" i="34"/>
  <c r="Z4788" i="34"/>
  <c r="N4789" i="34"/>
  <c r="O4789" i="34"/>
  <c r="P4789" i="34"/>
  <c r="Q4789" i="34"/>
  <c r="R4789" i="34"/>
  <c r="S4789" i="34"/>
  <c r="T4789" i="34"/>
  <c r="U4789" i="34"/>
  <c r="V4789" i="34"/>
  <c r="W4789" i="34"/>
  <c r="X4789" i="34"/>
  <c r="Y4789" i="34"/>
  <c r="Z4789" i="34"/>
  <c r="N4790" i="34"/>
  <c r="O4790" i="34"/>
  <c r="P4790" i="34"/>
  <c r="Q4790" i="34"/>
  <c r="R4790" i="34"/>
  <c r="S4790" i="34"/>
  <c r="T4790" i="34"/>
  <c r="U4790" i="34"/>
  <c r="V4790" i="34"/>
  <c r="W4790" i="34"/>
  <c r="X4790" i="34"/>
  <c r="Y4790" i="34"/>
  <c r="Z4790" i="34"/>
  <c r="N4791" i="34"/>
  <c r="O4791" i="34"/>
  <c r="P4791" i="34"/>
  <c r="Q4791" i="34"/>
  <c r="R4791" i="34"/>
  <c r="S4791" i="34"/>
  <c r="T4791" i="34"/>
  <c r="U4791" i="34"/>
  <c r="V4791" i="34"/>
  <c r="W4791" i="34"/>
  <c r="X4791" i="34"/>
  <c r="Y4791" i="34"/>
  <c r="Z4791" i="34"/>
  <c r="N4792" i="34"/>
  <c r="O4792" i="34"/>
  <c r="P4792" i="34"/>
  <c r="Q4792" i="34"/>
  <c r="R4792" i="34"/>
  <c r="S4792" i="34"/>
  <c r="T4792" i="34"/>
  <c r="U4792" i="34"/>
  <c r="V4792" i="34"/>
  <c r="W4792" i="34"/>
  <c r="X4792" i="34"/>
  <c r="Y4792" i="34"/>
  <c r="Z4792" i="34"/>
  <c r="N4793" i="34"/>
  <c r="O4793" i="34"/>
  <c r="P4793" i="34"/>
  <c r="Q4793" i="34"/>
  <c r="R4793" i="34"/>
  <c r="S4793" i="34"/>
  <c r="T4793" i="34"/>
  <c r="U4793" i="34"/>
  <c r="V4793" i="34"/>
  <c r="W4793" i="34"/>
  <c r="X4793" i="34"/>
  <c r="Y4793" i="34"/>
  <c r="Z4793" i="34"/>
  <c r="N4794" i="34"/>
  <c r="O4794" i="34"/>
  <c r="P4794" i="34"/>
  <c r="Q4794" i="34"/>
  <c r="R4794" i="34"/>
  <c r="S4794" i="34"/>
  <c r="T4794" i="34"/>
  <c r="U4794" i="34"/>
  <c r="V4794" i="34"/>
  <c r="W4794" i="34"/>
  <c r="X4794" i="34"/>
  <c r="Y4794" i="34"/>
  <c r="Z4794" i="34"/>
  <c r="N4795" i="34"/>
  <c r="O4795" i="34"/>
  <c r="P4795" i="34"/>
  <c r="Q4795" i="34"/>
  <c r="R4795" i="34"/>
  <c r="S4795" i="34"/>
  <c r="T4795" i="34"/>
  <c r="U4795" i="34"/>
  <c r="V4795" i="34"/>
  <c r="W4795" i="34"/>
  <c r="X4795" i="34"/>
  <c r="Y4795" i="34"/>
  <c r="Z4795" i="34"/>
  <c r="N4796" i="34"/>
  <c r="O4796" i="34"/>
  <c r="P4796" i="34"/>
  <c r="Q4796" i="34"/>
  <c r="R4796" i="34"/>
  <c r="S4796" i="34"/>
  <c r="T4796" i="34"/>
  <c r="U4796" i="34"/>
  <c r="V4796" i="34"/>
  <c r="W4796" i="34"/>
  <c r="X4796" i="34"/>
  <c r="Y4796" i="34"/>
  <c r="Z4796" i="34"/>
  <c r="N4797" i="34"/>
  <c r="O4797" i="34"/>
  <c r="P4797" i="34"/>
  <c r="Q4797" i="34"/>
  <c r="R4797" i="34"/>
  <c r="S4797" i="34"/>
  <c r="T4797" i="34"/>
  <c r="U4797" i="34"/>
  <c r="V4797" i="34"/>
  <c r="W4797" i="34"/>
  <c r="X4797" i="34"/>
  <c r="Y4797" i="34"/>
  <c r="Z4797" i="34"/>
  <c r="N4798" i="34"/>
  <c r="O4798" i="34"/>
  <c r="P4798" i="34"/>
  <c r="Q4798" i="34"/>
  <c r="R4798" i="34"/>
  <c r="S4798" i="34"/>
  <c r="T4798" i="34"/>
  <c r="U4798" i="34"/>
  <c r="V4798" i="34"/>
  <c r="W4798" i="34"/>
  <c r="X4798" i="34"/>
  <c r="Y4798" i="34"/>
  <c r="Z4798" i="34"/>
  <c r="N4799" i="34"/>
  <c r="O4799" i="34"/>
  <c r="P4799" i="34"/>
  <c r="Q4799" i="34"/>
  <c r="R4799" i="34"/>
  <c r="S4799" i="34"/>
  <c r="T4799" i="34"/>
  <c r="U4799" i="34"/>
  <c r="V4799" i="34"/>
  <c r="W4799" i="34"/>
  <c r="X4799" i="34"/>
  <c r="Y4799" i="34"/>
  <c r="Z4799" i="34"/>
  <c r="N4800" i="34"/>
  <c r="O4800" i="34"/>
  <c r="P4800" i="34"/>
  <c r="Q4800" i="34"/>
  <c r="R4800" i="34"/>
  <c r="S4800" i="34"/>
  <c r="T4800" i="34"/>
  <c r="U4800" i="34"/>
  <c r="V4800" i="34"/>
  <c r="W4800" i="34"/>
  <c r="X4800" i="34"/>
  <c r="Y4800" i="34"/>
  <c r="Z4800" i="34"/>
  <c r="N4801" i="34"/>
  <c r="O4801" i="34"/>
  <c r="P4801" i="34"/>
  <c r="Q4801" i="34"/>
  <c r="R4801" i="34"/>
  <c r="S4801" i="34"/>
  <c r="T4801" i="34"/>
  <c r="U4801" i="34"/>
  <c r="V4801" i="34"/>
  <c r="W4801" i="34"/>
  <c r="X4801" i="34"/>
  <c r="Y4801" i="34"/>
  <c r="Z4801" i="34"/>
  <c r="N4802" i="34"/>
  <c r="O4802" i="34"/>
  <c r="P4802" i="34"/>
  <c r="Q4802" i="34"/>
  <c r="R4802" i="34"/>
  <c r="S4802" i="34"/>
  <c r="T4802" i="34"/>
  <c r="U4802" i="34"/>
  <c r="V4802" i="34"/>
  <c r="W4802" i="34"/>
  <c r="X4802" i="34"/>
  <c r="Y4802" i="34"/>
  <c r="Z4802" i="34"/>
  <c r="N4803" i="34"/>
  <c r="O4803" i="34"/>
  <c r="P4803" i="34"/>
  <c r="Q4803" i="34"/>
  <c r="R4803" i="34"/>
  <c r="S4803" i="34"/>
  <c r="T4803" i="34"/>
  <c r="U4803" i="34"/>
  <c r="V4803" i="34"/>
  <c r="W4803" i="34"/>
  <c r="X4803" i="34"/>
  <c r="Y4803" i="34"/>
  <c r="Z4803" i="34"/>
  <c r="N4804" i="34"/>
  <c r="O4804" i="34"/>
  <c r="P4804" i="34"/>
  <c r="Q4804" i="34"/>
  <c r="R4804" i="34"/>
  <c r="S4804" i="34"/>
  <c r="T4804" i="34"/>
  <c r="U4804" i="34"/>
  <c r="V4804" i="34"/>
  <c r="W4804" i="34"/>
  <c r="X4804" i="34"/>
  <c r="Y4804" i="34"/>
  <c r="Z4804" i="34"/>
  <c r="N4805" i="34"/>
  <c r="O4805" i="34"/>
  <c r="P4805" i="34"/>
  <c r="Q4805" i="34"/>
  <c r="R4805" i="34"/>
  <c r="S4805" i="34"/>
  <c r="T4805" i="34"/>
  <c r="U4805" i="34"/>
  <c r="V4805" i="34"/>
  <c r="W4805" i="34"/>
  <c r="X4805" i="34"/>
  <c r="Y4805" i="34"/>
  <c r="Z4805" i="34"/>
  <c r="N4806" i="34"/>
  <c r="O4806" i="34"/>
  <c r="P4806" i="34"/>
  <c r="Q4806" i="34"/>
  <c r="R4806" i="34"/>
  <c r="S4806" i="34"/>
  <c r="T4806" i="34"/>
  <c r="U4806" i="34"/>
  <c r="V4806" i="34"/>
  <c r="W4806" i="34"/>
  <c r="X4806" i="34"/>
  <c r="Y4806" i="34"/>
  <c r="Z4806" i="34"/>
  <c r="N4807" i="34"/>
  <c r="O4807" i="34"/>
  <c r="P4807" i="34"/>
  <c r="Q4807" i="34"/>
  <c r="R4807" i="34"/>
  <c r="S4807" i="34"/>
  <c r="T4807" i="34"/>
  <c r="U4807" i="34"/>
  <c r="V4807" i="34"/>
  <c r="W4807" i="34"/>
  <c r="X4807" i="34"/>
  <c r="Y4807" i="34"/>
  <c r="Z4807" i="34"/>
  <c r="N4808" i="34"/>
  <c r="O4808" i="34"/>
  <c r="P4808" i="34"/>
  <c r="Q4808" i="34"/>
  <c r="R4808" i="34"/>
  <c r="S4808" i="34"/>
  <c r="T4808" i="34"/>
  <c r="U4808" i="34"/>
  <c r="V4808" i="34"/>
  <c r="W4808" i="34"/>
  <c r="X4808" i="34"/>
  <c r="Y4808" i="34"/>
  <c r="Z4808" i="34"/>
  <c r="N4809" i="34"/>
  <c r="O4809" i="34"/>
  <c r="P4809" i="34"/>
  <c r="Q4809" i="34"/>
  <c r="R4809" i="34"/>
  <c r="S4809" i="34"/>
  <c r="T4809" i="34"/>
  <c r="U4809" i="34"/>
  <c r="V4809" i="34"/>
  <c r="W4809" i="34"/>
  <c r="X4809" i="34"/>
  <c r="Y4809" i="34"/>
  <c r="Z4809" i="34"/>
  <c r="N4810" i="34"/>
  <c r="O4810" i="34"/>
  <c r="P4810" i="34"/>
  <c r="Q4810" i="34"/>
  <c r="R4810" i="34"/>
  <c r="S4810" i="34"/>
  <c r="T4810" i="34"/>
  <c r="U4810" i="34"/>
  <c r="V4810" i="34"/>
  <c r="W4810" i="34"/>
  <c r="X4810" i="34"/>
  <c r="Y4810" i="34"/>
  <c r="Z4810" i="34"/>
  <c r="N4811" i="34"/>
  <c r="O4811" i="34"/>
  <c r="P4811" i="34"/>
  <c r="Q4811" i="34"/>
  <c r="R4811" i="34"/>
  <c r="S4811" i="34"/>
  <c r="T4811" i="34"/>
  <c r="U4811" i="34"/>
  <c r="V4811" i="34"/>
  <c r="W4811" i="34"/>
  <c r="X4811" i="34"/>
  <c r="Y4811" i="34"/>
  <c r="Z4811" i="34"/>
  <c r="N4812" i="34"/>
  <c r="O4812" i="34"/>
  <c r="P4812" i="34"/>
  <c r="Q4812" i="34"/>
  <c r="R4812" i="34"/>
  <c r="S4812" i="34"/>
  <c r="T4812" i="34"/>
  <c r="U4812" i="34"/>
  <c r="V4812" i="34"/>
  <c r="W4812" i="34"/>
  <c r="X4812" i="34"/>
  <c r="Y4812" i="34"/>
  <c r="Z4812" i="34"/>
  <c r="N4813" i="34"/>
  <c r="O4813" i="34"/>
  <c r="P4813" i="34"/>
  <c r="Q4813" i="34"/>
  <c r="R4813" i="34"/>
  <c r="S4813" i="34"/>
  <c r="T4813" i="34"/>
  <c r="U4813" i="34"/>
  <c r="V4813" i="34"/>
  <c r="W4813" i="34"/>
  <c r="X4813" i="34"/>
  <c r="Y4813" i="34"/>
  <c r="Z4813" i="34"/>
  <c r="N4814" i="34"/>
  <c r="O4814" i="34"/>
  <c r="P4814" i="34"/>
  <c r="Q4814" i="34"/>
  <c r="R4814" i="34"/>
  <c r="S4814" i="34"/>
  <c r="T4814" i="34"/>
  <c r="U4814" i="34"/>
  <c r="V4814" i="34"/>
  <c r="W4814" i="34"/>
  <c r="X4814" i="34"/>
  <c r="Y4814" i="34"/>
  <c r="Z4814" i="34"/>
  <c r="N4815" i="34"/>
  <c r="O4815" i="34"/>
  <c r="P4815" i="34"/>
  <c r="Q4815" i="34"/>
  <c r="R4815" i="34"/>
  <c r="S4815" i="34"/>
  <c r="T4815" i="34"/>
  <c r="U4815" i="34"/>
  <c r="V4815" i="34"/>
  <c r="W4815" i="34"/>
  <c r="X4815" i="34"/>
  <c r="Y4815" i="34"/>
  <c r="Z4815" i="34"/>
  <c r="N4816" i="34"/>
  <c r="O4816" i="34"/>
  <c r="P4816" i="34"/>
  <c r="Q4816" i="34"/>
  <c r="R4816" i="34"/>
  <c r="S4816" i="34"/>
  <c r="T4816" i="34"/>
  <c r="U4816" i="34"/>
  <c r="V4816" i="34"/>
  <c r="W4816" i="34"/>
  <c r="X4816" i="34"/>
  <c r="Y4816" i="34"/>
  <c r="Z4816" i="34"/>
  <c r="N4817" i="34"/>
  <c r="O4817" i="34"/>
  <c r="P4817" i="34"/>
  <c r="Q4817" i="34"/>
  <c r="R4817" i="34"/>
  <c r="S4817" i="34"/>
  <c r="T4817" i="34"/>
  <c r="U4817" i="34"/>
  <c r="V4817" i="34"/>
  <c r="W4817" i="34"/>
  <c r="X4817" i="34"/>
  <c r="Y4817" i="34"/>
  <c r="Z4817" i="34"/>
  <c r="N4818" i="34"/>
  <c r="O4818" i="34"/>
  <c r="P4818" i="34"/>
  <c r="Q4818" i="34"/>
  <c r="R4818" i="34"/>
  <c r="S4818" i="34"/>
  <c r="T4818" i="34"/>
  <c r="U4818" i="34"/>
  <c r="V4818" i="34"/>
  <c r="W4818" i="34"/>
  <c r="X4818" i="34"/>
  <c r="Y4818" i="34"/>
  <c r="Z4818" i="34"/>
  <c r="N4819" i="34"/>
  <c r="O4819" i="34"/>
  <c r="P4819" i="34"/>
  <c r="Q4819" i="34"/>
  <c r="R4819" i="34"/>
  <c r="S4819" i="34"/>
  <c r="T4819" i="34"/>
  <c r="U4819" i="34"/>
  <c r="V4819" i="34"/>
  <c r="W4819" i="34"/>
  <c r="X4819" i="34"/>
  <c r="Y4819" i="34"/>
  <c r="Z4819" i="34"/>
  <c r="N4820" i="34"/>
  <c r="O4820" i="34"/>
  <c r="P4820" i="34"/>
  <c r="Q4820" i="34"/>
  <c r="R4820" i="34"/>
  <c r="S4820" i="34"/>
  <c r="T4820" i="34"/>
  <c r="U4820" i="34"/>
  <c r="V4820" i="34"/>
  <c r="W4820" i="34"/>
  <c r="X4820" i="34"/>
  <c r="Y4820" i="34"/>
  <c r="Z4820" i="34"/>
  <c r="N4821" i="34"/>
  <c r="O4821" i="34"/>
  <c r="P4821" i="34"/>
  <c r="Q4821" i="34"/>
  <c r="R4821" i="34"/>
  <c r="S4821" i="34"/>
  <c r="T4821" i="34"/>
  <c r="U4821" i="34"/>
  <c r="V4821" i="34"/>
  <c r="W4821" i="34"/>
  <c r="X4821" i="34"/>
  <c r="Y4821" i="34"/>
  <c r="Z4821" i="34"/>
  <c r="N4822" i="34"/>
  <c r="O4822" i="34"/>
  <c r="P4822" i="34"/>
  <c r="Q4822" i="34"/>
  <c r="R4822" i="34"/>
  <c r="S4822" i="34"/>
  <c r="T4822" i="34"/>
  <c r="U4822" i="34"/>
  <c r="V4822" i="34"/>
  <c r="W4822" i="34"/>
  <c r="X4822" i="34"/>
  <c r="Y4822" i="34"/>
  <c r="Z4822" i="34"/>
  <c r="N4823" i="34"/>
  <c r="O4823" i="34"/>
  <c r="P4823" i="34"/>
  <c r="Q4823" i="34"/>
  <c r="R4823" i="34"/>
  <c r="S4823" i="34"/>
  <c r="T4823" i="34"/>
  <c r="U4823" i="34"/>
  <c r="V4823" i="34"/>
  <c r="W4823" i="34"/>
  <c r="X4823" i="34"/>
  <c r="Y4823" i="34"/>
  <c r="Z4823" i="34"/>
  <c r="N4824" i="34"/>
  <c r="O4824" i="34"/>
  <c r="P4824" i="34"/>
  <c r="Q4824" i="34"/>
  <c r="R4824" i="34"/>
  <c r="S4824" i="34"/>
  <c r="T4824" i="34"/>
  <c r="U4824" i="34"/>
  <c r="V4824" i="34"/>
  <c r="W4824" i="34"/>
  <c r="X4824" i="34"/>
  <c r="Y4824" i="34"/>
  <c r="Z4824" i="34"/>
  <c r="N4825" i="34"/>
  <c r="O4825" i="34"/>
  <c r="P4825" i="34"/>
  <c r="Q4825" i="34"/>
  <c r="R4825" i="34"/>
  <c r="S4825" i="34"/>
  <c r="T4825" i="34"/>
  <c r="U4825" i="34"/>
  <c r="V4825" i="34"/>
  <c r="W4825" i="34"/>
  <c r="X4825" i="34"/>
  <c r="Y4825" i="34"/>
  <c r="Z4825" i="34"/>
  <c r="N4826" i="34"/>
  <c r="O4826" i="34"/>
  <c r="P4826" i="34"/>
  <c r="Q4826" i="34"/>
  <c r="R4826" i="34"/>
  <c r="S4826" i="34"/>
  <c r="T4826" i="34"/>
  <c r="U4826" i="34"/>
  <c r="V4826" i="34"/>
  <c r="W4826" i="34"/>
  <c r="X4826" i="34"/>
  <c r="Y4826" i="34"/>
  <c r="Z4826" i="34"/>
  <c r="N4827" i="34"/>
  <c r="O4827" i="34"/>
  <c r="P4827" i="34"/>
  <c r="Q4827" i="34"/>
  <c r="R4827" i="34"/>
  <c r="S4827" i="34"/>
  <c r="T4827" i="34"/>
  <c r="U4827" i="34"/>
  <c r="V4827" i="34"/>
  <c r="W4827" i="34"/>
  <c r="X4827" i="34"/>
  <c r="Y4827" i="34"/>
  <c r="Z4827" i="34"/>
  <c r="N4828" i="34"/>
  <c r="O4828" i="34"/>
  <c r="P4828" i="34"/>
  <c r="Q4828" i="34"/>
  <c r="R4828" i="34"/>
  <c r="S4828" i="34"/>
  <c r="T4828" i="34"/>
  <c r="U4828" i="34"/>
  <c r="V4828" i="34"/>
  <c r="W4828" i="34"/>
  <c r="X4828" i="34"/>
  <c r="Y4828" i="34"/>
  <c r="Z4828" i="34"/>
  <c r="N4829" i="34"/>
  <c r="O4829" i="34"/>
  <c r="P4829" i="34"/>
  <c r="Q4829" i="34"/>
  <c r="R4829" i="34"/>
  <c r="S4829" i="34"/>
  <c r="T4829" i="34"/>
  <c r="U4829" i="34"/>
  <c r="V4829" i="34"/>
  <c r="W4829" i="34"/>
  <c r="X4829" i="34"/>
  <c r="Y4829" i="34"/>
  <c r="Z4829" i="34"/>
  <c r="N4830" i="34"/>
  <c r="O4830" i="34"/>
  <c r="P4830" i="34"/>
  <c r="Q4830" i="34"/>
  <c r="R4830" i="34"/>
  <c r="S4830" i="34"/>
  <c r="T4830" i="34"/>
  <c r="U4830" i="34"/>
  <c r="V4830" i="34"/>
  <c r="W4830" i="34"/>
  <c r="X4830" i="34"/>
  <c r="Y4830" i="34"/>
  <c r="Z4830" i="34"/>
  <c r="N4831" i="34"/>
  <c r="O4831" i="34"/>
  <c r="P4831" i="34"/>
  <c r="Q4831" i="34"/>
  <c r="R4831" i="34"/>
  <c r="S4831" i="34"/>
  <c r="T4831" i="34"/>
  <c r="U4831" i="34"/>
  <c r="V4831" i="34"/>
  <c r="W4831" i="34"/>
  <c r="X4831" i="34"/>
  <c r="Y4831" i="34"/>
  <c r="Z4831" i="34"/>
  <c r="N4832" i="34"/>
  <c r="O4832" i="34"/>
  <c r="P4832" i="34"/>
  <c r="Q4832" i="34"/>
  <c r="R4832" i="34"/>
  <c r="S4832" i="34"/>
  <c r="T4832" i="34"/>
  <c r="U4832" i="34"/>
  <c r="V4832" i="34"/>
  <c r="W4832" i="34"/>
  <c r="X4832" i="34"/>
  <c r="Y4832" i="34"/>
  <c r="Z4832" i="34"/>
  <c r="N4833" i="34"/>
  <c r="O4833" i="34"/>
  <c r="P4833" i="34"/>
  <c r="Q4833" i="34"/>
  <c r="R4833" i="34"/>
  <c r="S4833" i="34"/>
  <c r="T4833" i="34"/>
  <c r="U4833" i="34"/>
  <c r="V4833" i="34"/>
  <c r="W4833" i="34"/>
  <c r="X4833" i="34"/>
  <c r="Y4833" i="34"/>
  <c r="Z4833" i="34"/>
  <c r="N4834" i="34"/>
  <c r="O4834" i="34"/>
  <c r="P4834" i="34"/>
  <c r="Q4834" i="34"/>
  <c r="R4834" i="34"/>
  <c r="S4834" i="34"/>
  <c r="T4834" i="34"/>
  <c r="U4834" i="34"/>
  <c r="V4834" i="34"/>
  <c r="W4834" i="34"/>
  <c r="X4834" i="34"/>
  <c r="Y4834" i="34"/>
  <c r="Z4834" i="34"/>
  <c r="N4835" i="34"/>
  <c r="O4835" i="34"/>
  <c r="P4835" i="34"/>
  <c r="Q4835" i="34"/>
  <c r="R4835" i="34"/>
  <c r="S4835" i="34"/>
  <c r="T4835" i="34"/>
  <c r="U4835" i="34"/>
  <c r="V4835" i="34"/>
  <c r="W4835" i="34"/>
  <c r="X4835" i="34"/>
  <c r="Y4835" i="34"/>
  <c r="Z4835" i="34"/>
  <c r="N4836" i="34"/>
  <c r="O4836" i="34"/>
  <c r="P4836" i="34"/>
  <c r="Q4836" i="34"/>
  <c r="R4836" i="34"/>
  <c r="S4836" i="34"/>
  <c r="T4836" i="34"/>
  <c r="U4836" i="34"/>
  <c r="V4836" i="34"/>
  <c r="W4836" i="34"/>
  <c r="X4836" i="34"/>
  <c r="Y4836" i="34"/>
  <c r="Z4836" i="34"/>
  <c r="N4837" i="34"/>
  <c r="O4837" i="34"/>
  <c r="P4837" i="34"/>
  <c r="Q4837" i="34"/>
  <c r="R4837" i="34"/>
  <c r="S4837" i="34"/>
  <c r="T4837" i="34"/>
  <c r="U4837" i="34"/>
  <c r="V4837" i="34"/>
  <c r="W4837" i="34"/>
  <c r="X4837" i="34"/>
  <c r="Y4837" i="34"/>
  <c r="Z4837" i="34"/>
  <c r="N4838" i="34"/>
  <c r="O4838" i="34"/>
  <c r="P4838" i="34"/>
  <c r="Q4838" i="34"/>
  <c r="R4838" i="34"/>
  <c r="S4838" i="34"/>
  <c r="T4838" i="34"/>
  <c r="U4838" i="34"/>
  <c r="V4838" i="34"/>
  <c r="W4838" i="34"/>
  <c r="X4838" i="34"/>
  <c r="Y4838" i="34"/>
  <c r="Z4838" i="34"/>
  <c r="N4839" i="34"/>
  <c r="O4839" i="34"/>
  <c r="P4839" i="34"/>
  <c r="Q4839" i="34"/>
  <c r="R4839" i="34"/>
  <c r="S4839" i="34"/>
  <c r="T4839" i="34"/>
  <c r="U4839" i="34"/>
  <c r="V4839" i="34"/>
  <c r="W4839" i="34"/>
  <c r="X4839" i="34"/>
  <c r="Y4839" i="34"/>
  <c r="Z4839" i="34"/>
  <c r="N4840" i="34"/>
  <c r="O4840" i="34"/>
  <c r="P4840" i="34"/>
  <c r="Q4840" i="34"/>
  <c r="R4840" i="34"/>
  <c r="S4840" i="34"/>
  <c r="T4840" i="34"/>
  <c r="U4840" i="34"/>
  <c r="V4840" i="34"/>
  <c r="W4840" i="34"/>
  <c r="X4840" i="34"/>
  <c r="Y4840" i="34"/>
  <c r="Z4840" i="34"/>
  <c r="N4841" i="34"/>
  <c r="O4841" i="34"/>
  <c r="P4841" i="34"/>
  <c r="Q4841" i="34"/>
  <c r="R4841" i="34"/>
  <c r="S4841" i="34"/>
  <c r="T4841" i="34"/>
  <c r="U4841" i="34"/>
  <c r="V4841" i="34"/>
  <c r="W4841" i="34"/>
  <c r="X4841" i="34"/>
  <c r="Y4841" i="34"/>
  <c r="Z4841" i="34"/>
  <c r="N4842" i="34"/>
  <c r="O4842" i="34"/>
  <c r="P4842" i="34"/>
  <c r="Q4842" i="34"/>
  <c r="R4842" i="34"/>
  <c r="S4842" i="34"/>
  <c r="T4842" i="34"/>
  <c r="U4842" i="34"/>
  <c r="V4842" i="34"/>
  <c r="W4842" i="34"/>
  <c r="X4842" i="34"/>
  <c r="Y4842" i="34"/>
  <c r="Z4842" i="34"/>
  <c r="N4843" i="34"/>
  <c r="O4843" i="34"/>
  <c r="P4843" i="34"/>
  <c r="Q4843" i="34"/>
  <c r="R4843" i="34"/>
  <c r="S4843" i="34"/>
  <c r="T4843" i="34"/>
  <c r="U4843" i="34"/>
  <c r="V4843" i="34"/>
  <c r="W4843" i="34"/>
  <c r="X4843" i="34"/>
  <c r="Y4843" i="34"/>
  <c r="Z4843" i="34"/>
  <c r="N4844" i="34"/>
  <c r="O4844" i="34"/>
  <c r="P4844" i="34"/>
  <c r="Q4844" i="34"/>
  <c r="R4844" i="34"/>
  <c r="S4844" i="34"/>
  <c r="T4844" i="34"/>
  <c r="U4844" i="34"/>
  <c r="V4844" i="34"/>
  <c r="W4844" i="34"/>
  <c r="X4844" i="34"/>
  <c r="Y4844" i="34"/>
  <c r="Z4844" i="34"/>
  <c r="N4845" i="34"/>
  <c r="O4845" i="34"/>
  <c r="P4845" i="34"/>
  <c r="Q4845" i="34"/>
  <c r="R4845" i="34"/>
  <c r="S4845" i="34"/>
  <c r="T4845" i="34"/>
  <c r="U4845" i="34"/>
  <c r="V4845" i="34"/>
  <c r="W4845" i="34"/>
  <c r="X4845" i="34"/>
  <c r="Y4845" i="34"/>
  <c r="Z4845" i="34"/>
  <c r="N4846" i="34"/>
  <c r="O4846" i="34"/>
  <c r="P4846" i="34"/>
  <c r="Q4846" i="34"/>
  <c r="R4846" i="34"/>
  <c r="S4846" i="34"/>
  <c r="T4846" i="34"/>
  <c r="U4846" i="34"/>
  <c r="V4846" i="34"/>
  <c r="W4846" i="34"/>
  <c r="X4846" i="34"/>
  <c r="Y4846" i="34"/>
  <c r="Z4846" i="34"/>
  <c r="N4847" i="34"/>
  <c r="O4847" i="34"/>
  <c r="P4847" i="34"/>
  <c r="Q4847" i="34"/>
  <c r="R4847" i="34"/>
  <c r="S4847" i="34"/>
  <c r="T4847" i="34"/>
  <c r="U4847" i="34"/>
  <c r="V4847" i="34"/>
  <c r="W4847" i="34"/>
  <c r="X4847" i="34"/>
  <c r="Y4847" i="34"/>
  <c r="Z4847" i="34"/>
  <c r="N4848" i="34"/>
  <c r="O4848" i="34"/>
  <c r="P4848" i="34"/>
  <c r="Q4848" i="34"/>
  <c r="R4848" i="34"/>
  <c r="S4848" i="34"/>
  <c r="T4848" i="34"/>
  <c r="U4848" i="34"/>
  <c r="V4848" i="34"/>
  <c r="W4848" i="34"/>
  <c r="X4848" i="34"/>
  <c r="Y4848" i="34"/>
  <c r="Z4848" i="34"/>
  <c r="N4849" i="34"/>
  <c r="O4849" i="34"/>
  <c r="P4849" i="34"/>
  <c r="Q4849" i="34"/>
  <c r="R4849" i="34"/>
  <c r="S4849" i="34"/>
  <c r="T4849" i="34"/>
  <c r="U4849" i="34"/>
  <c r="V4849" i="34"/>
  <c r="W4849" i="34"/>
  <c r="X4849" i="34"/>
  <c r="Y4849" i="34"/>
  <c r="Z4849" i="34"/>
  <c r="N4850" i="34"/>
  <c r="O4850" i="34"/>
  <c r="P4850" i="34"/>
  <c r="Q4850" i="34"/>
  <c r="R4850" i="34"/>
  <c r="S4850" i="34"/>
  <c r="T4850" i="34"/>
  <c r="U4850" i="34"/>
  <c r="V4850" i="34"/>
  <c r="W4850" i="34"/>
  <c r="X4850" i="34"/>
  <c r="Y4850" i="34"/>
  <c r="Z4850" i="34"/>
  <c r="N4851" i="34"/>
  <c r="O4851" i="34"/>
  <c r="P4851" i="34"/>
  <c r="Q4851" i="34"/>
  <c r="R4851" i="34"/>
  <c r="S4851" i="34"/>
  <c r="T4851" i="34"/>
  <c r="U4851" i="34"/>
  <c r="V4851" i="34"/>
  <c r="W4851" i="34"/>
  <c r="X4851" i="34"/>
  <c r="Y4851" i="34"/>
  <c r="Z4851" i="34"/>
  <c r="N4852" i="34"/>
  <c r="O4852" i="34"/>
  <c r="P4852" i="34"/>
  <c r="Q4852" i="34"/>
  <c r="R4852" i="34"/>
  <c r="S4852" i="34"/>
  <c r="T4852" i="34"/>
  <c r="U4852" i="34"/>
  <c r="V4852" i="34"/>
  <c r="W4852" i="34"/>
  <c r="X4852" i="34"/>
  <c r="Y4852" i="34"/>
  <c r="Z4852" i="34"/>
  <c r="N4853" i="34"/>
  <c r="O4853" i="34"/>
  <c r="P4853" i="34"/>
  <c r="Q4853" i="34"/>
  <c r="R4853" i="34"/>
  <c r="S4853" i="34"/>
  <c r="T4853" i="34"/>
  <c r="U4853" i="34"/>
  <c r="V4853" i="34"/>
  <c r="W4853" i="34"/>
  <c r="X4853" i="34"/>
  <c r="Y4853" i="34"/>
  <c r="Z4853" i="34"/>
  <c r="N4854" i="34"/>
  <c r="O4854" i="34"/>
  <c r="P4854" i="34"/>
  <c r="Q4854" i="34"/>
  <c r="R4854" i="34"/>
  <c r="S4854" i="34"/>
  <c r="T4854" i="34"/>
  <c r="U4854" i="34"/>
  <c r="V4854" i="34"/>
  <c r="W4854" i="34"/>
  <c r="X4854" i="34"/>
  <c r="Y4854" i="34"/>
  <c r="Z4854" i="34"/>
  <c r="N4855" i="34"/>
  <c r="O4855" i="34"/>
  <c r="P4855" i="34"/>
  <c r="Q4855" i="34"/>
  <c r="R4855" i="34"/>
  <c r="S4855" i="34"/>
  <c r="T4855" i="34"/>
  <c r="U4855" i="34"/>
  <c r="V4855" i="34"/>
  <c r="W4855" i="34"/>
  <c r="X4855" i="34"/>
  <c r="Y4855" i="34"/>
  <c r="Z4855" i="34"/>
  <c r="N4856" i="34"/>
  <c r="O4856" i="34"/>
  <c r="P4856" i="34"/>
  <c r="Q4856" i="34"/>
  <c r="R4856" i="34"/>
  <c r="S4856" i="34"/>
  <c r="T4856" i="34"/>
  <c r="U4856" i="34"/>
  <c r="V4856" i="34"/>
  <c r="W4856" i="34"/>
  <c r="X4856" i="34"/>
  <c r="Y4856" i="34"/>
  <c r="Z4856" i="34"/>
  <c r="N4857" i="34"/>
  <c r="O4857" i="34"/>
  <c r="P4857" i="34"/>
  <c r="Q4857" i="34"/>
  <c r="R4857" i="34"/>
  <c r="S4857" i="34"/>
  <c r="T4857" i="34"/>
  <c r="U4857" i="34"/>
  <c r="V4857" i="34"/>
  <c r="W4857" i="34"/>
  <c r="X4857" i="34"/>
  <c r="Y4857" i="34"/>
  <c r="Z4857" i="34"/>
  <c r="N4858" i="34"/>
  <c r="O4858" i="34"/>
  <c r="P4858" i="34"/>
  <c r="Q4858" i="34"/>
  <c r="R4858" i="34"/>
  <c r="S4858" i="34"/>
  <c r="T4858" i="34"/>
  <c r="U4858" i="34"/>
  <c r="V4858" i="34"/>
  <c r="W4858" i="34"/>
  <c r="X4858" i="34"/>
  <c r="Y4858" i="34"/>
  <c r="Z4858" i="34"/>
  <c r="N4859" i="34"/>
  <c r="O4859" i="34"/>
  <c r="P4859" i="34"/>
  <c r="Q4859" i="34"/>
  <c r="R4859" i="34"/>
  <c r="S4859" i="34"/>
  <c r="T4859" i="34"/>
  <c r="U4859" i="34"/>
  <c r="V4859" i="34"/>
  <c r="W4859" i="34"/>
  <c r="X4859" i="34"/>
  <c r="Y4859" i="34"/>
  <c r="Z4859" i="34"/>
  <c r="N4860" i="34"/>
  <c r="O4860" i="34"/>
  <c r="P4860" i="34"/>
  <c r="Q4860" i="34"/>
  <c r="R4860" i="34"/>
  <c r="S4860" i="34"/>
  <c r="T4860" i="34"/>
  <c r="U4860" i="34"/>
  <c r="V4860" i="34"/>
  <c r="W4860" i="34"/>
  <c r="X4860" i="34"/>
  <c r="Y4860" i="34"/>
  <c r="Z4860" i="34"/>
  <c r="N4861" i="34"/>
  <c r="O4861" i="34"/>
  <c r="P4861" i="34"/>
  <c r="Q4861" i="34"/>
  <c r="R4861" i="34"/>
  <c r="S4861" i="34"/>
  <c r="T4861" i="34"/>
  <c r="U4861" i="34"/>
  <c r="V4861" i="34"/>
  <c r="W4861" i="34"/>
  <c r="X4861" i="34"/>
  <c r="Y4861" i="34"/>
  <c r="Z4861" i="34"/>
  <c r="N4862" i="34"/>
  <c r="O4862" i="34"/>
  <c r="P4862" i="34"/>
  <c r="Q4862" i="34"/>
  <c r="R4862" i="34"/>
  <c r="S4862" i="34"/>
  <c r="T4862" i="34"/>
  <c r="U4862" i="34"/>
  <c r="V4862" i="34"/>
  <c r="W4862" i="34"/>
  <c r="X4862" i="34"/>
  <c r="Y4862" i="34"/>
  <c r="Z4862" i="34"/>
  <c r="N4863" i="34"/>
  <c r="O4863" i="34"/>
  <c r="P4863" i="34"/>
  <c r="Q4863" i="34"/>
  <c r="R4863" i="34"/>
  <c r="S4863" i="34"/>
  <c r="T4863" i="34"/>
  <c r="U4863" i="34"/>
  <c r="V4863" i="34"/>
  <c r="W4863" i="34"/>
  <c r="X4863" i="34"/>
  <c r="Y4863" i="34"/>
  <c r="Z4863" i="34"/>
  <c r="N4864" i="34"/>
  <c r="O4864" i="34"/>
  <c r="P4864" i="34"/>
  <c r="Q4864" i="34"/>
  <c r="R4864" i="34"/>
  <c r="S4864" i="34"/>
  <c r="T4864" i="34"/>
  <c r="U4864" i="34"/>
  <c r="V4864" i="34"/>
  <c r="W4864" i="34"/>
  <c r="X4864" i="34"/>
  <c r="Y4864" i="34"/>
  <c r="Z4864" i="34"/>
  <c r="N4865" i="34"/>
  <c r="O4865" i="34"/>
  <c r="P4865" i="34"/>
  <c r="Q4865" i="34"/>
  <c r="R4865" i="34"/>
  <c r="S4865" i="34"/>
  <c r="T4865" i="34"/>
  <c r="U4865" i="34"/>
  <c r="V4865" i="34"/>
  <c r="W4865" i="34"/>
  <c r="X4865" i="34"/>
  <c r="Y4865" i="34"/>
  <c r="Z4865" i="34"/>
  <c r="N4866" i="34"/>
  <c r="O4866" i="34"/>
  <c r="P4866" i="34"/>
  <c r="Q4866" i="34"/>
  <c r="R4866" i="34"/>
  <c r="S4866" i="34"/>
  <c r="T4866" i="34"/>
  <c r="U4866" i="34"/>
  <c r="V4866" i="34"/>
  <c r="W4866" i="34"/>
  <c r="X4866" i="34"/>
  <c r="Y4866" i="34"/>
  <c r="Z4866" i="34"/>
  <c r="N4867" i="34"/>
  <c r="O4867" i="34"/>
  <c r="P4867" i="34"/>
  <c r="Q4867" i="34"/>
  <c r="R4867" i="34"/>
  <c r="S4867" i="34"/>
  <c r="T4867" i="34"/>
  <c r="U4867" i="34"/>
  <c r="V4867" i="34"/>
  <c r="W4867" i="34"/>
  <c r="X4867" i="34"/>
  <c r="Y4867" i="34"/>
  <c r="Z4867" i="34"/>
  <c r="N4868" i="34"/>
  <c r="O4868" i="34"/>
  <c r="P4868" i="34"/>
  <c r="Q4868" i="34"/>
  <c r="R4868" i="34"/>
  <c r="S4868" i="34"/>
  <c r="T4868" i="34"/>
  <c r="U4868" i="34"/>
  <c r="V4868" i="34"/>
  <c r="W4868" i="34"/>
  <c r="X4868" i="34"/>
  <c r="Y4868" i="34"/>
  <c r="Z4868" i="34"/>
  <c r="N4869" i="34"/>
  <c r="O4869" i="34"/>
  <c r="P4869" i="34"/>
  <c r="Q4869" i="34"/>
  <c r="R4869" i="34"/>
  <c r="S4869" i="34"/>
  <c r="T4869" i="34"/>
  <c r="U4869" i="34"/>
  <c r="V4869" i="34"/>
  <c r="W4869" i="34"/>
  <c r="X4869" i="34"/>
  <c r="Y4869" i="34"/>
  <c r="Z4869" i="34"/>
  <c r="N4870" i="34"/>
  <c r="O4870" i="34"/>
  <c r="P4870" i="34"/>
  <c r="Q4870" i="34"/>
  <c r="R4870" i="34"/>
  <c r="S4870" i="34"/>
  <c r="T4870" i="34"/>
  <c r="U4870" i="34"/>
  <c r="V4870" i="34"/>
  <c r="W4870" i="34"/>
  <c r="X4870" i="34"/>
  <c r="Y4870" i="34"/>
  <c r="Z4870" i="34"/>
  <c r="N4871" i="34"/>
  <c r="O4871" i="34"/>
  <c r="P4871" i="34"/>
  <c r="Q4871" i="34"/>
  <c r="R4871" i="34"/>
  <c r="S4871" i="34"/>
  <c r="T4871" i="34"/>
  <c r="U4871" i="34"/>
  <c r="V4871" i="34"/>
  <c r="W4871" i="34"/>
  <c r="X4871" i="34"/>
  <c r="Y4871" i="34"/>
  <c r="Z4871" i="34"/>
  <c r="N4872" i="34"/>
  <c r="O4872" i="34"/>
  <c r="P4872" i="34"/>
  <c r="Q4872" i="34"/>
  <c r="R4872" i="34"/>
  <c r="S4872" i="34"/>
  <c r="T4872" i="34"/>
  <c r="U4872" i="34"/>
  <c r="V4872" i="34"/>
  <c r="W4872" i="34"/>
  <c r="X4872" i="34"/>
  <c r="Y4872" i="34"/>
  <c r="Z4872" i="34"/>
  <c r="N4873" i="34"/>
  <c r="O4873" i="34"/>
  <c r="P4873" i="34"/>
  <c r="Q4873" i="34"/>
  <c r="R4873" i="34"/>
  <c r="S4873" i="34"/>
  <c r="T4873" i="34"/>
  <c r="U4873" i="34"/>
  <c r="V4873" i="34"/>
  <c r="W4873" i="34"/>
  <c r="X4873" i="34"/>
  <c r="Y4873" i="34"/>
  <c r="Z4873" i="34"/>
  <c r="N4874" i="34"/>
  <c r="O4874" i="34"/>
  <c r="P4874" i="34"/>
  <c r="Q4874" i="34"/>
  <c r="R4874" i="34"/>
  <c r="S4874" i="34"/>
  <c r="T4874" i="34"/>
  <c r="U4874" i="34"/>
  <c r="V4874" i="34"/>
  <c r="W4874" i="34"/>
  <c r="X4874" i="34"/>
  <c r="Y4874" i="34"/>
  <c r="Z4874" i="34"/>
  <c r="N4875" i="34"/>
  <c r="O4875" i="34"/>
  <c r="P4875" i="34"/>
  <c r="Q4875" i="34"/>
  <c r="R4875" i="34"/>
  <c r="S4875" i="34"/>
  <c r="T4875" i="34"/>
  <c r="U4875" i="34"/>
  <c r="V4875" i="34"/>
  <c r="W4875" i="34"/>
  <c r="X4875" i="34"/>
  <c r="Y4875" i="34"/>
  <c r="Z4875" i="34"/>
  <c r="N4876" i="34"/>
  <c r="O4876" i="34"/>
  <c r="P4876" i="34"/>
  <c r="Q4876" i="34"/>
  <c r="R4876" i="34"/>
  <c r="S4876" i="34"/>
  <c r="T4876" i="34"/>
  <c r="U4876" i="34"/>
  <c r="V4876" i="34"/>
  <c r="W4876" i="34"/>
  <c r="X4876" i="34"/>
  <c r="Y4876" i="34"/>
  <c r="Z4876" i="34"/>
  <c r="N4877" i="34"/>
  <c r="O4877" i="34"/>
  <c r="P4877" i="34"/>
  <c r="Q4877" i="34"/>
  <c r="R4877" i="34"/>
  <c r="S4877" i="34"/>
  <c r="T4877" i="34"/>
  <c r="U4877" i="34"/>
  <c r="V4877" i="34"/>
  <c r="W4877" i="34"/>
  <c r="X4877" i="34"/>
  <c r="Y4877" i="34"/>
  <c r="Z4877" i="34"/>
  <c r="N4878" i="34"/>
  <c r="O4878" i="34"/>
  <c r="P4878" i="34"/>
  <c r="Q4878" i="34"/>
  <c r="R4878" i="34"/>
  <c r="S4878" i="34"/>
  <c r="T4878" i="34"/>
  <c r="U4878" i="34"/>
  <c r="V4878" i="34"/>
  <c r="W4878" i="34"/>
  <c r="X4878" i="34"/>
  <c r="Y4878" i="34"/>
  <c r="Z4878" i="34"/>
  <c r="N4879" i="34"/>
  <c r="O4879" i="34"/>
  <c r="P4879" i="34"/>
  <c r="Q4879" i="34"/>
  <c r="R4879" i="34"/>
  <c r="S4879" i="34"/>
  <c r="T4879" i="34"/>
  <c r="U4879" i="34"/>
  <c r="V4879" i="34"/>
  <c r="W4879" i="34"/>
  <c r="X4879" i="34"/>
  <c r="Y4879" i="34"/>
  <c r="Z4879" i="34"/>
  <c r="N4880" i="34"/>
  <c r="O4880" i="34"/>
  <c r="P4880" i="34"/>
  <c r="Q4880" i="34"/>
  <c r="R4880" i="34"/>
  <c r="S4880" i="34"/>
  <c r="T4880" i="34"/>
  <c r="U4880" i="34"/>
  <c r="V4880" i="34"/>
  <c r="W4880" i="34"/>
  <c r="X4880" i="34"/>
  <c r="Y4880" i="34"/>
  <c r="Z4880" i="34"/>
  <c r="N4881" i="34"/>
  <c r="O4881" i="34"/>
  <c r="P4881" i="34"/>
  <c r="Q4881" i="34"/>
  <c r="R4881" i="34"/>
  <c r="S4881" i="34"/>
  <c r="T4881" i="34"/>
  <c r="U4881" i="34"/>
  <c r="V4881" i="34"/>
  <c r="W4881" i="34"/>
  <c r="X4881" i="34"/>
  <c r="Y4881" i="34"/>
  <c r="Z4881" i="34"/>
  <c r="N4882" i="34"/>
  <c r="O4882" i="34"/>
  <c r="P4882" i="34"/>
  <c r="Q4882" i="34"/>
  <c r="R4882" i="34"/>
  <c r="S4882" i="34"/>
  <c r="T4882" i="34"/>
  <c r="U4882" i="34"/>
  <c r="V4882" i="34"/>
  <c r="W4882" i="34"/>
  <c r="X4882" i="34"/>
  <c r="Y4882" i="34"/>
  <c r="Z4882" i="34"/>
  <c r="N4883" i="34"/>
  <c r="O4883" i="34"/>
  <c r="P4883" i="34"/>
  <c r="Q4883" i="34"/>
  <c r="R4883" i="34"/>
  <c r="S4883" i="34"/>
  <c r="T4883" i="34"/>
  <c r="U4883" i="34"/>
  <c r="V4883" i="34"/>
  <c r="W4883" i="34"/>
  <c r="X4883" i="34"/>
  <c r="Y4883" i="34"/>
  <c r="Z4883" i="34"/>
  <c r="N4884" i="34"/>
  <c r="O4884" i="34"/>
  <c r="P4884" i="34"/>
  <c r="Q4884" i="34"/>
  <c r="R4884" i="34"/>
  <c r="S4884" i="34"/>
  <c r="T4884" i="34"/>
  <c r="U4884" i="34"/>
  <c r="V4884" i="34"/>
  <c r="W4884" i="34"/>
  <c r="X4884" i="34"/>
  <c r="Y4884" i="34"/>
  <c r="Z4884" i="34"/>
  <c r="N4885" i="34"/>
  <c r="O4885" i="34"/>
  <c r="P4885" i="34"/>
  <c r="Q4885" i="34"/>
  <c r="R4885" i="34"/>
  <c r="S4885" i="34"/>
  <c r="T4885" i="34"/>
  <c r="U4885" i="34"/>
  <c r="V4885" i="34"/>
  <c r="W4885" i="34"/>
  <c r="X4885" i="34"/>
  <c r="Y4885" i="34"/>
  <c r="Z4885" i="34"/>
  <c r="N4886" i="34"/>
  <c r="O4886" i="34"/>
  <c r="P4886" i="34"/>
  <c r="Q4886" i="34"/>
  <c r="R4886" i="34"/>
  <c r="S4886" i="34"/>
  <c r="T4886" i="34"/>
  <c r="U4886" i="34"/>
  <c r="V4886" i="34"/>
  <c r="W4886" i="34"/>
  <c r="X4886" i="34"/>
  <c r="Y4886" i="34"/>
  <c r="Z4886" i="34"/>
  <c r="N4887" i="34"/>
  <c r="O4887" i="34"/>
  <c r="P4887" i="34"/>
  <c r="Q4887" i="34"/>
  <c r="R4887" i="34"/>
  <c r="S4887" i="34"/>
  <c r="T4887" i="34"/>
  <c r="U4887" i="34"/>
  <c r="V4887" i="34"/>
  <c r="W4887" i="34"/>
  <c r="X4887" i="34"/>
  <c r="Y4887" i="34"/>
  <c r="Z4887" i="34"/>
  <c r="N4888" i="34"/>
  <c r="O4888" i="34"/>
  <c r="P4888" i="34"/>
  <c r="Q4888" i="34"/>
  <c r="R4888" i="34"/>
  <c r="S4888" i="34"/>
  <c r="T4888" i="34"/>
  <c r="U4888" i="34"/>
  <c r="V4888" i="34"/>
  <c r="W4888" i="34"/>
  <c r="X4888" i="34"/>
  <c r="Y4888" i="34"/>
  <c r="Z4888" i="34"/>
  <c r="N4889" i="34"/>
  <c r="O4889" i="34"/>
  <c r="P4889" i="34"/>
  <c r="Q4889" i="34"/>
  <c r="R4889" i="34"/>
  <c r="S4889" i="34"/>
  <c r="T4889" i="34"/>
  <c r="U4889" i="34"/>
  <c r="V4889" i="34"/>
  <c r="W4889" i="34"/>
  <c r="X4889" i="34"/>
  <c r="Y4889" i="34"/>
  <c r="Z4889" i="34"/>
  <c r="N4890" i="34"/>
  <c r="O4890" i="34"/>
  <c r="P4890" i="34"/>
  <c r="Q4890" i="34"/>
  <c r="R4890" i="34"/>
  <c r="S4890" i="34"/>
  <c r="T4890" i="34"/>
  <c r="U4890" i="34"/>
  <c r="V4890" i="34"/>
  <c r="W4890" i="34"/>
  <c r="X4890" i="34"/>
  <c r="Y4890" i="34"/>
  <c r="Z4890" i="34"/>
  <c r="N4891" i="34"/>
  <c r="O4891" i="34"/>
  <c r="P4891" i="34"/>
  <c r="Q4891" i="34"/>
  <c r="R4891" i="34"/>
  <c r="S4891" i="34"/>
  <c r="T4891" i="34"/>
  <c r="U4891" i="34"/>
  <c r="V4891" i="34"/>
  <c r="W4891" i="34"/>
  <c r="X4891" i="34"/>
  <c r="Y4891" i="34"/>
  <c r="Z4891" i="34"/>
  <c r="N4892" i="34"/>
  <c r="O4892" i="34"/>
  <c r="P4892" i="34"/>
  <c r="Q4892" i="34"/>
  <c r="R4892" i="34"/>
  <c r="S4892" i="34"/>
  <c r="T4892" i="34"/>
  <c r="U4892" i="34"/>
  <c r="V4892" i="34"/>
  <c r="W4892" i="34"/>
  <c r="X4892" i="34"/>
  <c r="Y4892" i="34"/>
  <c r="Z4892" i="34"/>
  <c r="N4893" i="34"/>
  <c r="O4893" i="34"/>
  <c r="P4893" i="34"/>
  <c r="Q4893" i="34"/>
  <c r="R4893" i="34"/>
  <c r="S4893" i="34"/>
  <c r="T4893" i="34"/>
  <c r="U4893" i="34"/>
  <c r="V4893" i="34"/>
  <c r="W4893" i="34"/>
  <c r="X4893" i="34"/>
  <c r="Y4893" i="34"/>
  <c r="Z4893" i="34"/>
  <c r="N4894" i="34"/>
  <c r="O4894" i="34"/>
  <c r="P4894" i="34"/>
  <c r="Q4894" i="34"/>
  <c r="R4894" i="34"/>
  <c r="S4894" i="34"/>
  <c r="T4894" i="34"/>
  <c r="U4894" i="34"/>
  <c r="V4894" i="34"/>
  <c r="W4894" i="34"/>
  <c r="X4894" i="34"/>
  <c r="Y4894" i="34"/>
  <c r="Z4894" i="34"/>
  <c r="N4895" i="34"/>
  <c r="O4895" i="34"/>
  <c r="P4895" i="34"/>
  <c r="Q4895" i="34"/>
  <c r="R4895" i="34"/>
  <c r="S4895" i="34"/>
  <c r="T4895" i="34"/>
  <c r="U4895" i="34"/>
  <c r="V4895" i="34"/>
  <c r="W4895" i="34"/>
  <c r="X4895" i="34"/>
  <c r="Y4895" i="34"/>
  <c r="Z4895" i="34"/>
  <c r="N4896" i="34"/>
  <c r="O4896" i="34"/>
  <c r="P4896" i="34"/>
  <c r="Q4896" i="34"/>
  <c r="R4896" i="34"/>
  <c r="S4896" i="34"/>
  <c r="T4896" i="34"/>
  <c r="U4896" i="34"/>
  <c r="V4896" i="34"/>
  <c r="W4896" i="34"/>
  <c r="X4896" i="34"/>
  <c r="Y4896" i="34"/>
  <c r="Z4896" i="34"/>
  <c r="N4897" i="34"/>
  <c r="O4897" i="34"/>
  <c r="P4897" i="34"/>
  <c r="Q4897" i="34"/>
  <c r="R4897" i="34"/>
  <c r="S4897" i="34"/>
  <c r="T4897" i="34"/>
  <c r="U4897" i="34"/>
  <c r="V4897" i="34"/>
  <c r="W4897" i="34"/>
  <c r="X4897" i="34"/>
  <c r="Y4897" i="34"/>
  <c r="Z4897" i="34"/>
  <c r="N4898" i="34"/>
  <c r="O4898" i="34"/>
  <c r="P4898" i="34"/>
  <c r="Q4898" i="34"/>
  <c r="R4898" i="34"/>
  <c r="S4898" i="34"/>
  <c r="T4898" i="34"/>
  <c r="U4898" i="34"/>
  <c r="V4898" i="34"/>
  <c r="W4898" i="34"/>
  <c r="X4898" i="34"/>
  <c r="Y4898" i="34"/>
  <c r="Z4898" i="34"/>
  <c r="N4899" i="34"/>
  <c r="O4899" i="34"/>
  <c r="P4899" i="34"/>
  <c r="Q4899" i="34"/>
  <c r="R4899" i="34"/>
  <c r="S4899" i="34"/>
  <c r="T4899" i="34"/>
  <c r="U4899" i="34"/>
  <c r="V4899" i="34"/>
  <c r="W4899" i="34"/>
  <c r="X4899" i="34"/>
  <c r="Y4899" i="34"/>
  <c r="Z4899" i="34"/>
  <c r="N4900" i="34"/>
  <c r="O4900" i="34"/>
  <c r="P4900" i="34"/>
  <c r="Q4900" i="34"/>
  <c r="R4900" i="34"/>
  <c r="S4900" i="34"/>
  <c r="T4900" i="34"/>
  <c r="U4900" i="34"/>
  <c r="V4900" i="34"/>
  <c r="W4900" i="34"/>
  <c r="X4900" i="34"/>
  <c r="Y4900" i="34"/>
  <c r="Z4900" i="34"/>
  <c r="N4901" i="34"/>
  <c r="O4901" i="34"/>
  <c r="P4901" i="34"/>
  <c r="Q4901" i="34"/>
  <c r="R4901" i="34"/>
  <c r="S4901" i="34"/>
  <c r="T4901" i="34"/>
  <c r="U4901" i="34"/>
  <c r="V4901" i="34"/>
  <c r="W4901" i="34"/>
  <c r="X4901" i="34"/>
  <c r="Y4901" i="34"/>
  <c r="Z4901" i="34"/>
  <c r="N4902" i="34"/>
  <c r="O4902" i="34"/>
  <c r="P4902" i="34"/>
  <c r="Q4902" i="34"/>
  <c r="R4902" i="34"/>
  <c r="S4902" i="34"/>
  <c r="T4902" i="34"/>
  <c r="U4902" i="34"/>
  <c r="V4902" i="34"/>
  <c r="W4902" i="34"/>
  <c r="X4902" i="34"/>
  <c r="Y4902" i="34"/>
  <c r="Z4902" i="34"/>
  <c r="N4903" i="34"/>
  <c r="O4903" i="34"/>
  <c r="P4903" i="34"/>
  <c r="Q4903" i="34"/>
  <c r="R4903" i="34"/>
  <c r="S4903" i="34"/>
  <c r="T4903" i="34"/>
  <c r="U4903" i="34"/>
  <c r="V4903" i="34"/>
  <c r="W4903" i="34"/>
  <c r="X4903" i="34"/>
  <c r="Y4903" i="34"/>
  <c r="Z4903" i="34"/>
  <c r="N4904" i="34"/>
  <c r="O4904" i="34"/>
  <c r="P4904" i="34"/>
  <c r="Q4904" i="34"/>
  <c r="R4904" i="34"/>
  <c r="S4904" i="34"/>
  <c r="T4904" i="34"/>
  <c r="U4904" i="34"/>
  <c r="V4904" i="34"/>
  <c r="W4904" i="34"/>
  <c r="X4904" i="34"/>
  <c r="Y4904" i="34"/>
  <c r="Z4904" i="34"/>
  <c r="N4905" i="34"/>
  <c r="O4905" i="34"/>
  <c r="P4905" i="34"/>
  <c r="Q4905" i="34"/>
  <c r="R4905" i="34"/>
  <c r="S4905" i="34"/>
  <c r="T4905" i="34"/>
  <c r="U4905" i="34"/>
  <c r="V4905" i="34"/>
  <c r="W4905" i="34"/>
  <c r="X4905" i="34"/>
  <c r="Y4905" i="34"/>
  <c r="Z4905" i="34"/>
  <c r="N4906" i="34"/>
  <c r="O4906" i="34"/>
  <c r="P4906" i="34"/>
  <c r="Q4906" i="34"/>
  <c r="R4906" i="34"/>
  <c r="S4906" i="34"/>
  <c r="T4906" i="34"/>
  <c r="U4906" i="34"/>
  <c r="V4906" i="34"/>
  <c r="W4906" i="34"/>
  <c r="X4906" i="34"/>
  <c r="Y4906" i="34"/>
  <c r="Z4906" i="34"/>
  <c r="N4907" i="34"/>
  <c r="O4907" i="34"/>
  <c r="P4907" i="34"/>
  <c r="Q4907" i="34"/>
  <c r="R4907" i="34"/>
  <c r="S4907" i="34"/>
  <c r="T4907" i="34"/>
  <c r="U4907" i="34"/>
  <c r="V4907" i="34"/>
  <c r="W4907" i="34"/>
  <c r="X4907" i="34"/>
  <c r="Y4907" i="34"/>
  <c r="Z4907" i="34"/>
  <c r="N4908" i="34"/>
  <c r="O4908" i="34"/>
  <c r="P4908" i="34"/>
  <c r="Q4908" i="34"/>
  <c r="R4908" i="34"/>
  <c r="S4908" i="34"/>
  <c r="T4908" i="34"/>
  <c r="U4908" i="34"/>
  <c r="V4908" i="34"/>
  <c r="W4908" i="34"/>
  <c r="X4908" i="34"/>
  <c r="Y4908" i="34"/>
  <c r="Z4908" i="34"/>
  <c r="N4909" i="34"/>
  <c r="O4909" i="34"/>
  <c r="P4909" i="34"/>
  <c r="Q4909" i="34"/>
  <c r="R4909" i="34"/>
  <c r="S4909" i="34"/>
  <c r="T4909" i="34"/>
  <c r="U4909" i="34"/>
  <c r="V4909" i="34"/>
  <c r="W4909" i="34"/>
  <c r="X4909" i="34"/>
  <c r="Y4909" i="34"/>
  <c r="Z4909" i="34"/>
  <c r="N4910" i="34"/>
  <c r="O4910" i="34"/>
  <c r="P4910" i="34"/>
  <c r="Q4910" i="34"/>
  <c r="R4910" i="34"/>
  <c r="S4910" i="34"/>
  <c r="T4910" i="34"/>
  <c r="U4910" i="34"/>
  <c r="V4910" i="34"/>
  <c r="W4910" i="34"/>
  <c r="X4910" i="34"/>
  <c r="Y4910" i="34"/>
  <c r="Z4910" i="34"/>
  <c r="N4911" i="34"/>
  <c r="O4911" i="34"/>
  <c r="P4911" i="34"/>
  <c r="Q4911" i="34"/>
  <c r="R4911" i="34"/>
  <c r="S4911" i="34"/>
  <c r="T4911" i="34"/>
  <c r="U4911" i="34"/>
  <c r="V4911" i="34"/>
  <c r="W4911" i="34"/>
  <c r="X4911" i="34"/>
  <c r="Y4911" i="34"/>
  <c r="Z4911" i="34"/>
  <c r="N4912" i="34"/>
  <c r="O4912" i="34"/>
  <c r="P4912" i="34"/>
  <c r="Q4912" i="34"/>
  <c r="R4912" i="34"/>
  <c r="S4912" i="34"/>
  <c r="T4912" i="34"/>
  <c r="U4912" i="34"/>
  <c r="V4912" i="34"/>
  <c r="W4912" i="34"/>
  <c r="X4912" i="34"/>
  <c r="Y4912" i="34"/>
  <c r="Z4912" i="34"/>
  <c r="N4913" i="34"/>
  <c r="O4913" i="34"/>
  <c r="P4913" i="34"/>
  <c r="Q4913" i="34"/>
  <c r="R4913" i="34"/>
  <c r="S4913" i="34"/>
  <c r="T4913" i="34"/>
  <c r="U4913" i="34"/>
  <c r="V4913" i="34"/>
  <c r="W4913" i="34"/>
  <c r="X4913" i="34"/>
  <c r="Y4913" i="34"/>
  <c r="Z4913" i="34"/>
  <c r="N4914" i="34"/>
  <c r="O4914" i="34"/>
  <c r="P4914" i="34"/>
  <c r="Q4914" i="34"/>
  <c r="R4914" i="34"/>
  <c r="S4914" i="34"/>
  <c r="T4914" i="34"/>
  <c r="U4914" i="34"/>
  <c r="V4914" i="34"/>
  <c r="W4914" i="34"/>
  <c r="X4914" i="34"/>
  <c r="Y4914" i="34"/>
  <c r="Z4914" i="34"/>
  <c r="N4915" i="34"/>
  <c r="O4915" i="34"/>
  <c r="P4915" i="34"/>
  <c r="Q4915" i="34"/>
  <c r="R4915" i="34"/>
  <c r="S4915" i="34"/>
  <c r="T4915" i="34"/>
  <c r="U4915" i="34"/>
  <c r="V4915" i="34"/>
  <c r="W4915" i="34"/>
  <c r="X4915" i="34"/>
  <c r="Y4915" i="34"/>
  <c r="Z4915" i="34"/>
  <c r="N4916" i="34"/>
  <c r="O4916" i="34"/>
  <c r="P4916" i="34"/>
  <c r="Q4916" i="34"/>
  <c r="R4916" i="34"/>
  <c r="S4916" i="34"/>
  <c r="T4916" i="34"/>
  <c r="U4916" i="34"/>
  <c r="V4916" i="34"/>
  <c r="W4916" i="34"/>
  <c r="X4916" i="34"/>
  <c r="Y4916" i="34"/>
  <c r="Z4916" i="34"/>
  <c r="N4917" i="34"/>
  <c r="O4917" i="34"/>
  <c r="P4917" i="34"/>
  <c r="Q4917" i="34"/>
  <c r="R4917" i="34"/>
  <c r="S4917" i="34"/>
  <c r="T4917" i="34"/>
  <c r="U4917" i="34"/>
  <c r="V4917" i="34"/>
  <c r="W4917" i="34"/>
  <c r="X4917" i="34"/>
  <c r="Y4917" i="34"/>
  <c r="Z4917" i="34"/>
  <c r="N4918" i="34"/>
  <c r="O4918" i="34"/>
  <c r="P4918" i="34"/>
  <c r="Q4918" i="34"/>
  <c r="R4918" i="34"/>
  <c r="S4918" i="34"/>
  <c r="T4918" i="34"/>
  <c r="U4918" i="34"/>
  <c r="V4918" i="34"/>
  <c r="W4918" i="34"/>
  <c r="X4918" i="34"/>
  <c r="Y4918" i="34"/>
  <c r="Z4918" i="34"/>
  <c r="N4919" i="34"/>
  <c r="O4919" i="34"/>
  <c r="P4919" i="34"/>
  <c r="Q4919" i="34"/>
  <c r="R4919" i="34"/>
  <c r="S4919" i="34"/>
  <c r="T4919" i="34"/>
  <c r="U4919" i="34"/>
  <c r="V4919" i="34"/>
  <c r="W4919" i="34"/>
  <c r="X4919" i="34"/>
  <c r="Y4919" i="34"/>
  <c r="Z4919" i="34"/>
  <c r="N4920" i="34"/>
  <c r="O4920" i="34"/>
  <c r="P4920" i="34"/>
  <c r="Q4920" i="34"/>
  <c r="R4920" i="34"/>
  <c r="S4920" i="34"/>
  <c r="T4920" i="34"/>
  <c r="U4920" i="34"/>
  <c r="V4920" i="34"/>
  <c r="W4920" i="34"/>
  <c r="X4920" i="34"/>
  <c r="Y4920" i="34"/>
  <c r="Z4920" i="34"/>
  <c r="N4921" i="34"/>
  <c r="O4921" i="34"/>
  <c r="P4921" i="34"/>
  <c r="Q4921" i="34"/>
  <c r="R4921" i="34"/>
  <c r="S4921" i="34"/>
  <c r="T4921" i="34"/>
  <c r="U4921" i="34"/>
  <c r="V4921" i="34"/>
  <c r="W4921" i="34"/>
  <c r="X4921" i="34"/>
  <c r="Y4921" i="34"/>
  <c r="Z4921" i="34"/>
  <c r="N4922" i="34"/>
  <c r="O4922" i="34"/>
  <c r="P4922" i="34"/>
  <c r="Q4922" i="34"/>
  <c r="R4922" i="34"/>
  <c r="S4922" i="34"/>
  <c r="T4922" i="34"/>
  <c r="U4922" i="34"/>
  <c r="V4922" i="34"/>
  <c r="W4922" i="34"/>
  <c r="X4922" i="34"/>
  <c r="Y4922" i="34"/>
  <c r="Z4922" i="34"/>
  <c r="N4923" i="34"/>
  <c r="O4923" i="34"/>
  <c r="P4923" i="34"/>
  <c r="Q4923" i="34"/>
  <c r="R4923" i="34"/>
  <c r="S4923" i="34"/>
  <c r="T4923" i="34"/>
  <c r="U4923" i="34"/>
  <c r="V4923" i="34"/>
  <c r="W4923" i="34"/>
  <c r="X4923" i="34"/>
  <c r="Y4923" i="34"/>
  <c r="Z4923" i="34"/>
  <c r="N4924" i="34"/>
  <c r="O4924" i="34"/>
  <c r="P4924" i="34"/>
  <c r="Q4924" i="34"/>
  <c r="R4924" i="34"/>
  <c r="S4924" i="34"/>
  <c r="T4924" i="34"/>
  <c r="U4924" i="34"/>
  <c r="V4924" i="34"/>
  <c r="W4924" i="34"/>
  <c r="X4924" i="34"/>
  <c r="Y4924" i="34"/>
  <c r="Z4924" i="34"/>
  <c r="N4925" i="34"/>
  <c r="O4925" i="34"/>
  <c r="P4925" i="34"/>
  <c r="Q4925" i="34"/>
  <c r="R4925" i="34"/>
  <c r="S4925" i="34"/>
  <c r="T4925" i="34"/>
  <c r="U4925" i="34"/>
  <c r="V4925" i="34"/>
  <c r="W4925" i="34"/>
  <c r="X4925" i="34"/>
  <c r="Y4925" i="34"/>
  <c r="Z4925" i="34"/>
  <c r="N4926" i="34"/>
  <c r="O4926" i="34"/>
  <c r="P4926" i="34"/>
  <c r="Q4926" i="34"/>
  <c r="R4926" i="34"/>
  <c r="S4926" i="34"/>
  <c r="T4926" i="34"/>
  <c r="U4926" i="34"/>
  <c r="V4926" i="34"/>
  <c r="W4926" i="34"/>
  <c r="X4926" i="34"/>
  <c r="Y4926" i="34"/>
  <c r="Z4926" i="34"/>
  <c r="N4927" i="34"/>
  <c r="O4927" i="34"/>
  <c r="P4927" i="34"/>
  <c r="Q4927" i="34"/>
  <c r="R4927" i="34"/>
  <c r="S4927" i="34"/>
  <c r="T4927" i="34"/>
  <c r="U4927" i="34"/>
  <c r="V4927" i="34"/>
  <c r="W4927" i="34"/>
  <c r="X4927" i="34"/>
  <c r="Y4927" i="34"/>
  <c r="Z4927" i="34"/>
  <c r="N4928" i="34"/>
  <c r="O4928" i="34"/>
  <c r="P4928" i="34"/>
  <c r="Q4928" i="34"/>
  <c r="R4928" i="34"/>
  <c r="S4928" i="34"/>
  <c r="T4928" i="34"/>
  <c r="U4928" i="34"/>
  <c r="V4928" i="34"/>
  <c r="W4928" i="34"/>
  <c r="X4928" i="34"/>
  <c r="Y4928" i="34"/>
  <c r="Z4928" i="34"/>
  <c r="N4929" i="34"/>
  <c r="O4929" i="34"/>
  <c r="P4929" i="34"/>
  <c r="Q4929" i="34"/>
  <c r="R4929" i="34"/>
  <c r="S4929" i="34"/>
  <c r="T4929" i="34"/>
  <c r="U4929" i="34"/>
  <c r="V4929" i="34"/>
  <c r="W4929" i="34"/>
  <c r="X4929" i="34"/>
  <c r="Y4929" i="34"/>
  <c r="Z4929" i="34"/>
  <c r="N4930" i="34"/>
  <c r="O4930" i="34"/>
  <c r="P4930" i="34"/>
  <c r="Q4930" i="34"/>
  <c r="R4930" i="34"/>
  <c r="S4930" i="34"/>
  <c r="T4930" i="34"/>
  <c r="U4930" i="34"/>
  <c r="V4930" i="34"/>
  <c r="W4930" i="34"/>
  <c r="X4930" i="34"/>
  <c r="Y4930" i="34"/>
  <c r="Z4930" i="34"/>
  <c r="N4931" i="34"/>
  <c r="O4931" i="34"/>
  <c r="P4931" i="34"/>
  <c r="Q4931" i="34"/>
  <c r="R4931" i="34"/>
  <c r="S4931" i="34"/>
  <c r="T4931" i="34"/>
  <c r="U4931" i="34"/>
  <c r="V4931" i="34"/>
  <c r="W4931" i="34"/>
  <c r="X4931" i="34"/>
  <c r="Y4931" i="34"/>
  <c r="Z4931" i="34"/>
  <c r="N4932" i="34"/>
  <c r="O4932" i="34"/>
  <c r="P4932" i="34"/>
  <c r="Q4932" i="34"/>
  <c r="R4932" i="34"/>
  <c r="S4932" i="34"/>
  <c r="T4932" i="34"/>
  <c r="U4932" i="34"/>
  <c r="V4932" i="34"/>
  <c r="W4932" i="34"/>
  <c r="X4932" i="34"/>
  <c r="Y4932" i="34"/>
  <c r="Z4932" i="34"/>
  <c r="N4933" i="34"/>
  <c r="O4933" i="34"/>
  <c r="P4933" i="34"/>
  <c r="Q4933" i="34"/>
  <c r="R4933" i="34"/>
  <c r="S4933" i="34"/>
  <c r="T4933" i="34"/>
  <c r="U4933" i="34"/>
  <c r="V4933" i="34"/>
  <c r="W4933" i="34"/>
  <c r="X4933" i="34"/>
  <c r="Y4933" i="34"/>
  <c r="Z4933" i="34"/>
  <c r="N4934" i="34"/>
  <c r="O4934" i="34"/>
  <c r="P4934" i="34"/>
  <c r="Q4934" i="34"/>
  <c r="R4934" i="34"/>
  <c r="S4934" i="34"/>
  <c r="T4934" i="34"/>
  <c r="U4934" i="34"/>
  <c r="V4934" i="34"/>
  <c r="W4934" i="34"/>
  <c r="X4934" i="34"/>
  <c r="Y4934" i="34"/>
  <c r="Z4934" i="34"/>
  <c r="N4935" i="34"/>
  <c r="O4935" i="34"/>
  <c r="P4935" i="34"/>
  <c r="Q4935" i="34"/>
  <c r="R4935" i="34"/>
  <c r="S4935" i="34"/>
  <c r="T4935" i="34"/>
  <c r="U4935" i="34"/>
  <c r="V4935" i="34"/>
  <c r="W4935" i="34"/>
  <c r="X4935" i="34"/>
  <c r="Y4935" i="34"/>
  <c r="Z4935" i="34"/>
  <c r="N4936" i="34"/>
  <c r="O4936" i="34"/>
  <c r="P4936" i="34"/>
  <c r="Q4936" i="34"/>
  <c r="R4936" i="34"/>
  <c r="S4936" i="34"/>
  <c r="T4936" i="34"/>
  <c r="U4936" i="34"/>
  <c r="V4936" i="34"/>
  <c r="W4936" i="34"/>
  <c r="X4936" i="34"/>
  <c r="Y4936" i="34"/>
  <c r="Z4936" i="34"/>
  <c r="N4937" i="34"/>
  <c r="O4937" i="34"/>
  <c r="P4937" i="34"/>
  <c r="Q4937" i="34"/>
  <c r="R4937" i="34"/>
  <c r="S4937" i="34"/>
  <c r="T4937" i="34"/>
  <c r="U4937" i="34"/>
  <c r="V4937" i="34"/>
  <c r="W4937" i="34"/>
  <c r="X4937" i="34"/>
  <c r="Y4937" i="34"/>
  <c r="Z4937" i="34"/>
  <c r="N4938" i="34"/>
  <c r="O4938" i="34"/>
  <c r="P4938" i="34"/>
  <c r="Q4938" i="34"/>
  <c r="R4938" i="34"/>
  <c r="S4938" i="34"/>
  <c r="T4938" i="34"/>
  <c r="U4938" i="34"/>
  <c r="V4938" i="34"/>
  <c r="W4938" i="34"/>
  <c r="X4938" i="34"/>
  <c r="Y4938" i="34"/>
  <c r="Z4938" i="34"/>
  <c r="N4939" i="34"/>
  <c r="O4939" i="34"/>
  <c r="P4939" i="34"/>
  <c r="Q4939" i="34"/>
  <c r="R4939" i="34"/>
  <c r="S4939" i="34"/>
  <c r="T4939" i="34"/>
  <c r="U4939" i="34"/>
  <c r="V4939" i="34"/>
  <c r="W4939" i="34"/>
  <c r="X4939" i="34"/>
  <c r="Y4939" i="34"/>
  <c r="Z4939" i="34"/>
  <c r="N4940" i="34"/>
  <c r="O4940" i="34"/>
  <c r="P4940" i="34"/>
  <c r="Q4940" i="34"/>
  <c r="R4940" i="34"/>
  <c r="S4940" i="34"/>
  <c r="T4940" i="34"/>
  <c r="U4940" i="34"/>
  <c r="V4940" i="34"/>
  <c r="W4940" i="34"/>
  <c r="X4940" i="34"/>
  <c r="Y4940" i="34"/>
  <c r="Z4940" i="34"/>
  <c r="N4941" i="34"/>
  <c r="O4941" i="34"/>
  <c r="P4941" i="34"/>
  <c r="Q4941" i="34"/>
  <c r="R4941" i="34"/>
  <c r="S4941" i="34"/>
  <c r="T4941" i="34"/>
  <c r="U4941" i="34"/>
  <c r="V4941" i="34"/>
  <c r="W4941" i="34"/>
  <c r="X4941" i="34"/>
  <c r="Y4941" i="34"/>
  <c r="Z4941" i="34"/>
  <c r="N4942" i="34"/>
  <c r="O4942" i="34"/>
  <c r="P4942" i="34"/>
  <c r="Q4942" i="34"/>
  <c r="R4942" i="34"/>
  <c r="S4942" i="34"/>
  <c r="T4942" i="34"/>
  <c r="U4942" i="34"/>
  <c r="V4942" i="34"/>
  <c r="W4942" i="34"/>
  <c r="X4942" i="34"/>
  <c r="Y4942" i="34"/>
  <c r="Z4942" i="34"/>
  <c r="N4943" i="34"/>
  <c r="O4943" i="34"/>
  <c r="P4943" i="34"/>
  <c r="Q4943" i="34"/>
  <c r="R4943" i="34"/>
  <c r="S4943" i="34"/>
  <c r="T4943" i="34"/>
  <c r="U4943" i="34"/>
  <c r="V4943" i="34"/>
  <c r="W4943" i="34"/>
  <c r="X4943" i="34"/>
  <c r="Y4943" i="34"/>
  <c r="Z4943" i="34"/>
  <c r="N4944" i="34"/>
  <c r="O4944" i="34"/>
  <c r="P4944" i="34"/>
  <c r="Q4944" i="34"/>
  <c r="R4944" i="34"/>
  <c r="S4944" i="34"/>
  <c r="T4944" i="34"/>
  <c r="U4944" i="34"/>
  <c r="V4944" i="34"/>
  <c r="W4944" i="34"/>
  <c r="X4944" i="34"/>
  <c r="Y4944" i="34"/>
  <c r="Z4944" i="34"/>
  <c r="N4945" i="34"/>
  <c r="O4945" i="34"/>
  <c r="P4945" i="34"/>
  <c r="Q4945" i="34"/>
  <c r="R4945" i="34"/>
  <c r="S4945" i="34"/>
  <c r="T4945" i="34"/>
  <c r="U4945" i="34"/>
  <c r="V4945" i="34"/>
  <c r="W4945" i="34"/>
  <c r="X4945" i="34"/>
  <c r="Y4945" i="34"/>
  <c r="Z4945" i="34"/>
  <c r="N4946" i="34"/>
  <c r="O4946" i="34"/>
  <c r="P4946" i="34"/>
  <c r="Q4946" i="34"/>
  <c r="R4946" i="34"/>
  <c r="S4946" i="34"/>
  <c r="T4946" i="34"/>
  <c r="U4946" i="34"/>
  <c r="V4946" i="34"/>
  <c r="W4946" i="34"/>
  <c r="X4946" i="34"/>
  <c r="Y4946" i="34"/>
  <c r="Z4946" i="34"/>
  <c r="N4947" i="34"/>
  <c r="O4947" i="34"/>
  <c r="P4947" i="34"/>
  <c r="Q4947" i="34"/>
  <c r="R4947" i="34"/>
  <c r="S4947" i="34"/>
  <c r="T4947" i="34"/>
  <c r="U4947" i="34"/>
  <c r="V4947" i="34"/>
  <c r="W4947" i="34"/>
  <c r="X4947" i="34"/>
  <c r="Y4947" i="34"/>
  <c r="Z4947" i="34"/>
  <c r="N4948" i="34"/>
  <c r="O4948" i="34"/>
  <c r="P4948" i="34"/>
  <c r="Q4948" i="34"/>
  <c r="R4948" i="34"/>
  <c r="S4948" i="34"/>
  <c r="T4948" i="34"/>
  <c r="U4948" i="34"/>
  <c r="V4948" i="34"/>
  <c r="W4948" i="34"/>
  <c r="X4948" i="34"/>
  <c r="Y4948" i="34"/>
  <c r="Z4948" i="34"/>
  <c r="N4949" i="34"/>
  <c r="O4949" i="34"/>
  <c r="P4949" i="34"/>
  <c r="Q4949" i="34"/>
  <c r="R4949" i="34"/>
  <c r="S4949" i="34"/>
  <c r="T4949" i="34"/>
  <c r="U4949" i="34"/>
  <c r="V4949" i="34"/>
  <c r="W4949" i="34"/>
  <c r="X4949" i="34"/>
  <c r="Y4949" i="34"/>
  <c r="Z4949" i="34"/>
  <c r="N4950" i="34"/>
  <c r="O4950" i="34"/>
  <c r="P4950" i="34"/>
  <c r="Q4950" i="34"/>
  <c r="R4950" i="34"/>
  <c r="S4950" i="34"/>
  <c r="T4950" i="34"/>
  <c r="U4950" i="34"/>
  <c r="V4950" i="34"/>
  <c r="W4950" i="34"/>
  <c r="X4950" i="34"/>
  <c r="Y4950" i="34"/>
  <c r="Z4950" i="34"/>
  <c r="N4951" i="34"/>
  <c r="O4951" i="34"/>
  <c r="P4951" i="34"/>
  <c r="Q4951" i="34"/>
  <c r="R4951" i="34"/>
  <c r="S4951" i="34"/>
  <c r="T4951" i="34"/>
  <c r="U4951" i="34"/>
  <c r="V4951" i="34"/>
  <c r="W4951" i="34"/>
  <c r="X4951" i="34"/>
  <c r="Y4951" i="34"/>
  <c r="Z4951" i="34"/>
  <c r="N4952" i="34"/>
  <c r="O4952" i="34"/>
  <c r="P4952" i="34"/>
  <c r="Q4952" i="34"/>
  <c r="R4952" i="34"/>
  <c r="S4952" i="34"/>
  <c r="T4952" i="34"/>
  <c r="U4952" i="34"/>
  <c r="V4952" i="34"/>
  <c r="W4952" i="34"/>
  <c r="X4952" i="34"/>
  <c r="Y4952" i="34"/>
  <c r="Z4952" i="34"/>
  <c r="N4953" i="34"/>
  <c r="O4953" i="34"/>
  <c r="P4953" i="34"/>
  <c r="Q4953" i="34"/>
  <c r="R4953" i="34"/>
  <c r="S4953" i="34"/>
  <c r="T4953" i="34"/>
  <c r="U4953" i="34"/>
  <c r="V4953" i="34"/>
  <c r="W4953" i="34"/>
  <c r="X4953" i="34"/>
  <c r="Y4953" i="34"/>
  <c r="Z4953" i="34"/>
  <c r="N4954" i="34"/>
  <c r="O4954" i="34"/>
  <c r="P4954" i="34"/>
  <c r="Q4954" i="34"/>
  <c r="R4954" i="34"/>
  <c r="S4954" i="34"/>
  <c r="T4954" i="34"/>
  <c r="U4954" i="34"/>
  <c r="V4954" i="34"/>
  <c r="W4954" i="34"/>
  <c r="X4954" i="34"/>
  <c r="Y4954" i="34"/>
  <c r="Z4954" i="34"/>
  <c r="N4955" i="34"/>
  <c r="O4955" i="34"/>
  <c r="P4955" i="34"/>
  <c r="Q4955" i="34"/>
  <c r="R4955" i="34"/>
  <c r="S4955" i="34"/>
  <c r="T4955" i="34"/>
  <c r="U4955" i="34"/>
  <c r="V4955" i="34"/>
  <c r="W4955" i="34"/>
  <c r="X4955" i="34"/>
  <c r="Y4955" i="34"/>
  <c r="Z4955" i="34"/>
  <c r="N4956" i="34"/>
  <c r="O4956" i="34"/>
  <c r="P4956" i="34"/>
  <c r="Q4956" i="34"/>
  <c r="R4956" i="34"/>
  <c r="S4956" i="34"/>
  <c r="T4956" i="34"/>
  <c r="U4956" i="34"/>
  <c r="V4956" i="34"/>
  <c r="W4956" i="34"/>
  <c r="X4956" i="34"/>
  <c r="Y4956" i="34"/>
  <c r="Z4956" i="34"/>
  <c r="N4957" i="34"/>
  <c r="O4957" i="34"/>
  <c r="P4957" i="34"/>
  <c r="Q4957" i="34"/>
  <c r="R4957" i="34"/>
  <c r="S4957" i="34"/>
  <c r="T4957" i="34"/>
  <c r="U4957" i="34"/>
  <c r="V4957" i="34"/>
  <c r="W4957" i="34"/>
  <c r="X4957" i="34"/>
  <c r="Y4957" i="34"/>
  <c r="Z4957" i="34"/>
  <c r="N4958" i="34"/>
  <c r="O4958" i="34"/>
  <c r="P4958" i="34"/>
  <c r="Q4958" i="34"/>
  <c r="R4958" i="34"/>
  <c r="S4958" i="34"/>
  <c r="T4958" i="34"/>
  <c r="U4958" i="34"/>
  <c r="V4958" i="34"/>
  <c r="W4958" i="34"/>
  <c r="X4958" i="34"/>
  <c r="Y4958" i="34"/>
  <c r="Z4958" i="34"/>
  <c r="N4959" i="34"/>
  <c r="O4959" i="34"/>
  <c r="P4959" i="34"/>
  <c r="Q4959" i="34"/>
  <c r="R4959" i="34"/>
  <c r="S4959" i="34"/>
  <c r="T4959" i="34"/>
  <c r="U4959" i="34"/>
  <c r="V4959" i="34"/>
  <c r="W4959" i="34"/>
  <c r="X4959" i="34"/>
  <c r="Y4959" i="34"/>
  <c r="Z4959" i="34"/>
  <c r="N4960" i="34"/>
  <c r="O4960" i="34"/>
  <c r="P4960" i="34"/>
  <c r="Q4960" i="34"/>
  <c r="R4960" i="34"/>
  <c r="S4960" i="34"/>
  <c r="T4960" i="34"/>
  <c r="U4960" i="34"/>
  <c r="V4960" i="34"/>
  <c r="W4960" i="34"/>
  <c r="X4960" i="34"/>
  <c r="Y4960" i="34"/>
  <c r="Z4960" i="34"/>
  <c r="N4961" i="34"/>
  <c r="O4961" i="34"/>
  <c r="P4961" i="34"/>
  <c r="Q4961" i="34"/>
  <c r="R4961" i="34"/>
  <c r="S4961" i="34"/>
  <c r="T4961" i="34"/>
  <c r="U4961" i="34"/>
  <c r="V4961" i="34"/>
  <c r="W4961" i="34"/>
  <c r="X4961" i="34"/>
  <c r="Y4961" i="34"/>
  <c r="Z4961" i="34"/>
  <c r="N4962" i="34"/>
  <c r="O4962" i="34"/>
  <c r="P4962" i="34"/>
  <c r="Q4962" i="34"/>
  <c r="R4962" i="34"/>
  <c r="S4962" i="34"/>
  <c r="T4962" i="34"/>
  <c r="U4962" i="34"/>
  <c r="V4962" i="34"/>
  <c r="W4962" i="34"/>
  <c r="X4962" i="34"/>
  <c r="Y4962" i="34"/>
  <c r="Z4962" i="34"/>
  <c r="N4963" i="34"/>
  <c r="O4963" i="34"/>
  <c r="P4963" i="34"/>
  <c r="Q4963" i="34"/>
  <c r="R4963" i="34"/>
  <c r="S4963" i="34"/>
  <c r="T4963" i="34"/>
  <c r="U4963" i="34"/>
  <c r="V4963" i="34"/>
  <c r="W4963" i="34"/>
  <c r="X4963" i="34"/>
  <c r="Y4963" i="34"/>
  <c r="Z4963" i="34"/>
  <c r="N4964" i="34"/>
  <c r="O4964" i="34"/>
  <c r="P4964" i="34"/>
  <c r="Q4964" i="34"/>
  <c r="R4964" i="34"/>
  <c r="S4964" i="34"/>
  <c r="T4964" i="34"/>
  <c r="U4964" i="34"/>
  <c r="V4964" i="34"/>
  <c r="W4964" i="34"/>
  <c r="X4964" i="34"/>
  <c r="Y4964" i="34"/>
  <c r="Z4964" i="34"/>
  <c r="N4965" i="34"/>
  <c r="O4965" i="34"/>
  <c r="P4965" i="34"/>
  <c r="Q4965" i="34"/>
  <c r="R4965" i="34"/>
  <c r="S4965" i="34"/>
  <c r="T4965" i="34"/>
  <c r="U4965" i="34"/>
  <c r="V4965" i="34"/>
  <c r="W4965" i="34"/>
  <c r="X4965" i="34"/>
  <c r="Y4965" i="34"/>
  <c r="Z4965" i="34"/>
  <c r="N4966" i="34"/>
  <c r="O4966" i="34"/>
  <c r="P4966" i="34"/>
  <c r="Q4966" i="34"/>
  <c r="R4966" i="34"/>
  <c r="S4966" i="34"/>
  <c r="T4966" i="34"/>
  <c r="U4966" i="34"/>
  <c r="V4966" i="34"/>
  <c r="W4966" i="34"/>
  <c r="X4966" i="34"/>
  <c r="Y4966" i="34"/>
  <c r="Z4966" i="34"/>
  <c r="N4967" i="34"/>
  <c r="O4967" i="34"/>
  <c r="P4967" i="34"/>
  <c r="Q4967" i="34"/>
  <c r="R4967" i="34"/>
  <c r="S4967" i="34"/>
  <c r="T4967" i="34"/>
  <c r="U4967" i="34"/>
  <c r="V4967" i="34"/>
  <c r="W4967" i="34"/>
  <c r="X4967" i="34"/>
  <c r="Y4967" i="34"/>
  <c r="Z4967" i="34"/>
  <c r="N4968" i="34"/>
  <c r="O4968" i="34"/>
  <c r="P4968" i="34"/>
  <c r="Q4968" i="34"/>
  <c r="R4968" i="34"/>
  <c r="S4968" i="34"/>
  <c r="T4968" i="34"/>
  <c r="U4968" i="34"/>
  <c r="V4968" i="34"/>
  <c r="W4968" i="34"/>
  <c r="X4968" i="34"/>
  <c r="Y4968" i="34"/>
  <c r="Z4968" i="34"/>
  <c r="N4969" i="34"/>
  <c r="O4969" i="34"/>
  <c r="P4969" i="34"/>
  <c r="Q4969" i="34"/>
  <c r="R4969" i="34"/>
  <c r="S4969" i="34"/>
  <c r="T4969" i="34"/>
  <c r="U4969" i="34"/>
  <c r="V4969" i="34"/>
  <c r="W4969" i="34"/>
  <c r="X4969" i="34"/>
  <c r="Y4969" i="34"/>
  <c r="Z4969" i="34"/>
  <c r="N4970" i="34"/>
  <c r="O4970" i="34"/>
  <c r="P4970" i="34"/>
  <c r="Q4970" i="34"/>
  <c r="R4970" i="34"/>
  <c r="S4970" i="34"/>
  <c r="T4970" i="34"/>
  <c r="U4970" i="34"/>
  <c r="V4970" i="34"/>
  <c r="W4970" i="34"/>
  <c r="X4970" i="34"/>
  <c r="Y4970" i="34"/>
  <c r="Z4970" i="34"/>
  <c r="N4971" i="34"/>
  <c r="O4971" i="34"/>
  <c r="P4971" i="34"/>
  <c r="Q4971" i="34"/>
  <c r="R4971" i="34"/>
  <c r="S4971" i="34"/>
  <c r="T4971" i="34"/>
  <c r="U4971" i="34"/>
  <c r="V4971" i="34"/>
  <c r="W4971" i="34"/>
  <c r="X4971" i="34"/>
  <c r="Y4971" i="34"/>
  <c r="Z4971" i="34"/>
  <c r="N4972" i="34"/>
  <c r="O4972" i="34"/>
  <c r="P4972" i="34"/>
  <c r="Q4972" i="34"/>
  <c r="R4972" i="34"/>
  <c r="S4972" i="34"/>
  <c r="T4972" i="34"/>
  <c r="U4972" i="34"/>
  <c r="V4972" i="34"/>
  <c r="W4972" i="34"/>
  <c r="X4972" i="34"/>
  <c r="Y4972" i="34"/>
  <c r="Z4972" i="34"/>
  <c r="N4973" i="34"/>
  <c r="O4973" i="34"/>
  <c r="P4973" i="34"/>
  <c r="Q4973" i="34"/>
  <c r="R4973" i="34"/>
  <c r="S4973" i="34"/>
  <c r="T4973" i="34"/>
  <c r="U4973" i="34"/>
  <c r="V4973" i="34"/>
  <c r="W4973" i="34"/>
  <c r="X4973" i="34"/>
  <c r="Y4973" i="34"/>
  <c r="Z4973" i="34"/>
  <c r="N4974" i="34"/>
  <c r="O4974" i="34"/>
  <c r="P4974" i="34"/>
  <c r="Q4974" i="34"/>
  <c r="R4974" i="34"/>
  <c r="S4974" i="34"/>
  <c r="T4974" i="34"/>
  <c r="U4974" i="34"/>
  <c r="V4974" i="34"/>
  <c r="W4974" i="34"/>
  <c r="X4974" i="34"/>
  <c r="Y4974" i="34"/>
  <c r="Z4974" i="34"/>
  <c r="N4975" i="34"/>
  <c r="O4975" i="34"/>
  <c r="P4975" i="34"/>
  <c r="Q4975" i="34"/>
  <c r="R4975" i="34"/>
  <c r="S4975" i="34"/>
  <c r="T4975" i="34"/>
  <c r="U4975" i="34"/>
  <c r="V4975" i="34"/>
  <c r="W4975" i="34"/>
  <c r="X4975" i="34"/>
  <c r="Y4975" i="34"/>
  <c r="Z4975" i="34"/>
  <c r="N4976" i="34"/>
  <c r="O4976" i="34"/>
  <c r="P4976" i="34"/>
  <c r="Q4976" i="34"/>
  <c r="R4976" i="34"/>
  <c r="S4976" i="34"/>
  <c r="T4976" i="34"/>
  <c r="U4976" i="34"/>
  <c r="V4976" i="34"/>
  <c r="W4976" i="34"/>
  <c r="X4976" i="34"/>
  <c r="Y4976" i="34"/>
  <c r="Z4976" i="34"/>
  <c r="N4977" i="34"/>
  <c r="O4977" i="34"/>
  <c r="P4977" i="34"/>
  <c r="Q4977" i="34"/>
  <c r="R4977" i="34"/>
  <c r="S4977" i="34"/>
  <c r="T4977" i="34"/>
  <c r="U4977" i="34"/>
  <c r="V4977" i="34"/>
  <c r="W4977" i="34"/>
  <c r="X4977" i="34"/>
  <c r="Y4977" i="34"/>
  <c r="Z4977" i="34"/>
  <c r="N4978" i="34"/>
  <c r="O4978" i="34"/>
  <c r="P4978" i="34"/>
  <c r="Q4978" i="34"/>
  <c r="R4978" i="34"/>
  <c r="S4978" i="34"/>
  <c r="T4978" i="34"/>
  <c r="U4978" i="34"/>
  <c r="V4978" i="34"/>
  <c r="W4978" i="34"/>
  <c r="X4978" i="34"/>
  <c r="Y4978" i="34"/>
  <c r="Z4978" i="34"/>
  <c r="N4979" i="34"/>
  <c r="O4979" i="34"/>
  <c r="P4979" i="34"/>
  <c r="Q4979" i="34"/>
  <c r="R4979" i="34"/>
  <c r="S4979" i="34"/>
  <c r="T4979" i="34"/>
  <c r="U4979" i="34"/>
  <c r="V4979" i="34"/>
  <c r="W4979" i="34"/>
  <c r="X4979" i="34"/>
  <c r="Y4979" i="34"/>
  <c r="Z4979" i="34"/>
  <c r="N4980" i="34"/>
  <c r="O4980" i="34"/>
  <c r="P4980" i="34"/>
  <c r="Q4980" i="34"/>
  <c r="R4980" i="34"/>
  <c r="S4980" i="34"/>
  <c r="T4980" i="34"/>
  <c r="U4980" i="34"/>
  <c r="V4980" i="34"/>
  <c r="W4980" i="34"/>
  <c r="X4980" i="34"/>
  <c r="Y4980" i="34"/>
  <c r="Z4980" i="34"/>
  <c r="N4981" i="34"/>
  <c r="O4981" i="34"/>
  <c r="P4981" i="34"/>
  <c r="Q4981" i="34"/>
  <c r="R4981" i="34"/>
  <c r="S4981" i="34"/>
  <c r="T4981" i="34"/>
  <c r="U4981" i="34"/>
  <c r="V4981" i="34"/>
  <c r="W4981" i="34"/>
  <c r="X4981" i="34"/>
  <c r="Y4981" i="34"/>
  <c r="Z4981" i="34"/>
  <c r="N4982" i="34"/>
  <c r="O4982" i="34"/>
  <c r="P4982" i="34"/>
  <c r="Q4982" i="34"/>
  <c r="R4982" i="34"/>
  <c r="S4982" i="34"/>
  <c r="T4982" i="34"/>
  <c r="U4982" i="34"/>
  <c r="V4982" i="34"/>
  <c r="W4982" i="34"/>
  <c r="X4982" i="34"/>
  <c r="Y4982" i="34"/>
  <c r="Z4982" i="34"/>
  <c r="N4983" i="34"/>
  <c r="O4983" i="34"/>
  <c r="P4983" i="34"/>
  <c r="Q4983" i="34"/>
  <c r="R4983" i="34"/>
  <c r="S4983" i="34"/>
  <c r="T4983" i="34"/>
  <c r="U4983" i="34"/>
  <c r="V4983" i="34"/>
  <c r="W4983" i="34"/>
  <c r="X4983" i="34"/>
  <c r="Y4983" i="34"/>
  <c r="Z4983" i="34"/>
  <c r="N4984" i="34"/>
  <c r="O4984" i="34"/>
  <c r="P4984" i="34"/>
  <c r="Q4984" i="34"/>
  <c r="R4984" i="34"/>
  <c r="S4984" i="34"/>
  <c r="T4984" i="34"/>
  <c r="U4984" i="34"/>
  <c r="V4984" i="34"/>
  <c r="W4984" i="34"/>
  <c r="X4984" i="34"/>
  <c r="Y4984" i="34"/>
  <c r="Z4984" i="34"/>
  <c r="N4985" i="34"/>
  <c r="O4985" i="34"/>
  <c r="P4985" i="34"/>
  <c r="Q4985" i="34"/>
  <c r="R4985" i="34"/>
  <c r="S4985" i="34"/>
  <c r="T4985" i="34"/>
  <c r="U4985" i="34"/>
  <c r="V4985" i="34"/>
  <c r="W4985" i="34"/>
  <c r="X4985" i="34"/>
  <c r="Y4985" i="34"/>
  <c r="Z4985" i="34"/>
  <c r="N4986" i="34"/>
  <c r="O4986" i="34"/>
  <c r="P4986" i="34"/>
  <c r="Q4986" i="34"/>
  <c r="R4986" i="34"/>
  <c r="S4986" i="34"/>
  <c r="T4986" i="34"/>
  <c r="U4986" i="34"/>
  <c r="V4986" i="34"/>
  <c r="W4986" i="34"/>
  <c r="X4986" i="34"/>
  <c r="Y4986" i="34"/>
  <c r="Z4986" i="34"/>
  <c r="N4987" i="34"/>
  <c r="O4987" i="34"/>
  <c r="P4987" i="34"/>
  <c r="Q4987" i="34"/>
  <c r="R4987" i="34"/>
  <c r="S4987" i="34"/>
  <c r="T4987" i="34"/>
  <c r="U4987" i="34"/>
  <c r="V4987" i="34"/>
  <c r="W4987" i="34"/>
  <c r="X4987" i="34"/>
  <c r="Y4987" i="34"/>
  <c r="Z4987" i="34"/>
  <c r="N4988" i="34"/>
  <c r="O4988" i="34"/>
  <c r="P4988" i="34"/>
  <c r="Q4988" i="34"/>
  <c r="R4988" i="34"/>
  <c r="S4988" i="34"/>
  <c r="T4988" i="34"/>
  <c r="U4988" i="34"/>
  <c r="V4988" i="34"/>
  <c r="W4988" i="34"/>
  <c r="X4988" i="34"/>
  <c r="Y4988" i="34"/>
  <c r="Z4988" i="34"/>
  <c r="N4989" i="34"/>
  <c r="O4989" i="34"/>
  <c r="P4989" i="34"/>
  <c r="Q4989" i="34"/>
  <c r="R4989" i="34"/>
  <c r="S4989" i="34"/>
  <c r="T4989" i="34"/>
  <c r="U4989" i="34"/>
  <c r="V4989" i="34"/>
  <c r="W4989" i="34"/>
  <c r="X4989" i="34"/>
  <c r="Y4989" i="34"/>
  <c r="Z4989" i="34"/>
  <c r="N4990" i="34"/>
  <c r="O4990" i="34"/>
  <c r="P4990" i="34"/>
  <c r="Q4990" i="34"/>
  <c r="R4990" i="34"/>
  <c r="S4990" i="34"/>
  <c r="T4990" i="34"/>
  <c r="U4990" i="34"/>
  <c r="V4990" i="34"/>
  <c r="W4990" i="34"/>
  <c r="X4990" i="34"/>
  <c r="Y4990" i="34"/>
  <c r="Z4990" i="34"/>
  <c r="N4991" i="34"/>
  <c r="O4991" i="34"/>
  <c r="P4991" i="34"/>
  <c r="Q4991" i="34"/>
  <c r="R4991" i="34"/>
  <c r="S4991" i="34"/>
  <c r="T4991" i="34"/>
  <c r="U4991" i="34"/>
  <c r="V4991" i="34"/>
  <c r="W4991" i="34"/>
  <c r="X4991" i="34"/>
  <c r="Y4991" i="34"/>
  <c r="Z4991" i="34"/>
  <c r="N4992" i="34"/>
  <c r="O4992" i="34"/>
  <c r="P4992" i="34"/>
  <c r="Q4992" i="34"/>
  <c r="R4992" i="34"/>
  <c r="S4992" i="34"/>
  <c r="T4992" i="34"/>
  <c r="U4992" i="34"/>
  <c r="V4992" i="34"/>
  <c r="W4992" i="34"/>
  <c r="X4992" i="34"/>
  <c r="Y4992" i="34"/>
  <c r="Z4992" i="34"/>
  <c r="N4993" i="34"/>
  <c r="O4993" i="34"/>
  <c r="P4993" i="34"/>
  <c r="Q4993" i="34"/>
  <c r="R4993" i="34"/>
  <c r="S4993" i="34"/>
  <c r="T4993" i="34"/>
  <c r="U4993" i="34"/>
  <c r="V4993" i="34"/>
  <c r="W4993" i="34"/>
  <c r="X4993" i="34"/>
  <c r="Y4993" i="34"/>
  <c r="Z4993" i="34"/>
  <c r="N4994" i="34"/>
  <c r="O4994" i="34"/>
  <c r="P4994" i="34"/>
  <c r="Q4994" i="34"/>
  <c r="R4994" i="34"/>
  <c r="S4994" i="34"/>
  <c r="T4994" i="34"/>
  <c r="U4994" i="34"/>
  <c r="V4994" i="34"/>
  <c r="W4994" i="34"/>
  <c r="X4994" i="34"/>
  <c r="Y4994" i="34"/>
  <c r="Z4994" i="34"/>
  <c r="N4995" i="34"/>
  <c r="O4995" i="34"/>
  <c r="P4995" i="34"/>
  <c r="Q4995" i="34"/>
  <c r="R4995" i="34"/>
  <c r="S4995" i="34"/>
  <c r="T4995" i="34"/>
  <c r="U4995" i="34"/>
  <c r="V4995" i="34"/>
  <c r="W4995" i="34"/>
  <c r="X4995" i="34"/>
  <c r="Y4995" i="34"/>
  <c r="Z4995" i="34"/>
  <c r="N4996" i="34"/>
  <c r="O4996" i="34"/>
  <c r="P4996" i="34"/>
  <c r="Q4996" i="34"/>
  <c r="R4996" i="34"/>
  <c r="S4996" i="34"/>
  <c r="T4996" i="34"/>
  <c r="U4996" i="34"/>
  <c r="V4996" i="34"/>
  <c r="W4996" i="34"/>
  <c r="X4996" i="34"/>
  <c r="Y4996" i="34"/>
  <c r="Z4996" i="34"/>
  <c r="N4997" i="34"/>
  <c r="O4997" i="34"/>
  <c r="P4997" i="34"/>
  <c r="Q4997" i="34"/>
  <c r="R4997" i="34"/>
  <c r="S4997" i="34"/>
  <c r="T4997" i="34"/>
  <c r="U4997" i="34"/>
  <c r="V4997" i="34"/>
  <c r="W4997" i="34"/>
  <c r="X4997" i="34"/>
  <c r="Y4997" i="34"/>
  <c r="Z4997" i="34"/>
  <c r="N4998" i="34"/>
  <c r="O4998" i="34"/>
  <c r="P4998" i="34"/>
  <c r="Q4998" i="34"/>
  <c r="R4998" i="34"/>
  <c r="S4998" i="34"/>
  <c r="T4998" i="34"/>
  <c r="U4998" i="34"/>
  <c r="V4998" i="34"/>
  <c r="W4998" i="34"/>
  <c r="X4998" i="34"/>
  <c r="Y4998" i="34"/>
  <c r="Z4998" i="34"/>
  <c r="N4999" i="34"/>
  <c r="O4999" i="34"/>
  <c r="P4999" i="34"/>
  <c r="Q4999" i="34"/>
  <c r="R4999" i="34"/>
  <c r="S4999" i="34"/>
  <c r="T4999" i="34"/>
  <c r="U4999" i="34"/>
  <c r="V4999" i="34"/>
  <c r="W4999" i="34"/>
  <c r="X4999" i="34"/>
  <c r="Y4999" i="34"/>
  <c r="Z4999" i="34"/>
  <c r="N5000" i="34"/>
  <c r="O5000" i="34"/>
  <c r="P5000" i="34"/>
  <c r="Q5000" i="34"/>
  <c r="R5000" i="34"/>
  <c r="S5000" i="34"/>
  <c r="T5000" i="34"/>
  <c r="U5000" i="34"/>
  <c r="V5000" i="34"/>
  <c r="W5000" i="34"/>
  <c r="X5000" i="34"/>
  <c r="Y5000" i="34"/>
  <c r="Z5000" i="34"/>
  <c r="N5001" i="34"/>
  <c r="O5001" i="34"/>
  <c r="P5001" i="34"/>
  <c r="Q5001" i="34"/>
  <c r="R5001" i="34"/>
  <c r="S5001" i="34"/>
  <c r="T5001" i="34"/>
  <c r="U5001" i="34"/>
  <c r="V5001" i="34"/>
  <c r="W5001" i="34"/>
  <c r="X5001" i="34"/>
  <c r="Y5001" i="34"/>
  <c r="Z5001" i="34"/>
  <c r="N5002" i="34"/>
  <c r="O5002" i="34"/>
  <c r="P5002" i="34"/>
  <c r="Q5002" i="34"/>
  <c r="R5002" i="34"/>
  <c r="S5002" i="34"/>
  <c r="T5002" i="34"/>
  <c r="U5002" i="34"/>
  <c r="V5002" i="34"/>
  <c r="W5002" i="34"/>
  <c r="X5002" i="34"/>
  <c r="Y5002" i="34"/>
  <c r="Z5002" i="34"/>
  <c r="N5003" i="34"/>
  <c r="O5003" i="34"/>
  <c r="P5003" i="34"/>
  <c r="Q5003" i="34"/>
  <c r="R5003" i="34"/>
  <c r="S5003" i="34"/>
  <c r="T5003" i="34"/>
  <c r="U5003" i="34"/>
  <c r="V5003" i="34"/>
  <c r="W5003" i="34"/>
  <c r="X5003" i="34"/>
  <c r="Y5003" i="34"/>
  <c r="Z5003" i="34"/>
  <c r="N5004" i="34"/>
  <c r="O5004" i="34"/>
  <c r="P5004" i="34"/>
  <c r="Q5004" i="34"/>
  <c r="R5004" i="34"/>
  <c r="S5004" i="34"/>
  <c r="T5004" i="34"/>
  <c r="U5004" i="34"/>
  <c r="V5004" i="34"/>
  <c r="W5004" i="34"/>
  <c r="X5004" i="34"/>
  <c r="Y5004" i="34"/>
  <c r="Z5004" i="34"/>
  <c r="N5005" i="34"/>
  <c r="O5005" i="34"/>
  <c r="P5005" i="34"/>
  <c r="Q5005" i="34"/>
  <c r="R5005" i="34"/>
  <c r="S5005" i="34"/>
  <c r="T5005" i="34"/>
  <c r="U5005" i="34"/>
  <c r="V5005" i="34"/>
  <c r="W5005" i="34"/>
  <c r="X5005" i="34"/>
  <c r="Y5005" i="34"/>
  <c r="Z5005" i="34"/>
  <c r="N5006" i="34"/>
  <c r="O5006" i="34"/>
  <c r="P5006" i="34"/>
  <c r="Q5006" i="34"/>
  <c r="R5006" i="34"/>
  <c r="S5006" i="34"/>
  <c r="T5006" i="34"/>
  <c r="U5006" i="34"/>
  <c r="V5006" i="34"/>
  <c r="W5006" i="34"/>
  <c r="X5006" i="34"/>
  <c r="Y5006" i="34"/>
  <c r="Z5006" i="34"/>
  <c r="N5007" i="34"/>
  <c r="O5007" i="34"/>
  <c r="P5007" i="34"/>
  <c r="Q5007" i="34"/>
  <c r="R5007" i="34"/>
  <c r="S5007" i="34"/>
  <c r="T5007" i="34"/>
  <c r="U5007" i="34"/>
  <c r="V5007" i="34"/>
  <c r="W5007" i="34"/>
  <c r="X5007" i="34"/>
  <c r="Y5007" i="34"/>
  <c r="Z5007" i="34"/>
  <c r="N5008" i="34"/>
  <c r="O5008" i="34"/>
  <c r="P5008" i="34"/>
  <c r="Q5008" i="34"/>
  <c r="R5008" i="34"/>
  <c r="S5008" i="34"/>
  <c r="T5008" i="34"/>
  <c r="U5008" i="34"/>
  <c r="V5008" i="34"/>
  <c r="W5008" i="34"/>
  <c r="X5008" i="34"/>
  <c r="Y5008" i="34"/>
  <c r="Z5008" i="34"/>
  <c r="N5009" i="34"/>
  <c r="O5009" i="34"/>
  <c r="P5009" i="34"/>
  <c r="Q5009" i="34"/>
  <c r="R5009" i="34"/>
  <c r="S5009" i="34"/>
  <c r="T5009" i="34"/>
  <c r="U5009" i="34"/>
  <c r="V5009" i="34"/>
  <c r="W5009" i="34"/>
  <c r="X5009" i="34"/>
  <c r="Y5009" i="34"/>
  <c r="Z5009" i="34"/>
  <c r="N5010" i="34"/>
  <c r="O5010" i="34"/>
  <c r="P5010" i="34"/>
  <c r="Q5010" i="34"/>
  <c r="R5010" i="34"/>
  <c r="S5010" i="34"/>
  <c r="T5010" i="34"/>
  <c r="U5010" i="34"/>
  <c r="V5010" i="34"/>
  <c r="W5010" i="34"/>
  <c r="X5010" i="34"/>
  <c r="Y5010" i="34"/>
  <c r="Z5010" i="34"/>
  <c r="N5011" i="34"/>
  <c r="O5011" i="34"/>
  <c r="P5011" i="34"/>
  <c r="Q5011" i="34"/>
  <c r="R5011" i="34"/>
  <c r="S5011" i="34"/>
  <c r="T5011" i="34"/>
  <c r="U5011" i="34"/>
  <c r="V5011" i="34"/>
  <c r="W5011" i="34"/>
  <c r="X5011" i="34"/>
  <c r="Y5011" i="34"/>
  <c r="Z5011" i="34"/>
  <c r="N5012" i="34"/>
  <c r="O5012" i="34"/>
  <c r="P5012" i="34"/>
  <c r="Q5012" i="34"/>
  <c r="R5012" i="34"/>
  <c r="S5012" i="34"/>
  <c r="T5012" i="34"/>
  <c r="U5012" i="34"/>
  <c r="V5012" i="34"/>
  <c r="W5012" i="34"/>
  <c r="X5012" i="34"/>
  <c r="Y5012" i="34"/>
  <c r="Z5012" i="34"/>
  <c r="N5013" i="34"/>
  <c r="O5013" i="34"/>
  <c r="P5013" i="34"/>
  <c r="Q5013" i="34"/>
  <c r="R5013" i="34"/>
  <c r="S5013" i="34"/>
  <c r="T5013" i="34"/>
  <c r="U5013" i="34"/>
  <c r="V5013" i="34"/>
  <c r="W5013" i="34"/>
  <c r="X5013" i="34"/>
  <c r="Y5013" i="34"/>
  <c r="Z5013" i="34"/>
  <c r="N5014" i="34"/>
  <c r="O5014" i="34"/>
  <c r="P5014" i="34"/>
  <c r="Q5014" i="34"/>
  <c r="R5014" i="34"/>
  <c r="S5014" i="34"/>
  <c r="T5014" i="34"/>
  <c r="U5014" i="34"/>
  <c r="V5014" i="34"/>
  <c r="W5014" i="34"/>
  <c r="X5014" i="34"/>
  <c r="Y5014" i="34"/>
  <c r="Z5014" i="34"/>
  <c r="N5015" i="34"/>
  <c r="O5015" i="34"/>
  <c r="P5015" i="34"/>
  <c r="Q5015" i="34"/>
  <c r="R5015" i="34"/>
  <c r="S5015" i="34"/>
  <c r="T5015" i="34"/>
  <c r="U5015" i="34"/>
  <c r="V5015" i="34"/>
  <c r="W5015" i="34"/>
  <c r="X5015" i="34"/>
  <c r="Y5015" i="34"/>
  <c r="Z5015" i="34"/>
  <c r="N5016" i="34"/>
  <c r="O5016" i="34"/>
  <c r="P5016" i="34"/>
  <c r="Q5016" i="34"/>
  <c r="R5016" i="34"/>
  <c r="S5016" i="34"/>
  <c r="T5016" i="34"/>
  <c r="U5016" i="34"/>
  <c r="V5016" i="34"/>
  <c r="W5016" i="34"/>
  <c r="X5016" i="34"/>
  <c r="Y5016" i="34"/>
  <c r="Z5016" i="34"/>
  <c r="N5017" i="34"/>
  <c r="O5017" i="34"/>
  <c r="P5017" i="34"/>
  <c r="Q5017" i="34"/>
  <c r="R5017" i="34"/>
  <c r="S5017" i="34"/>
  <c r="T5017" i="34"/>
  <c r="U5017" i="34"/>
  <c r="V5017" i="34"/>
  <c r="W5017" i="34"/>
  <c r="X5017" i="34"/>
  <c r="Y5017" i="34"/>
  <c r="Z5017" i="34"/>
  <c r="N5018" i="34"/>
  <c r="O5018" i="34"/>
  <c r="P5018" i="34"/>
  <c r="Q5018" i="34"/>
  <c r="R5018" i="34"/>
  <c r="S5018" i="34"/>
  <c r="T5018" i="34"/>
  <c r="U5018" i="34"/>
  <c r="V5018" i="34"/>
  <c r="W5018" i="34"/>
  <c r="X5018" i="34"/>
  <c r="Y5018" i="34"/>
  <c r="Z5018" i="34"/>
  <c r="N5019" i="34"/>
  <c r="O5019" i="34"/>
  <c r="P5019" i="34"/>
  <c r="Q5019" i="34"/>
  <c r="R5019" i="34"/>
  <c r="S5019" i="34"/>
  <c r="T5019" i="34"/>
  <c r="U5019" i="34"/>
  <c r="V5019" i="34"/>
  <c r="W5019" i="34"/>
  <c r="X5019" i="34"/>
  <c r="Y5019" i="34"/>
  <c r="Z5019" i="34"/>
  <c r="N5020" i="34"/>
  <c r="O5020" i="34"/>
  <c r="P5020" i="34"/>
  <c r="Q5020" i="34"/>
  <c r="R5020" i="34"/>
  <c r="S5020" i="34"/>
  <c r="T5020" i="34"/>
  <c r="U5020" i="34"/>
  <c r="V5020" i="34"/>
  <c r="W5020" i="34"/>
  <c r="X5020" i="34"/>
  <c r="Y5020" i="34"/>
  <c r="Z5020" i="34"/>
  <c r="N5021" i="34"/>
  <c r="O5021" i="34"/>
  <c r="P5021" i="34"/>
  <c r="Q5021" i="34"/>
  <c r="R5021" i="34"/>
  <c r="S5021" i="34"/>
  <c r="T5021" i="34"/>
  <c r="U5021" i="34"/>
  <c r="V5021" i="34"/>
  <c r="W5021" i="34"/>
  <c r="X5021" i="34"/>
  <c r="Y5021" i="34"/>
  <c r="Z5021" i="34"/>
  <c r="N5022" i="34"/>
  <c r="O5022" i="34"/>
  <c r="P5022" i="34"/>
  <c r="Q5022" i="34"/>
  <c r="R5022" i="34"/>
  <c r="S5022" i="34"/>
  <c r="T5022" i="34"/>
  <c r="U5022" i="34"/>
  <c r="V5022" i="34"/>
  <c r="W5022" i="34"/>
  <c r="X5022" i="34"/>
  <c r="Y5022" i="34"/>
  <c r="Z5022" i="34"/>
  <c r="N5023" i="34"/>
  <c r="O5023" i="34"/>
  <c r="P5023" i="34"/>
  <c r="Q5023" i="34"/>
  <c r="R5023" i="34"/>
  <c r="S5023" i="34"/>
  <c r="T5023" i="34"/>
  <c r="U5023" i="34"/>
  <c r="V5023" i="34"/>
  <c r="W5023" i="34"/>
  <c r="X5023" i="34"/>
  <c r="Y5023" i="34"/>
  <c r="Z5023" i="34"/>
  <c r="N5024" i="34"/>
  <c r="O5024" i="34"/>
  <c r="P5024" i="34"/>
  <c r="Q5024" i="34"/>
  <c r="R5024" i="34"/>
  <c r="S5024" i="34"/>
  <c r="T5024" i="34"/>
  <c r="U5024" i="34"/>
  <c r="V5024" i="34"/>
  <c r="W5024" i="34"/>
  <c r="X5024" i="34"/>
  <c r="Y5024" i="34"/>
  <c r="Z5024" i="34"/>
  <c r="N5025" i="34"/>
  <c r="O5025" i="34"/>
  <c r="P5025" i="34"/>
  <c r="Q5025" i="34"/>
  <c r="R5025" i="34"/>
  <c r="S5025" i="34"/>
  <c r="T5025" i="34"/>
  <c r="U5025" i="34"/>
  <c r="V5025" i="34"/>
  <c r="W5025" i="34"/>
  <c r="X5025" i="34"/>
  <c r="Y5025" i="34"/>
  <c r="Z5025" i="34"/>
  <c r="N5026" i="34"/>
  <c r="O5026" i="34"/>
  <c r="P5026" i="34"/>
  <c r="Q5026" i="34"/>
  <c r="R5026" i="34"/>
  <c r="S5026" i="34"/>
  <c r="T5026" i="34"/>
  <c r="U5026" i="34"/>
  <c r="V5026" i="34"/>
  <c r="W5026" i="34"/>
  <c r="X5026" i="34"/>
  <c r="Y5026" i="34"/>
  <c r="Z5026" i="34"/>
  <c r="N5027" i="34"/>
  <c r="O5027" i="34"/>
  <c r="P5027" i="34"/>
  <c r="Q5027" i="34"/>
  <c r="R5027" i="34"/>
  <c r="S5027" i="34"/>
  <c r="T5027" i="34"/>
  <c r="U5027" i="34"/>
  <c r="V5027" i="34"/>
  <c r="W5027" i="34"/>
  <c r="X5027" i="34"/>
  <c r="Y5027" i="34"/>
  <c r="Z5027" i="34"/>
  <c r="N5028" i="34"/>
  <c r="O5028" i="34"/>
  <c r="P5028" i="34"/>
  <c r="Q5028" i="34"/>
  <c r="R5028" i="34"/>
  <c r="S5028" i="34"/>
  <c r="T5028" i="34"/>
  <c r="U5028" i="34"/>
  <c r="V5028" i="34"/>
  <c r="W5028" i="34"/>
  <c r="X5028" i="34"/>
  <c r="Y5028" i="34"/>
  <c r="Z5028" i="34"/>
  <c r="N5029" i="34"/>
  <c r="O5029" i="34"/>
  <c r="P5029" i="34"/>
  <c r="Q5029" i="34"/>
  <c r="R5029" i="34"/>
  <c r="S5029" i="34"/>
  <c r="T5029" i="34"/>
  <c r="U5029" i="34"/>
  <c r="V5029" i="34"/>
  <c r="W5029" i="34"/>
  <c r="X5029" i="34"/>
  <c r="Y5029" i="34"/>
  <c r="Z5029" i="34"/>
  <c r="N5030" i="34"/>
  <c r="O5030" i="34"/>
  <c r="P5030" i="34"/>
  <c r="Q5030" i="34"/>
  <c r="R5030" i="34"/>
  <c r="S5030" i="34"/>
  <c r="T5030" i="34"/>
  <c r="U5030" i="34"/>
  <c r="V5030" i="34"/>
  <c r="W5030" i="34"/>
  <c r="X5030" i="34"/>
  <c r="Y5030" i="34"/>
  <c r="Z5030" i="34"/>
  <c r="N5031" i="34"/>
  <c r="O5031" i="34"/>
  <c r="P5031" i="34"/>
  <c r="Q5031" i="34"/>
  <c r="R5031" i="34"/>
  <c r="S5031" i="34"/>
  <c r="T5031" i="34"/>
  <c r="U5031" i="34"/>
  <c r="V5031" i="34"/>
  <c r="W5031" i="34"/>
  <c r="X5031" i="34"/>
  <c r="Y5031" i="34"/>
  <c r="Z5031" i="34"/>
  <c r="N5032" i="34"/>
  <c r="O5032" i="34"/>
  <c r="P5032" i="34"/>
  <c r="Q5032" i="34"/>
  <c r="R5032" i="34"/>
  <c r="S5032" i="34"/>
  <c r="T5032" i="34"/>
  <c r="U5032" i="34"/>
  <c r="V5032" i="34"/>
  <c r="W5032" i="34"/>
  <c r="X5032" i="34"/>
  <c r="Y5032" i="34"/>
  <c r="Z5032" i="34"/>
  <c r="N5033" i="34"/>
  <c r="O5033" i="34"/>
  <c r="P5033" i="34"/>
  <c r="Q5033" i="34"/>
  <c r="R5033" i="34"/>
  <c r="S5033" i="34"/>
  <c r="T5033" i="34"/>
  <c r="U5033" i="34"/>
  <c r="V5033" i="34"/>
  <c r="W5033" i="34"/>
  <c r="X5033" i="34"/>
  <c r="Y5033" i="34"/>
  <c r="Z5033" i="34"/>
  <c r="N5034" i="34"/>
  <c r="O5034" i="34"/>
  <c r="P5034" i="34"/>
  <c r="Q5034" i="34"/>
  <c r="R5034" i="34"/>
  <c r="S5034" i="34"/>
  <c r="T5034" i="34"/>
  <c r="U5034" i="34"/>
  <c r="V5034" i="34"/>
  <c r="W5034" i="34"/>
  <c r="X5034" i="34"/>
  <c r="Y5034" i="34"/>
  <c r="Z5034" i="34"/>
  <c r="N5035" i="34"/>
  <c r="O5035" i="34"/>
  <c r="P5035" i="34"/>
  <c r="Q5035" i="34"/>
  <c r="R5035" i="34"/>
  <c r="S5035" i="34"/>
  <c r="T5035" i="34"/>
  <c r="U5035" i="34"/>
  <c r="V5035" i="34"/>
  <c r="W5035" i="34"/>
  <c r="X5035" i="34"/>
  <c r="Y5035" i="34"/>
  <c r="Z5035" i="34"/>
  <c r="N5036" i="34"/>
  <c r="O5036" i="34"/>
  <c r="P5036" i="34"/>
  <c r="Q5036" i="34"/>
  <c r="R5036" i="34"/>
  <c r="S5036" i="34"/>
  <c r="T5036" i="34"/>
  <c r="U5036" i="34"/>
  <c r="V5036" i="34"/>
  <c r="W5036" i="34"/>
  <c r="X5036" i="34"/>
  <c r="Y5036" i="34"/>
  <c r="Z5036" i="34"/>
  <c r="N5037" i="34"/>
  <c r="O5037" i="34"/>
  <c r="P5037" i="34"/>
  <c r="Q5037" i="34"/>
  <c r="R5037" i="34"/>
  <c r="S5037" i="34"/>
  <c r="T5037" i="34"/>
  <c r="U5037" i="34"/>
  <c r="V5037" i="34"/>
  <c r="W5037" i="34"/>
  <c r="X5037" i="34"/>
  <c r="Y5037" i="34"/>
  <c r="Z5037" i="34"/>
  <c r="N5038" i="34"/>
  <c r="O5038" i="34"/>
  <c r="P5038" i="34"/>
  <c r="Q5038" i="34"/>
  <c r="R5038" i="34"/>
  <c r="S5038" i="34"/>
  <c r="T5038" i="34"/>
  <c r="U5038" i="34"/>
  <c r="V5038" i="34"/>
  <c r="W5038" i="34"/>
  <c r="X5038" i="34"/>
  <c r="Y5038" i="34"/>
  <c r="Z5038" i="34"/>
  <c r="N5039" i="34"/>
  <c r="O5039" i="34"/>
  <c r="P5039" i="34"/>
  <c r="Q5039" i="34"/>
  <c r="R5039" i="34"/>
  <c r="S5039" i="34"/>
  <c r="T5039" i="34"/>
  <c r="U5039" i="34"/>
  <c r="V5039" i="34"/>
  <c r="W5039" i="34"/>
  <c r="X5039" i="34"/>
  <c r="Y5039" i="34"/>
  <c r="Z5039" i="34"/>
  <c r="N5040" i="34"/>
  <c r="O5040" i="34"/>
  <c r="P5040" i="34"/>
  <c r="Q5040" i="34"/>
  <c r="R5040" i="34"/>
  <c r="S5040" i="34"/>
  <c r="T5040" i="34"/>
  <c r="U5040" i="34"/>
  <c r="V5040" i="34"/>
  <c r="W5040" i="34"/>
  <c r="X5040" i="34"/>
  <c r="Y5040" i="34"/>
  <c r="Z5040" i="34"/>
  <c r="N5041" i="34"/>
  <c r="O5041" i="34"/>
  <c r="P5041" i="34"/>
  <c r="Q5041" i="34"/>
  <c r="R5041" i="34"/>
  <c r="S5041" i="34"/>
  <c r="T5041" i="34"/>
  <c r="U5041" i="34"/>
  <c r="V5041" i="34"/>
  <c r="W5041" i="34"/>
  <c r="X5041" i="34"/>
  <c r="Y5041" i="34"/>
  <c r="Z5041" i="34"/>
  <c r="N5042" i="34"/>
  <c r="O5042" i="34"/>
  <c r="P5042" i="34"/>
  <c r="Q5042" i="34"/>
  <c r="R5042" i="34"/>
  <c r="S5042" i="34"/>
  <c r="T5042" i="34"/>
  <c r="U5042" i="34"/>
  <c r="V5042" i="34"/>
  <c r="W5042" i="34"/>
  <c r="X5042" i="34"/>
  <c r="Y5042" i="34"/>
  <c r="Z5042" i="34"/>
  <c r="N5043" i="34"/>
  <c r="O5043" i="34"/>
  <c r="P5043" i="34"/>
  <c r="Q5043" i="34"/>
  <c r="R5043" i="34"/>
  <c r="S5043" i="34"/>
  <c r="T5043" i="34"/>
  <c r="U5043" i="34"/>
  <c r="V5043" i="34"/>
  <c r="W5043" i="34"/>
  <c r="X5043" i="34"/>
  <c r="Y5043" i="34"/>
  <c r="Z5043" i="34"/>
  <c r="N5044" i="34"/>
  <c r="O5044" i="34"/>
  <c r="P5044" i="34"/>
  <c r="Q5044" i="34"/>
  <c r="R5044" i="34"/>
  <c r="S5044" i="34"/>
  <c r="T5044" i="34"/>
  <c r="U5044" i="34"/>
  <c r="V5044" i="34"/>
  <c r="W5044" i="34"/>
  <c r="X5044" i="34"/>
  <c r="Y5044" i="34"/>
  <c r="Z5044" i="34"/>
  <c r="N5045" i="34"/>
  <c r="O5045" i="34"/>
  <c r="P5045" i="34"/>
  <c r="Q5045" i="34"/>
  <c r="R5045" i="34"/>
  <c r="S5045" i="34"/>
  <c r="T5045" i="34"/>
  <c r="U5045" i="34"/>
  <c r="V5045" i="34"/>
  <c r="W5045" i="34"/>
  <c r="X5045" i="34"/>
  <c r="Y5045" i="34"/>
  <c r="Z5045" i="34"/>
  <c r="N5046" i="34"/>
  <c r="O5046" i="34"/>
  <c r="P5046" i="34"/>
  <c r="Q5046" i="34"/>
  <c r="R5046" i="34"/>
  <c r="S5046" i="34"/>
  <c r="T5046" i="34"/>
  <c r="U5046" i="34"/>
  <c r="V5046" i="34"/>
  <c r="W5046" i="34"/>
  <c r="X5046" i="34"/>
  <c r="Y5046" i="34"/>
  <c r="Z5046" i="34"/>
  <c r="N5047" i="34"/>
  <c r="O5047" i="34"/>
  <c r="P5047" i="34"/>
  <c r="Q5047" i="34"/>
  <c r="R5047" i="34"/>
  <c r="S5047" i="34"/>
  <c r="T5047" i="34"/>
  <c r="U5047" i="34"/>
  <c r="V5047" i="34"/>
  <c r="W5047" i="34"/>
  <c r="X5047" i="34"/>
  <c r="Y5047" i="34"/>
  <c r="Z5047" i="34"/>
  <c r="N5048" i="34"/>
  <c r="O5048" i="34"/>
  <c r="P5048" i="34"/>
  <c r="Q5048" i="34"/>
  <c r="R5048" i="34"/>
  <c r="S5048" i="34"/>
  <c r="T5048" i="34"/>
  <c r="U5048" i="34"/>
  <c r="V5048" i="34"/>
  <c r="W5048" i="34"/>
  <c r="X5048" i="34"/>
  <c r="Y5048" i="34"/>
  <c r="Z5048" i="34"/>
  <c r="N5049" i="34"/>
  <c r="O5049" i="34"/>
  <c r="P5049" i="34"/>
  <c r="Q5049" i="34"/>
  <c r="R5049" i="34"/>
  <c r="S5049" i="34"/>
  <c r="T5049" i="34"/>
  <c r="U5049" i="34"/>
  <c r="V5049" i="34"/>
  <c r="W5049" i="34"/>
  <c r="X5049" i="34"/>
  <c r="Y5049" i="34"/>
  <c r="Z5049" i="34"/>
  <c r="N5050" i="34"/>
  <c r="O5050" i="34"/>
  <c r="P5050" i="34"/>
  <c r="Q5050" i="34"/>
  <c r="R5050" i="34"/>
  <c r="S5050" i="34"/>
  <c r="T5050" i="34"/>
  <c r="U5050" i="34"/>
  <c r="V5050" i="34"/>
  <c r="W5050" i="34"/>
  <c r="X5050" i="34"/>
  <c r="Y5050" i="34"/>
  <c r="Z5050" i="34"/>
  <c r="N5051" i="34"/>
  <c r="O5051" i="34"/>
  <c r="P5051" i="34"/>
  <c r="Q5051" i="34"/>
  <c r="R5051" i="34"/>
  <c r="S5051" i="34"/>
  <c r="T5051" i="34"/>
  <c r="U5051" i="34"/>
  <c r="V5051" i="34"/>
  <c r="W5051" i="34"/>
  <c r="X5051" i="34"/>
  <c r="Y5051" i="34"/>
  <c r="Z5051" i="34"/>
  <c r="N5052" i="34"/>
  <c r="O5052" i="34"/>
  <c r="P5052" i="34"/>
  <c r="Q5052" i="34"/>
  <c r="R5052" i="34"/>
  <c r="S5052" i="34"/>
  <c r="T5052" i="34"/>
  <c r="U5052" i="34"/>
  <c r="V5052" i="34"/>
  <c r="W5052" i="34"/>
  <c r="X5052" i="34"/>
  <c r="Y5052" i="34"/>
  <c r="Z5052" i="34"/>
  <c r="N5053" i="34"/>
  <c r="O5053" i="34"/>
  <c r="P5053" i="34"/>
  <c r="Q5053" i="34"/>
  <c r="R5053" i="34"/>
  <c r="S5053" i="34"/>
  <c r="T5053" i="34"/>
  <c r="U5053" i="34"/>
  <c r="V5053" i="34"/>
  <c r="W5053" i="34"/>
  <c r="X5053" i="34"/>
  <c r="Y5053" i="34"/>
  <c r="Z5053" i="34"/>
  <c r="N5054" i="34"/>
  <c r="O5054" i="34"/>
  <c r="P5054" i="34"/>
  <c r="Q5054" i="34"/>
  <c r="R5054" i="34"/>
  <c r="S5054" i="34"/>
  <c r="T5054" i="34"/>
  <c r="U5054" i="34"/>
  <c r="V5054" i="34"/>
  <c r="W5054" i="34"/>
  <c r="X5054" i="34"/>
  <c r="Y5054" i="34"/>
  <c r="Z5054" i="34"/>
  <c r="N5055" i="34"/>
  <c r="O5055" i="34"/>
  <c r="P5055" i="34"/>
  <c r="Q5055" i="34"/>
  <c r="R5055" i="34"/>
  <c r="S5055" i="34"/>
  <c r="T5055" i="34"/>
  <c r="U5055" i="34"/>
  <c r="V5055" i="34"/>
  <c r="W5055" i="34"/>
  <c r="X5055" i="34"/>
  <c r="Y5055" i="34"/>
  <c r="Z5055" i="34"/>
  <c r="N5056" i="34"/>
  <c r="O5056" i="34"/>
  <c r="P5056" i="34"/>
  <c r="Q5056" i="34"/>
  <c r="R5056" i="34"/>
  <c r="S5056" i="34"/>
  <c r="T5056" i="34"/>
  <c r="U5056" i="34"/>
  <c r="V5056" i="34"/>
  <c r="W5056" i="34"/>
  <c r="X5056" i="34"/>
  <c r="Y5056" i="34"/>
  <c r="Z5056" i="34"/>
  <c r="N5057" i="34"/>
  <c r="O5057" i="34"/>
  <c r="P5057" i="34"/>
  <c r="Q5057" i="34"/>
  <c r="R5057" i="34"/>
  <c r="S5057" i="34"/>
  <c r="T5057" i="34"/>
  <c r="U5057" i="34"/>
  <c r="V5057" i="34"/>
  <c r="W5057" i="34"/>
  <c r="X5057" i="34"/>
  <c r="Y5057" i="34"/>
  <c r="Z5057" i="34"/>
  <c r="N5058" i="34"/>
  <c r="O5058" i="34"/>
  <c r="P5058" i="34"/>
  <c r="Q5058" i="34"/>
  <c r="R5058" i="34"/>
  <c r="S5058" i="34"/>
  <c r="T5058" i="34"/>
  <c r="U5058" i="34"/>
  <c r="V5058" i="34"/>
  <c r="W5058" i="34"/>
  <c r="X5058" i="34"/>
  <c r="Y5058" i="34"/>
  <c r="Z5058" i="34"/>
  <c r="N5059" i="34"/>
  <c r="O5059" i="34"/>
  <c r="P5059" i="34"/>
  <c r="Q5059" i="34"/>
  <c r="R5059" i="34"/>
  <c r="S5059" i="34"/>
  <c r="T5059" i="34"/>
  <c r="U5059" i="34"/>
  <c r="V5059" i="34"/>
  <c r="W5059" i="34"/>
  <c r="X5059" i="34"/>
  <c r="Y5059" i="34"/>
  <c r="Z5059" i="34"/>
  <c r="N5060" i="34"/>
  <c r="O5060" i="34"/>
  <c r="P5060" i="34"/>
  <c r="Q5060" i="34"/>
  <c r="R5060" i="34"/>
  <c r="S5060" i="34"/>
  <c r="T5060" i="34"/>
  <c r="U5060" i="34"/>
  <c r="V5060" i="34"/>
  <c r="W5060" i="34"/>
  <c r="X5060" i="34"/>
  <c r="Y5060" i="34"/>
  <c r="Z5060" i="34"/>
  <c r="N5061" i="34"/>
  <c r="O5061" i="34"/>
  <c r="P5061" i="34"/>
  <c r="Q5061" i="34"/>
  <c r="R5061" i="34"/>
  <c r="S5061" i="34"/>
  <c r="T5061" i="34"/>
  <c r="U5061" i="34"/>
  <c r="V5061" i="34"/>
  <c r="W5061" i="34"/>
  <c r="X5061" i="34"/>
  <c r="Y5061" i="34"/>
  <c r="Z5061" i="34"/>
  <c r="N5062" i="34"/>
  <c r="O5062" i="34"/>
  <c r="P5062" i="34"/>
  <c r="Q5062" i="34"/>
  <c r="R5062" i="34"/>
  <c r="S5062" i="34"/>
  <c r="T5062" i="34"/>
  <c r="U5062" i="34"/>
  <c r="V5062" i="34"/>
  <c r="W5062" i="34"/>
  <c r="X5062" i="34"/>
  <c r="Y5062" i="34"/>
  <c r="Z5062" i="34"/>
  <c r="N5063" i="34"/>
  <c r="O5063" i="34"/>
  <c r="P5063" i="34"/>
  <c r="Q5063" i="34"/>
  <c r="R5063" i="34"/>
  <c r="S5063" i="34"/>
  <c r="T5063" i="34"/>
  <c r="U5063" i="34"/>
  <c r="V5063" i="34"/>
  <c r="W5063" i="34"/>
  <c r="X5063" i="34"/>
  <c r="Y5063" i="34"/>
  <c r="Z5063" i="34"/>
  <c r="N5064" i="34"/>
  <c r="O5064" i="34"/>
  <c r="P5064" i="34"/>
  <c r="Q5064" i="34"/>
  <c r="R5064" i="34"/>
  <c r="S5064" i="34"/>
  <c r="T5064" i="34"/>
  <c r="U5064" i="34"/>
  <c r="V5064" i="34"/>
  <c r="W5064" i="34"/>
  <c r="X5064" i="34"/>
  <c r="Y5064" i="34"/>
  <c r="Z5064" i="34"/>
  <c r="N5065" i="34"/>
  <c r="O5065" i="34"/>
  <c r="P5065" i="34"/>
  <c r="Q5065" i="34"/>
  <c r="R5065" i="34"/>
  <c r="S5065" i="34"/>
  <c r="T5065" i="34"/>
  <c r="U5065" i="34"/>
  <c r="V5065" i="34"/>
  <c r="W5065" i="34"/>
  <c r="X5065" i="34"/>
  <c r="Y5065" i="34"/>
  <c r="Z5065" i="34"/>
  <c r="N5066" i="34"/>
  <c r="O5066" i="34"/>
  <c r="P5066" i="34"/>
  <c r="Q5066" i="34"/>
  <c r="R5066" i="34"/>
  <c r="S5066" i="34"/>
  <c r="T5066" i="34"/>
  <c r="U5066" i="34"/>
  <c r="V5066" i="34"/>
  <c r="W5066" i="34"/>
  <c r="X5066" i="34"/>
  <c r="Y5066" i="34"/>
  <c r="Z5066" i="34"/>
  <c r="N5067" i="34"/>
  <c r="O5067" i="34"/>
  <c r="P5067" i="34"/>
  <c r="Q5067" i="34"/>
  <c r="R5067" i="34"/>
  <c r="S5067" i="34"/>
  <c r="T5067" i="34"/>
  <c r="U5067" i="34"/>
  <c r="V5067" i="34"/>
  <c r="W5067" i="34"/>
  <c r="X5067" i="34"/>
  <c r="Y5067" i="34"/>
  <c r="Z5067" i="34"/>
  <c r="N5068" i="34"/>
  <c r="O5068" i="34"/>
  <c r="P5068" i="34"/>
  <c r="Q5068" i="34"/>
  <c r="R5068" i="34"/>
  <c r="S5068" i="34"/>
  <c r="T5068" i="34"/>
  <c r="U5068" i="34"/>
  <c r="V5068" i="34"/>
  <c r="W5068" i="34"/>
  <c r="X5068" i="34"/>
  <c r="Y5068" i="34"/>
  <c r="Z5068" i="34"/>
  <c r="N5069" i="34"/>
  <c r="O5069" i="34"/>
  <c r="P5069" i="34"/>
  <c r="Q5069" i="34"/>
  <c r="R5069" i="34"/>
  <c r="S5069" i="34"/>
  <c r="T5069" i="34"/>
  <c r="U5069" i="34"/>
  <c r="V5069" i="34"/>
  <c r="W5069" i="34"/>
  <c r="X5069" i="34"/>
  <c r="Y5069" i="34"/>
  <c r="Z5069" i="34"/>
  <c r="N5070" i="34"/>
  <c r="O5070" i="34"/>
  <c r="P5070" i="34"/>
  <c r="Q5070" i="34"/>
  <c r="R5070" i="34"/>
  <c r="S5070" i="34"/>
  <c r="T5070" i="34"/>
  <c r="U5070" i="34"/>
  <c r="V5070" i="34"/>
  <c r="W5070" i="34"/>
  <c r="X5070" i="34"/>
  <c r="Y5070" i="34"/>
  <c r="Z5070" i="34"/>
  <c r="N5071" i="34"/>
  <c r="O5071" i="34"/>
  <c r="P5071" i="34"/>
  <c r="Q5071" i="34"/>
  <c r="R5071" i="34"/>
  <c r="S5071" i="34"/>
  <c r="T5071" i="34"/>
  <c r="U5071" i="34"/>
  <c r="V5071" i="34"/>
  <c r="W5071" i="34"/>
  <c r="X5071" i="34"/>
  <c r="Y5071" i="34"/>
  <c r="Z5071" i="34"/>
  <c r="N5072" i="34"/>
  <c r="O5072" i="34"/>
  <c r="P5072" i="34"/>
  <c r="Q5072" i="34"/>
  <c r="R5072" i="34"/>
  <c r="S5072" i="34"/>
  <c r="T5072" i="34"/>
  <c r="U5072" i="34"/>
  <c r="V5072" i="34"/>
  <c r="W5072" i="34"/>
  <c r="X5072" i="34"/>
  <c r="Y5072" i="34"/>
  <c r="Z5072" i="34"/>
  <c r="N5073" i="34"/>
  <c r="O5073" i="34"/>
  <c r="P5073" i="34"/>
  <c r="Q5073" i="34"/>
  <c r="R5073" i="34"/>
  <c r="S5073" i="34"/>
  <c r="T5073" i="34"/>
  <c r="U5073" i="34"/>
  <c r="V5073" i="34"/>
  <c r="W5073" i="34"/>
  <c r="X5073" i="34"/>
  <c r="Y5073" i="34"/>
  <c r="Z5073" i="34"/>
  <c r="N5074" i="34"/>
  <c r="O5074" i="34"/>
  <c r="P5074" i="34"/>
  <c r="Q5074" i="34"/>
  <c r="R5074" i="34"/>
  <c r="S5074" i="34"/>
  <c r="T5074" i="34"/>
  <c r="U5074" i="34"/>
  <c r="V5074" i="34"/>
  <c r="W5074" i="34"/>
  <c r="X5074" i="34"/>
  <c r="Y5074" i="34"/>
  <c r="Z5074" i="34"/>
  <c r="N5075" i="34"/>
  <c r="O5075" i="34"/>
  <c r="P5075" i="34"/>
  <c r="Q5075" i="34"/>
  <c r="R5075" i="34"/>
  <c r="S5075" i="34"/>
  <c r="T5075" i="34"/>
  <c r="U5075" i="34"/>
  <c r="V5075" i="34"/>
  <c r="W5075" i="34"/>
  <c r="X5075" i="34"/>
  <c r="Y5075" i="34"/>
  <c r="Z5075" i="34"/>
  <c r="N5076" i="34"/>
  <c r="O5076" i="34"/>
  <c r="P5076" i="34"/>
  <c r="Q5076" i="34"/>
  <c r="R5076" i="34"/>
  <c r="S5076" i="34"/>
  <c r="T5076" i="34"/>
  <c r="U5076" i="34"/>
  <c r="V5076" i="34"/>
  <c r="W5076" i="34"/>
  <c r="X5076" i="34"/>
  <c r="Y5076" i="34"/>
  <c r="Z5076" i="34"/>
  <c r="N5077" i="34"/>
  <c r="O5077" i="34"/>
  <c r="P5077" i="34"/>
  <c r="Q5077" i="34"/>
  <c r="R5077" i="34"/>
  <c r="S5077" i="34"/>
  <c r="T5077" i="34"/>
  <c r="U5077" i="34"/>
  <c r="V5077" i="34"/>
  <c r="W5077" i="34"/>
  <c r="X5077" i="34"/>
  <c r="Y5077" i="34"/>
  <c r="Z5077" i="34"/>
  <c r="N5078" i="34"/>
  <c r="O5078" i="34"/>
  <c r="P5078" i="34"/>
  <c r="Q5078" i="34"/>
  <c r="R5078" i="34"/>
  <c r="S5078" i="34"/>
  <c r="T5078" i="34"/>
  <c r="U5078" i="34"/>
  <c r="V5078" i="34"/>
  <c r="W5078" i="34"/>
  <c r="X5078" i="34"/>
  <c r="Y5078" i="34"/>
  <c r="Z5078" i="34"/>
  <c r="N5079" i="34"/>
  <c r="O5079" i="34"/>
  <c r="P5079" i="34"/>
  <c r="Q5079" i="34"/>
  <c r="R5079" i="34"/>
  <c r="S5079" i="34"/>
  <c r="T5079" i="34"/>
  <c r="U5079" i="34"/>
  <c r="V5079" i="34"/>
  <c r="W5079" i="34"/>
  <c r="X5079" i="34"/>
  <c r="Y5079" i="34"/>
  <c r="Z5079" i="34"/>
  <c r="N5080" i="34"/>
  <c r="O5080" i="34"/>
  <c r="P5080" i="34"/>
  <c r="Q5080" i="34"/>
  <c r="R5080" i="34"/>
  <c r="S5080" i="34"/>
  <c r="T5080" i="34"/>
  <c r="U5080" i="34"/>
  <c r="V5080" i="34"/>
  <c r="W5080" i="34"/>
  <c r="X5080" i="34"/>
  <c r="Y5080" i="34"/>
  <c r="Z5080" i="34"/>
  <c r="N5081" i="34"/>
  <c r="O5081" i="34"/>
  <c r="P5081" i="34"/>
  <c r="Q5081" i="34"/>
  <c r="R5081" i="34"/>
  <c r="S5081" i="34"/>
  <c r="T5081" i="34"/>
  <c r="U5081" i="34"/>
  <c r="V5081" i="34"/>
  <c r="W5081" i="34"/>
  <c r="X5081" i="34"/>
  <c r="Y5081" i="34"/>
  <c r="Z5081" i="34"/>
  <c r="N5082" i="34"/>
  <c r="O5082" i="34"/>
  <c r="P5082" i="34"/>
  <c r="Q5082" i="34"/>
  <c r="R5082" i="34"/>
  <c r="S5082" i="34"/>
  <c r="T5082" i="34"/>
  <c r="U5082" i="34"/>
  <c r="V5082" i="34"/>
  <c r="W5082" i="34"/>
  <c r="X5082" i="34"/>
  <c r="Y5082" i="34"/>
  <c r="Z5082" i="34"/>
  <c r="N5083" i="34"/>
  <c r="O5083" i="34"/>
  <c r="P5083" i="34"/>
  <c r="Q5083" i="34"/>
  <c r="R5083" i="34"/>
  <c r="S5083" i="34"/>
  <c r="T5083" i="34"/>
  <c r="U5083" i="34"/>
  <c r="V5083" i="34"/>
  <c r="W5083" i="34"/>
  <c r="X5083" i="34"/>
  <c r="Y5083" i="34"/>
  <c r="Z5083" i="34"/>
  <c r="N5084" i="34"/>
  <c r="O5084" i="34"/>
  <c r="P5084" i="34"/>
  <c r="Q5084" i="34"/>
  <c r="R5084" i="34"/>
  <c r="S5084" i="34"/>
  <c r="T5084" i="34"/>
  <c r="U5084" i="34"/>
  <c r="V5084" i="34"/>
  <c r="W5084" i="34"/>
  <c r="X5084" i="34"/>
  <c r="Y5084" i="34"/>
  <c r="Z5084" i="34"/>
  <c r="N5085" i="34"/>
  <c r="O5085" i="34"/>
  <c r="P5085" i="34"/>
  <c r="Q5085" i="34"/>
  <c r="R5085" i="34"/>
  <c r="S5085" i="34"/>
  <c r="T5085" i="34"/>
  <c r="U5085" i="34"/>
  <c r="V5085" i="34"/>
  <c r="W5085" i="34"/>
  <c r="X5085" i="34"/>
  <c r="Y5085" i="34"/>
  <c r="Z5085" i="34"/>
  <c r="N5086" i="34"/>
  <c r="O5086" i="34"/>
  <c r="P5086" i="34"/>
  <c r="Q5086" i="34"/>
  <c r="R5086" i="34"/>
  <c r="S5086" i="34"/>
  <c r="T5086" i="34"/>
  <c r="U5086" i="34"/>
  <c r="V5086" i="34"/>
  <c r="W5086" i="34"/>
  <c r="X5086" i="34"/>
  <c r="Y5086" i="34"/>
  <c r="Z5086" i="34"/>
  <c r="N5087" i="34"/>
  <c r="O5087" i="34"/>
  <c r="P5087" i="34"/>
  <c r="Q5087" i="34"/>
  <c r="R5087" i="34"/>
  <c r="S5087" i="34"/>
  <c r="T5087" i="34"/>
  <c r="U5087" i="34"/>
  <c r="V5087" i="34"/>
  <c r="W5087" i="34"/>
  <c r="X5087" i="34"/>
  <c r="Y5087" i="34"/>
  <c r="Z5087" i="34"/>
  <c r="N5088" i="34"/>
  <c r="O5088" i="34"/>
  <c r="P5088" i="34"/>
  <c r="Q5088" i="34"/>
  <c r="R5088" i="34"/>
  <c r="S5088" i="34"/>
  <c r="T5088" i="34"/>
  <c r="U5088" i="34"/>
  <c r="V5088" i="34"/>
  <c r="W5088" i="34"/>
  <c r="X5088" i="34"/>
  <c r="Y5088" i="34"/>
  <c r="Z5088" i="34"/>
  <c r="N5089" i="34"/>
  <c r="O5089" i="34"/>
  <c r="P5089" i="34"/>
  <c r="Q5089" i="34"/>
  <c r="R5089" i="34"/>
  <c r="S5089" i="34"/>
  <c r="T5089" i="34"/>
  <c r="U5089" i="34"/>
  <c r="V5089" i="34"/>
  <c r="W5089" i="34"/>
  <c r="X5089" i="34"/>
  <c r="Y5089" i="34"/>
  <c r="Z5089" i="34"/>
  <c r="N5090" i="34"/>
  <c r="O5090" i="34"/>
  <c r="P5090" i="34"/>
  <c r="Q5090" i="34"/>
  <c r="R5090" i="34"/>
  <c r="S5090" i="34"/>
  <c r="T5090" i="34"/>
  <c r="U5090" i="34"/>
  <c r="V5090" i="34"/>
  <c r="W5090" i="34"/>
  <c r="X5090" i="34"/>
  <c r="Y5090" i="34"/>
  <c r="Z5090" i="34"/>
  <c r="N5091" i="34"/>
  <c r="O5091" i="34"/>
  <c r="P5091" i="34"/>
  <c r="Q5091" i="34"/>
  <c r="R5091" i="34"/>
  <c r="S5091" i="34"/>
  <c r="T5091" i="34"/>
  <c r="U5091" i="34"/>
  <c r="V5091" i="34"/>
  <c r="W5091" i="34"/>
  <c r="X5091" i="34"/>
  <c r="Y5091" i="34"/>
  <c r="Z5091" i="34"/>
  <c r="N5092" i="34"/>
  <c r="O5092" i="34"/>
  <c r="P5092" i="34"/>
  <c r="Q5092" i="34"/>
  <c r="R5092" i="34"/>
  <c r="S5092" i="34"/>
  <c r="T5092" i="34"/>
  <c r="U5092" i="34"/>
  <c r="V5092" i="34"/>
  <c r="W5092" i="34"/>
  <c r="X5092" i="34"/>
  <c r="Y5092" i="34"/>
  <c r="Z5092" i="34"/>
  <c r="N5093" i="34"/>
  <c r="O5093" i="34"/>
  <c r="P5093" i="34"/>
  <c r="Q5093" i="34"/>
  <c r="R5093" i="34"/>
  <c r="S5093" i="34"/>
  <c r="T5093" i="34"/>
  <c r="U5093" i="34"/>
  <c r="V5093" i="34"/>
  <c r="W5093" i="34"/>
  <c r="X5093" i="34"/>
  <c r="Y5093" i="34"/>
  <c r="Z5093" i="34"/>
  <c r="N5094" i="34"/>
  <c r="O5094" i="34"/>
  <c r="P5094" i="34"/>
  <c r="Q5094" i="34"/>
  <c r="R5094" i="34"/>
  <c r="S5094" i="34"/>
  <c r="T5094" i="34"/>
  <c r="U5094" i="34"/>
  <c r="V5094" i="34"/>
  <c r="W5094" i="34"/>
  <c r="X5094" i="34"/>
  <c r="Y5094" i="34"/>
  <c r="Z5094" i="34"/>
  <c r="N5095" i="34"/>
  <c r="O5095" i="34"/>
  <c r="P5095" i="34"/>
  <c r="Q5095" i="34"/>
  <c r="R5095" i="34"/>
  <c r="S5095" i="34"/>
  <c r="T5095" i="34"/>
  <c r="U5095" i="34"/>
  <c r="V5095" i="34"/>
  <c r="W5095" i="34"/>
  <c r="X5095" i="34"/>
  <c r="Y5095" i="34"/>
  <c r="Z5095" i="34"/>
  <c r="N5096" i="34"/>
  <c r="O5096" i="34"/>
  <c r="P5096" i="34"/>
  <c r="Q5096" i="34"/>
  <c r="R5096" i="34"/>
  <c r="S5096" i="34"/>
  <c r="T5096" i="34"/>
  <c r="U5096" i="34"/>
  <c r="V5096" i="34"/>
  <c r="W5096" i="34"/>
  <c r="X5096" i="34"/>
  <c r="Y5096" i="34"/>
  <c r="Z5096" i="34"/>
  <c r="N5097" i="34"/>
  <c r="O5097" i="34"/>
  <c r="P5097" i="34"/>
  <c r="Q5097" i="34"/>
  <c r="R5097" i="34"/>
  <c r="S5097" i="34"/>
  <c r="T5097" i="34"/>
  <c r="U5097" i="34"/>
  <c r="V5097" i="34"/>
  <c r="W5097" i="34"/>
  <c r="X5097" i="34"/>
  <c r="Y5097" i="34"/>
  <c r="Z5097" i="34"/>
  <c r="N5098" i="34"/>
  <c r="O5098" i="34"/>
  <c r="P5098" i="34"/>
  <c r="Q5098" i="34"/>
  <c r="R5098" i="34"/>
  <c r="S5098" i="34"/>
  <c r="T5098" i="34"/>
  <c r="U5098" i="34"/>
  <c r="V5098" i="34"/>
  <c r="W5098" i="34"/>
  <c r="X5098" i="34"/>
  <c r="Y5098" i="34"/>
  <c r="Z5098" i="34"/>
  <c r="N5099" i="34"/>
  <c r="O5099" i="34"/>
  <c r="P5099" i="34"/>
  <c r="Q5099" i="34"/>
  <c r="R5099" i="34"/>
  <c r="S5099" i="34"/>
  <c r="T5099" i="34"/>
  <c r="U5099" i="34"/>
  <c r="V5099" i="34"/>
  <c r="W5099" i="34"/>
  <c r="X5099" i="34"/>
  <c r="Y5099" i="34"/>
  <c r="Z5099" i="34"/>
  <c r="N5100" i="34"/>
  <c r="O5100" i="34"/>
  <c r="P5100" i="34"/>
  <c r="Q5100" i="34"/>
  <c r="R5100" i="34"/>
  <c r="S5100" i="34"/>
  <c r="T5100" i="34"/>
  <c r="U5100" i="34"/>
  <c r="V5100" i="34"/>
  <c r="W5100" i="34"/>
  <c r="X5100" i="34"/>
  <c r="Y5100" i="34"/>
  <c r="Z5100" i="34"/>
  <c r="N5101" i="34"/>
  <c r="O5101" i="34"/>
  <c r="P5101" i="34"/>
  <c r="Q5101" i="34"/>
  <c r="R5101" i="34"/>
  <c r="S5101" i="34"/>
  <c r="T5101" i="34"/>
  <c r="U5101" i="34"/>
  <c r="V5101" i="34"/>
  <c r="W5101" i="34"/>
  <c r="X5101" i="34"/>
  <c r="Y5101" i="34"/>
  <c r="Z5101" i="34"/>
  <c r="N5102" i="34"/>
  <c r="O5102" i="34"/>
  <c r="P5102" i="34"/>
  <c r="Q5102" i="34"/>
  <c r="R5102" i="34"/>
  <c r="S5102" i="34"/>
  <c r="T5102" i="34"/>
  <c r="U5102" i="34"/>
  <c r="V5102" i="34"/>
  <c r="W5102" i="34"/>
  <c r="X5102" i="34"/>
  <c r="Y5102" i="34"/>
  <c r="Z5102" i="34"/>
  <c r="N5103" i="34"/>
  <c r="O5103" i="34"/>
  <c r="P5103" i="34"/>
  <c r="Q5103" i="34"/>
  <c r="R5103" i="34"/>
  <c r="S5103" i="34"/>
  <c r="T5103" i="34"/>
  <c r="U5103" i="34"/>
  <c r="V5103" i="34"/>
  <c r="W5103" i="34"/>
  <c r="X5103" i="34"/>
  <c r="Y5103" i="34"/>
  <c r="Z5103" i="34"/>
  <c r="N5104" i="34"/>
  <c r="O5104" i="34"/>
  <c r="P5104" i="34"/>
  <c r="Q5104" i="34"/>
  <c r="R5104" i="34"/>
  <c r="S5104" i="34"/>
  <c r="T5104" i="34"/>
  <c r="U5104" i="34"/>
  <c r="V5104" i="34"/>
  <c r="W5104" i="34"/>
  <c r="X5104" i="34"/>
  <c r="Y5104" i="34"/>
  <c r="Z5104" i="34"/>
  <c r="N5105" i="34"/>
  <c r="O5105" i="34"/>
  <c r="P5105" i="34"/>
  <c r="Q5105" i="34"/>
  <c r="R5105" i="34"/>
  <c r="S5105" i="34"/>
  <c r="T5105" i="34"/>
  <c r="U5105" i="34"/>
  <c r="V5105" i="34"/>
  <c r="W5105" i="34"/>
  <c r="X5105" i="34"/>
  <c r="Y5105" i="34"/>
  <c r="Z5105" i="34"/>
  <c r="N5106" i="34"/>
  <c r="O5106" i="34"/>
  <c r="P5106" i="34"/>
  <c r="Q5106" i="34"/>
  <c r="R5106" i="34"/>
  <c r="S5106" i="34"/>
  <c r="T5106" i="34"/>
  <c r="U5106" i="34"/>
  <c r="V5106" i="34"/>
  <c r="W5106" i="34"/>
  <c r="X5106" i="34"/>
  <c r="Y5106" i="34"/>
  <c r="Z5106" i="34"/>
  <c r="N5107" i="34"/>
  <c r="O5107" i="34"/>
  <c r="P5107" i="34"/>
  <c r="Q5107" i="34"/>
  <c r="R5107" i="34"/>
  <c r="S5107" i="34"/>
  <c r="T5107" i="34"/>
  <c r="U5107" i="34"/>
  <c r="V5107" i="34"/>
  <c r="W5107" i="34"/>
  <c r="X5107" i="34"/>
  <c r="Y5107" i="34"/>
  <c r="Z5107" i="34"/>
  <c r="N5108" i="34"/>
  <c r="O5108" i="34"/>
  <c r="P5108" i="34"/>
  <c r="Q5108" i="34"/>
  <c r="R5108" i="34"/>
  <c r="S5108" i="34"/>
  <c r="T5108" i="34"/>
  <c r="U5108" i="34"/>
  <c r="V5108" i="34"/>
  <c r="W5108" i="34"/>
  <c r="X5108" i="34"/>
  <c r="Y5108" i="34"/>
  <c r="Z5108" i="34"/>
  <c r="N5109" i="34"/>
  <c r="O5109" i="34"/>
  <c r="P5109" i="34"/>
  <c r="Q5109" i="34"/>
  <c r="R5109" i="34"/>
  <c r="S5109" i="34"/>
  <c r="T5109" i="34"/>
  <c r="U5109" i="34"/>
  <c r="V5109" i="34"/>
  <c r="W5109" i="34"/>
  <c r="X5109" i="34"/>
  <c r="Y5109" i="34"/>
  <c r="Z5109" i="34"/>
  <c r="N5110" i="34"/>
  <c r="O5110" i="34"/>
  <c r="P5110" i="34"/>
  <c r="Q5110" i="34"/>
  <c r="R5110" i="34"/>
  <c r="S5110" i="34"/>
  <c r="T5110" i="34"/>
  <c r="U5110" i="34"/>
  <c r="V5110" i="34"/>
  <c r="W5110" i="34"/>
  <c r="X5110" i="34"/>
  <c r="Y5110" i="34"/>
  <c r="Z5110" i="34"/>
  <c r="N5111" i="34"/>
  <c r="O5111" i="34"/>
  <c r="P5111" i="34"/>
  <c r="Q5111" i="34"/>
  <c r="R5111" i="34"/>
  <c r="S5111" i="34"/>
  <c r="T5111" i="34"/>
  <c r="U5111" i="34"/>
  <c r="V5111" i="34"/>
  <c r="W5111" i="34"/>
  <c r="X5111" i="34"/>
  <c r="Y5111" i="34"/>
  <c r="Z5111" i="34"/>
  <c r="N5112" i="34"/>
  <c r="O5112" i="34"/>
  <c r="P5112" i="34"/>
  <c r="Q5112" i="34"/>
  <c r="R5112" i="34"/>
  <c r="S5112" i="34"/>
  <c r="T5112" i="34"/>
  <c r="U5112" i="34"/>
  <c r="V5112" i="34"/>
  <c r="W5112" i="34"/>
  <c r="X5112" i="34"/>
  <c r="Y5112" i="34"/>
  <c r="Z5112" i="34"/>
  <c r="N5113" i="34"/>
  <c r="O5113" i="34"/>
  <c r="P5113" i="34"/>
  <c r="Q5113" i="34"/>
  <c r="R5113" i="34"/>
  <c r="S5113" i="34"/>
  <c r="T5113" i="34"/>
  <c r="U5113" i="34"/>
  <c r="V5113" i="34"/>
  <c r="W5113" i="34"/>
  <c r="X5113" i="34"/>
  <c r="Y5113" i="34"/>
  <c r="Z5113" i="34"/>
  <c r="N5114" i="34"/>
  <c r="O5114" i="34"/>
  <c r="P5114" i="34"/>
  <c r="Q5114" i="34"/>
  <c r="R5114" i="34"/>
  <c r="S5114" i="34"/>
  <c r="T5114" i="34"/>
  <c r="U5114" i="34"/>
  <c r="V5114" i="34"/>
  <c r="W5114" i="34"/>
  <c r="X5114" i="34"/>
  <c r="Y5114" i="34"/>
  <c r="Z5114" i="34"/>
  <c r="N5115" i="34"/>
  <c r="O5115" i="34"/>
  <c r="P5115" i="34"/>
  <c r="Q5115" i="34"/>
  <c r="R5115" i="34"/>
  <c r="S5115" i="34"/>
  <c r="T5115" i="34"/>
  <c r="U5115" i="34"/>
  <c r="V5115" i="34"/>
  <c r="W5115" i="34"/>
  <c r="X5115" i="34"/>
  <c r="Y5115" i="34"/>
  <c r="Z5115" i="34"/>
  <c r="N5116" i="34"/>
  <c r="O5116" i="34"/>
  <c r="P5116" i="34"/>
  <c r="Q5116" i="34"/>
  <c r="R5116" i="34"/>
  <c r="S5116" i="34"/>
  <c r="T5116" i="34"/>
  <c r="U5116" i="34"/>
  <c r="V5116" i="34"/>
  <c r="W5116" i="34"/>
  <c r="X5116" i="34"/>
  <c r="Y5116" i="34"/>
  <c r="Z5116" i="34"/>
  <c r="N5117" i="34"/>
  <c r="O5117" i="34"/>
  <c r="P5117" i="34"/>
  <c r="Q5117" i="34"/>
  <c r="R5117" i="34"/>
  <c r="S5117" i="34"/>
  <c r="T5117" i="34"/>
  <c r="U5117" i="34"/>
  <c r="V5117" i="34"/>
  <c r="W5117" i="34"/>
  <c r="X5117" i="34"/>
  <c r="Y5117" i="34"/>
  <c r="Z5117" i="34"/>
  <c r="N5118" i="34"/>
  <c r="O5118" i="34"/>
  <c r="P5118" i="34"/>
  <c r="Q5118" i="34"/>
  <c r="R5118" i="34"/>
  <c r="S5118" i="34"/>
  <c r="T5118" i="34"/>
  <c r="U5118" i="34"/>
  <c r="V5118" i="34"/>
  <c r="W5118" i="34"/>
  <c r="X5118" i="34"/>
  <c r="Y5118" i="34"/>
  <c r="Z5118" i="34"/>
  <c r="N5119" i="34"/>
  <c r="O5119" i="34"/>
  <c r="P5119" i="34"/>
  <c r="Q5119" i="34"/>
  <c r="R5119" i="34"/>
  <c r="S5119" i="34"/>
  <c r="T5119" i="34"/>
  <c r="U5119" i="34"/>
  <c r="V5119" i="34"/>
  <c r="W5119" i="34"/>
  <c r="X5119" i="34"/>
  <c r="Y5119" i="34"/>
  <c r="Z5119" i="34"/>
  <c r="N5120" i="34"/>
  <c r="O5120" i="34"/>
  <c r="P5120" i="34"/>
  <c r="Q5120" i="34"/>
  <c r="R5120" i="34"/>
  <c r="S5120" i="34"/>
  <c r="T5120" i="34"/>
  <c r="U5120" i="34"/>
  <c r="V5120" i="34"/>
  <c r="W5120" i="34"/>
  <c r="X5120" i="34"/>
  <c r="Y5120" i="34"/>
  <c r="Z5120" i="34"/>
  <c r="N5121" i="34"/>
  <c r="O5121" i="34"/>
  <c r="P5121" i="34"/>
  <c r="Q5121" i="34"/>
  <c r="R5121" i="34"/>
  <c r="S5121" i="34"/>
  <c r="T5121" i="34"/>
  <c r="U5121" i="34"/>
  <c r="V5121" i="34"/>
  <c r="W5121" i="34"/>
  <c r="X5121" i="34"/>
  <c r="Y5121" i="34"/>
  <c r="Z5121" i="34"/>
  <c r="N5122" i="34"/>
  <c r="O5122" i="34"/>
  <c r="P5122" i="34"/>
  <c r="Q5122" i="34"/>
  <c r="R5122" i="34"/>
  <c r="S5122" i="34"/>
  <c r="T5122" i="34"/>
  <c r="U5122" i="34"/>
  <c r="V5122" i="34"/>
  <c r="W5122" i="34"/>
  <c r="X5122" i="34"/>
  <c r="Y5122" i="34"/>
  <c r="Z5122" i="34"/>
  <c r="N5123" i="34"/>
  <c r="O5123" i="34"/>
  <c r="P5123" i="34"/>
  <c r="Q5123" i="34"/>
  <c r="R5123" i="34"/>
  <c r="S5123" i="34"/>
  <c r="T5123" i="34"/>
  <c r="U5123" i="34"/>
  <c r="V5123" i="34"/>
  <c r="W5123" i="34"/>
  <c r="X5123" i="34"/>
  <c r="Y5123" i="34"/>
  <c r="Z5123" i="34"/>
  <c r="N5124" i="34"/>
  <c r="O5124" i="34"/>
  <c r="P5124" i="34"/>
  <c r="Q5124" i="34"/>
  <c r="R5124" i="34"/>
  <c r="S5124" i="34"/>
  <c r="T5124" i="34"/>
  <c r="U5124" i="34"/>
  <c r="V5124" i="34"/>
  <c r="W5124" i="34"/>
  <c r="X5124" i="34"/>
  <c r="Y5124" i="34"/>
  <c r="Z5124" i="34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A1985" i="34"/>
  <c r="A1986" i="34"/>
  <c r="A1987" i="34"/>
  <c r="A1988" i="34"/>
  <c r="A1989" i="34"/>
  <c r="A1990" i="34"/>
  <c r="A1991" i="34"/>
  <c r="A1992" i="34"/>
  <c r="A1993" i="34"/>
  <c r="A1994" i="34"/>
  <c r="A1995" i="34"/>
  <c r="A1996" i="34"/>
  <c r="A1997" i="34"/>
  <c r="A1998" i="34"/>
  <c r="A1999" i="34"/>
  <c r="A2000" i="34"/>
  <c r="A2001" i="34"/>
  <c r="A2002" i="34"/>
  <c r="A2003" i="34"/>
  <c r="A2004" i="34"/>
  <c r="A2005" i="34"/>
  <c r="A2006" i="34"/>
  <c r="A2007" i="34"/>
  <c r="A2008" i="34"/>
  <c r="A2009" i="34"/>
  <c r="A2010" i="34"/>
  <c r="A2011" i="34"/>
  <c r="A2012" i="34"/>
  <c r="A2013" i="34"/>
  <c r="A2014" i="34"/>
  <c r="A2015" i="34"/>
  <c r="A2016" i="34"/>
  <c r="A2017" i="34"/>
  <c r="A2018" i="34"/>
  <c r="A2019" i="34"/>
  <c r="A2020" i="34"/>
  <c r="A2021" i="34"/>
  <c r="A2022" i="34"/>
  <c r="A2023" i="34"/>
  <c r="A2024" i="34"/>
  <c r="A2025" i="34"/>
  <c r="A2026" i="34"/>
  <c r="A2027" i="34"/>
  <c r="A2028" i="34"/>
  <c r="A2029" i="34"/>
  <c r="A2030" i="34"/>
  <c r="A2031" i="34"/>
  <c r="A2032" i="34"/>
  <c r="A2033" i="34"/>
  <c r="A2034" i="34"/>
  <c r="A2035" i="34"/>
  <c r="A2036" i="34"/>
  <c r="A2037" i="34"/>
  <c r="A2038" i="34"/>
  <c r="A2039" i="34"/>
  <c r="A2040" i="34"/>
  <c r="A2041" i="34"/>
  <c r="A2042" i="34"/>
  <c r="A2043" i="34"/>
  <c r="A2044" i="34"/>
  <c r="A2045" i="34"/>
  <c r="A2046" i="34"/>
  <c r="A2047" i="34"/>
  <c r="A2048" i="34"/>
  <c r="A2049" i="34"/>
  <c r="A2050" i="34"/>
  <c r="A2051" i="34"/>
  <c r="A2052" i="34"/>
  <c r="A2053" i="34"/>
  <c r="A2054" i="34"/>
  <c r="A2055" i="34"/>
  <c r="A2056" i="34"/>
  <c r="A2057" i="34"/>
  <c r="A2058" i="34"/>
  <c r="A2059" i="34"/>
  <c r="A2060" i="34"/>
  <c r="A2061" i="34"/>
  <c r="A2062" i="34"/>
  <c r="A2063" i="34"/>
  <c r="A2064" i="34"/>
  <c r="A2065" i="34"/>
  <c r="A2066" i="34"/>
  <c r="A2067" i="34"/>
  <c r="A2068" i="34"/>
  <c r="A2069" i="34"/>
  <c r="A2070" i="34"/>
  <c r="A2071" i="34"/>
  <c r="A2072" i="34"/>
  <c r="A2073" i="34"/>
  <c r="A2074" i="34"/>
  <c r="A2075" i="34"/>
  <c r="A2076" i="34"/>
  <c r="A2077" i="34"/>
  <c r="A2078" i="34"/>
  <c r="A2079" i="34"/>
  <c r="A2080" i="34"/>
  <c r="A2081" i="34"/>
  <c r="A2082" i="34"/>
  <c r="A2083" i="34"/>
  <c r="A2084" i="34"/>
  <c r="A2085" i="34"/>
  <c r="A2086" i="34"/>
  <c r="A2087" i="34"/>
  <c r="A2088" i="34"/>
  <c r="A2089" i="34"/>
  <c r="A2090" i="34"/>
  <c r="A2091" i="34"/>
  <c r="A2092" i="34"/>
  <c r="A2093" i="34"/>
  <c r="A2094" i="34"/>
  <c r="A2095" i="34"/>
  <c r="A2096" i="34"/>
  <c r="A2097" i="34"/>
  <c r="A2098" i="34"/>
  <c r="A2099" i="34"/>
  <c r="A2100" i="34"/>
  <c r="A2101" i="34"/>
  <c r="A2102" i="34"/>
  <c r="A2103" i="34"/>
  <c r="A2104" i="34"/>
  <c r="A2105" i="34"/>
  <c r="A2106" i="34"/>
  <c r="A2107" i="34"/>
  <c r="A2108" i="34"/>
  <c r="A2109" i="34"/>
  <c r="A2110" i="34"/>
  <c r="A2111" i="34"/>
  <c r="A2112" i="34"/>
  <c r="A2113" i="34"/>
  <c r="A2114" i="34"/>
  <c r="A2115" i="34"/>
  <c r="A2116" i="34"/>
  <c r="A2117" i="34"/>
  <c r="A2118" i="34"/>
  <c r="A2119" i="34"/>
  <c r="A2120" i="34"/>
  <c r="A2121" i="34"/>
  <c r="A2122" i="34"/>
  <c r="A2123" i="34"/>
  <c r="A2124" i="34"/>
  <c r="A2125" i="34"/>
  <c r="A2126" i="34"/>
  <c r="A2127" i="34"/>
  <c r="A2128" i="34"/>
  <c r="A2129" i="34"/>
  <c r="A2130" i="34"/>
  <c r="A2131" i="34"/>
  <c r="A2132" i="34"/>
  <c r="A2133" i="34"/>
  <c r="A2134" i="34"/>
  <c r="A2135" i="34"/>
  <c r="A2136" i="34"/>
  <c r="A2137" i="34"/>
  <c r="A2138" i="34"/>
  <c r="A2139" i="34"/>
  <c r="A2140" i="34"/>
  <c r="A2141" i="34"/>
  <c r="A2142" i="34"/>
  <c r="A2143" i="34"/>
  <c r="A2144" i="34"/>
  <c r="A2145" i="34"/>
  <c r="A2146" i="34"/>
  <c r="A2147" i="34"/>
  <c r="A2148" i="34"/>
  <c r="A2149" i="34"/>
  <c r="A2150" i="34"/>
  <c r="A2151" i="34"/>
  <c r="A2152" i="34"/>
  <c r="A2153" i="34"/>
  <c r="A2154" i="34"/>
  <c r="A2155" i="34"/>
  <c r="A2156" i="34"/>
  <c r="A2157" i="34"/>
  <c r="A2158" i="34"/>
  <c r="A2159" i="34"/>
  <c r="A2160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172" i="34"/>
  <c r="A2173" i="34"/>
  <c r="A2174" i="34"/>
  <c r="A2175" i="34"/>
  <c r="A2176" i="34"/>
  <c r="A2177" i="34"/>
  <c r="A2178" i="34"/>
  <c r="A2179" i="34"/>
  <c r="A2180" i="34"/>
  <c r="A2181" i="34"/>
  <c r="A2182" i="34"/>
  <c r="A2183" i="34"/>
  <c r="A2184" i="34"/>
  <c r="A2185" i="34"/>
  <c r="A2186" i="34"/>
  <c r="A2187" i="34"/>
  <c r="A2188" i="34"/>
  <c r="A2189" i="34"/>
  <c r="A2190" i="34"/>
  <c r="A2191" i="34"/>
  <c r="A2192" i="34"/>
  <c r="A2193" i="34"/>
  <c r="A2194" i="34"/>
  <c r="A2195" i="34"/>
  <c r="A2196" i="34"/>
  <c r="A2197" i="34"/>
  <c r="A2198" i="34"/>
  <c r="A2199" i="34"/>
  <c r="A2200" i="34"/>
  <c r="A2201" i="34"/>
  <c r="A2202" i="34"/>
  <c r="A2203" i="34"/>
  <c r="A2204" i="34"/>
  <c r="A2205" i="34"/>
  <c r="A2206" i="34"/>
  <c r="A2207" i="34"/>
  <c r="A2208" i="34"/>
  <c r="A2209" i="34"/>
  <c r="A2210" i="34"/>
  <c r="A2211" i="34"/>
  <c r="A2212" i="34"/>
  <c r="A2213" i="34"/>
  <c r="A2214" i="34"/>
  <c r="A2215" i="34"/>
  <c r="A2216" i="34"/>
  <c r="A2217" i="34"/>
  <c r="A2218" i="34"/>
  <c r="A2219" i="34"/>
  <c r="A2220" i="34"/>
  <c r="A2221" i="34"/>
  <c r="A2222" i="34"/>
  <c r="A2223" i="34"/>
  <c r="A2224" i="34"/>
  <c r="A2225" i="34"/>
  <c r="A2226" i="34"/>
  <c r="A2227" i="34"/>
  <c r="A2228" i="34"/>
  <c r="A2229" i="34"/>
  <c r="A2230" i="34"/>
  <c r="A2231" i="34"/>
  <c r="A2232" i="34"/>
  <c r="A2233" i="34"/>
  <c r="A2234" i="34"/>
  <c r="A2235" i="34"/>
  <c r="A2236" i="34"/>
  <c r="A2237" i="34"/>
  <c r="A2238" i="34"/>
  <c r="A2239" i="34"/>
  <c r="A2240" i="34"/>
  <c r="A2241" i="34"/>
  <c r="A2242" i="34"/>
  <c r="A2243" i="34"/>
  <c r="A2244" i="34"/>
  <c r="A2245" i="34"/>
  <c r="A2246" i="34"/>
  <c r="A2247" i="34"/>
  <c r="A2248" i="34"/>
  <c r="A2249" i="34"/>
  <c r="A2250" i="34"/>
  <c r="A2251" i="34"/>
  <c r="A2252" i="34"/>
  <c r="A2253" i="34"/>
  <c r="A2254" i="34"/>
  <c r="A2255" i="34"/>
  <c r="A2256" i="34"/>
  <c r="A2257" i="34"/>
  <c r="A2258" i="34"/>
  <c r="A2259" i="34"/>
  <c r="A2260" i="34"/>
  <c r="A2261" i="34"/>
  <c r="A2262" i="34"/>
  <c r="A2263" i="34"/>
  <c r="A2264" i="34"/>
  <c r="A2265" i="34"/>
  <c r="A2266" i="34"/>
  <c r="A2267" i="34"/>
  <c r="A2268" i="34"/>
  <c r="A2269" i="34"/>
  <c r="A2270" i="34"/>
  <c r="A2271" i="34"/>
  <c r="A2272" i="34"/>
  <c r="A2273" i="34"/>
  <c r="A2274" i="34"/>
  <c r="A2275" i="34"/>
  <c r="A2276" i="34"/>
  <c r="A2277" i="34"/>
  <c r="A2278" i="34"/>
  <c r="A2279" i="34"/>
  <c r="A2280" i="34"/>
  <c r="A2281" i="34"/>
  <c r="A2282" i="34"/>
  <c r="A2283" i="34"/>
  <c r="A2284" i="34"/>
  <c r="A2285" i="34"/>
  <c r="A2286" i="34"/>
  <c r="A2287" i="34"/>
  <c r="A2288" i="34"/>
  <c r="A2289" i="34"/>
  <c r="A2290" i="34"/>
  <c r="A2291" i="34"/>
  <c r="A2292" i="34"/>
  <c r="A2293" i="34"/>
  <c r="A2294" i="34"/>
  <c r="A2295" i="34"/>
  <c r="A2296" i="34"/>
  <c r="A2297" i="34"/>
  <c r="A2298" i="34"/>
  <c r="A2299" i="34"/>
  <c r="A2300" i="34"/>
  <c r="A2301" i="34"/>
  <c r="A2302" i="34"/>
  <c r="A2303" i="34"/>
  <c r="A2304" i="34"/>
  <c r="A2305" i="34"/>
  <c r="A2306" i="34"/>
  <c r="A2307" i="34"/>
  <c r="A2308" i="34"/>
  <c r="A2309" i="34"/>
  <c r="A2310" i="34"/>
  <c r="A2311" i="34"/>
  <c r="A2312" i="34"/>
  <c r="A2313" i="34"/>
  <c r="A2314" i="34"/>
  <c r="A2315" i="34"/>
  <c r="A2316" i="34"/>
  <c r="A2317" i="34"/>
  <c r="A2318" i="34"/>
  <c r="A2319" i="34"/>
  <c r="A2320" i="34"/>
  <c r="A2321" i="34"/>
  <c r="A2322" i="34"/>
  <c r="A2323" i="34"/>
  <c r="A2324" i="34"/>
  <c r="A2325" i="34"/>
  <c r="A2326" i="34"/>
  <c r="A2327" i="34"/>
  <c r="A2328" i="34"/>
  <c r="A2329" i="34"/>
  <c r="A2330" i="34"/>
  <c r="A2331" i="34"/>
  <c r="A2332" i="34"/>
  <c r="A2333" i="34"/>
  <c r="A2334" i="34"/>
  <c r="A2335" i="34"/>
  <c r="A2336" i="34"/>
  <c r="A2337" i="34"/>
  <c r="A2338" i="34"/>
  <c r="A2339" i="34"/>
  <c r="A2340" i="34"/>
  <c r="A2341" i="34"/>
  <c r="A2342" i="34"/>
  <c r="A2343" i="34"/>
  <c r="A2344" i="34"/>
  <c r="A2345" i="34"/>
  <c r="A2346" i="34"/>
  <c r="A2347" i="34"/>
  <c r="A2348" i="34"/>
  <c r="A2349" i="34"/>
  <c r="A2350" i="34"/>
  <c r="A2351" i="34"/>
  <c r="A2352" i="34"/>
  <c r="A2353" i="34"/>
  <c r="A2354" i="34"/>
  <c r="A2355" i="34"/>
  <c r="A2356" i="34"/>
  <c r="A2357" i="34"/>
  <c r="A2358" i="34"/>
  <c r="A2359" i="34"/>
  <c r="A2360" i="34"/>
  <c r="A2361" i="34"/>
  <c r="A2362" i="34"/>
  <c r="A2363" i="34"/>
  <c r="A2364" i="34"/>
  <c r="A2365" i="34"/>
  <c r="A2366" i="34"/>
  <c r="A2367" i="34"/>
  <c r="A2368" i="34"/>
  <c r="A2369" i="34"/>
  <c r="A2370" i="34"/>
  <c r="A2371" i="34"/>
  <c r="A2372" i="34"/>
  <c r="A2373" i="34"/>
  <c r="A2374" i="34"/>
  <c r="A2375" i="34"/>
  <c r="A2376" i="34"/>
  <c r="A2377" i="34"/>
  <c r="A2378" i="34"/>
  <c r="A2379" i="34"/>
  <c r="A2380" i="34"/>
  <c r="A2381" i="34"/>
  <c r="A2382" i="34"/>
  <c r="A2383" i="34"/>
  <c r="A2384" i="34"/>
  <c r="A2385" i="34"/>
  <c r="A2386" i="34"/>
  <c r="A2387" i="34"/>
  <c r="A2388" i="34"/>
  <c r="A2389" i="34"/>
  <c r="A2390" i="34"/>
  <c r="A2391" i="34"/>
  <c r="A2392" i="34"/>
  <c r="A2393" i="34"/>
  <c r="A2394" i="34"/>
  <c r="A2395" i="34"/>
  <c r="A2396" i="34"/>
  <c r="A2397" i="34"/>
  <c r="A2398" i="34"/>
  <c r="A2399" i="34"/>
  <c r="A2400" i="34"/>
  <c r="A2401" i="34"/>
  <c r="A2402" i="34"/>
  <c r="A2403" i="34"/>
  <c r="A2404" i="34"/>
  <c r="A2405" i="34"/>
  <c r="A2406" i="34"/>
  <c r="A2407" i="34"/>
  <c r="A2408" i="34"/>
  <c r="A2409" i="34"/>
  <c r="A2410" i="34"/>
  <c r="A2411" i="34"/>
  <c r="A2412" i="34"/>
  <c r="A2413" i="34"/>
  <c r="A2414" i="34"/>
  <c r="A2415" i="34"/>
  <c r="A2416" i="34"/>
  <c r="A2417" i="34"/>
  <c r="A2418" i="34"/>
  <c r="A2419" i="34"/>
  <c r="A2420" i="34"/>
  <c r="A2421" i="34"/>
  <c r="A2422" i="34"/>
  <c r="A2423" i="34"/>
  <c r="A2424" i="34"/>
  <c r="A2425" i="34"/>
  <c r="A2426" i="34"/>
  <c r="A2427" i="34"/>
  <c r="A2428" i="34"/>
  <c r="A2429" i="34"/>
  <c r="A2430" i="34"/>
  <c r="A2431" i="34"/>
  <c r="A2432" i="34"/>
  <c r="A2433" i="34"/>
  <c r="A2434" i="34"/>
  <c r="A2435" i="34"/>
  <c r="A2436" i="34"/>
  <c r="A2437" i="34"/>
  <c r="A2438" i="34"/>
  <c r="A2439" i="34"/>
  <c r="A2440" i="34"/>
  <c r="A2441" i="34"/>
  <c r="A2442" i="34"/>
  <c r="A2443" i="34"/>
  <c r="A2444" i="34"/>
  <c r="A2445" i="34"/>
  <c r="A2446" i="34"/>
  <c r="A2447" i="34"/>
  <c r="A2448" i="34"/>
  <c r="A2449" i="34"/>
  <c r="A2450" i="34"/>
  <c r="A2451" i="34"/>
  <c r="A2452" i="34"/>
  <c r="A2453" i="34"/>
  <c r="A2454" i="34"/>
  <c r="A2455" i="34"/>
  <c r="A2456" i="34"/>
  <c r="A2457" i="34"/>
  <c r="A2458" i="34"/>
  <c r="A2459" i="34"/>
  <c r="A2460" i="34"/>
  <c r="A2461" i="34"/>
  <c r="A2462" i="34"/>
  <c r="A2463" i="34"/>
  <c r="A2464" i="34"/>
  <c r="A2465" i="34"/>
  <c r="A2466" i="34"/>
  <c r="A2467" i="34"/>
  <c r="A2468" i="34"/>
  <c r="A2469" i="34"/>
  <c r="A2470" i="34"/>
  <c r="A2471" i="34"/>
  <c r="A2472" i="34"/>
  <c r="A2473" i="34"/>
  <c r="A2474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2" i="34"/>
  <c r="A2503" i="34"/>
  <c r="A2504" i="34"/>
  <c r="A2505" i="34"/>
  <c r="A2506" i="34"/>
  <c r="A2507" i="34"/>
  <c r="A2508" i="34"/>
  <c r="A2509" i="34"/>
  <c r="A2510" i="34"/>
  <c r="A2511" i="34"/>
  <c r="A2512" i="34"/>
  <c r="A2513" i="34"/>
  <c r="A2514" i="34"/>
  <c r="A2515" i="34"/>
  <c r="A2516" i="34"/>
  <c r="A2517" i="34"/>
  <c r="A2518" i="34"/>
  <c r="A2519" i="34"/>
  <c r="A2520" i="34"/>
  <c r="A2521" i="34"/>
  <c r="A2522" i="34"/>
  <c r="A2523" i="34"/>
  <c r="A2524" i="34"/>
  <c r="A2525" i="34"/>
  <c r="A2526" i="34"/>
  <c r="A2527" i="34"/>
  <c r="A2528" i="34"/>
  <c r="A2529" i="34"/>
  <c r="A2530" i="34"/>
  <c r="A2531" i="34"/>
  <c r="A2532" i="34"/>
  <c r="A2533" i="34"/>
  <c r="A2534" i="34"/>
  <c r="A2535" i="34"/>
  <c r="A2536" i="34"/>
  <c r="A2537" i="34"/>
  <c r="A2538" i="34"/>
  <c r="A2539" i="34"/>
  <c r="A2540" i="34"/>
  <c r="A2541" i="34"/>
  <c r="A2542" i="34"/>
  <c r="A2543" i="34"/>
  <c r="A2544" i="34"/>
  <c r="A2545" i="34"/>
  <c r="A2546" i="34"/>
  <c r="A2547" i="34"/>
  <c r="A2548" i="34"/>
  <c r="A2549" i="34"/>
  <c r="A2550" i="34"/>
  <c r="A2551" i="34"/>
  <c r="A2552" i="34"/>
  <c r="A2553" i="34"/>
  <c r="A2554" i="34"/>
  <c r="A2555" i="34"/>
  <c r="A2556" i="34"/>
  <c r="A2557" i="34"/>
  <c r="A2558" i="34"/>
  <c r="A2559" i="34"/>
  <c r="A2560" i="34"/>
  <c r="A2561" i="34"/>
  <c r="A2562" i="34"/>
  <c r="A2563" i="34"/>
  <c r="A2564" i="34"/>
  <c r="A2565" i="34"/>
  <c r="A2566" i="34"/>
  <c r="A2567" i="34"/>
  <c r="A2568" i="34"/>
  <c r="A2569" i="34"/>
  <c r="A2570" i="34"/>
  <c r="A2571" i="34"/>
  <c r="A2572" i="34"/>
  <c r="A2573" i="34"/>
  <c r="A2574" i="34"/>
  <c r="A2575" i="34"/>
  <c r="A2576" i="34"/>
  <c r="A2577" i="34"/>
  <c r="A2578" i="34"/>
  <c r="A2579" i="34"/>
  <c r="A2580" i="34"/>
  <c r="A2581" i="34"/>
  <c r="A2582" i="34"/>
  <c r="A2583" i="34"/>
  <c r="A2584" i="34"/>
  <c r="A2585" i="34"/>
  <c r="A2586" i="34"/>
  <c r="A2587" i="34"/>
  <c r="A2588" i="34"/>
  <c r="A2589" i="34"/>
  <c r="A2590" i="34"/>
  <c r="A2591" i="34"/>
  <c r="A2592" i="34"/>
  <c r="A2593" i="34"/>
  <c r="A2594" i="34"/>
  <c r="A2595" i="34"/>
  <c r="A2596" i="34"/>
  <c r="A2597" i="34"/>
  <c r="A2598" i="34"/>
  <c r="A2599" i="34"/>
  <c r="A2600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647" i="34"/>
  <c r="A2648" i="34"/>
  <c r="A2649" i="34"/>
  <c r="A2650" i="34"/>
  <c r="A2651" i="34"/>
  <c r="A2652" i="34"/>
  <c r="A2653" i="34"/>
  <c r="A2654" i="34"/>
  <c r="A2655" i="34"/>
  <c r="A2656" i="34"/>
  <c r="A2657" i="34"/>
  <c r="A2658" i="34"/>
  <c r="A2659" i="34"/>
  <c r="A2660" i="34"/>
  <c r="A2661" i="34"/>
  <c r="A2662" i="34"/>
  <c r="A2663" i="34"/>
  <c r="A2664" i="34"/>
  <c r="A2665" i="34"/>
  <c r="A2666" i="34"/>
  <c r="A2667" i="34"/>
  <c r="A2668" i="34"/>
  <c r="A2669" i="34"/>
  <c r="A2670" i="34"/>
  <c r="A2671" i="34"/>
  <c r="A2672" i="34"/>
  <c r="A2673" i="34"/>
  <c r="A2674" i="34"/>
  <c r="A2675" i="34"/>
  <c r="A2676" i="34"/>
  <c r="A2677" i="34"/>
  <c r="A2678" i="34"/>
  <c r="A2679" i="34"/>
  <c r="A2680" i="34"/>
  <c r="A2681" i="34"/>
  <c r="A2682" i="34"/>
  <c r="A2683" i="34"/>
  <c r="A2684" i="34"/>
  <c r="A2685" i="34"/>
  <c r="A2686" i="34"/>
  <c r="A2687" i="34"/>
  <c r="A2688" i="34"/>
  <c r="A2689" i="34"/>
  <c r="A2690" i="34"/>
  <c r="A2691" i="34"/>
  <c r="A2692" i="34"/>
  <c r="A2693" i="34"/>
  <c r="A2694" i="34"/>
  <c r="A2695" i="34"/>
  <c r="A2696" i="34"/>
  <c r="A2697" i="34"/>
  <c r="A2698" i="34"/>
  <c r="A2699" i="34"/>
  <c r="A2700" i="34"/>
  <c r="A2701" i="34"/>
  <c r="A2702" i="34"/>
  <c r="A2703" i="34"/>
  <c r="A2704" i="34"/>
  <c r="A2705" i="34"/>
  <c r="A2706" i="34"/>
  <c r="A2707" i="34"/>
  <c r="A2708" i="34"/>
  <c r="A2709" i="34"/>
  <c r="A2710" i="34"/>
  <c r="A2711" i="34"/>
  <c r="A2712" i="34"/>
  <c r="A2713" i="34"/>
  <c r="A2714" i="34"/>
  <c r="A2715" i="34"/>
  <c r="A2716" i="34"/>
  <c r="A2717" i="34"/>
  <c r="A2718" i="34"/>
  <c r="A2719" i="34"/>
  <c r="A2720" i="34"/>
  <c r="A2721" i="34"/>
  <c r="A2722" i="34"/>
  <c r="A2723" i="34"/>
  <c r="A2724" i="34"/>
  <c r="A2725" i="34"/>
  <c r="A2726" i="34"/>
  <c r="A2727" i="34"/>
  <c r="A2728" i="34"/>
  <c r="A2729" i="34"/>
  <c r="A2730" i="34"/>
  <c r="A2731" i="34"/>
  <c r="A2732" i="34"/>
  <c r="A2733" i="34"/>
  <c r="A2734" i="34"/>
  <c r="A2735" i="34"/>
  <c r="A2736" i="34"/>
  <c r="A2737" i="34"/>
  <c r="A2738" i="34"/>
  <c r="A2739" i="34"/>
  <c r="A2740" i="34"/>
  <c r="A2741" i="34"/>
  <c r="A2742" i="34"/>
  <c r="A2743" i="34"/>
  <c r="A2744" i="34"/>
  <c r="A2745" i="34"/>
  <c r="A2746" i="34"/>
  <c r="A2747" i="34"/>
  <c r="A2748" i="34"/>
  <c r="A2749" i="34"/>
  <c r="A2750" i="34"/>
  <c r="A2751" i="34"/>
  <c r="A2752" i="34"/>
  <c r="A2753" i="34"/>
  <c r="A2754" i="34"/>
  <c r="A2755" i="34"/>
  <c r="A2756" i="34"/>
  <c r="A2757" i="34"/>
  <c r="A2758" i="34"/>
  <c r="A2759" i="34"/>
  <c r="A2760" i="34"/>
  <c r="A2761" i="34"/>
  <c r="A2762" i="34"/>
  <c r="A2763" i="34"/>
  <c r="A2764" i="34"/>
  <c r="A2765" i="34"/>
  <c r="A2766" i="34"/>
  <c r="A2767" i="34"/>
  <c r="A2768" i="34"/>
  <c r="A2769" i="34"/>
  <c r="A2770" i="34"/>
  <c r="A2771" i="34"/>
  <c r="A2772" i="34"/>
  <c r="A2773" i="34"/>
  <c r="A2774" i="34"/>
  <c r="A2775" i="34"/>
  <c r="A2776" i="34"/>
  <c r="A2777" i="34"/>
  <c r="A2778" i="34"/>
  <c r="A2779" i="34"/>
  <c r="A2780" i="34"/>
  <c r="A2781" i="34"/>
  <c r="A2782" i="34"/>
  <c r="A2783" i="34"/>
  <c r="A2784" i="34"/>
  <c r="A2785" i="34"/>
  <c r="A2786" i="34"/>
  <c r="A2787" i="34"/>
  <c r="A2788" i="34"/>
  <c r="A2789" i="34"/>
  <c r="A2790" i="34"/>
  <c r="A2791" i="34"/>
  <c r="A2792" i="34"/>
  <c r="A2793" i="34"/>
  <c r="A2794" i="34"/>
  <c r="A2795" i="34"/>
  <c r="A2796" i="34"/>
  <c r="A2797" i="34"/>
  <c r="A2798" i="34"/>
  <c r="A2799" i="34"/>
  <c r="A2800" i="34"/>
  <c r="A2801" i="34"/>
  <c r="A2802" i="34"/>
  <c r="A2803" i="34"/>
  <c r="A2804" i="34"/>
  <c r="A2805" i="34"/>
  <c r="A2806" i="34"/>
  <c r="A2807" i="34"/>
  <c r="A2808" i="34"/>
  <c r="A2809" i="34"/>
  <c r="A2810" i="34"/>
  <c r="A2811" i="34"/>
  <c r="A2812" i="34"/>
  <c r="A2813" i="34"/>
  <c r="A2814" i="34"/>
  <c r="A2815" i="34"/>
  <c r="A2816" i="34"/>
  <c r="A2817" i="34"/>
  <c r="A2818" i="34"/>
  <c r="A2819" i="34"/>
  <c r="A2820" i="34"/>
  <c r="A2821" i="34"/>
  <c r="A2822" i="34"/>
  <c r="A2823" i="34"/>
  <c r="A2824" i="34"/>
  <c r="A2825" i="34"/>
  <c r="A2826" i="34"/>
  <c r="A2827" i="34"/>
  <c r="A2828" i="34"/>
  <c r="A2829" i="34"/>
  <c r="A2830" i="34"/>
  <c r="A2831" i="34"/>
  <c r="A2832" i="34"/>
  <c r="A2833" i="34"/>
  <c r="A2834" i="34"/>
  <c r="A2835" i="34"/>
  <c r="A2836" i="34"/>
  <c r="A2837" i="34"/>
  <c r="A2838" i="34"/>
  <c r="A2839" i="34"/>
  <c r="A2840" i="34"/>
  <c r="A2841" i="34"/>
  <c r="A2842" i="34"/>
  <c r="A2843" i="34"/>
  <c r="A2844" i="34"/>
  <c r="A2845" i="34"/>
  <c r="A2846" i="34"/>
  <c r="A2847" i="34"/>
  <c r="A2848" i="34"/>
  <c r="A2849" i="34"/>
  <c r="A2850" i="34"/>
  <c r="A2851" i="34"/>
  <c r="A2852" i="34"/>
  <c r="A2853" i="34"/>
  <c r="A2854" i="34"/>
  <c r="A2855" i="34"/>
  <c r="A2856" i="34"/>
  <c r="A2857" i="34"/>
  <c r="A2858" i="34"/>
  <c r="A2859" i="34"/>
  <c r="A2860" i="34"/>
  <c r="A2861" i="34"/>
  <c r="A2862" i="34"/>
  <c r="A2863" i="34"/>
  <c r="A2864" i="34"/>
  <c r="A2865" i="34"/>
  <c r="A2866" i="34"/>
  <c r="A2867" i="34"/>
  <c r="A2868" i="34"/>
  <c r="A2869" i="34"/>
  <c r="A2870" i="34"/>
  <c r="A2871" i="34"/>
  <c r="A2872" i="34"/>
  <c r="A2873" i="34"/>
  <c r="A2874" i="34"/>
  <c r="A2875" i="34"/>
  <c r="A2876" i="34"/>
  <c r="A2877" i="34"/>
  <c r="A2878" i="34"/>
  <c r="A2879" i="34"/>
  <c r="A2880" i="34"/>
  <c r="A2881" i="34"/>
  <c r="A2882" i="34"/>
  <c r="A2883" i="34"/>
  <c r="A2884" i="34"/>
  <c r="A2885" i="34"/>
  <c r="A2886" i="34"/>
  <c r="A2887" i="34"/>
  <c r="A2888" i="34"/>
  <c r="A2889" i="34"/>
  <c r="A2890" i="34"/>
  <c r="A2891" i="34"/>
  <c r="A2892" i="34"/>
  <c r="A2893" i="34"/>
  <c r="A2894" i="34"/>
  <c r="A2895" i="34"/>
  <c r="A2896" i="34"/>
  <c r="A2897" i="34"/>
  <c r="A2898" i="34"/>
  <c r="A2899" i="34"/>
  <c r="A2900" i="34"/>
  <c r="A2901" i="34"/>
  <c r="A2902" i="34"/>
  <c r="A2903" i="34"/>
  <c r="A2904" i="34"/>
  <c r="A2905" i="34"/>
  <c r="A2906" i="34"/>
  <c r="A2907" i="34"/>
  <c r="A2908" i="34"/>
  <c r="A2909" i="34"/>
  <c r="A2910" i="34"/>
  <c r="A2911" i="34"/>
  <c r="A2912" i="34"/>
  <c r="A2913" i="34"/>
  <c r="A2914" i="34"/>
  <c r="A2915" i="34"/>
  <c r="A2916" i="34"/>
  <c r="A2917" i="34"/>
  <c r="A2918" i="34"/>
  <c r="A2919" i="34"/>
  <c r="A2920" i="34"/>
  <c r="A2921" i="34"/>
  <c r="A2922" i="34"/>
  <c r="A2923" i="34"/>
  <c r="A2924" i="34"/>
  <c r="A2925" i="34"/>
  <c r="A2926" i="34"/>
  <c r="A2927" i="34"/>
  <c r="A2928" i="34"/>
  <c r="A2929" i="34"/>
  <c r="A2930" i="34"/>
  <c r="A2931" i="34"/>
  <c r="A2932" i="34"/>
  <c r="A2933" i="34"/>
  <c r="A2934" i="34"/>
  <c r="A2935" i="34"/>
  <c r="A2936" i="34"/>
  <c r="A2937" i="34"/>
  <c r="A2938" i="34"/>
  <c r="A2939" i="34"/>
  <c r="A2940" i="34"/>
  <c r="A2941" i="34"/>
  <c r="A2942" i="34"/>
  <c r="A2943" i="34"/>
  <c r="A2944" i="34"/>
  <c r="A2945" i="34"/>
  <c r="A2946" i="34"/>
  <c r="A2947" i="34"/>
  <c r="A2948" i="34"/>
  <c r="A2949" i="34"/>
  <c r="A2950" i="34"/>
  <c r="A2951" i="34"/>
  <c r="A2952" i="34"/>
  <c r="A2953" i="34"/>
  <c r="A2954" i="34"/>
  <c r="A2955" i="34"/>
  <c r="A2956" i="34"/>
  <c r="A2957" i="34"/>
  <c r="A2958" i="34"/>
  <c r="A2959" i="34"/>
  <c r="A2960" i="34"/>
  <c r="A2961" i="34"/>
  <c r="A2962" i="34"/>
  <c r="A2963" i="34"/>
  <c r="A2964" i="34"/>
  <c r="A2965" i="34"/>
  <c r="A2966" i="34"/>
  <c r="A2967" i="34"/>
  <c r="A2968" i="34"/>
  <c r="A2969" i="34"/>
  <c r="A2970" i="34"/>
  <c r="A2971" i="34"/>
  <c r="A2972" i="34"/>
  <c r="A2973" i="34"/>
  <c r="A2974" i="34"/>
  <c r="A2975" i="34"/>
  <c r="A2976" i="34"/>
  <c r="A2977" i="34"/>
  <c r="A2978" i="34"/>
  <c r="A2979" i="34"/>
  <c r="A2980" i="34"/>
  <c r="A2981" i="34"/>
  <c r="A2982" i="34"/>
  <c r="A2983" i="34"/>
  <c r="A2984" i="34"/>
  <c r="A2985" i="34"/>
  <c r="A2986" i="34"/>
  <c r="A2987" i="34"/>
  <c r="A2988" i="34"/>
  <c r="A2989" i="34"/>
  <c r="A2990" i="34"/>
  <c r="A2991" i="34"/>
  <c r="A2992" i="34"/>
  <c r="A2993" i="34"/>
  <c r="A2994" i="34"/>
  <c r="A2995" i="34"/>
  <c r="A2996" i="34"/>
  <c r="A2997" i="34"/>
  <c r="A2998" i="34"/>
  <c r="A2999" i="34"/>
  <c r="A3000" i="34"/>
  <c r="A3001" i="34"/>
  <c r="A3002" i="34"/>
  <c r="A3003" i="34"/>
  <c r="A3004" i="34"/>
  <c r="A3005" i="34"/>
  <c r="A3006" i="34"/>
  <c r="A3007" i="34"/>
  <c r="A3008" i="34"/>
  <c r="A3009" i="34"/>
  <c r="A3010" i="34"/>
  <c r="A3011" i="34"/>
  <c r="A3012" i="34"/>
  <c r="A3013" i="34"/>
  <c r="A3014" i="34"/>
  <c r="A3015" i="34"/>
  <c r="A3016" i="34"/>
  <c r="A3017" i="34"/>
  <c r="A3018" i="34"/>
  <c r="A3019" i="34"/>
  <c r="A3020" i="34"/>
  <c r="A3021" i="34"/>
  <c r="A3022" i="34"/>
  <c r="A3023" i="34"/>
  <c r="A3024" i="34"/>
  <c r="A3025" i="34"/>
  <c r="A3026" i="34"/>
  <c r="A3027" i="34"/>
  <c r="A3028" i="34"/>
  <c r="A3029" i="34"/>
  <c r="A3030" i="34"/>
  <c r="A3031" i="34"/>
  <c r="A3032" i="34"/>
  <c r="A3033" i="34"/>
  <c r="A3034" i="34"/>
  <c r="A3035" i="34"/>
  <c r="A3036" i="34"/>
  <c r="A3037" i="34"/>
  <c r="A3038" i="34"/>
  <c r="A3039" i="34"/>
  <c r="A3040" i="34"/>
  <c r="A3041" i="34"/>
  <c r="A3042" i="34"/>
  <c r="A3043" i="34"/>
  <c r="A3044" i="34"/>
  <c r="A3045" i="34"/>
  <c r="A3046" i="34"/>
  <c r="A3047" i="34"/>
  <c r="A3048" i="34"/>
  <c r="A3049" i="34"/>
  <c r="A3050" i="34"/>
  <c r="A3051" i="34"/>
  <c r="A3052" i="34"/>
  <c r="A3053" i="34"/>
  <c r="A3054" i="34"/>
  <c r="A3055" i="34"/>
  <c r="A3056" i="34"/>
  <c r="A3057" i="34"/>
  <c r="A3058" i="34"/>
  <c r="A3059" i="34"/>
  <c r="A3060" i="34"/>
  <c r="A3061" i="34"/>
  <c r="A3062" i="34"/>
  <c r="A3063" i="34"/>
  <c r="A3064" i="34"/>
  <c r="A3065" i="34"/>
  <c r="A3066" i="34"/>
  <c r="A3067" i="34"/>
  <c r="A3068" i="34"/>
  <c r="A3069" i="34"/>
  <c r="A3070" i="34"/>
  <c r="A3071" i="34"/>
  <c r="A3072" i="34"/>
  <c r="A3073" i="34"/>
  <c r="A3074" i="34"/>
  <c r="A3075" i="34"/>
  <c r="A3076" i="34"/>
  <c r="A3077" i="34"/>
  <c r="A3078" i="34"/>
  <c r="A3079" i="34"/>
  <c r="A3080" i="34"/>
  <c r="A3081" i="34"/>
  <c r="A3082" i="34"/>
  <c r="A3083" i="34"/>
  <c r="A3084" i="34"/>
  <c r="A3085" i="34"/>
  <c r="A3086" i="34"/>
  <c r="A3087" i="34"/>
  <c r="A3088" i="34"/>
  <c r="A3089" i="34"/>
  <c r="A3090" i="34"/>
  <c r="A3091" i="34"/>
  <c r="A3092" i="34"/>
  <c r="A3093" i="34"/>
  <c r="A3094" i="34"/>
  <c r="A3095" i="34"/>
  <c r="A3096" i="34"/>
  <c r="A3097" i="34"/>
  <c r="A3098" i="34"/>
  <c r="A3099" i="34"/>
  <c r="A3100" i="34"/>
  <c r="A3101" i="34"/>
  <c r="A3102" i="34"/>
  <c r="A3103" i="34"/>
  <c r="A3104" i="34"/>
  <c r="A3105" i="34"/>
  <c r="A3106" i="34"/>
  <c r="A3107" i="34"/>
  <c r="A3108" i="34"/>
  <c r="A3109" i="34"/>
  <c r="A3110" i="34"/>
  <c r="A3111" i="34"/>
  <c r="A3112" i="34"/>
  <c r="A3113" i="34"/>
  <c r="A3114" i="34"/>
  <c r="A3115" i="34"/>
  <c r="A3116" i="34"/>
  <c r="A3117" i="34"/>
  <c r="A3118" i="34"/>
  <c r="A3119" i="34"/>
  <c r="A3120" i="34"/>
  <c r="A3121" i="34"/>
  <c r="A3122" i="34"/>
  <c r="A3123" i="34"/>
  <c r="A3124" i="34"/>
  <c r="A3125" i="34"/>
  <c r="A3126" i="34"/>
  <c r="A3127" i="34"/>
  <c r="A3128" i="34"/>
  <c r="A3129" i="34"/>
  <c r="A3130" i="34"/>
  <c r="A3131" i="34"/>
  <c r="A3132" i="34"/>
  <c r="A3133" i="34"/>
  <c r="A3134" i="34"/>
  <c r="A3135" i="34"/>
  <c r="A3136" i="34"/>
  <c r="A3137" i="34"/>
  <c r="A3138" i="34"/>
  <c r="A3139" i="34"/>
  <c r="A3140" i="34"/>
  <c r="A3141" i="34"/>
  <c r="A3142" i="34"/>
  <c r="A3143" i="34"/>
  <c r="A3144" i="34"/>
  <c r="A3145" i="34"/>
  <c r="A3146" i="34"/>
  <c r="A3147" i="34"/>
  <c r="A3148" i="34"/>
  <c r="A3149" i="34"/>
  <c r="A3150" i="34"/>
  <c r="A3151" i="34"/>
  <c r="A3152" i="34"/>
  <c r="A3153" i="34"/>
  <c r="A3154" i="34"/>
  <c r="A3155" i="34"/>
  <c r="A3156" i="34"/>
  <c r="A3157" i="34"/>
  <c r="A3158" i="34"/>
  <c r="A3159" i="34"/>
  <c r="A3160" i="34"/>
  <c r="A3161" i="34"/>
  <c r="A3162" i="34"/>
  <c r="A3163" i="34"/>
  <c r="A3164" i="34"/>
  <c r="A3165" i="34"/>
  <c r="A3166" i="34"/>
  <c r="A3167" i="34"/>
  <c r="A3168" i="34"/>
  <c r="A3169" i="34"/>
  <c r="A3170" i="34"/>
  <c r="A3171" i="34"/>
  <c r="A3172" i="34"/>
  <c r="A3173" i="34"/>
  <c r="A3174" i="34"/>
  <c r="A3175" i="34"/>
  <c r="A3176" i="34"/>
  <c r="A3177" i="34"/>
  <c r="A3178" i="34"/>
  <c r="A3179" i="34"/>
  <c r="A3180" i="34"/>
  <c r="A3181" i="34"/>
  <c r="A3182" i="34"/>
  <c r="A3183" i="34"/>
  <c r="A3184" i="34"/>
  <c r="A3185" i="34"/>
  <c r="A3186" i="34"/>
  <c r="A3187" i="34"/>
  <c r="A3188" i="34"/>
  <c r="A3189" i="34"/>
  <c r="A3190" i="34"/>
  <c r="A3191" i="34"/>
  <c r="A3192" i="34"/>
  <c r="A3193" i="34"/>
  <c r="A3194" i="34"/>
  <c r="A3195" i="34"/>
  <c r="A3196" i="34"/>
  <c r="A3197" i="34"/>
  <c r="A3198" i="34"/>
  <c r="A3199" i="34"/>
  <c r="A3200" i="34"/>
  <c r="A3201" i="34"/>
  <c r="A3202" i="34"/>
  <c r="A3203" i="34"/>
  <c r="A3204" i="34"/>
  <c r="A3205" i="34"/>
  <c r="A3206" i="34"/>
  <c r="A3207" i="34"/>
  <c r="A3208" i="34"/>
  <c r="A3209" i="34"/>
  <c r="A3210" i="34"/>
  <c r="A3211" i="34"/>
  <c r="A3212" i="34"/>
  <c r="A3213" i="34"/>
  <c r="A3214" i="34"/>
  <c r="A3215" i="34"/>
  <c r="A3216" i="34"/>
  <c r="A3217" i="34"/>
  <c r="A3218" i="34"/>
  <c r="A3219" i="34"/>
  <c r="A3220" i="34"/>
  <c r="A3221" i="34"/>
  <c r="A3222" i="34"/>
  <c r="A3223" i="34"/>
  <c r="A3224" i="34"/>
  <c r="A3225" i="34"/>
  <c r="A3226" i="34"/>
  <c r="A3227" i="34"/>
  <c r="A3228" i="34"/>
  <c r="A3229" i="34"/>
  <c r="A3230" i="34"/>
  <c r="A3231" i="34"/>
  <c r="A3232" i="34"/>
  <c r="A3233" i="34"/>
  <c r="A3234" i="34"/>
  <c r="A3235" i="34"/>
  <c r="A3236" i="34"/>
  <c r="A3237" i="34"/>
  <c r="A3238" i="34"/>
  <c r="A3239" i="34"/>
  <c r="A3240" i="34"/>
  <c r="A3241" i="34"/>
  <c r="A3242" i="34"/>
  <c r="A3243" i="34"/>
  <c r="A3244" i="34"/>
  <c r="A3245" i="34"/>
  <c r="A3246" i="34"/>
  <c r="A3247" i="34"/>
  <c r="A3248" i="34"/>
  <c r="A3249" i="34"/>
  <c r="A3250" i="34"/>
  <c r="A3251" i="34"/>
  <c r="A3252" i="34"/>
  <c r="A3253" i="34"/>
  <c r="A3254" i="34"/>
  <c r="A3255" i="34"/>
  <c r="A3256" i="34"/>
  <c r="A3257" i="34"/>
  <c r="A3258" i="34"/>
  <c r="A3259" i="34"/>
  <c r="A3260" i="34"/>
  <c r="A3261" i="34"/>
  <c r="A3262" i="34"/>
  <c r="A3263" i="34"/>
  <c r="A3264" i="34"/>
  <c r="A3265" i="34"/>
  <c r="A3266" i="34"/>
  <c r="A3267" i="34"/>
  <c r="A3268" i="34"/>
  <c r="A3269" i="34"/>
  <c r="A3270" i="34"/>
  <c r="A3271" i="34"/>
  <c r="A3272" i="34"/>
  <c r="A3273" i="34"/>
  <c r="A3274" i="34"/>
  <c r="A3275" i="34"/>
  <c r="A3276" i="34"/>
  <c r="A3277" i="34"/>
  <c r="A3278" i="34"/>
  <c r="A3279" i="34"/>
  <c r="A3280" i="34"/>
  <c r="A3281" i="34"/>
  <c r="A3282" i="34"/>
  <c r="A3283" i="34"/>
  <c r="A3284" i="34"/>
  <c r="A3285" i="34"/>
  <c r="A3286" i="34"/>
  <c r="A3287" i="34"/>
  <c r="A3288" i="34"/>
  <c r="A3289" i="34"/>
  <c r="A3290" i="34"/>
  <c r="A3291" i="34"/>
  <c r="A3292" i="34"/>
  <c r="A3293" i="34"/>
  <c r="A3294" i="34"/>
  <c r="A3295" i="34"/>
  <c r="A3296" i="34"/>
  <c r="A3297" i="34"/>
  <c r="A3298" i="34"/>
  <c r="A3299" i="34"/>
  <c r="A3300" i="34"/>
  <c r="A3301" i="34"/>
  <c r="A3302" i="34"/>
  <c r="A3303" i="34"/>
  <c r="A3304" i="34"/>
  <c r="A3305" i="34"/>
  <c r="A3306" i="34"/>
  <c r="A3307" i="34"/>
  <c r="A3308" i="34"/>
  <c r="A3309" i="34"/>
  <c r="A3310" i="34"/>
  <c r="A3311" i="34"/>
  <c r="A3312" i="34"/>
  <c r="A3313" i="34"/>
  <c r="A3314" i="34"/>
  <c r="A3315" i="34"/>
  <c r="A3316" i="34"/>
  <c r="A3317" i="34"/>
  <c r="A3318" i="34"/>
  <c r="A3319" i="34"/>
  <c r="A3320" i="34"/>
  <c r="A3321" i="34"/>
  <c r="A3322" i="34"/>
  <c r="A3323" i="34"/>
  <c r="A3324" i="34"/>
  <c r="A3325" i="34"/>
  <c r="A3326" i="34"/>
  <c r="A3327" i="34"/>
  <c r="A3328" i="34"/>
  <c r="A3329" i="34"/>
  <c r="A3330" i="34"/>
  <c r="A3331" i="34"/>
  <c r="A3332" i="34"/>
  <c r="A3333" i="34"/>
  <c r="A3334" i="34"/>
  <c r="A3335" i="34"/>
  <c r="A3336" i="34"/>
  <c r="A3337" i="34"/>
  <c r="A3338" i="34"/>
  <c r="A3339" i="34"/>
  <c r="A3340" i="34"/>
  <c r="A3341" i="34"/>
  <c r="A3342" i="34"/>
  <c r="A3343" i="34"/>
  <c r="A3344" i="34"/>
  <c r="A3345" i="34"/>
  <c r="A3346" i="34"/>
  <c r="A3347" i="34"/>
  <c r="A3348" i="34"/>
  <c r="A3349" i="34"/>
  <c r="A3350" i="34"/>
  <c r="A3351" i="34"/>
  <c r="A3352" i="34"/>
  <c r="A3353" i="34"/>
  <c r="A3354" i="34"/>
  <c r="A3355" i="34"/>
  <c r="A3356" i="34"/>
  <c r="A3357" i="34"/>
  <c r="A3358" i="34"/>
  <c r="A3359" i="34"/>
  <c r="A3360" i="34"/>
  <c r="A3361" i="34"/>
  <c r="A3362" i="34"/>
  <c r="A3363" i="34"/>
  <c r="A3364" i="34"/>
  <c r="A3365" i="34"/>
  <c r="A3366" i="34"/>
  <c r="A3367" i="34"/>
  <c r="A3368" i="34"/>
  <c r="A3369" i="34"/>
  <c r="A3370" i="34"/>
  <c r="A3371" i="34"/>
  <c r="A3372" i="34"/>
  <c r="A3373" i="34"/>
  <c r="A3374" i="34"/>
  <c r="A3375" i="34"/>
  <c r="A3376" i="34"/>
  <c r="A3377" i="34"/>
  <c r="A3378" i="34"/>
  <c r="A3379" i="34"/>
  <c r="A3380" i="34"/>
  <c r="A3381" i="34"/>
  <c r="A3382" i="34"/>
  <c r="A3383" i="34"/>
  <c r="A3384" i="34"/>
  <c r="A3385" i="34"/>
  <c r="A3386" i="34"/>
  <c r="A3387" i="34"/>
  <c r="A3388" i="34"/>
  <c r="A3389" i="34"/>
  <c r="A3390" i="34"/>
  <c r="A3391" i="34"/>
  <c r="A3392" i="34"/>
  <c r="A3393" i="34"/>
  <c r="A3394" i="34"/>
  <c r="A3395" i="34"/>
  <c r="A3396" i="34"/>
  <c r="A3397" i="34"/>
  <c r="A3398" i="34"/>
  <c r="A3399" i="34"/>
  <c r="A3400" i="34"/>
  <c r="A3401" i="34"/>
  <c r="A3402" i="34"/>
  <c r="A3403" i="34"/>
  <c r="A3404" i="34"/>
  <c r="A3405" i="34"/>
  <c r="A3406" i="34"/>
  <c r="A3407" i="34"/>
  <c r="A3408" i="34"/>
  <c r="A3409" i="34"/>
  <c r="A3410" i="34"/>
  <c r="A3411" i="34"/>
  <c r="A3412" i="34"/>
  <c r="A3413" i="34"/>
  <c r="A3414" i="34"/>
  <c r="A3415" i="34"/>
  <c r="A3416" i="34"/>
  <c r="A3417" i="34"/>
  <c r="A3418" i="34"/>
  <c r="A3419" i="34"/>
  <c r="A3420" i="34"/>
  <c r="A3421" i="34"/>
  <c r="A3422" i="34"/>
  <c r="A3423" i="34"/>
  <c r="A3424" i="34"/>
  <c r="A3425" i="34"/>
  <c r="A3426" i="34"/>
  <c r="A3427" i="34"/>
  <c r="A3428" i="34"/>
  <c r="A3429" i="34"/>
  <c r="A3430" i="34"/>
  <c r="A3431" i="34"/>
  <c r="A3432" i="34"/>
  <c r="A3433" i="34"/>
  <c r="A3434" i="34"/>
  <c r="A3435" i="34"/>
  <c r="A3436" i="34"/>
  <c r="A3437" i="34"/>
  <c r="A3438" i="34"/>
  <c r="A3439" i="34"/>
  <c r="A3440" i="34"/>
  <c r="A3441" i="34"/>
  <c r="A3442" i="34"/>
  <c r="A3443" i="34"/>
  <c r="A3444" i="34"/>
  <c r="A3445" i="34"/>
  <c r="A3446" i="34"/>
  <c r="A3447" i="34"/>
  <c r="A3448" i="34"/>
  <c r="A3449" i="34"/>
  <c r="A3450" i="34"/>
  <c r="A3451" i="34"/>
  <c r="A3452" i="34"/>
  <c r="A3453" i="34"/>
  <c r="A3454" i="34"/>
  <c r="A3455" i="34"/>
  <c r="A3456" i="34"/>
  <c r="A3457" i="34"/>
  <c r="A3458" i="34"/>
  <c r="A3459" i="34"/>
  <c r="A3460" i="34"/>
  <c r="A3461" i="34"/>
  <c r="A3462" i="34"/>
  <c r="A3463" i="34"/>
  <c r="A3464" i="34"/>
  <c r="A3465" i="34"/>
  <c r="A3466" i="34"/>
  <c r="A3467" i="34"/>
  <c r="A3468" i="34"/>
  <c r="A3469" i="34"/>
  <c r="A3470" i="34"/>
  <c r="A3471" i="34"/>
  <c r="A3472" i="34"/>
  <c r="A3473" i="34"/>
  <c r="A3474" i="34"/>
  <c r="A3475" i="34"/>
  <c r="A3476" i="34"/>
  <c r="A3477" i="34"/>
  <c r="A3478" i="34"/>
  <c r="A3479" i="34"/>
  <c r="A3480" i="34"/>
  <c r="K1739" i="34" l="1"/>
  <c r="K1662" i="34"/>
  <c r="K1494" i="34"/>
  <c r="K1479" i="34"/>
  <c r="K1312" i="34"/>
  <c r="K1239" i="34"/>
  <c r="K1114" i="34"/>
  <c r="K1024" i="34"/>
  <c r="K834" i="34"/>
  <c r="K744" i="34"/>
  <c r="K545" i="34"/>
  <c r="K441" i="34"/>
  <c r="K1787" i="34"/>
  <c r="K1512" i="34"/>
  <c r="K1344" i="34"/>
  <c r="K1120" i="34"/>
  <c r="K896" i="34"/>
  <c r="K701" i="34"/>
  <c r="K364" i="34"/>
  <c r="K1760" i="34"/>
  <c r="K1559" i="34"/>
  <c r="K1098" i="34"/>
  <c r="K696" i="34"/>
  <c r="K352" i="34"/>
  <c r="K183" i="34"/>
  <c r="K1796" i="34"/>
  <c r="K1282" i="34"/>
  <c r="K822" i="34"/>
  <c r="K388" i="34"/>
  <c r="K1656" i="34"/>
  <c r="K848" i="34"/>
  <c r="K753" i="34"/>
  <c r="K1322" i="34"/>
  <c r="K566" i="34"/>
  <c r="K926" i="34"/>
  <c r="K1640" i="34"/>
  <c r="C364" i="34" l="1"/>
  <c r="B364" i="34" s="1"/>
  <c r="C441" i="34"/>
  <c r="B441" i="34" s="1"/>
  <c r="C545" i="34"/>
  <c r="B545" i="34" s="1"/>
  <c r="C701" i="34"/>
  <c r="B701" i="34" s="1"/>
  <c r="C744" i="34"/>
  <c r="B744" i="34" s="1"/>
  <c r="C834" i="34"/>
  <c r="B834" i="34" s="1"/>
  <c r="C896" i="34"/>
  <c r="B896" i="34" s="1"/>
  <c r="C1024" i="34"/>
  <c r="B1024" i="34" s="1"/>
  <c r="C1114" i="34"/>
  <c r="B1114" i="34" s="1"/>
  <c r="C1120" i="34"/>
  <c r="B1120" i="34" s="1"/>
  <c r="C1239" i="34"/>
  <c r="B1239" i="34" s="1"/>
  <c r="C1312" i="34"/>
  <c r="B1312" i="34" s="1"/>
  <c r="C1344" i="34"/>
  <c r="B1344" i="34" s="1"/>
  <c r="C1479" i="34" l="1"/>
  <c r="B1479" i="34" s="1"/>
  <c r="C1494" i="34"/>
  <c r="B1494" i="34" s="1"/>
  <c r="C1512" i="34"/>
  <c r="B1512" i="34" s="1"/>
  <c r="C1662" i="34"/>
  <c r="B1662" i="34" s="1"/>
  <c r="C1739" i="34"/>
  <c r="B1739" i="34" s="1"/>
  <c r="C1787" i="34"/>
  <c r="B1787" i="34" s="1"/>
  <c r="C1760" i="34" l="1"/>
  <c r="B1760" i="34" s="1"/>
  <c r="C1559" i="34"/>
  <c r="B1559" i="34" s="1"/>
  <c r="C1098" i="34"/>
  <c r="B1098" i="34" s="1"/>
  <c r="C881" i="34"/>
  <c r="B881" i="34" s="1"/>
  <c r="C696" i="34"/>
  <c r="B696" i="34" s="1"/>
  <c r="C352" i="34"/>
  <c r="B352" i="34" s="1"/>
  <c r="C183" i="34"/>
  <c r="B183" i="34" s="1"/>
  <c r="C393" i="34"/>
  <c r="B393" i="34" s="1"/>
  <c r="C355" i="34"/>
  <c r="B355" i="34" s="1"/>
  <c r="C1748" i="34"/>
  <c r="B1748" i="34" s="1"/>
  <c r="C1545" i="34"/>
  <c r="B1545" i="34" s="1"/>
  <c r="C1796" i="34"/>
  <c r="B1796" i="34" s="1"/>
  <c r="C388" i="34"/>
  <c r="B388" i="34" s="1"/>
  <c r="C1407" i="34"/>
  <c r="B1407" i="34" s="1"/>
  <c r="C1282" i="34"/>
  <c r="B1282" i="34" s="1"/>
  <c r="C822" i="34"/>
  <c r="B822" i="34" s="1"/>
  <c r="C1656" i="34"/>
  <c r="B1656" i="34" s="1"/>
  <c r="C848" i="34"/>
  <c r="B848" i="34" s="1"/>
  <c r="C1801" i="34"/>
  <c r="B1801" i="34" s="1"/>
  <c r="C794" i="34"/>
  <c r="B794" i="34" s="1"/>
  <c r="C1322" i="34"/>
  <c r="B1322" i="34" s="1"/>
  <c r="C926" i="34"/>
  <c r="B926" i="34" s="1"/>
  <c r="C982" i="34"/>
  <c r="B982" i="34" s="1"/>
  <c r="C566" i="34"/>
  <c r="B566" i="34" s="1"/>
  <c r="P14" i="64" l="1"/>
  <c r="P15" i="64"/>
  <c r="P16" i="64"/>
  <c r="P17" i="64"/>
  <c r="P18" i="64"/>
  <c r="P19" i="64"/>
  <c r="P20" i="64"/>
  <c r="C1440" i="34" l="1"/>
  <c r="B1440" i="34" s="1"/>
  <c r="C2533" i="34"/>
  <c r="B2533" i="34" s="1"/>
  <c r="C753" i="34" l="1"/>
  <c r="B753" i="34" s="1"/>
  <c r="C978" i="34"/>
  <c r="B978" i="34" s="1"/>
  <c r="C191" i="34"/>
  <c r="B191" i="34" s="1"/>
  <c r="C239" i="34"/>
  <c r="B239" i="34" s="1"/>
  <c r="C472" i="34"/>
  <c r="B472" i="34" s="1"/>
  <c r="C151" i="34"/>
  <c r="B151" i="34" s="1"/>
  <c r="C322" i="34"/>
  <c r="B322" i="34" s="1"/>
  <c r="C874" i="34"/>
  <c r="B874" i="34" s="1"/>
  <c r="C921" i="34"/>
  <c r="B921" i="34" s="1"/>
  <c r="C1804" i="34"/>
  <c r="B1804" i="34" s="1"/>
  <c r="C337" i="34"/>
  <c r="B337" i="34" s="1"/>
  <c r="C170" i="34"/>
  <c r="B170" i="34" s="1"/>
  <c r="C907" i="34"/>
  <c r="B907" i="34" s="1"/>
  <c r="C64" i="34"/>
  <c r="B64" i="34" s="1"/>
  <c r="C774" i="34"/>
  <c r="B774" i="34" s="1"/>
  <c r="C2516" i="34"/>
  <c r="B2516" i="34" s="1"/>
  <c r="C1763" i="34" l="1"/>
  <c r="B1763" i="34" s="1"/>
  <c r="C342" i="34"/>
  <c r="B342" i="34" s="1"/>
  <c r="C1348" i="34"/>
  <c r="B1348" i="34" s="1"/>
  <c r="C1006" i="34"/>
  <c r="B1006" i="34" s="1"/>
  <c r="C2462" i="34" l="1"/>
  <c r="B2462" i="34" s="1"/>
  <c r="C1719" i="34"/>
  <c r="B1719" i="34" s="1"/>
  <c r="C2541" i="34" l="1"/>
  <c r="B2541" i="34" s="1"/>
  <c r="K2664" i="34" l="1"/>
  <c r="C2664" i="34"/>
  <c r="B2664" i="34" s="1"/>
  <c r="Q918" i="60"/>
  <c r="Q917" i="60" l="1"/>
  <c r="C2534" i="34" l="1"/>
  <c r="B2534" i="34" s="1"/>
  <c r="C2536" i="34"/>
  <c r="B2536" i="34" s="1"/>
  <c r="A8" i="12" l="1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C595" i="34"/>
  <c r="B595" i="34" s="1"/>
  <c r="C555" i="34"/>
  <c r="B555" i="34" s="1"/>
  <c r="C533" i="34"/>
  <c r="B533" i="34" s="1"/>
  <c r="K2666" i="34" l="1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65" i="34"/>
  <c r="K3522" i="34" l="1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7" i="34"/>
  <c r="K2575" i="34"/>
  <c r="C2575" i="34"/>
  <c r="B2575" i="34" s="1"/>
  <c r="K2562" i="34"/>
  <c r="C2562" i="34"/>
  <c r="B2562" i="34" s="1"/>
  <c r="K2561" i="34"/>
  <c r="C2561" i="34"/>
  <c r="B2561" i="34" s="1"/>
  <c r="K2560" i="34"/>
  <c r="C2560" i="34"/>
  <c r="B2560" i="34" s="1"/>
  <c r="K2563" i="34"/>
  <c r="C2563" i="34"/>
  <c r="B2563" i="34" s="1"/>
  <c r="K2559" i="34"/>
  <c r="C2559" i="34"/>
  <c r="B2559" i="34" s="1"/>
  <c r="K2553" i="34"/>
  <c r="C2553" i="34"/>
  <c r="B2553" i="34" s="1"/>
  <c r="K2552" i="34"/>
  <c r="C2552" i="34"/>
  <c r="B2552" i="34" s="1"/>
  <c r="Q923" i="60" l="1"/>
  <c r="Q922" i="60"/>
  <c r="Q596" i="60"/>
  <c r="Q595" i="60"/>
  <c r="Q171" i="60" l="1"/>
  <c r="Q197" i="60" l="1"/>
  <c r="Q196" i="60"/>
  <c r="Q15" i="60"/>
  <c r="B14" i="55"/>
  <c r="A14" i="55" s="1"/>
  <c r="K3521" i="34" l="1"/>
  <c r="K2554" i="34" l="1"/>
  <c r="C2554" i="34"/>
  <c r="B2554" i="34" s="1"/>
  <c r="K2551" i="34"/>
  <c r="C2551" i="34"/>
  <c r="B2551" i="34" s="1"/>
  <c r="K2550" i="34"/>
  <c r="C2550" i="34"/>
  <c r="B2550" i="34" s="1"/>
  <c r="C2555" i="34"/>
  <c r="B2555" i="34" s="1"/>
  <c r="K2555" i="34"/>
  <c r="C2556" i="34"/>
  <c r="B2556" i="34" s="1"/>
  <c r="K2556" i="34"/>
  <c r="I1261" i="60"/>
  <c r="B666" i="55" l="1"/>
  <c r="A666" i="55" s="1"/>
  <c r="B42" i="55"/>
  <c r="A42" i="55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5120" i="34"/>
  <c r="C5120" i="34"/>
  <c r="B5120" i="34" s="1"/>
  <c r="K5119" i="34"/>
  <c r="C5119" i="34"/>
  <c r="B5119" i="34" s="1"/>
  <c r="K5118" i="34"/>
  <c r="C5118" i="34"/>
  <c r="B5118" i="34" s="1"/>
  <c r="K5117" i="34"/>
  <c r="C5117" i="34"/>
  <c r="B5117" i="34" s="1"/>
  <c r="K5116" i="34"/>
  <c r="C5116" i="34"/>
  <c r="B5116" i="34" s="1"/>
  <c r="K5115" i="34"/>
  <c r="C5115" i="34"/>
  <c r="B5115" i="34" s="1"/>
  <c r="K5114" i="34"/>
  <c r="C5114" i="34"/>
  <c r="B5114" i="34" s="1"/>
  <c r="K5113" i="34"/>
  <c r="C5113" i="34"/>
  <c r="B5113" i="34" s="1"/>
  <c r="K5112" i="34"/>
  <c r="C5112" i="34"/>
  <c r="B5112" i="34" s="1"/>
  <c r="K5111" i="34"/>
  <c r="C5111" i="34"/>
  <c r="B5111" i="34" s="1"/>
  <c r="K5110" i="34"/>
  <c r="C5110" i="34"/>
  <c r="B5110" i="34" s="1"/>
  <c r="K5109" i="34"/>
  <c r="C5109" i="34"/>
  <c r="B5109" i="34" s="1"/>
  <c r="K5108" i="34"/>
  <c r="C5108" i="34"/>
  <c r="B5108" i="34" s="1"/>
  <c r="K5107" i="34"/>
  <c r="C5107" i="34"/>
  <c r="B5107" i="34" s="1"/>
  <c r="K5106" i="34"/>
  <c r="C5106" i="34"/>
  <c r="B5106" i="34" s="1"/>
  <c r="K5105" i="34"/>
  <c r="C5105" i="34"/>
  <c r="B5105" i="34" s="1"/>
  <c r="K5104" i="34"/>
  <c r="C5104" i="34"/>
  <c r="B5104" i="34" s="1"/>
  <c r="K5103" i="34"/>
  <c r="C5103" i="34"/>
  <c r="B5103" i="34" s="1"/>
  <c r="K5102" i="34"/>
  <c r="C5102" i="34"/>
  <c r="B5102" i="34" s="1"/>
  <c r="K5101" i="34"/>
  <c r="C5101" i="34"/>
  <c r="B5101" i="34" s="1"/>
  <c r="K5100" i="34"/>
  <c r="C5100" i="34"/>
  <c r="B5100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C3537" i="34"/>
  <c r="B3537" i="34" s="1"/>
  <c r="C3536" i="34"/>
  <c r="B3536" i="34" s="1"/>
  <c r="C3535" i="34"/>
  <c r="B3535" i="34" s="1"/>
  <c r="C3534" i="34"/>
  <c r="B3534" i="34" s="1"/>
  <c r="C3533" i="34"/>
  <c r="B3533" i="34" s="1"/>
  <c r="C3532" i="34"/>
  <c r="B3532" i="34" s="1"/>
  <c r="C3531" i="34"/>
  <c r="B3531" i="34" s="1"/>
  <c r="C3530" i="34"/>
  <c r="B3530" i="34" s="1"/>
  <c r="C3529" i="34"/>
  <c r="B3529" i="34" s="1"/>
  <c r="C3528" i="34"/>
  <c r="B3528" i="34" s="1"/>
  <c r="C3527" i="34"/>
  <c r="B3527" i="34" s="1"/>
  <c r="C3526" i="34"/>
  <c r="B3526" i="34" s="1"/>
  <c r="C3525" i="34"/>
  <c r="B3525" i="34" s="1"/>
  <c r="C3524" i="34"/>
  <c r="B3524" i="34" s="1"/>
  <c r="C3523" i="34"/>
  <c r="B3523" i="34" s="1"/>
  <c r="C3522" i="34"/>
  <c r="B3522" i="34" s="1"/>
  <c r="C3521" i="34"/>
  <c r="B3521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960" i="34"/>
  <c r="C2960" i="34"/>
  <c r="B2960" i="34" s="1"/>
  <c r="K2959" i="34"/>
  <c r="C2959" i="34"/>
  <c r="B2959" i="34" s="1"/>
  <c r="K2958" i="34"/>
  <c r="C2958" i="34"/>
  <c r="B2958" i="34" s="1"/>
  <c r="K2957" i="34"/>
  <c r="C2957" i="34"/>
  <c r="B2957" i="34" s="1"/>
  <c r="K2956" i="34"/>
  <c r="C2956" i="34"/>
  <c r="B2956" i="34" s="1"/>
  <c r="K2955" i="34"/>
  <c r="C2955" i="34"/>
  <c r="B2955" i="34" s="1"/>
  <c r="K2954" i="34"/>
  <c r="C2954" i="34"/>
  <c r="B2954" i="34" s="1"/>
  <c r="K2953" i="34"/>
  <c r="C2953" i="34"/>
  <c r="B2953" i="34" s="1"/>
  <c r="K2952" i="34"/>
  <c r="C2952" i="34"/>
  <c r="B2952" i="34" s="1"/>
  <c r="K2951" i="34"/>
  <c r="C2951" i="34"/>
  <c r="B2951" i="34" s="1"/>
  <c r="K2950" i="34"/>
  <c r="C2950" i="34"/>
  <c r="B2950" i="34" s="1"/>
  <c r="K2949" i="34"/>
  <c r="C2949" i="34"/>
  <c r="B2949" i="34" s="1"/>
  <c r="K2948" i="34"/>
  <c r="C2948" i="34"/>
  <c r="B2948" i="34" s="1"/>
  <c r="K2947" i="34"/>
  <c r="C2947" i="34"/>
  <c r="B2947" i="34" s="1"/>
  <c r="K2946" i="34"/>
  <c r="C2946" i="34"/>
  <c r="B2946" i="34" s="1"/>
  <c r="K2945" i="34"/>
  <c r="C2945" i="34"/>
  <c r="B2945" i="34" s="1"/>
  <c r="K2944" i="34"/>
  <c r="C2944" i="34"/>
  <c r="B2944" i="34" s="1"/>
  <c r="K2943" i="34"/>
  <c r="C2943" i="34"/>
  <c r="B2943" i="34" s="1"/>
  <c r="K2942" i="34"/>
  <c r="C2942" i="34"/>
  <c r="B2942" i="34" s="1"/>
  <c r="K2941" i="34"/>
  <c r="C2941" i="34"/>
  <c r="B2941" i="34" s="1"/>
  <c r="K2940" i="34"/>
  <c r="C2940" i="34"/>
  <c r="B2940" i="34" s="1"/>
  <c r="K2939" i="34"/>
  <c r="C2939" i="34"/>
  <c r="B2939" i="34" s="1"/>
  <c r="K2938" i="34"/>
  <c r="C2938" i="34"/>
  <c r="B2938" i="34" s="1"/>
  <c r="K2937" i="34"/>
  <c r="C2937" i="34"/>
  <c r="B2937" i="34" s="1"/>
  <c r="K2936" i="34"/>
  <c r="C2936" i="34"/>
  <c r="B2936" i="34" s="1"/>
  <c r="K2935" i="34"/>
  <c r="C2935" i="34"/>
  <c r="B2935" i="34" s="1"/>
  <c r="K2934" i="34"/>
  <c r="C2934" i="34"/>
  <c r="B2934" i="34" s="1"/>
  <c r="K2933" i="34"/>
  <c r="C2933" i="34"/>
  <c r="B2933" i="34" s="1"/>
  <c r="K2932" i="34"/>
  <c r="C2932" i="34"/>
  <c r="B2932" i="34" s="1"/>
  <c r="K2931" i="34"/>
  <c r="C2931" i="34"/>
  <c r="B2931" i="34" s="1"/>
  <c r="K2930" i="34"/>
  <c r="C2930" i="34"/>
  <c r="B2930" i="34" s="1"/>
  <c r="K2929" i="34"/>
  <c r="C2929" i="34"/>
  <c r="B2929" i="34" s="1"/>
  <c r="K2928" i="34"/>
  <c r="C2928" i="34"/>
  <c r="B2928" i="34" s="1"/>
  <c r="K2927" i="34"/>
  <c r="C2927" i="34"/>
  <c r="B2927" i="34" s="1"/>
  <c r="K2926" i="34"/>
  <c r="C2926" i="34"/>
  <c r="B2926" i="34" s="1"/>
  <c r="K2925" i="34"/>
  <c r="C2925" i="34"/>
  <c r="B2925" i="34" s="1"/>
  <c r="K2924" i="34"/>
  <c r="C2924" i="34"/>
  <c r="B2924" i="34" s="1"/>
  <c r="K2923" i="34"/>
  <c r="C2923" i="34"/>
  <c r="B2923" i="34" s="1"/>
  <c r="K2922" i="34"/>
  <c r="C2922" i="34"/>
  <c r="B2922" i="34" s="1"/>
  <c r="K2921" i="34"/>
  <c r="C2921" i="34"/>
  <c r="B2921" i="34" s="1"/>
  <c r="K2920" i="34"/>
  <c r="C2920" i="34"/>
  <c r="B2920" i="34" s="1"/>
  <c r="K2919" i="34"/>
  <c r="C2919" i="34"/>
  <c r="B2919" i="34" s="1"/>
  <c r="K2918" i="34"/>
  <c r="C2918" i="34"/>
  <c r="B2918" i="34" s="1"/>
  <c r="K2917" i="34"/>
  <c r="C2917" i="34"/>
  <c r="B2917" i="34" s="1"/>
  <c r="K2916" i="34"/>
  <c r="C2916" i="34"/>
  <c r="B2916" i="34" s="1"/>
  <c r="K2915" i="34"/>
  <c r="C2915" i="34"/>
  <c r="B2915" i="34" s="1"/>
  <c r="K2914" i="34"/>
  <c r="C2914" i="34"/>
  <c r="B2914" i="34" s="1"/>
  <c r="K2913" i="34"/>
  <c r="C2913" i="34"/>
  <c r="B2913" i="34" s="1"/>
  <c r="K2912" i="34"/>
  <c r="C2912" i="34"/>
  <c r="B2912" i="34" s="1"/>
  <c r="K2911" i="34"/>
  <c r="C2911" i="34"/>
  <c r="B2911" i="34" s="1"/>
  <c r="K2910" i="34"/>
  <c r="C2910" i="34"/>
  <c r="B2910" i="34" s="1"/>
  <c r="K2909" i="34"/>
  <c r="C2909" i="34"/>
  <c r="B2909" i="34" s="1"/>
  <c r="K2908" i="34"/>
  <c r="C2908" i="34"/>
  <c r="B2908" i="34" s="1"/>
  <c r="K2907" i="34"/>
  <c r="C2907" i="34"/>
  <c r="B2907" i="34" s="1"/>
  <c r="K2906" i="34"/>
  <c r="C2906" i="34"/>
  <c r="B2906" i="34" s="1"/>
  <c r="K2905" i="34"/>
  <c r="C2905" i="34"/>
  <c r="B2905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3468" i="34"/>
  <c r="C3469" i="34"/>
  <c r="C3470" i="34"/>
  <c r="C3471" i="34"/>
  <c r="C3472" i="34"/>
  <c r="C3473" i="34"/>
  <c r="C3474" i="34"/>
  <c r="C3475" i="34"/>
  <c r="C3476" i="34"/>
  <c r="C3477" i="34"/>
  <c r="C3478" i="34"/>
  <c r="C3479" i="34"/>
  <c r="C3480" i="34"/>
  <c r="C3481" i="34"/>
  <c r="C3482" i="34"/>
  <c r="C3483" i="34"/>
  <c r="C3484" i="34"/>
  <c r="C3485" i="34"/>
  <c r="C3486" i="34"/>
  <c r="C3487" i="34"/>
  <c r="C3488" i="34"/>
  <c r="C3489" i="34"/>
  <c r="C3490" i="34"/>
  <c r="C3491" i="34"/>
  <c r="C3492" i="34"/>
  <c r="C3493" i="34"/>
  <c r="C3494" i="34"/>
  <c r="C3495" i="34"/>
  <c r="C3496" i="34"/>
  <c r="C3497" i="34"/>
  <c r="C3498" i="34"/>
  <c r="C3499" i="34"/>
  <c r="C3500" i="34"/>
  <c r="C3501" i="34"/>
  <c r="C3502" i="34"/>
  <c r="C3503" i="34"/>
  <c r="C3504" i="34"/>
  <c r="C3505" i="34"/>
  <c r="C3506" i="34"/>
  <c r="C3507" i="34"/>
  <c r="C3508" i="34"/>
  <c r="C3509" i="34"/>
  <c r="C3510" i="34"/>
  <c r="C3511" i="34"/>
  <c r="C3512" i="34"/>
  <c r="C3513" i="34"/>
  <c r="C3514" i="34"/>
  <c r="C3515" i="34"/>
  <c r="C3516" i="34"/>
  <c r="C3517" i="34"/>
  <c r="C3518" i="34"/>
  <c r="C3519" i="34"/>
  <c r="C35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2820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568" i="34"/>
  <c r="K2569" i="34"/>
  <c r="K2570" i="34"/>
  <c r="K2571" i="34"/>
  <c r="K2572" i="34"/>
  <c r="K2573" i="34"/>
  <c r="K2574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567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3548" i="34" l="1"/>
  <c r="A3556" i="34"/>
  <c r="A3570" i="34"/>
  <c r="A3572" i="34"/>
  <c r="A3574" i="34"/>
  <c r="A3578" i="34"/>
  <c r="A3658" i="34"/>
  <c r="A4867" i="34"/>
  <c r="A4913" i="34"/>
  <c r="A4919" i="34"/>
  <c r="A4923" i="34"/>
  <c r="A4931" i="34"/>
  <c r="A4585" i="34"/>
  <c r="A4625" i="34"/>
  <c r="A4689" i="34"/>
  <c r="A4199" i="34"/>
  <c r="A4207" i="34"/>
  <c r="A4213" i="34"/>
  <c r="A4217" i="34"/>
  <c r="A4219" i="34"/>
  <c r="A4231" i="34"/>
  <c r="A4239" i="34"/>
  <c r="A3959" i="34"/>
  <c r="A3961" i="34"/>
  <c r="A3963" i="34"/>
  <c r="A3965" i="34"/>
  <c r="A3967" i="34"/>
  <c r="A3969" i="34"/>
  <c r="A3971" i="34"/>
  <c r="A3973" i="34"/>
  <c r="A3975" i="34"/>
  <c r="A3979" i="34"/>
  <c r="A3987" i="34"/>
  <c r="A4099" i="34"/>
  <c r="A3797" i="34"/>
  <c r="A3799" i="34"/>
  <c r="A3801" i="34"/>
  <c r="A3597" i="34"/>
  <c r="A3601" i="34"/>
  <c r="A3605" i="34"/>
  <c r="A3907" i="34"/>
  <c r="A5029" i="34"/>
  <c r="A5087" i="34"/>
  <c r="A5089" i="34"/>
  <c r="A4760" i="34"/>
  <c r="A4762" i="34"/>
  <c r="A4770" i="34"/>
  <c r="A4778" i="34"/>
  <c r="A4806" i="34"/>
  <c r="A4810" i="34"/>
  <c r="A4814" i="34"/>
  <c r="A4820" i="34"/>
  <c r="A4828" i="34"/>
  <c r="A4830" i="34"/>
  <c r="A4836" i="34"/>
  <c r="A4844" i="34"/>
  <c r="A4954" i="34"/>
  <c r="A4962" i="34"/>
  <c r="A4970" i="34"/>
  <c r="A4622" i="34"/>
  <c r="A4624" i="34"/>
  <c r="A4626" i="34"/>
  <c r="A4662" i="34"/>
  <c r="A4664" i="34"/>
  <c r="A4666" i="34"/>
  <c r="A4668" i="34"/>
  <c r="A4670" i="34"/>
  <c r="A4672" i="34"/>
  <c r="A4674" i="34"/>
  <c r="A4676" i="34"/>
  <c r="A4678" i="34"/>
  <c r="A4680" i="34"/>
  <c r="A4682" i="34"/>
  <c r="A4296" i="34"/>
  <c r="A4300" i="34"/>
  <c r="A4304" i="34"/>
  <c r="A4306" i="34"/>
  <c r="A4312" i="34"/>
  <c r="A4394" i="34"/>
  <c r="A4402" i="34"/>
  <c r="A4040" i="34"/>
  <c r="A4042" i="34"/>
  <c r="A4048" i="34"/>
  <c r="A4056" i="34"/>
  <c r="A4060" i="34"/>
  <c r="A4064" i="34"/>
  <c r="A4070" i="34"/>
  <c r="A4072" i="34"/>
  <c r="A4078" i="34"/>
  <c r="A3700" i="34"/>
  <c r="A3706" i="34"/>
  <c r="A3708" i="34"/>
  <c r="A3764" i="34"/>
  <c r="A3766" i="34"/>
  <c r="A3768" i="34"/>
  <c r="A3770" i="34"/>
  <c r="A3804" i="34"/>
  <c r="A3806" i="34"/>
  <c r="A3810" i="34"/>
  <c r="A3812" i="34"/>
  <c r="A3814" i="34"/>
  <c r="A3818" i="34"/>
  <c r="A3820" i="34"/>
  <c r="A3822" i="34"/>
  <c r="B43" i="55"/>
  <c r="A4225" i="34"/>
  <c r="A4651" i="34"/>
  <c r="A4205" i="34"/>
  <c r="A4660" i="34"/>
  <c r="A4709" i="34"/>
  <c r="A4086" i="34"/>
  <c r="A4620" i="34"/>
  <c r="A4503" i="34"/>
  <c r="A4129" i="34"/>
  <c r="A4764" i="34"/>
  <c r="A4517" i="34"/>
  <c r="A4653" i="34"/>
  <c r="A4658" i="34"/>
  <c r="A4656" i="34"/>
  <c r="A4695" i="34"/>
  <c r="A4037" i="34"/>
  <c r="A3720" i="34"/>
  <c r="A3842" i="34"/>
  <c r="A3850" i="34"/>
  <c r="A3645" i="34"/>
  <c r="A3664" i="34"/>
  <c r="A3710" i="34"/>
  <c r="A3736" i="34"/>
  <c r="A3754" i="34"/>
  <c r="A3832" i="34"/>
  <c r="A3722" i="34"/>
  <c r="A3744" i="34"/>
  <c r="A3762" i="34"/>
  <c r="A3802" i="34"/>
  <c r="A3848" i="34"/>
  <c r="A3615" i="34"/>
  <c r="A3680" i="34"/>
  <c r="A3712" i="34"/>
  <c r="A3730" i="34"/>
  <c r="A3738" i="34"/>
  <c r="A3752" i="34"/>
  <c r="A3826" i="34"/>
  <c r="A3830" i="34"/>
  <c r="A3834" i="34"/>
  <c r="A3856" i="34"/>
  <c r="A3714" i="34"/>
  <c r="A3728" i="34"/>
  <c r="A3746" i="34"/>
  <c r="A3760" i="34"/>
  <c r="A3840" i="34"/>
  <c r="A3672" i="34"/>
  <c r="A3607" i="34"/>
  <c r="A3688" i="34"/>
  <c r="A4978" i="34"/>
  <c r="A4475" i="34"/>
  <c r="A4499" i="34"/>
  <c r="A4519" i="34"/>
  <c r="A4875" i="34"/>
  <c r="A4917" i="34"/>
  <c r="A4968" i="34"/>
  <c r="A4986" i="34"/>
  <c r="A4483" i="34"/>
  <c r="A4838" i="34"/>
  <c r="A4915" i="34"/>
  <c r="A4958" i="34"/>
  <c r="A4976" i="34"/>
  <c r="A4507" i="34"/>
  <c r="A4521" i="34"/>
  <c r="A4937" i="34"/>
  <c r="A4941" i="34"/>
  <c r="A4945" i="34"/>
  <c r="A4949" i="34"/>
  <c r="A4487" i="34"/>
  <c r="A4711" i="34"/>
  <c r="A3981" i="34"/>
  <c r="A4826" i="34"/>
  <c r="A4865" i="34"/>
  <c r="A4911" i="34"/>
  <c r="A4956" i="34"/>
  <c r="A4960" i="34"/>
  <c r="A4984" i="34"/>
  <c r="A4479" i="34"/>
  <c r="A4511" i="34"/>
  <c r="A4719" i="34"/>
  <c r="A4021" i="34"/>
  <c r="A4029" i="34"/>
  <c r="A4113" i="34"/>
  <c r="A4491" i="34"/>
  <c r="A4691" i="34"/>
  <c r="A3983" i="34"/>
  <c r="A4094" i="34"/>
  <c r="A4137" i="34"/>
  <c r="A4145" i="34"/>
  <c r="A4768" i="34"/>
  <c r="A4495" i="34"/>
  <c r="A4621" i="34"/>
  <c r="A4701" i="34"/>
  <c r="A3977" i="34"/>
  <c r="A4657" i="34"/>
  <c r="A4659" i="34"/>
  <c r="A4703" i="34"/>
  <c r="A4717" i="34"/>
  <c r="A4223" i="34"/>
  <c r="A4001" i="34"/>
  <c r="A4013" i="34"/>
  <c r="A4044" i="34"/>
  <c r="A4046" i="34"/>
  <c r="A4121" i="34"/>
  <c r="A4652" i="34"/>
  <c r="A4358" i="34"/>
  <c r="A4808" i="34"/>
  <c r="A4812" i="34"/>
  <c r="A4822" i="34"/>
  <c r="A4834" i="34"/>
  <c r="A4881" i="34"/>
  <c r="A4885" i="34"/>
  <c r="A4889" i="34"/>
  <c r="A4893" i="34"/>
  <c r="A4754" i="34"/>
  <c r="A4842" i="34"/>
  <c r="A4846" i="34"/>
  <c r="A4850" i="34"/>
  <c r="A4854" i="34"/>
  <c r="A4858" i="34"/>
  <c r="A4862" i="34"/>
  <c r="A4873" i="34"/>
  <c r="A4903" i="34"/>
  <c r="A4943" i="34"/>
  <c r="A4871" i="34"/>
  <c r="A4883" i="34"/>
  <c r="A4887" i="34"/>
  <c r="A4891" i="34"/>
  <c r="A4895" i="34"/>
  <c r="A4951" i="34"/>
  <c r="A4804" i="34"/>
  <c r="A4901" i="34"/>
  <c r="A4905" i="34"/>
  <c r="A4921" i="34"/>
  <c r="A4939" i="34"/>
  <c r="A4515" i="34"/>
  <c r="A4587" i="34"/>
  <c r="A4699" i="34"/>
  <c r="A4195" i="34"/>
  <c r="A4772" i="34"/>
  <c r="A4776" i="34"/>
  <c r="A4909" i="34"/>
  <c r="A4927" i="34"/>
  <c r="A4974" i="34"/>
  <c r="A4982" i="34"/>
  <c r="A4481" i="34"/>
  <c r="A4489" i="34"/>
  <c r="A4497" i="34"/>
  <c r="A4505" i="34"/>
  <c r="A4193" i="34"/>
  <c r="A4211" i="34"/>
  <c r="A4227" i="34"/>
  <c r="A4818" i="34"/>
  <c r="A4877" i="34"/>
  <c r="A4879" i="34"/>
  <c r="A4897" i="34"/>
  <c r="A4899" i="34"/>
  <c r="A4929" i="34"/>
  <c r="A4972" i="34"/>
  <c r="A4980" i="34"/>
  <c r="A4715" i="34"/>
  <c r="A4756" i="34"/>
  <c r="A4758" i="34"/>
  <c r="A4907" i="34"/>
  <c r="A4947" i="34"/>
  <c r="A4964" i="34"/>
  <c r="A4966" i="34"/>
  <c r="A4477" i="34"/>
  <c r="A4485" i="34"/>
  <c r="A4493" i="34"/>
  <c r="A4501" i="34"/>
  <c r="A4509" i="34"/>
  <c r="A4707" i="34"/>
  <c r="A4229" i="34"/>
  <c r="A4209" i="34"/>
  <c r="A4235" i="34"/>
  <c r="A4292" i="34"/>
  <c r="A4298" i="34"/>
  <c r="A4310" i="34"/>
  <c r="A4318" i="34"/>
  <c r="A4513" i="34"/>
  <c r="A4623" i="34"/>
  <c r="A4654" i="34"/>
  <c r="A4655" i="34"/>
  <c r="A4697" i="34"/>
  <c r="A4705" i="34"/>
  <c r="A4713" i="34"/>
  <c r="A4721" i="34"/>
  <c r="A4197" i="34"/>
  <c r="A4201" i="34"/>
  <c r="A4203" i="34"/>
  <c r="A4215" i="34"/>
  <c r="A4233" i="34"/>
  <c r="A4316" i="34"/>
  <c r="A4326" i="34"/>
  <c r="A4334" i="34"/>
  <c r="A4342" i="34"/>
  <c r="A4350" i="34"/>
  <c r="A4356" i="34"/>
  <c r="A4221" i="34"/>
  <c r="A4243" i="34"/>
  <c r="A4247" i="34"/>
  <c r="A4255" i="34"/>
  <c r="A4263" i="34"/>
  <c r="A4271" i="34"/>
  <c r="A4279" i="34"/>
  <c r="A4287" i="34"/>
  <c r="A4294" i="34"/>
  <c r="A4308" i="34"/>
  <c r="A4314" i="34"/>
  <c r="A4322" i="34"/>
  <c r="A4330" i="34"/>
  <c r="A4338" i="34"/>
  <c r="A4346" i="34"/>
  <c r="A4354" i="34"/>
  <c r="A4357" i="34"/>
  <c r="A4241" i="34"/>
  <c r="A4251" i="34"/>
  <c r="A4259" i="34"/>
  <c r="A4267" i="34"/>
  <c r="A4275" i="34"/>
  <c r="A4283" i="34"/>
  <c r="A4291" i="34"/>
  <c r="A4320" i="34"/>
  <c r="A4359" i="34"/>
  <c r="A4237" i="34"/>
  <c r="A4245" i="34"/>
  <c r="A4253" i="34"/>
  <c r="A4261" i="34"/>
  <c r="A4269" i="34"/>
  <c r="A4277" i="34"/>
  <c r="A4285" i="34"/>
  <c r="A4324" i="34"/>
  <c r="A4332" i="34"/>
  <c r="A4340" i="34"/>
  <c r="A4348" i="34"/>
  <c r="A4396" i="34"/>
  <c r="A4420" i="34"/>
  <c r="A4426" i="34"/>
  <c r="A4430" i="34"/>
  <c r="A4249" i="34"/>
  <c r="A4257" i="34"/>
  <c r="A4265" i="34"/>
  <c r="A4273" i="34"/>
  <c r="A4281" i="34"/>
  <c r="A4289" i="34"/>
  <c r="A4302" i="34"/>
  <c r="A4328" i="34"/>
  <c r="A4336" i="34"/>
  <c r="A4344" i="34"/>
  <c r="A4352" i="34"/>
  <c r="A4424" i="34"/>
  <c r="A4428" i="34"/>
  <c r="A4432" i="34"/>
  <c r="A4440" i="34"/>
  <c r="A4448" i="34"/>
  <c r="A4456" i="34"/>
  <c r="A3931" i="34"/>
  <c r="A3939" i="34"/>
  <c r="A3947" i="34"/>
  <c r="A4400" i="34"/>
  <c r="A4436" i="34"/>
  <c r="A4444" i="34"/>
  <c r="A4452" i="34"/>
  <c r="A3927" i="34"/>
  <c r="A3935" i="34"/>
  <c r="A3943" i="34"/>
  <c r="A4398" i="34"/>
  <c r="A4404" i="34"/>
  <c r="A4408" i="34"/>
  <c r="A4412" i="34"/>
  <c r="A4416" i="34"/>
  <c r="A4438" i="34"/>
  <c r="A4446" i="34"/>
  <c r="A4454" i="34"/>
  <c r="A3929" i="34"/>
  <c r="A3937" i="34"/>
  <c r="A3945" i="34"/>
  <c r="A3985" i="34"/>
  <c r="A3995" i="34"/>
  <c r="A3997" i="34"/>
  <c r="A4011" i="34"/>
  <c r="A4015" i="34"/>
  <c r="A4027" i="34"/>
  <c r="A3989" i="34"/>
  <c r="A3993" i="34"/>
  <c r="A3999" i="34"/>
  <c r="A4003" i="34"/>
  <c r="A4005" i="34"/>
  <c r="A4009" i="34"/>
  <c r="A4019" i="34"/>
  <c r="A4033" i="34"/>
  <c r="A4406" i="34"/>
  <c r="A4410" i="34"/>
  <c r="A4414" i="34"/>
  <c r="A4418" i="34"/>
  <c r="A4422" i="34"/>
  <c r="A4434" i="34"/>
  <c r="A4442" i="34"/>
  <c r="A4450" i="34"/>
  <c r="A3933" i="34"/>
  <c r="A3941" i="34"/>
  <c r="A3949" i="34"/>
  <c r="A3951" i="34"/>
  <c r="A3953" i="34"/>
  <c r="A3955" i="34"/>
  <c r="A3957" i="34"/>
  <c r="A4007" i="34"/>
  <c r="A4025" i="34"/>
  <c r="A4066" i="34"/>
  <c r="A3991" i="34"/>
  <c r="A4017" i="34"/>
  <c r="A4035" i="34"/>
  <c r="A4050" i="34"/>
  <c r="A4082" i="34"/>
  <c r="A4090" i="34"/>
  <c r="A4103" i="34"/>
  <c r="A4107" i="34"/>
  <c r="A4117" i="34"/>
  <c r="A4135" i="34"/>
  <c r="A4161" i="34"/>
  <c r="A4023" i="34"/>
  <c r="A4031" i="34"/>
  <c r="A4052" i="34"/>
  <c r="A4054" i="34"/>
  <c r="A4062" i="34"/>
  <c r="A4068" i="34"/>
  <c r="A4080" i="34"/>
  <c r="A4088" i="34"/>
  <c r="A4101" i="34"/>
  <c r="A4105" i="34"/>
  <c r="A4111" i="34"/>
  <c r="A4125" i="34"/>
  <c r="A4143" i="34"/>
  <c r="A4147" i="34"/>
  <c r="A4155" i="34"/>
  <c r="A4095" i="34"/>
  <c r="A4119" i="34"/>
  <c r="A4133" i="34"/>
  <c r="A4151" i="34"/>
  <c r="A4159" i="34"/>
  <c r="A4163" i="34"/>
  <c r="A4171" i="34"/>
  <c r="A4179" i="34"/>
  <c r="A4187" i="34"/>
  <c r="A4058" i="34"/>
  <c r="A4074" i="34"/>
  <c r="A4076" i="34"/>
  <c r="A4084" i="34"/>
  <c r="A4092" i="34"/>
  <c r="A4097" i="34"/>
  <c r="A4109" i="34"/>
  <c r="A4127" i="34"/>
  <c r="A4141" i="34"/>
  <c r="A4167" i="34"/>
  <c r="A4175" i="34"/>
  <c r="A4183" i="34"/>
  <c r="A4191" i="34"/>
  <c r="A4115" i="34"/>
  <c r="A4123" i="34"/>
  <c r="A4131" i="34"/>
  <c r="A4139" i="34"/>
  <c r="A4153" i="34"/>
  <c r="A4169" i="34"/>
  <c r="A4177" i="34"/>
  <c r="A4185" i="34"/>
  <c r="A4149" i="34"/>
  <c r="A4157" i="34"/>
  <c r="A4165" i="34"/>
  <c r="A4173" i="34"/>
  <c r="A4181" i="34"/>
  <c r="A4189" i="34"/>
  <c r="A3930" i="34"/>
  <c r="A3938" i="34"/>
  <c r="A3946" i="34"/>
  <c r="A3980" i="34"/>
  <c r="A3928" i="34"/>
  <c r="A3936" i="34"/>
  <c r="A3944" i="34"/>
  <c r="A3988" i="34"/>
  <c r="A3934" i="34"/>
  <c r="A3942" i="34"/>
  <c r="A3932" i="34"/>
  <c r="A3940" i="34"/>
  <c r="A3948" i="34"/>
  <c r="A3950" i="34"/>
  <c r="A3952" i="34"/>
  <c r="A3954" i="34"/>
  <c r="A3956" i="34"/>
  <c r="A3958" i="34"/>
  <c r="A3960" i="34"/>
  <c r="A3962" i="34"/>
  <c r="A3964" i="34"/>
  <c r="A3966" i="34"/>
  <c r="A3968" i="34"/>
  <c r="A3970" i="34"/>
  <c r="A3972" i="34"/>
  <c r="A4010" i="34"/>
  <c r="A4018" i="34"/>
  <c r="A4026" i="34"/>
  <c r="A4034" i="34"/>
  <c r="A4069" i="34"/>
  <c r="A3978" i="34"/>
  <c r="A3986" i="34"/>
  <c r="A4012" i="34"/>
  <c r="A4020" i="34"/>
  <c r="A4024" i="34"/>
  <c r="A4032" i="34"/>
  <c r="A4057" i="34"/>
  <c r="A4059" i="34"/>
  <c r="A4067" i="34"/>
  <c r="A3976" i="34"/>
  <c r="A3984" i="34"/>
  <c r="A3992" i="34"/>
  <c r="A4014" i="34"/>
  <c r="A4022" i="34"/>
  <c r="A4030" i="34"/>
  <c r="A4038" i="34"/>
  <c r="A4049" i="34"/>
  <c r="A4051" i="34"/>
  <c r="A4065" i="34"/>
  <c r="A3974" i="34"/>
  <c r="A3982" i="34"/>
  <c r="A3990" i="34"/>
  <c r="A3994" i="34"/>
  <c r="A3996" i="34"/>
  <c r="A3998" i="34"/>
  <c r="A4000" i="34"/>
  <c r="A4002" i="34"/>
  <c r="A4004" i="34"/>
  <c r="A4006" i="34"/>
  <c r="A4008" i="34"/>
  <c r="A4016" i="34"/>
  <c r="A4028" i="34"/>
  <c r="A4036" i="34"/>
  <c r="A4041" i="34"/>
  <c r="A4043" i="34"/>
  <c r="A4063" i="34"/>
  <c r="A4071" i="34"/>
  <c r="A4073" i="34"/>
  <c r="A4085" i="34"/>
  <c r="A4093" i="34"/>
  <c r="A4112" i="34"/>
  <c r="A4075" i="34"/>
  <c r="A4083" i="34"/>
  <c r="A4091" i="34"/>
  <c r="A4110" i="34"/>
  <c r="A4039" i="34"/>
  <c r="A4047" i="34"/>
  <c r="A4055" i="34"/>
  <c r="A4077" i="34"/>
  <c r="A4081" i="34"/>
  <c r="A4089" i="34"/>
  <c r="A4108" i="34"/>
  <c r="A4045" i="34"/>
  <c r="A4053" i="34"/>
  <c r="A4061" i="34"/>
  <c r="A4079" i="34"/>
  <c r="A4087" i="34"/>
  <c r="A4100" i="34"/>
  <c r="A4106" i="34"/>
  <c r="A4114" i="34"/>
  <c r="A4116" i="34"/>
  <c r="A4124" i="34"/>
  <c r="A4132" i="34"/>
  <c r="A4136" i="34"/>
  <c r="A4144" i="34"/>
  <c r="A4152" i="34"/>
  <c r="A4098" i="34"/>
  <c r="A4118" i="34"/>
  <c r="A4126" i="34"/>
  <c r="A4134" i="34"/>
  <c r="A4142" i="34"/>
  <c r="A4150" i="34"/>
  <c r="A4158" i="34"/>
  <c r="A4166" i="34"/>
  <c r="A4096" i="34"/>
  <c r="A4104" i="34"/>
  <c r="A4120" i="34"/>
  <c r="A4128" i="34"/>
  <c r="A4140" i="34"/>
  <c r="A4148" i="34"/>
  <c r="A4156" i="34"/>
  <c r="A4164" i="34"/>
  <c r="A4102" i="34"/>
  <c r="A4122" i="34"/>
  <c r="A4130" i="34"/>
  <c r="A4138" i="34"/>
  <c r="A4146" i="34"/>
  <c r="A4154" i="34"/>
  <c r="A4162" i="34"/>
  <c r="A4168" i="34"/>
  <c r="A4176" i="34"/>
  <c r="A4184" i="34"/>
  <c r="A4170" i="34"/>
  <c r="A4182" i="34"/>
  <c r="A4190" i="34"/>
  <c r="A4172" i="34"/>
  <c r="A4180" i="34"/>
  <c r="A4188" i="34"/>
  <c r="A4160" i="34"/>
  <c r="A4174" i="34"/>
  <c r="A4178" i="34"/>
  <c r="A4186" i="34"/>
  <c r="A5099" i="34"/>
  <c r="A5107" i="34"/>
  <c r="A5115" i="34"/>
  <c r="A4192" i="34"/>
  <c r="A4200" i="34"/>
  <c r="A5001" i="34"/>
  <c r="A4218" i="34"/>
  <c r="A4226" i="34"/>
  <c r="A4234" i="34"/>
  <c r="A4242" i="34"/>
  <c r="A4252" i="34"/>
  <c r="A4260" i="34"/>
  <c r="A4268" i="34"/>
  <c r="A4276" i="34"/>
  <c r="A4284" i="34"/>
  <c r="A4313" i="34"/>
  <c r="A4993" i="34"/>
  <c r="A4198" i="34"/>
  <c r="A4206" i="34"/>
  <c r="A4220" i="34"/>
  <c r="A4228" i="34"/>
  <c r="A4236" i="34"/>
  <c r="A4244" i="34"/>
  <c r="A4250" i="34"/>
  <c r="A4258" i="34"/>
  <c r="A4266" i="34"/>
  <c r="A4274" i="34"/>
  <c r="A4282" i="34"/>
  <c r="A4290" i="34"/>
  <c r="A4305" i="34"/>
  <c r="A4307" i="34"/>
  <c r="A4196" i="34"/>
  <c r="A4204" i="34"/>
  <c r="A4222" i="34"/>
  <c r="A4230" i="34"/>
  <c r="A4238" i="34"/>
  <c r="A4246" i="34"/>
  <c r="A4248" i="34"/>
  <c r="A4256" i="34"/>
  <c r="A4264" i="34"/>
  <c r="A4272" i="34"/>
  <c r="A4280" i="34"/>
  <c r="A4288" i="34"/>
  <c r="A4297" i="34"/>
  <c r="A4299" i="34"/>
  <c r="A4194" i="34"/>
  <c r="A4202" i="34"/>
  <c r="A4208" i="34"/>
  <c r="A4210" i="34"/>
  <c r="A4212" i="34"/>
  <c r="A4214" i="34"/>
  <c r="A4216" i="34"/>
  <c r="A4224" i="34"/>
  <c r="A4232" i="34"/>
  <c r="A4240" i="34"/>
  <c r="A4254" i="34"/>
  <c r="A4262" i="34"/>
  <c r="A4270" i="34"/>
  <c r="A4278" i="34"/>
  <c r="A4286" i="34"/>
  <c r="A4323" i="34"/>
  <c r="A4331" i="34"/>
  <c r="A4339" i="34"/>
  <c r="A4347" i="34"/>
  <c r="A4325" i="34"/>
  <c r="A4337" i="34"/>
  <c r="A4345" i="34"/>
  <c r="A4353" i="34"/>
  <c r="A4295" i="34"/>
  <c r="A4303" i="34"/>
  <c r="A4311" i="34"/>
  <c r="A4315" i="34"/>
  <c r="A4317" i="34"/>
  <c r="A4319" i="34"/>
  <c r="A4321" i="34"/>
  <c r="A4327" i="34"/>
  <c r="A4335" i="34"/>
  <c r="A4343" i="34"/>
  <c r="A4351" i="34"/>
  <c r="A4293" i="34"/>
  <c r="A4301" i="34"/>
  <c r="A4309" i="34"/>
  <c r="A4329" i="34"/>
  <c r="A4333" i="34"/>
  <c r="A4341" i="34"/>
  <c r="A4349" i="34"/>
  <c r="A4355" i="34"/>
  <c r="A4380" i="34"/>
  <c r="A4388" i="34"/>
  <c r="A4360" i="34"/>
  <c r="A4361" i="34"/>
  <c r="A4362" i="34"/>
  <c r="A4365" i="34"/>
  <c r="A4366" i="34"/>
  <c r="A4369" i="34"/>
  <c r="A4370" i="34"/>
  <c r="A4378" i="34"/>
  <c r="A4386" i="34"/>
  <c r="A4376" i="34"/>
  <c r="A4384" i="34"/>
  <c r="A4392" i="34"/>
  <c r="A4363" i="34"/>
  <c r="A4364" i="34"/>
  <c r="A4367" i="34"/>
  <c r="A4368" i="34"/>
  <c r="A4371" i="34"/>
  <c r="A4372" i="34"/>
  <c r="A4374" i="34"/>
  <c r="A4382" i="34"/>
  <c r="A4390" i="34"/>
  <c r="A4393" i="34"/>
  <c r="A4395" i="34"/>
  <c r="A4417" i="34"/>
  <c r="A4421" i="34"/>
  <c r="A4373" i="34"/>
  <c r="A4375" i="34"/>
  <c r="A4377" i="34"/>
  <c r="A4379" i="34"/>
  <c r="A4381" i="34"/>
  <c r="A4383" i="34"/>
  <c r="A4385" i="34"/>
  <c r="A4387" i="34"/>
  <c r="A4389" i="34"/>
  <c r="A4391" i="34"/>
  <c r="A4401" i="34"/>
  <c r="A4399" i="34"/>
  <c r="A4403" i="34"/>
  <c r="A4405" i="34"/>
  <c r="A4407" i="34"/>
  <c r="A4409" i="34"/>
  <c r="A4411" i="34"/>
  <c r="A4413" i="34"/>
  <c r="A4415" i="34"/>
  <c r="A4419" i="34"/>
  <c r="A4397" i="34"/>
  <c r="A4433" i="34"/>
  <c r="A4441" i="34"/>
  <c r="A4449" i="34"/>
  <c r="A4435" i="34"/>
  <c r="A4447" i="34"/>
  <c r="A4455" i="34"/>
  <c r="A4425" i="34"/>
  <c r="A4437" i="34"/>
  <c r="A4445" i="34"/>
  <c r="A4453" i="34"/>
  <c r="A4423" i="34"/>
  <c r="A4427" i="34"/>
  <c r="A4429" i="34"/>
  <c r="A4431" i="34"/>
  <c r="A4439" i="34"/>
  <c r="A4443" i="34"/>
  <c r="A4451" i="34"/>
  <c r="A3917" i="34"/>
  <c r="A3925" i="34"/>
  <c r="A5017" i="34"/>
  <c r="A5095" i="34"/>
  <c r="A5111" i="34"/>
  <c r="A4460" i="34"/>
  <c r="A4464" i="34"/>
  <c r="A4468" i="34"/>
  <c r="A4472" i="34"/>
  <c r="A4476" i="34"/>
  <c r="A4480" i="34"/>
  <c r="A4484" i="34"/>
  <c r="A4488" i="34"/>
  <c r="A4492" i="34"/>
  <c r="A4496" i="34"/>
  <c r="A4500" i="34"/>
  <c r="A4504" i="34"/>
  <c r="A4508" i="34"/>
  <c r="A4514" i="34"/>
  <c r="A4457" i="34"/>
  <c r="A4461" i="34"/>
  <c r="A4465" i="34"/>
  <c r="A4469" i="34"/>
  <c r="A4473" i="34"/>
  <c r="A4512" i="34"/>
  <c r="A3911" i="34"/>
  <c r="A5103" i="34"/>
  <c r="A5119" i="34"/>
  <c r="A4458" i="34"/>
  <c r="A4462" i="34"/>
  <c r="A4466" i="34"/>
  <c r="A4470" i="34"/>
  <c r="A4474" i="34"/>
  <c r="A4478" i="34"/>
  <c r="A4482" i="34"/>
  <c r="A4486" i="34"/>
  <c r="A4490" i="34"/>
  <c r="A4494" i="34"/>
  <c r="A4498" i="34"/>
  <c r="A4502" i="34"/>
  <c r="A4506" i="34"/>
  <c r="A4510" i="34"/>
  <c r="A4518" i="34"/>
  <c r="A4459" i="34"/>
  <c r="A4463" i="34"/>
  <c r="A4467" i="34"/>
  <c r="A4471" i="34"/>
  <c r="A4516" i="34"/>
  <c r="A4524" i="34"/>
  <c r="A4532" i="34"/>
  <c r="A4540" i="34"/>
  <c r="A5009" i="34"/>
  <c r="A4525" i="34"/>
  <c r="A4530" i="34"/>
  <c r="A4538" i="34"/>
  <c r="A4522" i="34"/>
  <c r="A4526" i="34"/>
  <c r="A4528" i="34"/>
  <c r="A4536" i="34"/>
  <c r="A4520" i="34"/>
  <c r="A4523" i="34"/>
  <c r="A4534" i="34"/>
  <c r="A4542" i="34"/>
  <c r="A4544" i="34"/>
  <c r="A4546" i="34"/>
  <c r="A4548" i="34"/>
  <c r="A4550" i="34"/>
  <c r="A4552" i="34"/>
  <c r="A4554" i="34"/>
  <c r="A4556" i="34"/>
  <c r="A4558" i="34"/>
  <c r="A4560" i="34"/>
  <c r="A4562" i="34"/>
  <c r="A4564" i="34"/>
  <c r="A4566" i="34"/>
  <c r="A4568" i="34"/>
  <c r="A4570" i="34"/>
  <c r="A4572" i="34"/>
  <c r="A4574" i="34"/>
  <c r="A4576" i="34"/>
  <c r="A4578" i="34"/>
  <c r="A4580" i="34"/>
  <c r="A4582" i="34"/>
  <c r="A4589" i="34"/>
  <c r="A4594" i="34"/>
  <c r="A4602" i="34"/>
  <c r="A4610" i="34"/>
  <c r="A4618" i="34"/>
  <c r="A4592" i="34"/>
  <c r="A4600" i="34"/>
  <c r="A4608" i="34"/>
  <c r="A4616" i="34"/>
  <c r="A4527" i="34"/>
  <c r="A4529" i="34"/>
  <c r="A4531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1" i="34"/>
  <c r="A4563" i="34"/>
  <c r="A4565" i="34"/>
  <c r="A4567" i="34"/>
  <c r="A4569" i="34"/>
  <c r="A4571" i="34"/>
  <c r="A4573" i="34"/>
  <c r="A4575" i="34"/>
  <c r="A4577" i="34"/>
  <c r="A4579" i="34"/>
  <c r="A4581" i="34"/>
  <c r="A4583" i="34"/>
  <c r="A4588" i="34"/>
  <c r="A4590" i="34"/>
  <c r="A4598" i="34"/>
  <c r="A4606" i="34"/>
  <c r="A4614" i="34"/>
  <c r="A4584" i="34"/>
  <c r="A4586" i="34"/>
  <c r="A4596" i="34"/>
  <c r="A4604" i="34"/>
  <c r="A4612" i="34"/>
  <c r="A4627" i="34"/>
  <c r="A4631" i="34"/>
  <c r="A4635" i="34"/>
  <c r="A4639" i="34"/>
  <c r="A4643" i="34"/>
  <c r="A4647" i="34"/>
  <c r="A4591" i="34"/>
  <c r="A4593" i="34"/>
  <c r="A4595" i="34"/>
  <c r="A4597" i="34"/>
  <c r="A4599" i="34"/>
  <c r="A4601" i="34"/>
  <c r="A4603" i="34"/>
  <c r="A4605" i="34"/>
  <c r="A4607" i="34"/>
  <c r="A4609" i="34"/>
  <c r="A4611" i="34"/>
  <c r="A4613" i="34"/>
  <c r="A4615" i="34"/>
  <c r="A4617" i="34"/>
  <c r="A4619" i="34"/>
  <c r="A4628" i="34"/>
  <c r="A4632" i="34"/>
  <c r="A4636" i="34"/>
  <c r="A4640" i="34"/>
  <c r="A4644" i="34"/>
  <c r="A4648" i="34"/>
  <c r="A4629" i="34"/>
  <c r="A4633" i="34"/>
  <c r="A4637" i="34"/>
  <c r="A4641" i="34"/>
  <c r="A4645" i="34"/>
  <c r="A4649" i="34"/>
  <c r="A4630" i="34"/>
  <c r="A4634" i="34"/>
  <c r="A4638" i="34"/>
  <c r="A4642" i="34"/>
  <c r="A4646" i="34"/>
  <c r="A4650" i="34"/>
  <c r="A4665" i="34"/>
  <c r="A4673" i="34"/>
  <c r="A4681" i="34"/>
  <c r="A4686" i="34"/>
  <c r="A4663" i="34"/>
  <c r="A4671" i="34"/>
  <c r="A4679" i="34"/>
  <c r="A4683" i="34"/>
  <c r="A4687" i="34"/>
  <c r="A4661" i="34"/>
  <c r="A4669" i="34"/>
  <c r="A4677" i="34"/>
  <c r="A4684" i="34"/>
  <c r="A4690" i="34"/>
  <c r="A4694" i="34"/>
  <c r="A4667" i="34"/>
  <c r="A4675" i="34"/>
  <c r="A4685" i="34"/>
  <c r="A4692" i="34"/>
  <c r="A4698" i="34"/>
  <c r="A4706" i="34"/>
  <c r="A4714" i="34"/>
  <c r="A4700" i="34"/>
  <c r="A4712" i="34"/>
  <c r="A4720" i="34"/>
  <c r="A4688" i="34"/>
  <c r="A4702" i="34"/>
  <c r="A4710" i="34"/>
  <c r="A4718" i="34"/>
  <c r="A4693" i="34"/>
  <c r="A4696" i="34"/>
  <c r="A4704" i="34"/>
  <c r="A4708" i="34"/>
  <c r="A4716" i="34"/>
  <c r="A3913" i="34"/>
  <c r="A3919" i="34"/>
  <c r="A3923" i="34"/>
  <c r="A4997" i="34"/>
  <c r="A5015" i="34"/>
  <c r="A4989" i="34"/>
  <c r="A5007" i="34"/>
  <c r="A5021" i="34"/>
  <c r="A5025" i="34"/>
  <c r="A3915" i="34"/>
  <c r="A3921" i="34"/>
  <c r="A4999" i="34"/>
  <c r="A5013" i="34"/>
  <c r="A4991" i="34"/>
  <c r="A5005" i="34"/>
  <c r="A5023" i="34"/>
  <c r="A5093" i="34"/>
  <c r="A5101" i="34"/>
  <c r="A5109" i="34"/>
  <c r="A5117" i="34"/>
  <c r="A4723" i="34"/>
  <c r="A4727" i="34"/>
  <c r="A4731" i="34"/>
  <c r="A4735" i="34"/>
  <c r="A4739" i="34"/>
  <c r="A4743" i="34"/>
  <c r="A4747" i="34"/>
  <c r="A4753" i="34"/>
  <c r="A4765" i="34"/>
  <c r="A4769" i="34"/>
  <c r="A4987" i="34"/>
  <c r="A4995" i="34"/>
  <c r="A5003" i="34"/>
  <c r="A5011" i="34"/>
  <c r="A5019" i="34"/>
  <c r="A4724" i="34"/>
  <c r="A4728" i="34"/>
  <c r="A4732" i="34"/>
  <c r="A4736" i="34"/>
  <c r="A4740" i="34"/>
  <c r="A4744" i="34"/>
  <c r="A4748" i="34"/>
  <c r="A4773" i="34"/>
  <c r="A4777" i="34"/>
  <c r="A5027" i="34"/>
  <c r="A5085" i="34"/>
  <c r="A5091" i="34"/>
  <c r="A5097" i="34"/>
  <c r="A5105" i="34"/>
  <c r="A5113" i="34"/>
  <c r="A4725" i="34"/>
  <c r="A4729" i="34"/>
  <c r="A4733" i="34"/>
  <c r="A4737" i="34"/>
  <c r="A4741" i="34"/>
  <c r="A4745" i="34"/>
  <c r="A4749" i="34"/>
  <c r="A4722" i="34"/>
  <c r="A4726" i="34"/>
  <c r="A4730" i="34"/>
  <c r="A4734" i="34"/>
  <c r="A4738" i="34"/>
  <c r="A4742" i="34"/>
  <c r="A4746" i="34"/>
  <c r="A4750" i="34"/>
  <c r="A4761" i="34"/>
  <c r="A4751" i="34"/>
  <c r="A4755" i="34"/>
  <c r="A4757" i="34"/>
  <c r="A4759" i="34"/>
  <c r="A4767" i="34"/>
  <c r="A4775" i="34"/>
  <c r="A4779" i="34"/>
  <c r="A4780" i="34"/>
  <c r="A4783" i="34"/>
  <c r="A4791" i="34"/>
  <c r="A4795" i="34"/>
  <c r="A4799" i="34"/>
  <c r="A4803" i="34"/>
  <c r="A4807" i="34"/>
  <c r="A4788" i="34"/>
  <c r="A4792" i="34"/>
  <c r="A4796" i="34"/>
  <c r="A4800" i="34"/>
  <c r="A4763" i="34"/>
  <c r="A4771" i="34"/>
  <c r="A4781" i="34"/>
  <c r="A4782" i="34"/>
  <c r="A4786" i="34"/>
  <c r="A4789" i="34"/>
  <c r="A4793" i="34"/>
  <c r="A4797" i="34"/>
  <c r="A4801" i="34"/>
  <c r="A4752" i="34"/>
  <c r="A4766" i="34"/>
  <c r="A4774" i="34"/>
  <c r="A4784" i="34"/>
  <c r="A4790" i="34"/>
  <c r="A4794" i="34"/>
  <c r="A4798" i="34"/>
  <c r="A4802" i="34"/>
  <c r="A4813" i="34"/>
  <c r="A4817" i="34"/>
  <c r="A4825" i="34"/>
  <c r="A4833" i="34"/>
  <c r="A4841" i="34"/>
  <c r="A4848" i="34"/>
  <c r="A4856" i="34"/>
  <c r="A4864" i="34"/>
  <c r="A4900" i="34"/>
  <c r="A4785" i="34"/>
  <c r="A4787" i="34"/>
  <c r="A4809" i="34"/>
  <c r="A4811" i="34"/>
  <c r="A4819" i="34"/>
  <c r="A4821" i="34"/>
  <c r="A4827" i="34"/>
  <c r="A4829" i="34"/>
  <c r="A4835" i="34"/>
  <c r="A4837" i="34"/>
  <c r="A4843" i="34"/>
  <c r="A4845" i="34"/>
  <c r="A4853" i="34"/>
  <c r="A4861" i="34"/>
  <c r="A4876" i="34"/>
  <c r="A4908" i="34"/>
  <c r="A4816" i="34"/>
  <c r="A4824" i="34"/>
  <c r="A4832" i="34"/>
  <c r="A4840" i="34"/>
  <c r="A4852" i="34"/>
  <c r="A4860" i="34"/>
  <c r="A4868" i="34"/>
  <c r="A4884" i="34"/>
  <c r="A4916" i="34"/>
  <c r="A4944" i="34"/>
  <c r="A4948" i="34"/>
  <c r="A4955" i="34"/>
  <c r="A4805" i="34"/>
  <c r="A4815" i="34"/>
  <c r="A4849" i="34"/>
  <c r="A4857" i="34"/>
  <c r="A4892" i="34"/>
  <c r="A4924" i="34"/>
  <c r="A4870" i="34"/>
  <c r="A4880" i="34"/>
  <c r="A4888" i="34"/>
  <c r="A4896" i="34"/>
  <c r="A4904" i="34"/>
  <c r="A4912" i="34"/>
  <c r="A4920" i="34"/>
  <c r="A4823" i="34"/>
  <c r="A4831" i="34"/>
  <c r="A4839" i="34"/>
  <c r="A4847" i="34"/>
  <c r="A4855" i="34"/>
  <c r="A4863" i="34"/>
  <c r="A4869" i="34"/>
  <c r="A4878" i="34"/>
  <c r="A4886" i="34"/>
  <c r="A4894" i="34"/>
  <c r="A4902" i="34"/>
  <c r="A4910" i="34"/>
  <c r="A4918" i="34"/>
  <c r="A4930" i="34"/>
  <c r="A4952" i="34"/>
  <c r="A4851" i="34"/>
  <c r="A4859" i="34"/>
  <c r="A4866" i="34"/>
  <c r="A4874" i="34"/>
  <c r="A4882" i="34"/>
  <c r="A4890" i="34"/>
  <c r="A4898" i="34"/>
  <c r="A4906" i="34"/>
  <c r="A4914" i="34"/>
  <c r="A4922" i="34"/>
  <c r="A4928" i="34"/>
  <c r="A4933" i="34"/>
  <c r="A4872" i="34"/>
  <c r="A4925" i="34"/>
  <c r="A4932" i="34"/>
  <c r="A4936" i="34"/>
  <c r="A4938" i="34"/>
  <c r="A4940" i="34"/>
  <c r="A4942" i="34"/>
  <c r="A4946" i="34"/>
  <c r="A4950" i="34"/>
  <c r="A4926" i="34"/>
  <c r="A4934" i="34"/>
  <c r="A4935" i="34"/>
  <c r="A4963" i="34"/>
  <c r="A4971" i="34"/>
  <c r="A4979" i="34"/>
  <c r="A4953" i="34"/>
  <c r="A4957" i="34"/>
  <c r="A4959" i="34"/>
  <c r="A4965" i="34"/>
  <c r="A4977" i="34"/>
  <c r="A4985" i="34"/>
  <c r="A4967" i="34"/>
  <c r="A4975" i="34"/>
  <c r="A4983" i="34"/>
  <c r="A4961" i="34"/>
  <c r="A4969" i="34"/>
  <c r="A4973" i="34"/>
  <c r="A4981" i="34"/>
  <c r="A3897" i="34"/>
  <c r="A3905" i="34"/>
  <c r="A3910" i="34"/>
  <c r="A3916" i="34"/>
  <c r="A3895" i="34"/>
  <c r="A3903" i="34"/>
  <c r="A3908" i="34"/>
  <c r="A3914" i="34"/>
  <c r="A3893" i="34"/>
  <c r="A3901" i="34"/>
  <c r="A3899" i="34"/>
  <c r="A3894" i="34"/>
  <c r="A3896" i="34"/>
  <c r="A3898" i="34"/>
  <c r="A3900" i="34"/>
  <c r="A3902" i="34"/>
  <c r="A3904" i="34"/>
  <c r="A3906" i="34"/>
  <c r="A3924" i="34"/>
  <c r="A4992" i="34"/>
  <c r="A5000" i="34"/>
  <c r="A5008" i="34"/>
  <c r="A5016" i="34"/>
  <c r="A5024" i="34"/>
  <c r="A3926" i="34"/>
  <c r="A4994" i="34"/>
  <c r="A5006" i="34"/>
  <c r="A5014" i="34"/>
  <c r="A5022" i="34"/>
  <c r="A3912" i="34"/>
  <c r="A4988" i="34"/>
  <c r="A4996" i="34"/>
  <c r="A5004" i="34"/>
  <c r="A5012" i="34"/>
  <c r="A5020" i="34"/>
  <c r="A3909" i="34"/>
  <c r="A3918" i="34"/>
  <c r="A3920" i="34"/>
  <c r="A3922" i="34"/>
  <c r="A4990" i="34"/>
  <c r="A4998" i="34"/>
  <c r="A5002" i="34"/>
  <c r="A5010" i="34"/>
  <c r="A5018" i="34"/>
  <c r="A5026" i="34"/>
  <c r="A5028" i="34"/>
  <c r="A5035" i="34"/>
  <c r="A5041" i="34"/>
  <c r="A5042" i="34"/>
  <c r="A5045" i="34"/>
  <c r="A5046" i="34"/>
  <c r="A5049" i="34"/>
  <c r="A5050" i="34"/>
  <c r="A5052" i="34"/>
  <c r="A5060" i="34"/>
  <c r="A5068" i="34"/>
  <c r="A5076" i="34"/>
  <c r="A5084" i="34"/>
  <c r="A5033" i="34"/>
  <c r="A5058" i="34"/>
  <c r="A5066" i="34"/>
  <c r="A5074" i="34"/>
  <c r="A5082" i="34"/>
  <c r="A5031" i="34"/>
  <c r="A5039" i="34"/>
  <c r="A5040" i="34"/>
  <c r="A5043" i="34"/>
  <c r="A5044" i="34"/>
  <c r="A5047" i="34"/>
  <c r="A5048" i="34"/>
  <c r="A5056" i="34"/>
  <c r="A5064" i="34"/>
  <c r="A5072" i="34"/>
  <c r="A5080" i="34"/>
  <c r="A5030" i="34"/>
  <c r="A5037" i="34"/>
  <c r="A5054" i="34"/>
  <c r="A5062" i="34"/>
  <c r="A5070" i="34"/>
  <c r="A5078" i="34"/>
  <c r="A5086" i="34"/>
  <c r="A5051" i="34"/>
  <c r="A5053" i="34"/>
  <c r="A5055" i="34"/>
  <c r="A5057" i="34"/>
  <c r="A5059" i="34"/>
  <c r="A5061" i="34"/>
  <c r="A5063" i="34"/>
  <c r="A5065" i="34"/>
  <c r="A5067" i="34"/>
  <c r="A5069" i="34"/>
  <c r="A5071" i="34"/>
  <c r="A5073" i="34"/>
  <c r="A5075" i="34"/>
  <c r="A5077" i="34"/>
  <c r="A5079" i="34"/>
  <c r="A5081" i="34"/>
  <c r="A5083" i="34"/>
  <c r="A5110" i="34"/>
  <c r="A5114" i="34"/>
  <c r="A5118" i="34"/>
  <c r="A5090" i="34"/>
  <c r="A5032" i="34"/>
  <c r="A5034" i="34"/>
  <c r="A5036" i="34"/>
  <c r="A5038" i="34"/>
  <c r="A5088" i="34"/>
  <c r="A5092" i="34"/>
  <c r="A5094" i="34"/>
  <c r="A5096" i="34"/>
  <c r="A5098" i="34"/>
  <c r="A5100" i="34"/>
  <c r="A5102" i="34"/>
  <c r="A5104" i="34"/>
  <c r="A5106" i="34"/>
  <c r="A5108" i="34"/>
  <c r="A5112" i="34"/>
  <c r="A5116" i="34"/>
  <c r="A5120" i="34"/>
  <c r="A3542" i="34"/>
  <c r="A3562" i="34"/>
  <c r="A3546" i="34"/>
  <c r="A3524" i="34"/>
  <c r="A3554" i="34"/>
  <c r="A3566" i="34"/>
  <c r="A3599" i="34"/>
  <c r="A3534" i="34"/>
  <c r="A3526" i="34"/>
  <c r="A3540" i="34"/>
  <c r="A3558" i="34"/>
  <c r="A3564" i="34"/>
  <c r="A3532" i="34"/>
  <c r="A3702" i="34"/>
  <c r="A3718" i="34"/>
  <c r="A3750" i="34"/>
  <c r="A3824" i="34"/>
  <c r="A3530" i="34"/>
  <c r="A3568" i="34"/>
  <c r="A3742" i="34"/>
  <c r="A3854" i="34"/>
  <c r="A3522" i="34"/>
  <c r="A3552" i="34"/>
  <c r="A3882" i="34"/>
  <c r="A3734" i="34"/>
  <c r="A3846" i="34"/>
  <c r="A3576" i="34"/>
  <c r="A3704" i="34"/>
  <c r="A3726" i="34"/>
  <c r="A3758" i="34"/>
  <c r="A3838" i="34"/>
  <c r="A3538" i="34"/>
  <c r="A3550" i="34"/>
  <c r="A3716" i="34"/>
  <c r="A3724" i="34"/>
  <c r="A3732" i="34"/>
  <c r="A3740" i="34"/>
  <c r="A3748" i="34"/>
  <c r="A3756" i="34"/>
  <c r="A3836" i="34"/>
  <c r="A3844" i="34"/>
  <c r="A3852" i="34"/>
  <c r="A3528" i="34"/>
  <c r="A3536" i="34"/>
  <c r="A3544" i="34"/>
  <c r="A3582" i="34"/>
  <c r="A3611" i="34"/>
  <c r="A3656" i="34"/>
  <c r="A3670" i="34"/>
  <c r="A3684" i="34"/>
  <c r="A3580" i="34"/>
  <c r="A3617" i="34"/>
  <c r="A3621" i="34"/>
  <c r="A3625" i="34"/>
  <c r="A3629" i="34"/>
  <c r="A3633" i="34"/>
  <c r="A3637" i="34"/>
  <c r="A3641" i="34"/>
  <c r="A3660" i="34"/>
  <c r="A3678" i="34"/>
  <c r="A3603" i="34"/>
  <c r="A3609" i="34"/>
  <c r="A3668" i="34"/>
  <c r="A3686" i="34"/>
  <c r="A3560" i="34"/>
  <c r="A3619" i="34"/>
  <c r="A3623" i="34"/>
  <c r="A3627" i="34"/>
  <c r="A3631" i="34"/>
  <c r="A3635" i="34"/>
  <c r="A3639" i="34"/>
  <c r="A3643" i="34"/>
  <c r="A3662" i="34"/>
  <c r="A3676" i="34"/>
  <c r="A3613" i="34"/>
  <c r="A3647" i="34"/>
  <c r="A3649" i="34"/>
  <c r="A3651" i="34"/>
  <c r="A3653" i="34"/>
  <c r="A3666" i="34"/>
  <c r="A3674" i="34"/>
  <c r="A3682" i="34"/>
  <c r="A3870" i="34"/>
  <c r="A3862" i="34"/>
  <c r="A3874" i="34"/>
  <c r="A3525" i="34"/>
  <c r="A3533" i="34"/>
  <c r="A3541" i="34"/>
  <c r="A3549" i="34"/>
  <c r="A3557" i="34"/>
  <c r="A3565" i="34"/>
  <c r="A3858" i="34"/>
  <c r="A3866" i="34"/>
  <c r="A3878" i="34"/>
  <c r="A3527" i="34"/>
  <c r="A3535" i="34"/>
  <c r="A3547" i="34"/>
  <c r="A3555" i="34"/>
  <c r="A3563" i="34"/>
  <c r="A3529" i="34"/>
  <c r="A3537" i="34"/>
  <c r="A3545" i="34"/>
  <c r="A3553" i="34"/>
  <c r="A3561" i="34"/>
  <c r="A3579" i="34"/>
  <c r="A3581" i="34"/>
  <c r="A3521" i="34"/>
  <c r="A3523" i="34"/>
  <c r="A3531" i="34"/>
  <c r="A3539" i="34"/>
  <c r="A3543" i="34"/>
  <c r="A3551" i="34"/>
  <c r="A3559" i="34"/>
  <c r="A3571" i="34"/>
  <c r="A3573" i="34"/>
  <c r="A3590" i="34"/>
  <c r="A3583" i="34"/>
  <c r="A3588" i="34"/>
  <c r="A3598" i="34"/>
  <c r="A3569" i="34"/>
  <c r="A3577" i="34"/>
  <c r="A3584" i="34"/>
  <c r="A3586" i="34"/>
  <c r="A3594" i="34"/>
  <c r="A3567" i="34"/>
  <c r="A3575" i="34"/>
  <c r="A3585" i="34"/>
  <c r="A3592" i="34"/>
  <c r="A3602" i="34"/>
  <c r="A3587" i="34"/>
  <c r="A3589" i="34"/>
  <c r="A3591" i="34"/>
  <c r="A3593" i="34"/>
  <c r="A3595" i="34"/>
  <c r="A3646" i="34"/>
  <c r="A3600" i="34"/>
  <c r="A3606" i="34"/>
  <c r="A3608" i="34"/>
  <c r="A3610" i="34"/>
  <c r="A3612" i="34"/>
  <c r="A3614" i="34"/>
  <c r="A3616" i="34"/>
  <c r="A3618" i="34"/>
  <c r="A3620" i="34"/>
  <c r="A3622" i="34"/>
  <c r="A3624" i="34"/>
  <c r="A3626" i="34"/>
  <c r="A3628" i="34"/>
  <c r="A3630" i="34"/>
  <c r="A3644" i="34"/>
  <c r="A3663" i="34"/>
  <c r="A3596" i="34"/>
  <c r="A3661" i="34"/>
  <c r="A3604" i="34"/>
  <c r="A3632" i="34"/>
  <c r="A3659" i="34"/>
  <c r="A3634" i="34"/>
  <c r="A3636" i="34"/>
  <c r="A3638" i="34"/>
  <c r="A3640" i="34"/>
  <c r="A3642" i="34"/>
  <c r="A3648" i="34"/>
  <c r="A3650" i="34"/>
  <c r="A3652" i="34"/>
  <c r="A3654" i="34"/>
  <c r="A3669" i="34"/>
  <c r="A3681" i="34"/>
  <c r="A3657" i="34"/>
  <c r="A3671" i="34"/>
  <c r="A3679" i="34"/>
  <c r="A3687" i="34"/>
  <c r="A3655" i="34"/>
  <c r="A3665" i="34"/>
  <c r="A3673" i="34"/>
  <c r="A3677" i="34"/>
  <c r="A3685" i="34"/>
  <c r="A3667" i="34"/>
  <c r="A3675" i="34"/>
  <c r="A3683" i="34"/>
  <c r="A3864" i="34"/>
  <c r="A3692" i="34"/>
  <c r="A3713" i="34"/>
  <c r="A3690" i="34"/>
  <c r="A3698" i="34"/>
  <c r="A3707" i="34"/>
  <c r="A3709" i="34"/>
  <c r="A3860" i="34"/>
  <c r="A3868" i="34"/>
  <c r="A3696" i="34"/>
  <c r="A3699" i="34"/>
  <c r="A3701" i="34"/>
  <c r="A3694" i="34"/>
  <c r="A3715" i="34"/>
  <c r="A3872" i="34"/>
  <c r="A3876" i="34"/>
  <c r="A3880" i="34"/>
  <c r="A3717" i="34"/>
  <c r="A3725" i="34"/>
  <c r="A3733" i="34"/>
  <c r="A3737" i="34"/>
  <c r="A3745" i="34"/>
  <c r="A3753" i="34"/>
  <c r="A3761" i="34"/>
  <c r="A3884" i="34"/>
  <c r="A3689" i="34"/>
  <c r="A3691" i="34"/>
  <c r="A3693" i="34"/>
  <c r="A3695" i="34"/>
  <c r="A3697" i="34"/>
  <c r="A3719" i="34"/>
  <c r="A3727" i="34"/>
  <c r="A3735" i="34"/>
  <c r="A3743" i="34"/>
  <c r="A3751" i="34"/>
  <c r="A3759" i="34"/>
  <c r="A3705" i="34"/>
  <c r="A3721" i="34"/>
  <c r="A3729" i="34"/>
  <c r="A3741" i="34"/>
  <c r="A3749" i="34"/>
  <c r="A3757" i="34"/>
  <c r="A3703" i="34"/>
  <c r="A3711" i="34"/>
  <c r="A3723" i="34"/>
  <c r="A3731" i="34"/>
  <c r="A3739" i="34"/>
  <c r="A3747" i="34"/>
  <c r="A3755" i="34"/>
  <c r="A3763" i="34"/>
  <c r="A3769" i="34"/>
  <c r="A3775" i="34"/>
  <c r="A3779" i="34"/>
  <c r="A3783" i="34"/>
  <c r="A3787" i="34"/>
  <c r="A3791" i="34"/>
  <c r="A3795" i="34"/>
  <c r="A3767" i="34"/>
  <c r="A3772" i="34"/>
  <c r="A3776" i="34"/>
  <c r="A3780" i="34"/>
  <c r="A3784" i="34"/>
  <c r="A3788" i="34"/>
  <c r="A3765" i="34"/>
  <c r="A3773" i="34"/>
  <c r="A3777" i="34"/>
  <c r="A3781" i="34"/>
  <c r="A3785" i="34"/>
  <c r="A3789" i="34"/>
  <c r="A3793" i="34"/>
  <c r="A3771" i="34"/>
  <c r="A3774" i="34"/>
  <c r="A3778" i="34"/>
  <c r="A3782" i="34"/>
  <c r="A3786" i="34"/>
  <c r="A3807" i="34"/>
  <c r="A3815" i="34"/>
  <c r="A3827" i="34"/>
  <c r="A3829" i="34"/>
  <c r="A3849" i="34"/>
  <c r="A3790" i="34"/>
  <c r="A3792" i="34"/>
  <c r="A3794" i="34"/>
  <c r="A3805" i="34"/>
  <c r="A3813" i="34"/>
  <c r="A3821" i="34"/>
  <c r="A3833" i="34"/>
  <c r="A3803" i="34"/>
  <c r="A3811" i="34"/>
  <c r="A3819" i="34"/>
  <c r="A3825" i="34"/>
  <c r="A3828" i="34"/>
  <c r="A3841" i="34"/>
  <c r="A3796" i="34"/>
  <c r="A3798" i="34"/>
  <c r="A3800" i="34"/>
  <c r="A3808" i="34"/>
  <c r="A3809" i="34"/>
  <c r="A3816" i="34"/>
  <c r="A3817" i="34"/>
  <c r="A3835" i="34"/>
  <c r="A3843" i="34"/>
  <c r="A3847" i="34"/>
  <c r="A3855" i="34"/>
  <c r="A3823" i="34"/>
  <c r="A3831" i="34"/>
  <c r="A3837" i="34"/>
  <c r="A3845" i="34"/>
  <c r="A3853" i="34"/>
  <c r="A3839" i="34"/>
  <c r="A3851" i="34"/>
  <c r="A3857" i="34"/>
  <c r="A3861" i="34"/>
  <c r="A3865" i="34"/>
  <c r="A3869" i="34"/>
  <c r="A3873" i="34"/>
  <c r="A3877" i="34"/>
  <c r="A3881" i="34"/>
  <c r="A3859" i="34"/>
  <c r="A3863" i="34"/>
  <c r="A3867" i="34"/>
  <c r="A3871" i="34"/>
  <c r="A3875" i="34"/>
  <c r="A3879" i="34"/>
  <c r="A3883" i="34"/>
  <c r="A3885" i="34"/>
  <c r="A3889" i="34"/>
  <c r="A3886" i="34"/>
  <c r="A3890" i="34"/>
  <c r="A3887" i="34"/>
  <c r="A3891" i="34"/>
  <c r="A3888" i="34"/>
  <c r="A3892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546" i="34"/>
  <c r="C2546" i="34"/>
  <c r="B2546" i="34" s="1"/>
  <c r="Q19" i="60"/>
  <c r="B46" i="55" l="1"/>
  <c r="A45" i="55"/>
  <c r="B47" i="55" l="1"/>
  <c r="A46" i="55"/>
  <c r="K2543" i="34"/>
  <c r="K2544" i="34"/>
  <c r="K2545" i="34"/>
  <c r="K2547" i="34"/>
  <c r="K2548" i="34"/>
  <c r="K2549" i="34"/>
  <c r="K2557" i="34"/>
  <c r="K2558" i="34"/>
  <c r="K2564" i="34"/>
  <c r="K2565" i="34"/>
  <c r="K2566" i="34"/>
  <c r="K2542" i="34"/>
  <c r="L15" i="64"/>
  <c r="L16" i="64"/>
  <c r="L17" i="64"/>
  <c r="L18" i="64"/>
  <c r="J18" i="64"/>
  <c r="J17" i="64"/>
  <c r="B48" i="55" l="1"/>
  <c r="A47" i="55"/>
  <c r="K2519" i="34"/>
  <c r="F2519" i="34"/>
  <c r="C2519" i="34"/>
  <c r="B2519" i="34" s="1"/>
  <c r="C2518" i="34"/>
  <c r="B2518" i="34" s="1"/>
  <c r="C2517" i="34"/>
  <c r="B2517" i="34" s="1"/>
  <c r="K2251" i="34"/>
  <c r="F2251" i="34"/>
  <c r="C2251" i="34"/>
  <c r="B2251" i="34" s="1"/>
  <c r="C2250" i="34"/>
  <c r="B2250" i="34" s="1"/>
  <c r="C2249" i="34"/>
  <c r="B2249" i="34" s="1"/>
  <c r="K2051" i="34"/>
  <c r="F2051" i="34"/>
  <c r="C2051" i="34"/>
  <c r="B2051" i="34" s="1"/>
  <c r="C2050" i="34"/>
  <c r="B2050" i="34" s="1"/>
  <c r="C2049" i="34"/>
  <c r="B2049" i="34" s="1"/>
  <c r="K1793" i="34"/>
  <c r="F1793" i="34"/>
  <c r="C1793" i="34"/>
  <c r="B1793" i="34" s="1"/>
  <c r="C1792" i="34"/>
  <c r="B1792" i="34" s="1"/>
  <c r="C1791" i="34"/>
  <c r="B1791" i="34" s="1"/>
  <c r="K1589" i="34"/>
  <c r="F1589" i="34"/>
  <c r="C1589" i="34"/>
  <c r="B1589" i="34" s="1"/>
  <c r="C1588" i="34"/>
  <c r="B1588" i="34" s="1"/>
  <c r="C1587" i="34"/>
  <c r="B1587" i="34" s="1"/>
  <c r="K1354" i="34"/>
  <c r="F1354" i="34"/>
  <c r="C1354" i="34"/>
  <c r="B1354" i="34" s="1"/>
  <c r="C1353" i="34"/>
  <c r="B1353" i="34" s="1"/>
  <c r="C1352" i="34"/>
  <c r="B1352" i="34" s="1"/>
  <c r="K1117" i="34"/>
  <c r="F1117" i="34"/>
  <c r="C1117" i="34"/>
  <c r="B1117" i="34" s="1"/>
  <c r="C1116" i="34"/>
  <c r="B1116" i="34" s="1"/>
  <c r="C1115" i="34"/>
  <c r="B1115" i="34" s="1"/>
  <c r="K816" i="34"/>
  <c r="F816" i="34"/>
  <c r="C816" i="34"/>
  <c r="B816" i="34" s="1"/>
  <c r="C815" i="34"/>
  <c r="B815" i="34" s="1"/>
  <c r="C814" i="34"/>
  <c r="B814" i="34" s="1"/>
  <c r="K558" i="34"/>
  <c r="F558" i="34"/>
  <c r="C558" i="34"/>
  <c r="B558" i="34" s="1"/>
  <c r="C557" i="34"/>
  <c r="B557" i="34" s="1"/>
  <c r="C556" i="34"/>
  <c r="B556" i="34" s="1"/>
  <c r="K376" i="34"/>
  <c r="F376" i="34"/>
  <c r="C376" i="34"/>
  <c r="B376" i="34" s="1"/>
  <c r="C375" i="34"/>
  <c r="B375" i="34" s="1"/>
  <c r="C374" i="34"/>
  <c r="B374" i="34" s="1"/>
  <c r="K226" i="34"/>
  <c r="F226" i="34"/>
  <c r="C226" i="34"/>
  <c r="B226" i="34" s="1"/>
  <c r="C225" i="34"/>
  <c r="B225" i="34" s="1"/>
  <c r="C224" i="34"/>
  <c r="B224" i="34" s="1"/>
  <c r="K146" i="34"/>
  <c r="F146" i="34"/>
  <c r="C146" i="34"/>
  <c r="B146" i="34" s="1"/>
  <c r="C145" i="34"/>
  <c r="B145" i="34" s="1"/>
  <c r="C144" i="34"/>
  <c r="B144" i="34" s="1"/>
  <c r="C1805" i="34"/>
  <c r="B1805" i="34" s="1"/>
  <c r="C1135" i="34"/>
  <c r="B1135" i="34" s="1"/>
  <c r="C395" i="34"/>
  <c r="B395" i="34" s="1"/>
  <c r="C22" i="34"/>
  <c r="B22" i="34" s="1"/>
  <c r="B49" i="55" l="1"/>
  <c r="A48" i="55"/>
  <c r="A49" i="55" l="1"/>
  <c r="B50" i="55"/>
  <c r="C1538" i="34"/>
  <c r="B1538" i="34" s="1"/>
  <c r="K1540" i="34"/>
  <c r="K1539" i="34" s="1"/>
  <c r="C1540" i="34"/>
  <c r="B1540" i="34" s="1"/>
  <c r="A7" i="12"/>
  <c r="C1450" i="34"/>
  <c r="B1450" i="34" s="1"/>
  <c r="A50" i="55" l="1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199" i="34"/>
  <c r="B199" i="34" s="1"/>
  <c r="A52" i="55" l="1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1339" i="34"/>
  <c r="C1339" i="34"/>
  <c r="B1339" i="34" s="1"/>
  <c r="K1338" i="34"/>
  <c r="C1338" i="34"/>
  <c r="B1338" i="34" s="1"/>
  <c r="K1337" i="34"/>
  <c r="C1337" i="34"/>
  <c r="B1337" i="34" s="1"/>
  <c r="K1336" i="34"/>
  <c r="C1336" i="34"/>
  <c r="B1336" i="34" s="1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123" i="34"/>
  <c r="C1123" i="34"/>
  <c r="B1123" i="34" s="1"/>
  <c r="K1122" i="34"/>
  <c r="C1122" i="34"/>
  <c r="B1122" i="34" s="1"/>
  <c r="K1121" i="34"/>
  <c r="C1121" i="34"/>
  <c r="B1121" i="34" s="1"/>
  <c r="B54" i="55" l="1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53" i="34"/>
  <c r="B153" i="34" s="1"/>
  <c r="A58" i="70"/>
  <c r="A57" i="55" l="1"/>
  <c r="B58" i="55"/>
  <c r="A58" i="55" l="1"/>
  <c r="B59" i="55"/>
  <c r="A59" i="55" l="1"/>
  <c r="B60" i="55"/>
  <c r="C1898" i="34"/>
  <c r="B1898" i="34" s="1"/>
  <c r="C2244" i="34"/>
  <c r="B2244" i="34" s="1"/>
  <c r="C2247" i="34"/>
  <c r="B2247" i="34" s="1"/>
  <c r="C2148" i="34"/>
  <c r="B2148" i="34" s="1"/>
  <c r="A60" i="55" l="1"/>
  <c r="B61" i="55"/>
  <c r="A61" i="55" l="1"/>
  <c r="B62" i="55"/>
  <c r="K1758" i="34"/>
  <c r="C901" i="34"/>
  <c r="B901" i="34" s="1"/>
  <c r="C889" i="34"/>
  <c r="B889" i="34" s="1"/>
  <c r="C886" i="34"/>
  <c r="B886" i="34" s="1"/>
  <c r="C876" i="34"/>
  <c r="B876" i="34" s="1"/>
  <c r="C868" i="34"/>
  <c r="B868" i="34" s="1"/>
  <c r="C786" i="34"/>
  <c r="B786" i="34" s="1"/>
  <c r="C781" i="34"/>
  <c r="B781" i="34" s="1"/>
  <c r="C770" i="34"/>
  <c r="B770" i="34" s="1"/>
  <c r="C718" i="34"/>
  <c r="B718" i="34" s="1"/>
  <c r="C686" i="34"/>
  <c r="B686" i="34" s="1"/>
  <c r="C627" i="34"/>
  <c r="B627" i="34" s="1"/>
  <c r="C624" i="34"/>
  <c r="B624" i="34" s="1"/>
  <c r="C619" i="34"/>
  <c r="B619" i="34" s="1"/>
  <c r="C608" i="34"/>
  <c r="B608" i="34" s="1"/>
  <c r="C605" i="34"/>
  <c r="B605" i="34" s="1"/>
  <c r="A62" i="55" l="1"/>
  <c r="B63" i="55"/>
  <c r="A63" i="55" l="1"/>
  <c r="B64" i="55"/>
  <c r="A64" i="55" l="1"/>
  <c r="B65" i="55"/>
  <c r="C349" i="34"/>
  <c r="B349" i="34" s="1"/>
  <c r="C327" i="34"/>
  <c r="B327" i="34" s="1"/>
  <c r="A65" i="55" l="1"/>
  <c r="B66" i="55"/>
  <c r="C1465" i="34"/>
  <c r="C1508" i="34"/>
  <c r="C1509" i="34"/>
  <c r="C1723" i="34"/>
  <c r="C1724" i="34"/>
  <c r="C1751" i="34"/>
  <c r="C1752" i="34"/>
  <c r="C1753" i="34"/>
  <c r="C1982" i="34"/>
  <c r="C1983" i="34"/>
  <c r="C1984" i="34"/>
  <c r="C2174" i="34"/>
  <c r="C2175" i="34"/>
  <c r="C2225" i="34"/>
  <c r="C2226" i="34"/>
  <c r="C2450" i="34"/>
  <c r="C2451" i="34"/>
  <c r="C2458" i="34"/>
  <c r="C2459" i="34"/>
  <c r="C2460" i="34"/>
  <c r="C2542" i="34"/>
  <c r="C2543" i="34"/>
  <c r="C2544" i="34"/>
  <c r="C2545" i="34"/>
  <c r="C2547" i="34"/>
  <c r="C2548" i="34"/>
  <c r="C2549" i="34"/>
  <c r="C2557" i="34"/>
  <c r="C2558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D41" i="15"/>
  <c r="C41" i="15"/>
  <c r="A66" i="55" l="1"/>
  <c r="B67" i="55"/>
  <c r="C943" i="34"/>
  <c r="C944" i="34"/>
  <c r="C964" i="34"/>
  <c r="C965" i="34"/>
  <c r="C966" i="34"/>
  <c r="C967" i="34"/>
  <c r="C968" i="34"/>
  <c r="C1283" i="34"/>
  <c r="C1284" i="34"/>
  <c r="C1427" i="34"/>
  <c r="C1428" i="34"/>
  <c r="C1429" i="34"/>
  <c r="C1430" i="34"/>
  <c r="C1431" i="34"/>
  <c r="C1432" i="34"/>
  <c r="C1433" i="34"/>
  <c r="C1463" i="34"/>
  <c r="C1464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941" i="34"/>
  <c r="C942" i="34"/>
  <c r="C720" i="34"/>
  <c r="C714" i="34"/>
  <c r="C710" i="34"/>
  <c r="C711" i="34"/>
  <c r="C712" i="34"/>
  <c r="C713" i="34"/>
  <c r="B68" i="55" l="1"/>
  <c r="A67" i="55"/>
  <c r="C370" i="34"/>
  <c r="C371" i="34"/>
  <c r="C372" i="34"/>
  <c r="C373" i="34"/>
  <c r="C394" i="34"/>
  <c r="C534" i="34"/>
  <c r="C582" i="34"/>
  <c r="C583" i="34"/>
  <c r="C584" i="34"/>
  <c r="C585" i="34"/>
  <c r="C586" i="34"/>
  <c r="C587" i="34"/>
  <c r="C704" i="34"/>
  <c r="C705" i="34"/>
  <c r="C706" i="34"/>
  <c r="C707" i="34"/>
  <c r="C708" i="34"/>
  <c r="C709" i="34"/>
  <c r="O11" i="34"/>
  <c r="O12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F40" i="55"/>
  <c r="F41" i="55" s="1"/>
  <c r="J1261" i="60" l="1"/>
  <c r="A73" i="55"/>
  <c r="B74" i="55"/>
  <c r="Q937" i="60"/>
  <c r="Q608" i="60"/>
  <c r="Q611" i="60" s="1"/>
  <c r="Q208" i="60"/>
  <c r="J544" i="60"/>
  <c r="A5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1582" i="34"/>
  <c r="K1581" i="34"/>
  <c r="K1580" i="34"/>
  <c r="K1897" i="34"/>
  <c r="K2435" i="34"/>
  <c r="K1480" i="34"/>
  <c r="K1769" i="34"/>
  <c r="K1686" i="34"/>
  <c r="K1687" i="34"/>
  <c r="K1688" i="34"/>
  <c r="K1623" i="34"/>
  <c r="K1624" i="34"/>
  <c r="K1630" i="34"/>
  <c r="K1481" i="34"/>
  <c r="K1701" i="34"/>
  <c r="K2219" i="34"/>
  <c r="K2218" i="34"/>
  <c r="K1773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243" i="34"/>
  <c r="K1966" i="34"/>
  <c r="K2201" i="34"/>
  <c r="K2200" i="34"/>
  <c r="K1010" i="34"/>
  <c r="K1011" i="34"/>
  <c r="K1008" i="34"/>
  <c r="C1008" i="34"/>
  <c r="B1008" i="34" s="1"/>
  <c r="K1047" i="34"/>
  <c r="C1047" i="34"/>
  <c r="B1047" i="34" s="1"/>
  <c r="K1040" i="34"/>
  <c r="C1040" i="34"/>
  <c r="B1040" i="34" s="1"/>
  <c r="K1041" i="34"/>
  <c r="K1046" i="34"/>
  <c r="K1007" i="34"/>
  <c r="K1085" i="34"/>
  <c r="K2010" i="34"/>
  <c r="C2010" i="34"/>
  <c r="B2010" i="34" s="1"/>
  <c r="I2009" i="34"/>
  <c r="K2009" i="34" s="1"/>
  <c r="K2392" i="34"/>
  <c r="K1038" i="34"/>
  <c r="K2198" i="34"/>
  <c r="K2246" i="34"/>
  <c r="K2097" i="34"/>
  <c r="K2043" i="34"/>
  <c r="K2017" i="34"/>
  <c r="K1914" i="34"/>
  <c r="C2501" i="34"/>
  <c r="B2501" i="34" s="1"/>
  <c r="C2500" i="34"/>
  <c r="B2500" i="34" s="1"/>
  <c r="K2499" i="34"/>
  <c r="C2499" i="34"/>
  <c r="B2499" i="34" s="1"/>
  <c r="C2265" i="34"/>
  <c r="B2265" i="34" s="1"/>
  <c r="C2264" i="34"/>
  <c r="B2264" i="34" s="1"/>
  <c r="C2139" i="34"/>
  <c r="B2139" i="34" s="1"/>
  <c r="C2138" i="34"/>
  <c r="B2138" i="34" s="1"/>
  <c r="K2137" i="34"/>
  <c r="C2137" i="34"/>
  <c r="B2137" i="34" s="1"/>
  <c r="C1936" i="34"/>
  <c r="B1936" i="34" s="1"/>
  <c r="C1935" i="34"/>
  <c r="B1935" i="34" s="1"/>
  <c r="C1913" i="34"/>
  <c r="B1913" i="34" s="1"/>
  <c r="C1912" i="34"/>
  <c r="B1912" i="34" s="1"/>
  <c r="K1620" i="34"/>
  <c r="K1627" i="34"/>
  <c r="K1635" i="34"/>
  <c r="K2146" i="34"/>
  <c r="K1756" i="34"/>
  <c r="C1848" i="34"/>
  <c r="B1848" i="34" s="1"/>
  <c r="C1847" i="34"/>
  <c r="B1847" i="34" s="1"/>
  <c r="K1846" i="34"/>
  <c r="C1846" i="34"/>
  <c r="B1846" i="34" s="1"/>
  <c r="C1906" i="34"/>
  <c r="B1906" i="34" s="1"/>
  <c r="C1905" i="34"/>
  <c r="B1905" i="34" s="1"/>
  <c r="C1685" i="34"/>
  <c r="B1685" i="34" s="1"/>
  <c r="C1684" i="34"/>
  <c r="B1684" i="34" s="1"/>
  <c r="C1596" i="34"/>
  <c r="B1596" i="34" s="1"/>
  <c r="C1595" i="34"/>
  <c r="B1595" i="34" s="1"/>
  <c r="C1594" i="34"/>
  <c r="B1594" i="34" s="1"/>
  <c r="C1593" i="34"/>
  <c r="B1593" i="34" s="1"/>
  <c r="C1570" i="34"/>
  <c r="B1570" i="34" s="1"/>
  <c r="C1569" i="34"/>
  <c r="B1569" i="34" s="1"/>
  <c r="K1568" i="34"/>
  <c r="C1568" i="34"/>
  <c r="B1568" i="34" s="1"/>
  <c r="C1541" i="34"/>
  <c r="B1541" i="34" s="1"/>
  <c r="C1539" i="34"/>
  <c r="B1539" i="34" s="1"/>
  <c r="K1536" i="34"/>
  <c r="C1386" i="34"/>
  <c r="B1386" i="34" s="1"/>
  <c r="I1384" i="34"/>
  <c r="K1190" i="34"/>
  <c r="C1158" i="34"/>
  <c r="B1158" i="34" s="1"/>
  <c r="C1157" i="34"/>
  <c r="B1157" i="34" s="1"/>
  <c r="C1055" i="34"/>
  <c r="B1055" i="34" s="1"/>
  <c r="C1054" i="34"/>
  <c r="B1054" i="34" s="1"/>
  <c r="C963" i="34"/>
  <c r="B963" i="34" s="1"/>
  <c r="C962" i="34"/>
  <c r="B962" i="34" s="1"/>
  <c r="K959" i="34"/>
  <c r="K1078" i="34"/>
  <c r="K1132" i="34"/>
  <c r="K1187" i="34"/>
  <c r="K1350" i="34"/>
  <c r="K1387" i="34"/>
  <c r="K1448" i="34"/>
  <c r="K1498" i="34"/>
  <c r="K1505" i="34"/>
  <c r="K1533" i="34"/>
  <c r="K1565" i="34"/>
  <c r="K1577" i="34"/>
  <c r="K1584" i="34"/>
  <c r="K1590" i="34"/>
  <c r="K1720" i="34"/>
  <c r="K938" i="34"/>
  <c r="C918" i="34"/>
  <c r="B918" i="34" s="1"/>
  <c r="C915" i="34"/>
  <c r="B915" i="34" s="1"/>
  <c r="K875" i="34"/>
  <c r="K885" i="34"/>
  <c r="K888" i="34"/>
  <c r="K900" i="34"/>
  <c r="K913" i="34"/>
  <c r="K916" i="34"/>
  <c r="K866" i="34"/>
  <c r="K811" i="34"/>
  <c r="K778" i="34"/>
  <c r="K777" i="34"/>
  <c r="C777" i="34"/>
  <c r="B777" i="34" s="1"/>
  <c r="K767" i="34"/>
  <c r="K766" i="34"/>
  <c r="C766" i="34"/>
  <c r="B766" i="34" s="1"/>
  <c r="K764" i="34"/>
  <c r="K769" i="34"/>
  <c r="K780" i="34"/>
  <c r="K785" i="34"/>
  <c r="K623" i="34"/>
  <c r="K626" i="34"/>
  <c r="K685" i="34"/>
  <c r="K717" i="34"/>
  <c r="K617" i="34"/>
  <c r="K610" i="34"/>
  <c r="K609" i="34"/>
  <c r="K606" i="34"/>
  <c r="K608" i="34" s="1"/>
  <c r="K593" i="34"/>
  <c r="K592" i="34"/>
  <c r="K591" i="34"/>
  <c r="K588" i="34"/>
  <c r="K603" i="34"/>
  <c r="K580" i="34"/>
  <c r="K553" i="34"/>
  <c r="K552" i="34"/>
  <c r="K535" i="34"/>
  <c r="K531" i="34"/>
  <c r="K527" i="34"/>
  <c r="K529" i="34"/>
  <c r="K515" i="34"/>
  <c r="K501" i="34"/>
  <c r="K496" i="34"/>
  <c r="K500" i="34"/>
  <c r="K492" i="34"/>
  <c r="K490" i="34"/>
  <c r="K448" i="34"/>
  <c r="K347" i="34"/>
  <c r="K325" i="34"/>
  <c r="K290" i="34"/>
  <c r="K197" i="34"/>
  <c r="K43" i="34"/>
  <c r="C43" i="34"/>
  <c r="B43" i="34" s="1"/>
  <c r="K125" i="34"/>
  <c r="G14" i="55" l="1" a="1"/>
  <c r="G14" i="55" s="1"/>
  <c r="I14" i="55" a="1"/>
  <c r="I14" i="55" s="1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1384" i="34"/>
  <c r="I37" i="55" a="1"/>
  <c r="I37" i="55" s="1"/>
  <c r="G38" i="55" a="1"/>
  <c r="G38" i="55" s="1"/>
  <c r="I38" i="55" a="1"/>
  <c r="I38" i="55" s="1"/>
  <c r="G37" i="55" a="1"/>
  <c r="G37" i="55" s="1"/>
  <c r="K213" i="55" l="1"/>
  <c r="K625" i="55"/>
  <c r="K118" i="55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357" i="34"/>
  <c r="K358" i="34"/>
  <c r="K359" i="34"/>
  <c r="K360" i="34"/>
  <c r="K356" i="34"/>
  <c r="K272" i="34"/>
  <c r="K271" i="34"/>
  <c r="K186" i="34"/>
  <c r="K185" i="34"/>
  <c r="K49" i="34"/>
  <c r="K48" i="34"/>
  <c r="K42" i="34"/>
  <c r="C155" i="34"/>
  <c r="C156" i="34"/>
  <c r="C1626" i="34"/>
  <c r="C42" i="34"/>
  <c r="C48" i="34"/>
  <c r="C49" i="34"/>
  <c r="C185" i="34"/>
  <c r="C186" i="34"/>
  <c r="C271" i="34"/>
  <c r="C272" i="34"/>
  <c r="C356" i="34"/>
  <c r="C357" i="34"/>
  <c r="C358" i="34"/>
  <c r="C359" i="34"/>
  <c r="C360" i="34"/>
  <c r="C361" i="34"/>
  <c r="C96" i="34"/>
  <c r="C97" i="34"/>
  <c r="C125" i="34"/>
  <c r="C126" i="34"/>
  <c r="C127" i="34"/>
  <c r="C187" i="34"/>
  <c r="C188" i="34"/>
  <c r="C197" i="34"/>
  <c r="C198" i="34"/>
  <c r="C290" i="34"/>
  <c r="C291" i="34"/>
  <c r="C292" i="34"/>
  <c r="C325" i="34"/>
  <c r="C326" i="34"/>
  <c r="C347" i="34"/>
  <c r="C348" i="34"/>
  <c r="C221" i="34"/>
  <c r="C222" i="34"/>
  <c r="C110" i="34"/>
  <c r="C111" i="34"/>
  <c r="C446" i="34"/>
  <c r="C447" i="34"/>
  <c r="C448" i="34"/>
  <c r="C449" i="34"/>
  <c r="C450" i="34"/>
  <c r="C490" i="34"/>
  <c r="C491" i="34"/>
  <c r="C492" i="34"/>
  <c r="C493" i="34"/>
  <c r="C496" i="34"/>
  <c r="C497" i="34"/>
  <c r="C498" i="34"/>
  <c r="C499" i="34"/>
  <c r="C500" i="34"/>
  <c r="C501" i="34"/>
  <c r="C502" i="34"/>
  <c r="C515" i="34"/>
  <c r="C516" i="34"/>
  <c r="C527" i="34"/>
  <c r="C528" i="34"/>
  <c r="C529" i="34"/>
  <c r="C530" i="34"/>
  <c r="C531" i="34"/>
  <c r="C532" i="34"/>
  <c r="C535" i="34"/>
  <c r="C536" i="34"/>
  <c r="C552" i="34"/>
  <c r="C553" i="34"/>
  <c r="C554" i="34"/>
  <c r="C580" i="34"/>
  <c r="C581" i="34"/>
  <c r="C588" i="34"/>
  <c r="C589" i="34"/>
  <c r="C591" i="34"/>
  <c r="C592" i="34"/>
  <c r="C593" i="34"/>
  <c r="C594" i="34"/>
  <c r="C603" i="34"/>
  <c r="C604" i="34"/>
  <c r="C606" i="34"/>
  <c r="C607" i="34"/>
  <c r="C609" i="34"/>
  <c r="C610" i="34"/>
  <c r="C611" i="34"/>
  <c r="C617" i="34"/>
  <c r="C618" i="34"/>
  <c r="C623" i="34"/>
  <c r="C625" i="34"/>
  <c r="C626" i="34"/>
  <c r="C628" i="34"/>
  <c r="C685" i="34"/>
  <c r="C687" i="34"/>
  <c r="C331" i="34"/>
  <c r="C332" i="34"/>
  <c r="C717" i="34"/>
  <c r="C719" i="34"/>
  <c r="C764" i="34"/>
  <c r="C765" i="34"/>
  <c r="C767" i="34"/>
  <c r="C768" i="34"/>
  <c r="C769" i="34"/>
  <c r="C771" i="34"/>
  <c r="C778" i="34"/>
  <c r="C779" i="34"/>
  <c r="C780" i="34"/>
  <c r="C782" i="34"/>
  <c r="C785" i="34"/>
  <c r="C787" i="34"/>
  <c r="C811" i="34"/>
  <c r="C812" i="34"/>
  <c r="C813" i="34"/>
  <c r="C866" i="34"/>
  <c r="C867" i="34"/>
  <c r="C875" i="34"/>
  <c r="C877" i="34"/>
  <c r="C885" i="34"/>
  <c r="C887" i="34"/>
  <c r="C888" i="34"/>
  <c r="C890" i="34"/>
  <c r="C900" i="34"/>
  <c r="C902" i="34"/>
  <c r="C913" i="34"/>
  <c r="C914" i="34"/>
  <c r="C916" i="34"/>
  <c r="C917" i="34"/>
  <c r="C938" i="34"/>
  <c r="C939" i="34"/>
  <c r="C940" i="34"/>
  <c r="C959" i="34"/>
  <c r="C960" i="34"/>
  <c r="C961" i="34"/>
  <c r="C1078" i="34"/>
  <c r="C1079" i="34"/>
  <c r="C1080" i="34"/>
  <c r="C1132" i="34"/>
  <c r="C1133" i="34"/>
  <c r="C1134" i="34"/>
  <c r="C1187" i="34"/>
  <c r="C1188" i="34"/>
  <c r="C1189" i="34"/>
  <c r="C1190" i="34"/>
  <c r="C1191" i="34"/>
  <c r="C1192" i="34"/>
  <c r="C1350" i="34"/>
  <c r="C1351" i="34"/>
  <c r="C1384" i="34"/>
  <c r="C1385" i="34"/>
  <c r="C1387" i="34"/>
  <c r="C1388" i="34"/>
  <c r="C1408" i="34"/>
  <c r="C1409" i="34"/>
  <c r="C1448" i="34"/>
  <c r="C1449" i="34"/>
  <c r="C1498" i="34"/>
  <c r="C1499" i="34"/>
  <c r="C1500" i="34"/>
  <c r="C1505" i="34"/>
  <c r="C1506" i="34"/>
  <c r="C1507" i="34"/>
  <c r="C1533" i="34"/>
  <c r="C1534" i="34"/>
  <c r="C1535" i="34"/>
  <c r="C1536" i="34"/>
  <c r="C1537" i="34"/>
  <c r="C1565" i="34"/>
  <c r="C1566" i="34"/>
  <c r="C1567" i="34"/>
  <c r="C1577" i="34"/>
  <c r="C1578" i="34"/>
  <c r="C1579" i="34"/>
  <c r="C1584" i="34"/>
  <c r="C1585" i="34"/>
  <c r="C1586" i="34"/>
  <c r="C1590" i="34"/>
  <c r="C1591" i="34"/>
  <c r="C1592" i="34"/>
  <c r="C1720" i="34"/>
  <c r="C1721" i="34"/>
  <c r="C1722" i="34"/>
  <c r="C1756" i="34"/>
  <c r="C1757" i="34"/>
  <c r="C1758" i="34"/>
  <c r="C1620" i="34"/>
  <c r="C1621" i="34"/>
  <c r="C1622" i="34"/>
  <c r="C1627" i="34"/>
  <c r="C1628" i="34"/>
  <c r="C1629" i="34"/>
  <c r="C1635" i="34"/>
  <c r="C1636" i="34"/>
  <c r="C1637" i="34"/>
  <c r="C2146" i="34"/>
  <c r="C2147" i="34"/>
  <c r="C2246" i="34"/>
  <c r="C2248" i="34"/>
  <c r="C2097" i="34"/>
  <c r="C2098" i="34"/>
  <c r="C2043" i="34"/>
  <c r="C2044" i="34"/>
  <c r="C2017" i="34"/>
  <c r="C2018" i="34"/>
  <c r="C1914" i="34"/>
  <c r="C1915" i="34"/>
  <c r="C2198" i="34"/>
  <c r="C2199" i="34"/>
  <c r="C2392" i="34"/>
  <c r="C2393" i="34"/>
  <c r="C2009" i="34"/>
  <c r="C2011" i="34"/>
  <c r="C1038" i="34"/>
  <c r="C1039" i="34"/>
  <c r="C1085" i="34"/>
  <c r="C1086" i="34"/>
  <c r="C1041" i="34"/>
  <c r="C1042" i="34"/>
  <c r="C1046" i="34"/>
  <c r="C1048" i="34"/>
  <c r="C1007" i="34"/>
  <c r="C1009" i="34"/>
  <c r="C1010" i="34"/>
  <c r="C1011" i="34"/>
  <c r="C1012" i="34"/>
  <c r="C2200" i="34"/>
  <c r="C2201" i="34"/>
  <c r="C2202" i="34"/>
  <c r="C2243" i="34"/>
  <c r="C2245" i="34"/>
  <c r="C1773" i="34"/>
  <c r="C1774" i="34"/>
  <c r="C2218" i="34"/>
  <c r="C2219" i="34"/>
  <c r="C2220" i="34"/>
  <c r="C1701" i="34"/>
  <c r="C1702" i="34"/>
  <c r="C1966" i="34"/>
  <c r="C1967" i="34"/>
  <c r="C1686" i="34"/>
  <c r="C1687" i="34"/>
  <c r="C1688" i="34"/>
  <c r="C1689" i="34"/>
  <c r="C1769" i="34"/>
  <c r="C1770" i="34"/>
  <c r="C1623" i="34"/>
  <c r="C1624" i="34"/>
  <c r="C1625" i="34"/>
  <c r="C1630" i="34"/>
  <c r="C1631" i="34"/>
  <c r="C1480" i="34"/>
  <c r="C1481" i="34"/>
  <c r="C1482" i="34"/>
  <c r="C2435" i="34"/>
  <c r="C2436" i="34"/>
  <c r="C1897" i="34"/>
  <c r="C1899" i="34"/>
  <c r="C1580" i="34"/>
  <c r="C1581" i="34"/>
  <c r="C1582" i="34"/>
  <c r="C1583" i="34"/>
  <c r="C72" i="34"/>
  <c r="C128" i="34"/>
  <c r="C129" i="34"/>
  <c r="C130" i="34"/>
  <c r="C131" i="34"/>
  <c r="C132" i="34"/>
  <c r="C133" i="34"/>
  <c r="C147" i="34"/>
  <c r="C232" i="34"/>
  <c r="C248" i="34"/>
  <c r="C257" i="34"/>
  <c r="C258" i="34"/>
  <c r="C259" i="34"/>
  <c r="C260" i="34"/>
  <c r="C261" i="34"/>
  <c r="C265" i="34"/>
  <c r="C266" i="34"/>
  <c r="C267" i="34"/>
  <c r="C273" i="34"/>
  <c r="C274" i="34"/>
  <c r="C275" i="34"/>
  <c r="C369" i="34"/>
  <c r="C154" i="34"/>
  <c r="A78" i="55" l="1"/>
  <c r="B79" i="55"/>
  <c r="C1618" i="34"/>
  <c r="C1619" i="34"/>
  <c r="C1653" i="34"/>
  <c r="C1675" i="34"/>
  <c r="C31" i="34"/>
  <c r="C32" i="34"/>
  <c r="C47" i="34"/>
  <c r="C50" i="34"/>
  <c r="C82" i="34"/>
  <c r="C83" i="34"/>
  <c r="C84" i="34"/>
  <c r="C95" i="34"/>
  <c r="C23" i="34"/>
  <c r="C24" i="34"/>
  <c r="C184" i="34"/>
  <c r="C218" i="34"/>
  <c r="C219" i="34"/>
  <c r="C220" i="34"/>
  <c r="C247" i="34"/>
  <c r="C264" i="34"/>
  <c r="C270" i="34"/>
  <c r="C312" i="34"/>
  <c r="C313" i="34"/>
  <c r="C314" i="34"/>
  <c r="C324" i="34"/>
  <c r="C330" i="34"/>
  <c r="C368" i="34"/>
  <c r="C456" i="34"/>
  <c r="C483" i="34"/>
  <c r="C484" i="34"/>
  <c r="C485" i="34"/>
  <c r="C486" i="34"/>
  <c r="C487" i="34"/>
  <c r="C488" i="34"/>
  <c r="C489" i="34"/>
  <c r="C590" i="34"/>
  <c r="C667" i="34"/>
  <c r="C684" i="34"/>
  <c r="C702" i="34"/>
  <c r="C762" i="34"/>
  <c r="C763" i="34"/>
  <c r="C783" i="34"/>
  <c r="C784" i="34"/>
  <c r="C851" i="34"/>
  <c r="C862" i="34"/>
  <c r="C863" i="34"/>
  <c r="C891" i="34"/>
  <c r="C897" i="34"/>
  <c r="C898" i="34"/>
  <c r="C958" i="34"/>
  <c r="C1036" i="34"/>
  <c r="C1045" i="34"/>
  <c r="C1051" i="34"/>
  <c r="C1075" i="34"/>
  <c r="C1076" i="34"/>
  <c r="C1156" i="34"/>
  <c r="C1166" i="34"/>
  <c r="C1169" i="34"/>
  <c r="C1186" i="34"/>
  <c r="C1197" i="34"/>
  <c r="C1198" i="34"/>
  <c r="C1199" i="34"/>
  <c r="C1240" i="34"/>
  <c r="C1294" i="34"/>
  <c r="C1295" i="34"/>
  <c r="C1296" i="34"/>
  <c r="C1329" i="34"/>
  <c r="C1345" i="34"/>
  <c r="C1349" i="34"/>
  <c r="C1363" i="34"/>
  <c r="C1374" i="34"/>
  <c r="C1375" i="34"/>
  <c r="C1376" i="34"/>
  <c r="C1377" i="34"/>
  <c r="C1444" i="34"/>
  <c r="C601" i="34"/>
  <c r="C602" i="34"/>
  <c r="C697" i="34"/>
  <c r="C698" i="34"/>
  <c r="C703" i="34"/>
  <c r="C810" i="34"/>
  <c r="C864" i="34"/>
  <c r="C865" i="34"/>
  <c r="C892" i="34"/>
  <c r="C893" i="34"/>
  <c r="C899" i="34"/>
  <c r="C994" i="34"/>
  <c r="C1037" i="34"/>
  <c r="C1052" i="34"/>
  <c r="C1053" i="34"/>
  <c r="C1077" i="34"/>
  <c r="C1084" i="34"/>
  <c r="C1170" i="34"/>
  <c r="C1171" i="34"/>
  <c r="C1172" i="34"/>
  <c r="C1175" i="34"/>
  <c r="C1200" i="34"/>
  <c r="C1241" i="34"/>
  <c r="C1313" i="34"/>
  <c r="C1314" i="34"/>
  <c r="C1315" i="34"/>
  <c r="C1316" i="34"/>
  <c r="C1378" i="34"/>
  <c r="C1381" i="34"/>
  <c r="C1382" i="34"/>
  <c r="C1383" i="34"/>
  <c r="C1445" i="34"/>
  <c r="C1446" i="34"/>
  <c r="C1447" i="34"/>
  <c r="C1460" i="34"/>
  <c r="C1497" i="34"/>
  <c r="C1553" i="34"/>
  <c r="C1457" i="34"/>
  <c r="C1461" i="34"/>
  <c r="C1462" i="34"/>
  <c r="C1504" i="34"/>
  <c r="C1532" i="34"/>
  <c r="C1576" i="34"/>
  <c r="C1617" i="34"/>
  <c r="C1634" i="34"/>
  <c r="C1652" i="34"/>
  <c r="C1669" i="34"/>
  <c r="C1674" i="34"/>
  <c r="C1700" i="34"/>
  <c r="C1711" i="34"/>
  <c r="C1712" i="34"/>
  <c r="C1713" i="34"/>
  <c r="C1718" i="34"/>
  <c r="C1755" i="34"/>
  <c r="C1766" i="34"/>
  <c r="C1771" i="34"/>
  <c r="C1772" i="34"/>
  <c r="C1775" i="34"/>
  <c r="C1783" i="34"/>
  <c r="C1749" i="34"/>
  <c r="C1750" i="34"/>
  <c r="C1767" i="34"/>
  <c r="C1768" i="34"/>
  <c r="C1776" i="34"/>
  <c r="C1777" i="34"/>
  <c r="C1778" i="34"/>
  <c r="C1836" i="34"/>
  <c r="C1837" i="34"/>
  <c r="C1849" i="34"/>
  <c r="C1859" i="34"/>
  <c r="C1870" i="34"/>
  <c r="C1904" i="34"/>
  <c r="C1909" i="34"/>
  <c r="C1910" i="34"/>
  <c r="C1928" i="34"/>
  <c r="C1950" i="34"/>
  <c r="C1970" i="34"/>
  <c r="C2008" i="34"/>
  <c r="C2012" i="34"/>
  <c r="C2016" i="34"/>
  <c r="C2042" i="34"/>
  <c r="C1838" i="34"/>
  <c r="C1839" i="34"/>
  <c r="C1840" i="34"/>
  <c r="C1841" i="34"/>
  <c r="C1871" i="34"/>
  <c r="C1884" i="34"/>
  <c r="C1911" i="34"/>
  <c r="C1951" i="34"/>
  <c r="C1952" i="34"/>
  <c r="C1953" i="34"/>
  <c r="C1954" i="34"/>
  <c r="C1955" i="34"/>
  <c r="C1956" i="34"/>
  <c r="C1957" i="34"/>
  <c r="C1958" i="34"/>
  <c r="C1959" i="34"/>
  <c r="C1960" i="34"/>
  <c r="C1980" i="34"/>
  <c r="C1981" i="34"/>
  <c r="C2023" i="34"/>
  <c r="C2024" i="34"/>
  <c r="C2025" i="34"/>
  <c r="C2026" i="34"/>
  <c r="C2027" i="34"/>
  <c r="C2045" i="34"/>
  <c r="C2046" i="34"/>
  <c r="C2047" i="34"/>
  <c r="C2058" i="34"/>
  <c r="C2080" i="34"/>
  <c r="C2122" i="34"/>
  <c r="C2126" i="34"/>
  <c r="C2135" i="34"/>
  <c r="C2149" i="34"/>
  <c r="C2150" i="34"/>
  <c r="C2162" i="34"/>
  <c r="C2163" i="34"/>
  <c r="C2164" i="34"/>
  <c r="C2176" i="34"/>
  <c r="C2177" i="34"/>
  <c r="C2215" i="34"/>
  <c r="C2216" i="34"/>
  <c r="C2221" i="34"/>
  <c r="C2238" i="34"/>
  <c r="C2048" i="34"/>
  <c r="C2059" i="34"/>
  <c r="C2096" i="34"/>
  <c r="C2123" i="34"/>
  <c r="C2136" i="34"/>
  <c r="C2145" i="34"/>
  <c r="C2172" i="34"/>
  <c r="C2173" i="34"/>
  <c r="C2186" i="34"/>
  <c r="C2187" i="34"/>
  <c r="C2188" i="34"/>
  <c r="C2189" i="34"/>
  <c r="C2190" i="34"/>
  <c r="C2191" i="34"/>
  <c r="C2192" i="34"/>
  <c r="C2193" i="34"/>
  <c r="C2194" i="34"/>
  <c r="C2195" i="34"/>
  <c r="C2217" i="34"/>
  <c r="C2222" i="34"/>
  <c r="C2239" i="34"/>
  <c r="C2240" i="34"/>
  <c r="C2241" i="34"/>
  <c r="C2242" i="34"/>
  <c r="C2263" i="34"/>
  <c r="C2275" i="34"/>
  <c r="C2287" i="34"/>
  <c r="C2314" i="34"/>
  <c r="C2315" i="34"/>
  <c r="C2331" i="34"/>
  <c r="C2332" i="34"/>
  <c r="C2349" i="34"/>
  <c r="C2379" i="34"/>
  <c r="C2380" i="34"/>
  <c r="C2391" i="34"/>
  <c r="C2401" i="34"/>
  <c r="C2402" i="34"/>
  <c r="C2423" i="34"/>
  <c r="C2424" i="34"/>
  <c r="C2425" i="34"/>
  <c r="C2443" i="34"/>
  <c r="C2444" i="34"/>
  <c r="C2461" i="34"/>
  <c r="C2463" i="34"/>
  <c r="C2475" i="34"/>
  <c r="C2487" i="34"/>
  <c r="C2498" i="34"/>
  <c r="C2515" i="34"/>
  <c r="C2535" i="34"/>
  <c r="C2288" i="34"/>
  <c r="C2289" i="34"/>
  <c r="C2290" i="34"/>
  <c r="C2291" i="34"/>
  <c r="C2292" i="34"/>
  <c r="C2316" i="34"/>
  <c r="C2317" i="34"/>
  <c r="C2350" i="34"/>
  <c r="C2351" i="34"/>
  <c r="C2381" i="34"/>
  <c r="C2382" i="34"/>
  <c r="C2383" i="34"/>
  <c r="C2403" i="34"/>
  <c r="C2404" i="34"/>
  <c r="C2426" i="34"/>
  <c r="C2427" i="34"/>
  <c r="C2428" i="34"/>
  <c r="C2445" i="34"/>
  <c r="C2446" i="34"/>
  <c r="C2447" i="34"/>
  <c r="C2448" i="34"/>
  <c r="C2449" i="34"/>
  <c r="C2464" i="34"/>
  <c r="C2476" i="34"/>
  <c r="C2488" i="34"/>
  <c r="C2489" i="34"/>
  <c r="C2490" i="34"/>
  <c r="C2537" i="34"/>
  <c r="C2538" i="34"/>
  <c r="C2539" i="34"/>
  <c r="C2540" i="34"/>
  <c r="C29" i="34"/>
  <c r="C36" i="34"/>
  <c r="C46" i="34"/>
  <c r="C61" i="34"/>
  <c r="C70" i="34"/>
  <c r="C71" i="34"/>
  <c r="C94" i="34"/>
  <c r="C109" i="34"/>
  <c r="C116" i="34"/>
  <c r="C134" i="34"/>
  <c r="C152" i="34"/>
  <c r="C161" i="34"/>
  <c r="C162" i="34"/>
  <c r="C196" i="34"/>
  <c r="C211" i="34"/>
  <c r="C212" i="34"/>
  <c r="C213" i="34"/>
  <c r="C214" i="34"/>
  <c r="C215" i="34"/>
  <c r="C216" i="34"/>
  <c r="C217" i="34"/>
  <c r="C223" i="34"/>
  <c r="C262" i="34"/>
  <c r="C263" i="34"/>
  <c r="C279" i="34"/>
  <c r="C300" i="34"/>
  <c r="C311" i="34"/>
  <c r="C323" i="34"/>
  <c r="C328" i="34"/>
  <c r="C329" i="34"/>
  <c r="C346" i="34"/>
  <c r="C367" i="34"/>
  <c r="C454" i="34"/>
  <c r="C455" i="34"/>
  <c r="C476" i="34"/>
  <c r="C477" i="34"/>
  <c r="C478" i="34"/>
  <c r="C479" i="34"/>
  <c r="C482" i="34"/>
  <c r="C526" i="34"/>
  <c r="C30" i="34"/>
  <c r="A79" i="55" l="1"/>
  <c r="B80" i="55"/>
  <c r="A80" i="55" l="1"/>
  <c r="B81" i="55"/>
  <c r="A38" i="70"/>
  <c r="A25" i="70"/>
  <c r="A73" i="70"/>
  <c r="A68" i="70"/>
  <c r="A62" i="70"/>
  <c r="A63" i="70"/>
  <c r="A60" i="70"/>
  <c r="A64" i="70"/>
  <c r="A75" i="70"/>
  <c r="A56" i="70"/>
  <c r="A37" i="70"/>
  <c r="A74" i="70"/>
  <c r="A42" i="70"/>
  <c r="A34" i="70"/>
  <c r="A36" i="70"/>
  <c r="A72" i="70"/>
  <c r="A65" i="70"/>
  <c r="A22" i="70"/>
  <c r="A69" i="70"/>
  <c r="A13" i="70"/>
  <c r="A32" i="70"/>
  <c r="A54" i="70"/>
  <c r="A10" i="70"/>
  <c r="A67" i="70"/>
  <c r="A23" i="70"/>
  <c r="A26" i="70"/>
  <c r="A27" i="70"/>
  <c r="A41" i="70"/>
  <c r="A66" i="70"/>
  <c r="A8" i="70"/>
  <c r="A53" i="70"/>
  <c r="A16" i="70"/>
  <c r="A44" i="70"/>
  <c r="A39" i="70"/>
  <c r="A29" i="70"/>
  <c r="A59" i="70"/>
  <c r="A43" i="70"/>
  <c r="A15" i="70"/>
  <c r="A6" i="70"/>
  <c r="A24" i="70"/>
  <c r="A71" i="70"/>
  <c r="A18" i="70"/>
  <c r="A21" i="70"/>
  <c r="A17" i="70"/>
  <c r="A52" i="70"/>
  <c r="A46" i="70"/>
  <c r="A33" i="70"/>
  <c r="A55" i="70"/>
  <c r="A45" i="70"/>
  <c r="A76" i="70"/>
  <c r="A48" i="70"/>
  <c r="A40" i="70"/>
  <c r="A20" i="70"/>
  <c r="A19" i="70"/>
  <c r="A14" i="70"/>
  <c r="A61" i="70"/>
  <c r="A47" i="70"/>
  <c r="A51" i="70"/>
  <c r="A50" i="70"/>
  <c r="A31" i="70"/>
  <c r="A49" i="70"/>
  <c r="A35" i="70"/>
  <c r="A81" i="55" l="1"/>
  <c r="B82" i="55"/>
  <c r="C34" i="34"/>
  <c r="C35" i="34"/>
  <c r="C37" i="34"/>
  <c r="C38" i="34"/>
  <c r="C39" i="34"/>
  <c r="C40" i="34"/>
  <c r="C41" i="34"/>
  <c r="C44" i="34"/>
  <c r="C45" i="34"/>
  <c r="C51" i="34"/>
  <c r="C52" i="34"/>
  <c r="C53" i="34"/>
  <c r="C54" i="34"/>
  <c r="C55" i="34"/>
  <c r="C56" i="34"/>
  <c r="C57" i="34"/>
  <c r="C58" i="34"/>
  <c r="C59" i="34"/>
  <c r="C60" i="34"/>
  <c r="C62" i="34"/>
  <c r="C63" i="34"/>
  <c r="C65" i="34"/>
  <c r="C66" i="34"/>
  <c r="C67" i="34"/>
  <c r="C68" i="34"/>
  <c r="C69" i="34"/>
  <c r="C73" i="34"/>
  <c r="C74" i="34"/>
  <c r="C75" i="34"/>
  <c r="C76" i="34"/>
  <c r="C77" i="34"/>
  <c r="C78" i="34"/>
  <c r="C79" i="34"/>
  <c r="C80" i="34"/>
  <c r="C81" i="34"/>
  <c r="C85" i="34"/>
  <c r="C86" i="34"/>
  <c r="C87" i="34"/>
  <c r="C88" i="34"/>
  <c r="C89" i="34"/>
  <c r="C90" i="34"/>
  <c r="C91" i="34"/>
  <c r="C92" i="34"/>
  <c r="C93" i="34"/>
  <c r="C98" i="34"/>
  <c r="C99" i="34"/>
  <c r="C100" i="34"/>
  <c r="C101" i="34"/>
  <c r="C102" i="34"/>
  <c r="C103" i="34"/>
  <c r="C104" i="34"/>
  <c r="C105" i="34"/>
  <c r="C106" i="34"/>
  <c r="C107" i="34"/>
  <c r="C108" i="34"/>
  <c r="C112" i="34"/>
  <c r="C113" i="34"/>
  <c r="C114" i="34"/>
  <c r="C115" i="34"/>
  <c r="C117" i="34"/>
  <c r="C118" i="34"/>
  <c r="C119" i="34"/>
  <c r="C120" i="34"/>
  <c r="C121" i="34"/>
  <c r="C122" i="34"/>
  <c r="C123" i="34"/>
  <c r="C124" i="34"/>
  <c r="C135" i="34"/>
  <c r="C136" i="34"/>
  <c r="C137" i="34"/>
  <c r="C138" i="34"/>
  <c r="C139" i="34"/>
  <c r="C140" i="34"/>
  <c r="C141" i="34"/>
  <c r="C142" i="34"/>
  <c r="C143" i="34"/>
  <c r="C148" i="34"/>
  <c r="C149" i="34"/>
  <c r="C150" i="34"/>
  <c r="C157" i="34"/>
  <c r="C158" i="34"/>
  <c r="C159" i="34"/>
  <c r="C160" i="34"/>
  <c r="C163" i="34"/>
  <c r="C164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9" i="34"/>
  <c r="C190" i="34"/>
  <c r="C192" i="34"/>
  <c r="C193" i="34"/>
  <c r="C194" i="34"/>
  <c r="C195" i="34"/>
  <c r="C200" i="34"/>
  <c r="C201" i="34"/>
  <c r="C202" i="34"/>
  <c r="C203" i="34"/>
  <c r="C204" i="34"/>
  <c r="C205" i="34"/>
  <c r="C206" i="34"/>
  <c r="C207" i="34"/>
  <c r="C208" i="34"/>
  <c r="C209" i="34"/>
  <c r="C210" i="34"/>
  <c r="C227" i="34"/>
  <c r="C228" i="34"/>
  <c r="C229" i="34"/>
  <c r="C230" i="34"/>
  <c r="C231" i="34"/>
  <c r="C233" i="34"/>
  <c r="C234" i="34"/>
  <c r="C235" i="34"/>
  <c r="C236" i="34"/>
  <c r="C237" i="34"/>
  <c r="C238" i="34"/>
  <c r="C240" i="34"/>
  <c r="C241" i="34"/>
  <c r="C242" i="34"/>
  <c r="C243" i="34"/>
  <c r="C244" i="34"/>
  <c r="C245" i="34"/>
  <c r="C246" i="34"/>
  <c r="C249" i="34"/>
  <c r="C250" i="34"/>
  <c r="C251" i="34"/>
  <c r="C252" i="34"/>
  <c r="C253" i="34"/>
  <c r="C254" i="34"/>
  <c r="C255" i="34"/>
  <c r="C256" i="34"/>
  <c r="C268" i="34"/>
  <c r="C269" i="34"/>
  <c r="C276" i="34"/>
  <c r="C277" i="34"/>
  <c r="C278" i="34"/>
  <c r="C280" i="34"/>
  <c r="C281" i="34"/>
  <c r="C282" i="34"/>
  <c r="C283" i="34"/>
  <c r="C284" i="34"/>
  <c r="C285" i="34"/>
  <c r="C286" i="34"/>
  <c r="C287" i="34"/>
  <c r="C288" i="34"/>
  <c r="C289" i="34"/>
  <c r="C293" i="34"/>
  <c r="C294" i="34"/>
  <c r="C295" i="34"/>
  <c r="C296" i="34"/>
  <c r="C297" i="34"/>
  <c r="C298" i="34"/>
  <c r="C299" i="34"/>
  <c r="C301" i="34"/>
  <c r="C302" i="34"/>
  <c r="C303" i="34"/>
  <c r="C304" i="34"/>
  <c r="C305" i="34"/>
  <c r="C306" i="34"/>
  <c r="C307" i="34"/>
  <c r="C308" i="34"/>
  <c r="C309" i="34"/>
  <c r="C310" i="34"/>
  <c r="C315" i="34"/>
  <c r="C316" i="34"/>
  <c r="C317" i="34"/>
  <c r="C318" i="34"/>
  <c r="C319" i="34"/>
  <c r="C320" i="34"/>
  <c r="C321" i="34"/>
  <c r="C333" i="34"/>
  <c r="C334" i="34"/>
  <c r="C335" i="34"/>
  <c r="C336" i="34"/>
  <c r="C338" i="34"/>
  <c r="C339" i="34"/>
  <c r="C340" i="34"/>
  <c r="C341" i="34"/>
  <c r="C343" i="34"/>
  <c r="C344" i="34"/>
  <c r="C345" i="34"/>
  <c r="C362" i="34"/>
  <c r="C363" i="34"/>
  <c r="C365" i="34"/>
  <c r="C366" i="34"/>
  <c r="C350" i="34"/>
  <c r="C351" i="34"/>
  <c r="C353" i="34"/>
  <c r="C354" i="34"/>
  <c r="C377" i="34"/>
  <c r="C378" i="34"/>
  <c r="C379" i="34"/>
  <c r="C380" i="34"/>
  <c r="C381" i="34"/>
  <c r="C382" i="34"/>
  <c r="C383" i="34"/>
  <c r="C384" i="34"/>
  <c r="C385" i="34"/>
  <c r="C386" i="34"/>
  <c r="C387" i="34"/>
  <c r="C389" i="34"/>
  <c r="C390" i="34"/>
  <c r="C391" i="34"/>
  <c r="C392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9" i="34"/>
  <c r="C420" i="34"/>
  <c r="C421" i="34"/>
  <c r="C422" i="34"/>
  <c r="C423" i="34"/>
  <c r="C424" i="34"/>
  <c r="C425" i="34"/>
  <c r="C426" i="34"/>
  <c r="C413" i="34"/>
  <c r="C414" i="34"/>
  <c r="C415" i="34"/>
  <c r="C416" i="34"/>
  <c r="C417" i="34"/>
  <c r="C418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2" i="34"/>
  <c r="C443" i="34"/>
  <c r="C444" i="34"/>
  <c r="C445" i="34"/>
  <c r="C451" i="34"/>
  <c r="C452" i="34"/>
  <c r="C453" i="34"/>
  <c r="C457" i="34"/>
  <c r="C458" i="34"/>
  <c r="C459" i="34"/>
  <c r="C460" i="34"/>
  <c r="C461" i="34"/>
  <c r="C462" i="34"/>
  <c r="C463" i="34"/>
  <c r="C464" i="34"/>
  <c r="C470" i="34"/>
  <c r="C471" i="34"/>
  <c r="C465" i="34"/>
  <c r="C466" i="34"/>
  <c r="C467" i="34"/>
  <c r="C468" i="34"/>
  <c r="C469" i="34"/>
  <c r="C473" i="34"/>
  <c r="C474" i="34"/>
  <c r="C475" i="34"/>
  <c r="C480" i="34"/>
  <c r="C481" i="34"/>
  <c r="C494" i="34"/>
  <c r="C495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7" i="34"/>
  <c r="C518" i="34"/>
  <c r="C519" i="34"/>
  <c r="C520" i="34"/>
  <c r="C521" i="34"/>
  <c r="C522" i="34"/>
  <c r="C523" i="34"/>
  <c r="C524" i="34"/>
  <c r="C525" i="34"/>
  <c r="C537" i="34"/>
  <c r="C538" i="34"/>
  <c r="C539" i="34"/>
  <c r="C540" i="34"/>
  <c r="C541" i="34"/>
  <c r="C542" i="34"/>
  <c r="C543" i="34"/>
  <c r="C544" i="34"/>
  <c r="C546" i="34"/>
  <c r="C547" i="34"/>
  <c r="C548" i="34"/>
  <c r="C549" i="34"/>
  <c r="C550" i="34"/>
  <c r="C551" i="34"/>
  <c r="C559" i="34"/>
  <c r="C560" i="34"/>
  <c r="C561" i="34"/>
  <c r="C562" i="34"/>
  <c r="C563" i="34"/>
  <c r="C564" i="34"/>
  <c r="C565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96" i="34"/>
  <c r="C597" i="34"/>
  <c r="C598" i="34"/>
  <c r="C599" i="34"/>
  <c r="C600" i="34"/>
  <c r="C612" i="34"/>
  <c r="C613" i="34"/>
  <c r="C614" i="34"/>
  <c r="C615" i="34"/>
  <c r="C616" i="34"/>
  <c r="C620" i="34"/>
  <c r="C621" i="34"/>
  <c r="C622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8" i="34"/>
  <c r="C689" i="34"/>
  <c r="C690" i="34"/>
  <c r="C691" i="34"/>
  <c r="C692" i="34"/>
  <c r="C693" i="34"/>
  <c r="C694" i="34"/>
  <c r="C695" i="34"/>
  <c r="C699" i="34"/>
  <c r="C700" i="34"/>
  <c r="C715" i="34"/>
  <c r="C716" i="34"/>
  <c r="C733" i="34"/>
  <c r="C734" i="34"/>
  <c r="C735" i="34"/>
  <c r="C736" i="34"/>
  <c r="C737" i="34"/>
  <c r="C738" i="34"/>
  <c r="C739" i="34"/>
  <c r="C740" i="34"/>
  <c r="C741" i="34"/>
  <c r="C742" i="34"/>
  <c r="C743" i="34"/>
  <c r="C745" i="34"/>
  <c r="C746" i="34"/>
  <c r="C747" i="34"/>
  <c r="C748" i="34"/>
  <c r="C749" i="34"/>
  <c r="C750" i="34"/>
  <c r="C751" i="34"/>
  <c r="C752" i="34"/>
  <c r="C754" i="34"/>
  <c r="C755" i="34"/>
  <c r="C756" i="34"/>
  <c r="C757" i="34"/>
  <c r="C758" i="34"/>
  <c r="C759" i="34"/>
  <c r="C760" i="34"/>
  <c r="C761" i="34"/>
  <c r="C772" i="34"/>
  <c r="C773" i="34"/>
  <c r="C775" i="34"/>
  <c r="C776" i="34"/>
  <c r="C788" i="34"/>
  <c r="C789" i="34"/>
  <c r="C790" i="34"/>
  <c r="C791" i="34"/>
  <c r="C792" i="34"/>
  <c r="C793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7" i="34"/>
  <c r="C818" i="34"/>
  <c r="C819" i="34"/>
  <c r="C820" i="34"/>
  <c r="C821" i="34"/>
  <c r="C823" i="34"/>
  <c r="C824" i="34"/>
  <c r="C825" i="34"/>
  <c r="C826" i="34"/>
  <c r="C827" i="34"/>
  <c r="C828" i="34"/>
  <c r="C829" i="34"/>
  <c r="C830" i="34"/>
  <c r="C831" i="34"/>
  <c r="C832" i="34"/>
  <c r="C833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9" i="34"/>
  <c r="C850" i="34"/>
  <c r="C852" i="34"/>
  <c r="C853" i="34"/>
  <c r="C854" i="34"/>
  <c r="C855" i="34"/>
  <c r="C856" i="34"/>
  <c r="C857" i="34"/>
  <c r="C858" i="34"/>
  <c r="C859" i="34"/>
  <c r="C860" i="34"/>
  <c r="C861" i="34"/>
  <c r="C869" i="34"/>
  <c r="C870" i="34"/>
  <c r="C871" i="34"/>
  <c r="C872" i="34"/>
  <c r="C873" i="34"/>
  <c r="C878" i="34"/>
  <c r="C879" i="34"/>
  <c r="C880" i="34"/>
  <c r="C882" i="34"/>
  <c r="C883" i="34"/>
  <c r="C884" i="34"/>
  <c r="C894" i="34"/>
  <c r="C895" i="34"/>
  <c r="C903" i="34"/>
  <c r="C904" i="34"/>
  <c r="C905" i="34"/>
  <c r="C906" i="34"/>
  <c r="C908" i="34"/>
  <c r="C909" i="34"/>
  <c r="C910" i="34"/>
  <c r="C911" i="34"/>
  <c r="C912" i="34"/>
  <c r="C919" i="34"/>
  <c r="C920" i="34"/>
  <c r="C922" i="34"/>
  <c r="C923" i="34"/>
  <c r="C924" i="34"/>
  <c r="C925" i="34"/>
  <c r="C927" i="34"/>
  <c r="C928" i="34"/>
  <c r="C929" i="34"/>
  <c r="C930" i="34"/>
  <c r="C931" i="34"/>
  <c r="C932" i="34"/>
  <c r="C933" i="34"/>
  <c r="C934" i="34"/>
  <c r="C935" i="34"/>
  <c r="C936" i="34"/>
  <c r="C937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69" i="34"/>
  <c r="C970" i="34"/>
  <c r="C971" i="34"/>
  <c r="C972" i="34"/>
  <c r="C973" i="34"/>
  <c r="C974" i="34"/>
  <c r="C975" i="34"/>
  <c r="C976" i="34"/>
  <c r="C977" i="34"/>
  <c r="C979" i="34"/>
  <c r="C980" i="34"/>
  <c r="C981" i="34"/>
  <c r="C983" i="34"/>
  <c r="C984" i="34"/>
  <c r="C985" i="34"/>
  <c r="C986" i="34"/>
  <c r="C987" i="34"/>
  <c r="C988" i="34"/>
  <c r="C989" i="34"/>
  <c r="C990" i="34"/>
  <c r="C991" i="34"/>
  <c r="C992" i="34"/>
  <c r="C993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43" i="34"/>
  <c r="C1044" i="34"/>
  <c r="C1049" i="34"/>
  <c r="C1050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81" i="34"/>
  <c r="C1082" i="34"/>
  <c r="C1083" i="34"/>
  <c r="C1087" i="34"/>
  <c r="C1088" i="34"/>
  <c r="C1089" i="34"/>
  <c r="C1090" i="34"/>
  <c r="C1091" i="34"/>
  <c r="C1092" i="34"/>
  <c r="C1093" i="34"/>
  <c r="C1094" i="34"/>
  <c r="C1095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096" i="34"/>
  <c r="C1097" i="34"/>
  <c r="C1112" i="34"/>
  <c r="C1113" i="34"/>
  <c r="C1118" i="34"/>
  <c r="C1119" i="34"/>
  <c r="C1131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9" i="34"/>
  <c r="C1160" i="34"/>
  <c r="C1161" i="34"/>
  <c r="C1162" i="34"/>
  <c r="C1163" i="34"/>
  <c r="C1164" i="34"/>
  <c r="C1165" i="34"/>
  <c r="C1167" i="34"/>
  <c r="C1168" i="34"/>
  <c r="C1173" i="34"/>
  <c r="C1174" i="34"/>
  <c r="C1176" i="34"/>
  <c r="C1177" i="34"/>
  <c r="C1178" i="34"/>
  <c r="C1179" i="34"/>
  <c r="C1180" i="34"/>
  <c r="C1181" i="34"/>
  <c r="C1182" i="34"/>
  <c r="C1183" i="34"/>
  <c r="C1184" i="34"/>
  <c r="C1185" i="34"/>
  <c r="C1193" i="34"/>
  <c r="C1194" i="34"/>
  <c r="C1195" i="34"/>
  <c r="C1196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5" i="34"/>
  <c r="C1286" i="34"/>
  <c r="C1287" i="34"/>
  <c r="C1288" i="34"/>
  <c r="C1289" i="34"/>
  <c r="C1290" i="34"/>
  <c r="C1291" i="34"/>
  <c r="C1292" i="34"/>
  <c r="C1293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7" i="34"/>
  <c r="C1318" i="34"/>
  <c r="C1319" i="34"/>
  <c r="C1320" i="34"/>
  <c r="C1321" i="34"/>
  <c r="C1323" i="34"/>
  <c r="C1324" i="34"/>
  <c r="C1325" i="34"/>
  <c r="C1326" i="34"/>
  <c r="C1327" i="34"/>
  <c r="C1328" i="34"/>
  <c r="C1340" i="34"/>
  <c r="C1341" i="34"/>
  <c r="C1342" i="34"/>
  <c r="C1343" i="34"/>
  <c r="C1346" i="34"/>
  <c r="C1347" i="34"/>
  <c r="C1355" i="34"/>
  <c r="C1356" i="34"/>
  <c r="C1357" i="34"/>
  <c r="C1358" i="34"/>
  <c r="C1359" i="34"/>
  <c r="C1360" i="34"/>
  <c r="C1361" i="34"/>
  <c r="C1362" i="34"/>
  <c r="C1364" i="34"/>
  <c r="C1365" i="34"/>
  <c r="C1366" i="34"/>
  <c r="C1367" i="34"/>
  <c r="C1368" i="34"/>
  <c r="C1369" i="34"/>
  <c r="C1370" i="34"/>
  <c r="C1371" i="34"/>
  <c r="C1372" i="34"/>
  <c r="C1373" i="34"/>
  <c r="C1379" i="34"/>
  <c r="C1380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34" i="34"/>
  <c r="C1435" i="34"/>
  <c r="C1436" i="34"/>
  <c r="C1437" i="34"/>
  <c r="C1438" i="34"/>
  <c r="C1439" i="34"/>
  <c r="C1441" i="34"/>
  <c r="C1442" i="34"/>
  <c r="C1443" i="34"/>
  <c r="C1451" i="34"/>
  <c r="C1452" i="34"/>
  <c r="C1453" i="34"/>
  <c r="C1454" i="34"/>
  <c r="C1458" i="34"/>
  <c r="C1459" i="34"/>
  <c r="C1455" i="34"/>
  <c r="C1456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5" i="34"/>
  <c r="C1496" i="34"/>
  <c r="C1501" i="34"/>
  <c r="C1502" i="34"/>
  <c r="C1503" i="34"/>
  <c r="C1510" i="34"/>
  <c r="C1511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42" i="34"/>
  <c r="C1543" i="34"/>
  <c r="C1544" i="34"/>
  <c r="C1546" i="34"/>
  <c r="C1547" i="34"/>
  <c r="C1548" i="34"/>
  <c r="C1549" i="34"/>
  <c r="C1550" i="34"/>
  <c r="C1551" i="34"/>
  <c r="C1552" i="34"/>
  <c r="C1554" i="34"/>
  <c r="C1555" i="34"/>
  <c r="C1556" i="34"/>
  <c r="C1557" i="34"/>
  <c r="C1558" i="34"/>
  <c r="C1560" i="34"/>
  <c r="C1561" i="34"/>
  <c r="C1562" i="34"/>
  <c r="C1563" i="34"/>
  <c r="C1564" i="34"/>
  <c r="C1571" i="34"/>
  <c r="C1572" i="34"/>
  <c r="C1573" i="34"/>
  <c r="C1574" i="34"/>
  <c r="C1575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32" i="34"/>
  <c r="C1633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4" i="34"/>
  <c r="C1655" i="34"/>
  <c r="C1657" i="34"/>
  <c r="C1658" i="34"/>
  <c r="C1659" i="34"/>
  <c r="C1660" i="34"/>
  <c r="C1661" i="34"/>
  <c r="C1663" i="34"/>
  <c r="C1664" i="34"/>
  <c r="C1665" i="34"/>
  <c r="C1666" i="34"/>
  <c r="C1667" i="34"/>
  <c r="C1668" i="34"/>
  <c r="C1670" i="34"/>
  <c r="C1671" i="34"/>
  <c r="C1672" i="34"/>
  <c r="C1673" i="34"/>
  <c r="C1676" i="34"/>
  <c r="C1677" i="34"/>
  <c r="C1678" i="34"/>
  <c r="C1679" i="34"/>
  <c r="C1680" i="34"/>
  <c r="C1681" i="34"/>
  <c r="C1682" i="34"/>
  <c r="C1683" i="34"/>
  <c r="C1690" i="34"/>
  <c r="C1691" i="34"/>
  <c r="C1692" i="34"/>
  <c r="C1693" i="34"/>
  <c r="C1694" i="34"/>
  <c r="C1695" i="34"/>
  <c r="C1696" i="34"/>
  <c r="C1697" i="34"/>
  <c r="C1698" i="34"/>
  <c r="C1699" i="34"/>
  <c r="C1703" i="34"/>
  <c r="C1704" i="34"/>
  <c r="C1705" i="34"/>
  <c r="C1706" i="34"/>
  <c r="C1707" i="34"/>
  <c r="C1708" i="34"/>
  <c r="C1709" i="34"/>
  <c r="C1710" i="34"/>
  <c r="C1714" i="34"/>
  <c r="C1715" i="34"/>
  <c r="C1716" i="34"/>
  <c r="C1717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40" i="34"/>
  <c r="C1741" i="34"/>
  <c r="C1742" i="34"/>
  <c r="C1743" i="34"/>
  <c r="C1744" i="34"/>
  <c r="C1745" i="34"/>
  <c r="C1746" i="34"/>
  <c r="C1747" i="34"/>
  <c r="C1754" i="34"/>
  <c r="C1759" i="34"/>
  <c r="C1761" i="34"/>
  <c r="C1762" i="34"/>
  <c r="C1764" i="34"/>
  <c r="C1765" i="34"/>
  <c r="C1779" i="34"/>
  <c r="C1780" i="34"/>
  <c r="C1781" i="34"/>
  <c r="C1782" i="34"/>
  <c r="C1784" i="34"/>
  <c r="C1785" i="34"/>
  <c r="C1786" i="34"/>
  <c r="C1788" i="34"/>
  <c r="C1789" i="34"/>
  <c r="C1790" i="34"/>
  <c r="C1794" i="34"/>
  <c r="C1795" i="34"/>
  <c r="C1797" i="34"/>
  <c r="C1798" i="34"/>
  <c r="C1799" i="34"/>
  <c r="C1800" i="34"/>
  <c r="C1802" i="34"/>
  <c r="C1803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42" i="34"/>
  <c r="C1843" i="34"/>
  <c r="C1844" i="34"/>
  <c r="C1845" i="34"/>
  <c r="C1850" i="34"/>
  <c r="C1851" i="34"/>
  <c r="C1852" i="34"/>
  <c r="C1853" i="34"/>
  <c r="C1854" i="34"/>
  <c r="C1855" i="34"/>
  <c r="C1856" i="34"/>
  <c r="C1857" i="34"/>
  <c r="C1858" i="34"/>
  <c r="C1860" i="34"/>
  <c r="C1861" i="34"/>
  <c r="C1862" i="34"/>
  <c r="C1863" i="34"/>
  <c r="C1864" i="34"/>
  <c r="C1865" i="34"/>
  <c r="C1866" i="34"/>
  <c r="C1867" i="34"/>
  <c r="C1868" i="34"/>
  <c r="C1869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900" i="34"/>
  <c r="C1901" i="34"/>
  <c r="C1902" i="34"/>
  <c r="C1903" i="34"/>
  <c r="C1907" i="34"/>
  <c r="C1908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9" i="34"/>
  <c r="C1930" i="34"/>
  <c r="C1931" i="34"/>
  <c r="C1932" i="34"/>
  <c r="C1933" i="34"/>
  <c r="C1934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61" i="34"/>
  <c r="C1962" i="34"/>
  <c r="C1963" i="34"/>
  <c r="C1964" i="34"/>
  <c r="C1965" i="34"/>
  <c r="C1968" i="34"/>
  <c r="C1969" i="34"/>
  <c r="C1971" i="34"/>
  <c r="C1972" i="34"/>
  <c r="C1973" i="34"/>
  <c r="C1974" i="34"/>
  <c r="C1975" i="34"/>
  <c r="C1976" i="34"/>
  <c r="C1977" i="34"/>
  <c r="C1978" i="34"/>
  <c r="C1979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13" i="34"/>
  <c r="C2014" i="34"/>
  <c r="C2015" i="34"/>
  <c r="C2019" i="34"/>
  <c r="C2020" i="34"/>
  <c r="C2021" i="34"/>
  <c r="C2022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52" i="34"/>
  <c r="C2053" i="34"/>
  <c r="C2054" i="34"/>
  <c r="C2055" i="34"/>
  <c r="C2056" i="34"/>
  <c r="C2057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4" i="34"/>
  <c r="C2125" i="34"/>
  <c r="C2127" i="34"/>
  <c r="C2128" i="34"/>
  <c r="C2129" i="34"/>
  <c r="C2130" i="34"/>
  <c r="C2131" i="34"/>
  <c r="C2132" i="34"/>
  <c r="C2133" i="34"/>
  <c r="C2134" i="34"/>
  <c r="C2140" i="34"/>
  <c r="C2141" i="34"/>
  <c r="C2142" i="34"/>
  <c r="C2143" i="34"/>
  <c r="C2144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5" i="34"/>
  <c r="C2166" i="34"/>
  <c r="C2167" i="34"/>
  <c r="C2168" i="34"/>
  <c r="C2169" i="34"/>
  <c r="C2170" i="34"/>
  <c r="C2171" i="34"/>
  <c r="C2178" i="34"/>
  <c r="C2179" i="34"/>
  <c r="C2180" i="34"/>
  <c r="C2181" i="34"/>
  <c r="C2182" i="34"/>
  <c r="C2183" i="34"/>
  <c r="C2184" i="34"/>
  <c r="C2185" i="34"/>
  <c r="C2196" i="34"/>
  <c r="C2197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23" i="34"/>
  <c r="C2224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6" i="34"/>
  <c r="C2267" i="34"/>
  <c r="C2268" i="34"/>
  <c r="C2269" i="34"/>
  <c r="C2270" i="34"/>
  <c r="C2271" i="34"/>
  <c r="C2272" i="34"/>
  <c r="C2273" i="34"/>
  <c r="C2274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84" i="34"/>
  <c r="C2385" i="34"/>
  <c r="C2386" i="34"/>
  <c r="C2387" i="34"/>
  <c r="C2388" i="34"/>
  <c r="C2389" i="34"/>
  <c r="C2390" i="34"/>
  <c r="C2394" i="34"/>
  <c r="C2395" i="34"/>
  <c r="C2396" i="34"/>
  <c r="C2397" i="34"/>
  <c r="C2398" i="34"/>
  <c r="C2399" i="34"/>
  <c r="C2400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9" i="34"/>
  <c r="C2430" i="34"/>
  <c r="C2431" i="34"/>
  <c r="C2432" i="34"/>
  <c r="C2433" i="34"/>
  <c r="C2434" i="34"/>
  <c r="C2437" i="34"/>
  <c r="C2438" i="34"/>
  <c r="C2439" i="34"/>
  <c r="C2440" i="34"/>
  <c r="C2441" i="34"/>
  <c r="C2442" i="34"/>
  <c r="C2452" i="34"/>
  <c r="C2453" i="34"/>
  <c r="C2454" i="34"/>
  <c r="C2455" i="34"/>
  <c r="C2456" i="34"/>
  <c r="C2457" i="34"/>
  <c r="C2465" i="34"/>
  <c r="C2466" i="34"/>
  <c r="C2467" i="34"/>
  <c r="C2468" i="34"/>
  <c r="C2469" i="34"/>
  <c r="C2470" i="34"/>
  <c r="C2471" i="34"/>
  <c r="C2472" i="34"/>
  <c r="C2473" i="34"/>
  <c r="C2474" i="34"/>
  <c r="C2477" i="34"/>
  <c r="C2478" i="34"/>
  <c r="C2479" i="34"/>
  <c r="C2480" i="34"/>
  <c r="C2481" i="34"/>
  <c r="C2482" i="34"/>
  <c r="C2483" i="34"/>
  <c r="C2484" i="34"/>
  <c r="C2485" i="34"/>
  <c r="C2486" i="34"/>
  <c r="C2491" i="34"/>
  <c r="C2492" i="34"/>
  <c r="C2493" i="34"/>
  <c r="C2494" i="34"/>
  <c r="C2495" i="34"/>
  <c r="C2496" i="34"/>
  <c r="C2497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33" i="34"/>
  <c r="K2531" i="34"/>
  <c r="K2530" i="34"/>
  <c r="K2529" i="34"/>
  <c r="K2528" i="34"/>
  <c r="K2527" i="34"/>
  <c r="K2526" i="34"/>
  <c r="K2525" i="34"/>
  <c r="K2524" i="34"/>
  <c r="K2522" i="34"/>
  <c r="K2521" i="34"/>
  <c r="K2520" i="34"/>
  <c r="K2513" i="34"/>
  <c r="K2512" i="34"/>
  <c r="K2511" i="34"/>
  <c r="K2509" i="34"/>
  <c r="K2508" i="34"/>
  <c r="K2507" i="34"/>
  <c r="K2506" i="34"/>
  <c r="K2505" i="34"/>
  <c r="K2504" i="34"/>
  <c r="K2503" i="34"/>
  <c r="K2502" i="34"/>
  <c r="K2496" i="34"/>
  <c r="K2494" i="34"/>
  <c r="K2492" i="34"/>
  <c r="K2491" i="34"/>
  <c r="K2485" i="34"/>
  <c r="K2483" i="34"/>
  <c r="K2482" i="34"/>
  <c r="K2481" i="34"/>
  <c r="K2480" i="34"/>
  <c r="K2478" i="34"/>
  <c r="K2477" i="34"/>
  <c r="K2473" i="34"/>
  <c r="K2472" i="34"/>
  <c r="K2471" i="34"/>
  <c r="K2469" i="34"/>
  <c r="K2467" i="34"/>
  <c r="K2466" i="34"/>
  <c r="K2465" i="34"/>
  <c r="K2456" i="34"/>
  <c r="K2454" i="34"/>
  <c r="K2453" i="34"/>
  <c r="K2452" i="34"/>
  <c r="K2441" i="34"/>
  <c r="K2440" i="34"/>
  <c r="K2439" i="34"/>
  <c r="K2437" i="34"/>
  <c r="K2433" i="34"/>
  <c r="K2431" i="34"/>
  <c r="K2430" i="34"/>
  <c r="K2429" i="34"/>
  <c r="K2421" i="34"/>
  <c r="K2420" i="34"/>
  <c r="K2419" i="34"/>
  <c r="K2418" i="34"/>
  <c r="K2416" i="34"/>
  <c r="K2415" i="34"/>
  <c r="K2413" i="34"/>
  <c r="K2411" i="34"/>
  <c r="K2410" i="34"/>
  <c r="K2409" i="34"/>
  <c r="K2408" i="34"/>
  <c r="K2407" i="34"/>
  <c r="K2406" i="34"/>
  <c r="K2405" i="34"/>
  <c r="K2399" i="34"/>
  <c r="K2397" i="34"/>
  <c r="K2395" i="34"/>
  <c r="K2394" i="34"/>
  <c r="K2389" i="34"/>
  <c r="K2388" i="34"/>
  <c r="K2387" i="34"/>
  <c r="K2386" i="34"/>
  <c r="K2384" i="34"/>
  <c r="K2377" i="34"/>
  <c r="K2376" i="34"/>
  <c r="K2375" i="34"/>
  <c r="K2374" i="34"/>
  <c r="K2373" i="34"/>
  <c r="K2372" i="34"/>
  <c r="K2371" i="34"/>
  <c r="K2370" i="34"/>
  <c r="K2368" i="34"/>
  <c r="K2367" i="34"/>
  <c r="K2366" i="34"/>
  <c r="K2365" i="34"/>
  <c r="K2364" i="34"/>
  <c r="K2362" i="34"/>
  <c r="K2361" i="34"/>
  <c r="K2360" i="34"/>
  <c r="K2359" i="34"/>
  <c r="K2358" i="34"/>
  <c r="K2357" i="34"/>
  <c r="K2355" i="34"/>
  <c r="K2354" i="34"/>
  <c r="K2352" i="34"/>
  <c r="K2347" i="34"/>
  <c r="K2346" i="34"/>
  <c r="K2345" i="34"/>
  <c r="K2344" i="34"/>
  <c r="K2343" i="34"/>
  <c r="K2342" i="34"/>
  <c r="K2341" i="34"/>
  <c r="K2340" i="34"/>
  <c r="K2338" i="34"/>
  <c r="K2337" i="34"/>
  <c r="K2335" i="34"/>
  <c r="K2334" i="34"/>
  <c r="K2333" i="34"/>
  <c r="K2329" i="34"/>
  <c r="K2328" i="34"/>
  <c r="K2327" i="34"/>
  <c r="K2326" i="34"/>
  <c r="K2325" i="34"/>
  <c r="K2324" i="34"/>
  <c r="K2323" i="34"/>
  <c r="K2322" i="34"/>
  <c r="K2321" i="34"/>
  <c r="K2320" i="34"/>
  <c r="K2318" i="34"/>
  <c r="K2312" i="34"/>
  <c r="K2311" i="34"/>
  <c r="K2310" i="34"/>
  <c r="K2308" i="34"/>
  <c r="K2307" i="34"/>
  <c r="K2306" i="34"/>
  <c r="K2305" i="34"/>
  <c r="K2304" i="34"/>
  <c r="K2303" i="34"/>
  <c r="K2302" i="34"/>
  <c r="K2301" i="34"/>
  <c r="K2300" i="34"/>
  <c r="K2298" i="34"/>
  <c r="K2296" i="34"/>
  <c r="K2294" i="34"/>
  <c r="K2293" i="34"/>
  <c r="K2285" i="34"/>
  <c r="K2284" i="34"/>
  <c r="K2283" i="34"/>
  <c r="K2281" i="34"/>
  <c r="K2280" i="34"/>
  <c r="K2278" i="34"/>
  <c r="K2276" i="34"/>
  <c r="K2273" i="34"/>
  <c r="K2272" i="34"/>
  <c r="K2271" i="34"/>
  <c r="K2270" i="34"/>
  <c r="K2269" i="34"/>
  <c r="K2267" i="34"/>
  <c r="K2266" i="34"/>
  <c r="K2261" i="34"/>
  <c r="K2260" i="34"/>
  <c r="K2259" i="34"/>
  <c r="K2258" i="34"/>
  <c r="K2257" i="34"/>
  <c r="K2255" i="34"/>
  <c r="K2254" i="34"/>
  <c r="K2252" i="34"/>
  <c r="K2236" i="34"/>
  <c r="K2235" i="34"/>
  <c r="K2234" i="34"/>
  <c r="K2232" i="34"/>
  <c r="K2230" i="34"/>
  <c r="K2228" i="34"/>
  <c r="K2227" i="34"/>
  <c r="K2223" i="34"/>
  <c r="K2213" i="34"/>
  <c r="K2212" i="34"/>
  <c r="K2211" i="34"/>
  <c r="K2210" i="34"/>
  <c r="K2208" i="34"/>
  <c r="K2206" i="34"/>
  <c r="K2204" i="34"/>
  <c r="K2203" i="34"/>
  <c r="K2196" i="34"/>
  <c r="K2184" i="34"/>
  <c r="K2183" i="34"/>
  <c r="K2182" i="34"/>
  <c r="K2181" i="34"/>
  <c r="K2179" i="34"/>
  <c r="K2178" i="34"/>
  <c r="K2170" i="34"/>
  <c r="K2169" i="34"/>
  <c r="K2168" i="34"/>
  <c r="K2167" i="34"/>
  <c r="K2165" i="34"/>
  <c r="K2160" i="34"/>
  <c r="K2159" i="34"/>
  <c r="K2157" i="34"/>
  <c r="K2156" i="34"/>
  <c r="K2155" i="34"/>
  <c r="K2154" i="34"/>
  <c r="K2152" i="34"/>
  <c r="K2151" i="34"/>
  <c r="K2143" i="34"/>
  <c r="K2141" i="34"/>
  <c r="K2140" i="34"/>
  <c r="K2133" i="34"/>
  <c r="K2131" i="34"/>
  <c r="K2129" i="34"/>
  <c r="K2127" i="34"/>
  <c r="K2124" i="34"/>
  <c r="K2120" i="34"/>
  <c r="K2119" i="34"/>
  <c r="K2118" i="34"/>
  <c r="K2116" i="34"/>
  <c r="K2114" i="34"/>
  <c r="K2112" i="34"/>
  <c r="K2110" i="34"/>
  <c r="K2109" i="34"/>
  <c r="K2107" i="34"/>
  <c r="K2105" i="34"/>
  <c r="K2103" i="34"/>
  <c r="K2102" i="34"/>
  <c r="K2101" i="34"/>
  <c r="K2100" i="34"/>
  <c r="K2099" i="34"/>
  <c r="K2094" i="34"/>
  <c r="K2093" i="34"/>
  <c r="K2092" i="34"/>
  <c r="K2091" i="34"/>
  <c r="K2090" i="34"/>
  <c r="K2089" i="34"/>
  <c r="K2088" i="34"/>
  <c r="K2087" i="34"/>
  <c r="K2086" i="34"/>
  <c r="K2084" i="34"/>
  <c r="K2083" i="34"/>
  <c r="K2081" i="34"/>
  <c r="K2078" i="34"/>
  <c r="K2077" i="34"/>
  <c r="K2076" i="34"/>
  <c r="K2075" i="34"/>
  <c r="K2074" i="34"/>
  <c r="K2073" i="34"/>
  <c r="K2072" i="34"/>
  <c r="K2071" i="34"/>
  <c r="K2070" i="34"/>
  <c r="K2069" i="34"/>
  <c r="K2067" i="34"/>
  <c r="K2066" i="34"/>
  <c r="K2065" i="34"/>
  <c r="K2063" i="34"/>
  <c r="K2062" i="34"/>
  <c r="K2060" i="34"/>
  <c r="K2056" i="34"/>
  <c r="K2054" i="34"/>
  <c r="K2052" i="34"/>
  <c r="K2040" i="34"/>
  <c r="K2038" i="34"/>
  <c r="K2037" i="34"/>
  <c r="K2036" i="34"/>
  <c r="K2035" i="34"/>
  <c r="K2034" i="34"/>
  <c r="K2033" i="34"/>
  <c r="K2032" i="34"/>
  <c r="K2031" i="34"/>
  <c r="K2030" i="34"/>
  <c r="K2028" i="34"/>
  <c r="K2021" i="34"/>
  <c r="K2020" i="34"/>
  <c r="K2019" i="34"/>
  <c r="K2014" i="34"/>
  <c r="K2013" i="34"/>
  <c r="K2006" i="34"/>
  <c r="K2004" i="34"/>
  <c r="K2003" i="34"/>
  <c r="K2002" i="34"/>
  <c r="K2001" i="34"/>
  <c r="K1999" i="34"/>
  <c r="K1998" i="34"/>
  <c r="K1997" i="34"/>
  <c r="K1996" i="34"/>
  <c r="K1995" i="34"/>
  <c r="K1993" i="34"/>
  <c r="K1992" i="34"/>
  <c r="K1991" i="34"/>
  <c r="K1990" i="34"/>
  <c r="K1988" i="34"/>
  <c r="K1987" i="34"/>
  <c r="K1986" i="34"/>
  <c r="K1985" i="34"/>
  <c r="K1978" i="34"/>
  <c r="K1976" i="34"/>
  <c r="K1974" i="34"/>
  <c r="K1973" i="34"/>
  <c r="K1972" i="34"/>
  <c r="K1971" i="34"/>
  <c r="K1968" i="34"/>
  <c r="K1964" i="34"/>
  <c r="K1963" i="34"/>
  <c r="K1961" i="34"/>
  <c r="K1948" i="34"/>
  <c r="K1947" i="34"/>
  <c r="K1946" i="34"/>
  <c r="K1944" i="34"/>
  <c r="K1942" i="34"/>
  <c r="K1941" i="34"/>
  <c r="K1940" i="34"/>
  <c r="K1939" i="34"/>
  <c r="K1938" i="34"/>
  <c r="K1937" i="34"/>
  <c r="K1933" i="34"/>
  <c r="K1931" i="34"/>
  <c r="K1929" i="34"/>
  <c r="K1926" i="34"/>
  <c r="K1925" i="34"/>
  <c r="K1924" i="34"/>
  <c r="K1922" i="34"/>
  <c r="K1921" i="34"/>
  <c r="K1919" i="34"/>
  <c r="K1918" i="34"/>
  <c r="K1916" i="34"/>
  <c r="K1907" i="34"/>
  <c r="K1902" i="34"/>
  <c r="K1900" i="34"/>
  <c r="K1895" i="34"/>
  <c r="K1893" i="34"/>
  <c r="K1892" i="34"/>
  <c r="K1890" i="34"/>
  <c r="K1888" i="34"/>
  <c r="K1887" i="34"/>
  <c r="K1886" i="34"/>
  <c r="K1885" i="34"/>
  <c r="K1882" i="34"/>
  <c r="K1881" i="34"/>
  <c r="K1880" i="34"/>
  <c r="K1879" i="34"/>
  <c r="K1878" i="34"/>
  <c r="K1877" i="34"/>
  <c r="K1875" i="34"/>
  <c r="K1874" i="34"/>
  <c r="K1872" i="34"/>
  <c r="K1868" i="34"/>
  <c r="K1867" i="34"/>
  <c r="K1866" i="34"/>
  <c r="K1865" i="34"/>
  <c r="K1863" i="34"/>
  <c r="K1861" i="34"/>
  <c r="K1860" i="34"/>
  <c r="K1857" i="34"/>
  <c r="K1856" i="34"/>
  <c r="K1854" i="34"/>
  <c r="K1853" i="34"/>
  <c r="K1852" i="34"/>
  <c r="K1851" i="34"/>
  <c r="K1850" i="34"/>
  <c r="K1844" i="34"/>
  <c r="K1842" i="34"/>
  <c r="K1834" i="34"/>
  <c r="K1833" i="34"/>
  <c r="K1832" i="34"/>
  <c r="K1831" i="34"/>
  <c r="K1830" i="34"/>
  <c r="K1828" i="34"/>
  <c r="K1827" i="34"/>
  <c r="K1825" i="34"/>
  <c r="K1824" i="34"/>
  <c r="K1823" i="34"/>
  <c r="K1822" i="34"/>
  <c r="K1821" i="34"/>
  <c r="K1819" i="34"/>
  <c r="K1818" i="34"/>
  <c r="K1817" i="34"/>
  <c r="K1815" i="34"/>
  <c r="K1813" i="34"/>
  <c r="K1811" i="34"/>
  <c r="K1810" i="34"/>
  <c r="K1808" i="34"/>
  <c r="K1807" i="34"/>
  <c r="K1806" i="34"/>
  <c r="K1802" i="34"/>
  <c r="K1799" i="34"/>
  <c r="K1798" i="34"/>
  <c r="K1797" i="34"/>
  <c r="K1794" i="34"/>
  <c r="K1789" i="34"/>
  <c r="K1788" i="34"/>
  <c r="K1785" i="34"/>
  <c r="K1784" i="34"/>
  <c r="K1781" i="34"/>
  <c r="K1780" i="34"/>
  <c r="K1779" i="34"/>
  <c r="K1764" i="34"/>
  <c r="K1761" i="34"/>
  <c r="K1754" i="34"/>
  <c r="K1746" i="34"/>
  <c r="K1744" i="34"/>
  <c r="K1743" i="34"/>
  <c r="K1742" i="34"/>
  <c r="K1740" i="34"/>
  <c r="K1737" i="34"/>
  <c r="K1736" i="34"/>
  <c r="K1734" i="34"/>
  <c r="K1733" i="34"/>
  <c r="K1732" i="34"/>
  <c r="K1730" i="34"/>
  <c r="K1728" i="34"/>
  <c r="K1727" i="34"/>
  <c r="K1725" i="34"/>
  <c r="K1716" i="34"/>
  <c r="K1715" i="34"/>
  <c r="K1714" i="34"/>
  <c r="K1709" i="34"/>
  <c r="K1708" i="34"/>
  <c r="K1707" i="34"/>
  <c r="K1706" i="34"/>
  <c r="K1704" i="34"/>
  <c r="K1703" i="34"/>
  <c r="K1698" i="34"/>
  <c r="K1697" i="34"/>
  <c r="K1696" i="34"/>
  <c r="K1695" i="34"/>
  <c r="K1694" i="34"/>
  <c r="K1693" i="34"/>
  <c r="K1692" i="34"/>
  <c r="K1690" i="34"/>
  <c r="K1682" i="34"/>
  <c r="K1680" i="34"/>
  <c r="K1678" i="34"/>
  <c r="K1677" i="34"/>
  <c r="K1676" i="34"/>
  <c r="K1672" i="34"/>
  <c r="K1670" i="34"/>
  <c r="K1667" i="34"/>
  <c r="K1666" i="34"/>
  <c r="K1664" i="34"/>
  <c r="K1663" i="34"/>
  <c r="K1660" i="34"/>
  <c r="K1659" i="34"/>
  <c r="K1658" i="34"/>
  <c r="K1657" i="34"/>
  <c r="K1654" i="34"/>
  <c r="K1650" i="34"/>
  <c r="K1649" i="34"/>
  <c r="K1648" i="34"/>
  <c r="K1647" i="34"/>
  <c r="K1646" i="34"/>
  <c r="K1645" i="34"/>
  <c r="K1644" i="34"/>
  <c r="K1643" i="34"/>
  <c r="K1642" i="34"/>
  <c r="K1638" i="34"/>
  <c r="K1632" i="34"/>
  <c r="K1615" i="34"/>
  <c r="K1614" i="34"/>
  <c r="K1613" i="34"/>
  <c r="K1612" i="34"/>
  <c r="K1611" i="34"/>
  <c r="K1610" i="34"/>
  <c r="K1609" i="34"/>
  <c r="K1608" i="34"/>
  <c r="K1607" i="34"/>
  <c r="K1606" i="34"/>
  <c r="K1604" i="34"/>
  <c r="K1603" i="34"/>
  <c r="K1602" i="34"/>
  <c r="K1601" i="34"/>
  <c r="K1600" i="34"/>
  <c r="K1599" i="34"/>
  <c r="K1597" i="34"/>
  <c r="K1574" i="34"/>
  <c r="K1573" i="34"/>
  <c r="K1571" i="34"/>
  <c r="K1563" i="34"/>
  <c r="K1562" i="34"/>
  <c r="K1561" i="34"/>
  <c r="K1560" i="34"/>
  <c r="K1557" i="34"/>
  <c r="K1555" i="34"/>
  <c r="K1554" i="34"/>
  <c r="K1551" i="34"/>
  <c r="K1549" i="34"/>
  <c r="K1548" i="34"/>
  <c r="K1547" i="34"/>
  <c r="K1546" i="34"/>
  <c r="K1543" i="34"/>
  <c r="K1542" i="34"/>
  <c r="K1530" i="34"/>
  <c r="K1529" i="34"/>
  <c r="K1528" i="34"/>
  <c r="K1527" i="34"/>
  <c r="K1526" i="34"/>
  <c r="K1525" i="34"/>
  <c r="K1524" i="34"/>
  <c r="K1522" i="34"/>
  <c r="K1521" i="34"/>
  <c r="K1520" i="34"/>
  <c r="K1519" i="34"/>
  <c r="K1518" i="34"/>
  <c r="K1517" i="34"/>
  <c r="K1516" i="34"/>
  <c r="K1514" i="34"/>
  <c r="K1513" i="34"/>
  <c r="K1510" i="34"/>
  <c r="K1502" i="34"/>
  <c r="K1501" i="34"/>
  <c r="K1495" i="34"/>
  <c r="K1492" i="34"/>
  <c r="K1491" i="34"/>
  <c r="K1489" i="34"/>
  <c r="K1488" i="34"/>
  <c r="K1487" i="34"/>
  <c r="K1486" i="34"/>
  <c r="K1484" i="34"/>
  <c r="K1483" i="34"/>
  <c r="K1477" i="34"/>
  <c r="K1476" i="34"/>
  <c r="K1474" i="34"/>
  <c r="K1473" i="34"/>
  <c r="K1472" i="34"/>
  <c r="K1470" i="34"/>
  <c r="K1469" i="34"/>
  <c r="K1467" i="34"/>
  <c r="K1466" i="34"/>
  <c r="K1455" i="34"/>
  <c r="K1458" i="34"/>
  <c r="K1453" i="34"/>
  <c r="K1452" i="34"/>
  <c r="K1451" i="34"/>
  <c r="K1442" i="34"/>
  <c r="K1441" i="34"/>
  <c r="K1438" i="34"/>
  <c r="K1436" i="34"/>
  <c r="K1434" i="34"/>
  <c r="K1425" i="34"/>
  <c r="K1424" i="34"/>
  <c r="K1422" i="34"/>
  <c r="K1421" i="34"/>
  <c r="K1420" i="34"/>
  <c r="K1418" i="34"/>
  <c r="K1417" i="34"/>
  <c r="K1416" i="34"/>
  <c r="K1415" i="34"/>
  <c r="K1414" i="34"/>
  <c r="K1413" i="34"/>
  <c r="K1412" i="34"/>
  <c r="K1411" i="34"/>
  <c r="K1410" i="34"/>
  <c r="K1405" i="34"/>
  <c r="K1403" i="34"/>
  <c r="K1402" i="34"/>
  <c r="K1401" i="34"/>
  <c r="K1400" i="34"/>
  <c r="K1399" i="34"/>
  <c r="K1398" i="34"/>
  <c r="K1397" i="34"/>
  <c r="K1396" i="34"/>
  <c r="K1395" i="34"/>
  <c r="K1394" i="34"/>
  <c r="K1392" i="34"/>
  <c r="K1390" i="34"/>
  <c r="K1389" i="34"/>
  <c r="K1379" i="34"/>
  <c r="K1372" i="34"/>
  <c r="K1371" i="34"/>
  <c r="K1369" i="34"/>
  <c r="K1368" i="34"/>
  <c r="K1367" i="34"/>
  <c r="K1366" i="34"/>
  <c r="K1365" i="34"/>
  <c r="K1364" i="34"/>
  <c r="K1361" i="34"/>
  <c r="K1360" i="34"/>
  <c r="K1358" i="34"/>
  <c r="K1357" i="34"/>
  <c r="K1355" i="34"/>
  <c r="K1346" i="34"/>
  <c r="K1342" i="34"/>
  <c r="K1341" i="34"/>
  <c r="K1327" i="34"/>
  <c r="K1325" i="34"/>
  <c r="K1324" i="34"/>
  <c r="K1323" i="34"/>
  <c r="K1320" i="34"/>
  <c r="K1318" i="34"/>
  <c r="K1317" i="34"/>
  <c r="K1310" i="34"/>
  <c r="K1309" i="34"/>
  <c r="K1308" i="34"/>
  <c r="K1307" i="34"/>
  <c r="K1306" i="34"/>
  <c r="K1305" i="34"/>
  <c r="K1304" i="34"/>
  <c r="K1303" i="34"/>
  <c r="K1301" i="34"/>
  <c r="K1299" i="34"/>
  <c r="K1298" i="34"/>
  <c r="K1297" i="34"/>
  <c r="K1292" i="34"/>
  <c r="K1291" i="34"/>
  <c r="K1290" i="34"/>
  <c r="K1289" i="34"/>
  <c r="K1288" i="34"/>
  <c r="K1287" i="34"/>
  <c r="K1286" i="34"/>
  <c r="K1285" i="34"/>
  <c r="K1280" i="34"/>
  <c r="K1279" i="34"/>
  <c r="K1278" i="34"/>
  <c r="K1277" i="34"/>
  <c r="K1276" i="34"/>
  <c r="K1275" i="34"/>
  <c r="K1273" i="34"/>
  <c r="K1272" i="34"/>
  <c r="K1271" i="34"/>
  <c r="K1270" i="34"/>
  <c r="K1269" i="34"/>
  <c r="K1268" i="34"/>
  <c r="K1267" i="34"/>
  <c r="K1266" i="34"/>
  <c r="K1265" i="34"/>
  <c r="K1264" i="34"/>
  <c r="K1262" i="34"/>
  <c r="K1261" i="34"/>
  <c r="K1260" i="34"/>
  <c r="K1258" i="34"/>
  <c r="K1257" i="34"/>
  <c r="K1255" i="34"/>
  <c r="K1254" i="34"/>
  <c r="K1252" i="34"/>
  <c r="K1251" i="34"/>
  <c r="K1250" i="34"/>
  <c r="K1248" i="34"/>
  <c r="K1246" i="34"/>
  <c r="K1245" i="34"/>
  <c r="K1243" i="34"/>
  <c r="K1242" i="34"/>
  <c r="K1237" i="34"/>
  <c r="K1236" i="34"/>
  <c r="K1235" i="34"/>
  <c r="K1234" i="34"/>
  <c r="K1233" i="34"/>
  <c r="K1232" i="34"/>
  <c r="K1231" i="34"/>
  <c r="K1230" i="34"/>
  <c r="K1229" i="34"/>
  <c r="K1227" i="34"/>
  <c r="K1226" i="34"/>
  <c r="K1225" i="34"/>
  <c r="K1224" i="34"/>
  <c r="K1223" i="34"/>
  <c r="K1222" i="34"/>
  <c r="K1221" i="34"/>
  <c r="K1220" i="34"/>
  <c r="K1218" i="34"/>
  <c r="K1217" i="34"/>
  <c r="K1216" i="34"/>
  <c r="K1215" i="34"/>
  <c r="K1214" i="34"/>
  <c r="K1213" i="34"/>
  <c r="K1212" i="34"/>
  <c r="K1211" i="34"/>
  <c r="K1210" i="34"/>
  <c r="K1209" i="34"/>
  <c r="K1207" i="34"/>
  <c r="K1205" i="34"/>
  <c r="K1203" i="34"/>
  <c r="K1201" i="34"/>
  <c r="K1195" i="34"/>
  <c r="K1193" i="34"/>
  <c r="K1184" i="34"/>
  <c r="K1183" i="34"/>
  <c r="K1182" i="34"/>
  <c r="K1180" i="34"/>
  <c r="K1178" i="34"/>
  <c r="K1176" i="34"/>
  <c r="K1173" i="34"/>
  <c r="K1167" i="34"/>
  <c r="K1164" i="34"/>
  <c r="K1162" i="34"/>
  <c r="K1161" i="34"/>
  <c r="K1160" i="34"/>
  <c r="K1159" i="34"/>
  <c r="K1154" i="34"/>
  <c r="K1152" i="34"/>
  <c r="K1150" i="34"/>
  <c r="K1149" i="34"/>
  <c r="K1147" i="34"/>
  <c r="K1146" i="34"/>
  <c r="K1145" i="34"/>
  <c r="K1143" i="34"/>
  <c r="K1141" i="34"/>
  <c r="K1140" i="34"/>
  <c r="K1139" i="34"/>
  <c r="K1138" i="34"/>
  <c r="K1137" i="34"/>
  <c r="K1136" i="34"/>
  <c r="K1118" i="34"/>
  <c r="K1112" i="34"/>
  <c r="K1096" i="34"/>
  <c r="K1110" i="34"/>
  <c r="K1109" i="34"/>
  <c r="K1108" i="34"/>
  <c r="K1106" i="34"/>
  <c r="K1105" i="34"/>
  <c r="K1104" i="34"/>
  <c r="K1103" i="34"/>
  <c r="K1102" i="34"/>
  <c r="K1101" i="34"/>
  <c r="K1100" i="34"/>
  <c r="K1099" i="34"/>
  <c r="K1094" i="34"/>
  <c r="K1093" i="34"/>
  <c r="K1091" i="34"/>
  <c r="K1090" i="34"/>
  <c r="K1089" i="34"/>
  <c r="K1088" i="34"/>
  <c r="K1087" i="34"/>
  <c r="K1082" i="34"/>
  <c r="K1081" i="34"/>
  <c r="K1073" i="34"/>
  <c r="K1072" i="34"/>
  <c r="K1071" i="34"/>
  <c r="K1070" i="34"/>
  <c r="K1069" i="34"/>
  <c r="K1068" i="34"/>
  <c r="K1067" i="34"/>
  <c r="K1066" i="34"/>
  <c r="K1065" i="34"/>
  <c r="K1063" i="34"/>
  <c r="K1061" i="34"/>
  <c r="K1059" i="34"/>
  <c r="K1057" i="34"/>
  <c r="K1056" i="34"/>
  <c r="K1049" i="34"/>
  <c r="K1043" i="34"/>
  <c r="K1034" i="34"/>
  <c r="K1033" i="34"/>
  <c r="K1032" i="34"/>
  <c r="K1031" i="34"/>
  <c r="K1030" i="34"/>
  <c r="K1029" i="34"/>
  <c r="K1028" i="34"/>
  <c r="K1027" i="34"/>
  <c r="K1026" i="34"/>
  <c r="K1025" i="34"/>
  <c r="K1022" i="34"/>
  <c r="K1021" i="34"/>
  <c r="K1020" i="34"/>
  <c r="K1019" i="34"/>
  <c r="K1018" i="34"/>
  <c r="K1017" i="34"/>
  <c r="K1015" i="34"/>
  <c r="K1014" i="34"/>
  <c r="K1013" i="34"/>
  <c r="K1004" i="34"/>
  <c r="K1003" i="34"/>
  <c r="K1002" i="34"/>
  <c r="K1001" i="34"/>
  <c r="K1000" i="34"/>
  <c r="K999" i="34"/>
  <c r="K998" i="34"/>
  <c r="K997" i="34"/>
  <c r="K996" i="34"/>
  <c r="K995" i="34"/>
  <c r="K992" i="34"/>
  <c r="K991" i="34"/>
  <c r="K990" i="34"/>
  <c r="K989" i="34"/>
  <c r="K988" i="34"/>
  <c r="K987" i="34"/>
  <c r="K986" i="34"/>
  <c r="K985" i="34"/>
  <c r="K984" i="34"/>
  <c r="K983" i="34"/>
  <c r="K980" i="34"/>
  <c r="K979" i="34"/>
  <c r="K976" i="34"/>
  <c r="K975" i="34"/>
  <c r="K974" i="34"/>
  <c r="K973" i="34"/>
  <c r="K972" i="34"/>
  <c r="K971" i="34"/>
  <c r="K970" i="34"/>
  <c r="K969" i="34"/>
  <c r="K956" i="34"/>
  <c r="K954" i="34"/>
  <c r="K953" i="34"/>
  <c r="K952" i="34"/>
  <c r="K951" i="34"/>
  <c r="K950" i="34"/>
  <c r="K949" i="34"/>
  <c r="K948" i="34"/>
  <c r="K947" i="34"/>
  <c r="K946" i="34"/>
  <c r="K945" i="34"/>
  <c r="K936" i="34"/>
  <c r="K935" i="34"/>
  <c r="K934" i="34"/>
  <c r="K933" i="34"/>
  <c r="K932" i="34"/>
  <c r="K931" i="34"/>
  <c r="K930" i="34"/>
  <c r="K929" i="34"/>
  <c r="K928" i="34"/>
  <c r="K927" i="34"/>
  <c r="K924" i="34"/>
  <c r="K923" i="34"/>
  <c r="K922" i="34"/>
  <c r="K919" i="34"/>
  <c r="K911" i="34"/>
  <c r="K909" i="34"/>
  <c r="K908" i="34"/>
  <c r="K905" i="34"/>
  <c r="K903" i="34"/>
  <c r="K894" i="34"/>
  <c r="K883" i="34"/>
  <c r="K882" i="34"/>
  <c r="K880" i="34"/>
  <c r="K879" i="34"/>
  <c r="K878" i="34"/>
  <c r="K872" i="34"/>
  <c r="K871" i="34"/>
  <c r="K870" i="34"/>
  <c r="K869" i="34"/>
  <c r="K860" i="34"/>
  <c r="K858" i="34"/>
  <c r="K856" i="34"/>
  <c r="K855" i="34"/>
  <c r="K853" i="34"/>
  <c r="K852" i="34"/>
  <c r="K849" i="34"/>
  <c r="K846" i="34"/>
  <c r="K845" i="34"/>
  <c r="K844" i="34"/>
  <c r="K843" i="34"/>
  <c r="K841" i="34"/>
  <c r="K840" i="34"/>
  <c r="K839" i="34"/>
  <c r="K838" i="34"/>
  <c r="K836" i="34"/>
  <c r="K835" i="34"/>
  <c r="K832" i="34"/>
  <c r="K831" i="34"/>
  <c r="K830" i="34"/>
  <c r="K829" i="34"/>
  <c r="K828" i="34"/>
  <c r="K827" i="34"/>
  <c r="K826" i="34"/>
  <c r="K825" i="34"/>
  <c r="K824" i="34"/>
  <c r="K823" i="34"/>
  <c r="K820" i="34"/>
  <c r="K819" i="34"/>
  <c r="K818" i="34"/>
  <c r="K817" i="34"/>
  <c r="K808" i="34"/>
  <c r="K806" i="34"/>
  <c r="K805" i="34"/>
  <c r="K804" i="34"/>
  <c r="K803" i="34"/>
  <c r="K802" i="34"/>
  <c r="K801" i="34"/>
  <c r="K800" i="34"/>
  <c r="K799" i="34"/>
  <c r="K798" i="34"/>
  <c r="K797" i="34"/>
  <c r="K795" i="34"/>
  <c r="K792" i="34"/>
  <c r="K791" i="34"/>
  <c r="K790" i="34"/>
  <c r="K789" i="34"/>
  <c r="K788" i="34"/>
  <c r="K775" i="34"/>
  <c r="K772" i="34"/>
  <c r="K760" i="34"/>
  <c r="K759" i="34"/>
  <c r="K757" i="34"/>
  <c r="K756" i="34"/>
  <c r="K755" i="34"/>
  <c r="K754" i="34"/>
  <c r="K751" i="34"/>
  <c r="K750" i="34"/>
  <c r="K749" i="34"/>
  <c r="K748" i="34"/>
  <c r="K747" i="34"/>
  <c r="K745" i="34"/>
  <c r="K742" i="34"/>
  <c r="K741" i="34"/>
  <c r="K740" i="34"/>
  <c r="K739" i="34"/>
  <c r="K738" i="34"/>
  <c r="K737" i="34"/>
  <c r="K736" i="34"/>
  <c r="K735" i="34"/>
  <c r="K734" i="34"/>
  <c r="K733" i="34"/>
  <c r="K715" i="34"/>
  <c r="K699" i="34"/>
  <c r="K694" i="34"/>
  <c r="K692" i="34"/>
  <c r="K691" i="34"/>
  <c r="K690" i="34"/>
  <c r="K689" i="34"/>
  <c r="K688" i="34"/>
  <c r="K682" i="34"/>
  <c r="K681" i="34"/>
  <c r="K680" i="34"/>
  <c r="K679" i="34"/>
  <c r="K677" i="34"/>
  <c r="K676" i="34"/>
  <c r="K675" i="34"/>
  <c r="K674" i="34"/>
  <c r="K673" i="34"/>
  <c r="K672" i="34"/>
  <c r="K671" i="34"/>
  <c r="K670" i="34"/>
  <c r="K669" i="34"/>
  <c r="K668" i="34"/>
  <c r="K665" i="34"/>
  <c r="K664" i="34"/>
  <c r="K663" i="34"/>
  <c r="K662" i="34"/>
  <c r="K661" i="34"/>
  <c r="K660" i="34"/>
  <c r="K659" i="34"/>
  <c r="K658" i="34"/>
  <c r="K657" i="34"/>
  <c r="K656" i="34"/>
  <c r="K654" i="34"/>
  <c r="K653" i="34"/>
  <c r="K652" i="34"/>
  <c r="K651" i="34"/>
  <c r="K650" i="34"/>
  <c r="K649" i="34"/>
  <c r="K648" i="34"/>
  <c r="K647" i="34"/>
  <c r="K646" i="34"/>
  <c r="K645" i="34"/>
  <c r="K643" i="34"/>
  <c r="K642" i="34"/>
  <c r="K641" i="34"/>
  <c r="K640" i="34"/>
  <c r="K639" i="34"/>
  <c r="K637" i="34"/>
  <c r="K635" i="34"/>
  <c r="K634" i="34"/>
  <c r="K633" i="34"/>
  <c r="K631" i="34"/>
  <c r="K630" i="34"/>
  <c r="K629" i="34"/>
  <c r="K621" i="34"/>
  <c r="K620" i="34"/>
  <c r="K615" i="34"/>
  <c r="K613" i="34"/>
  <c r="K612" i="34"/>
  <c r="K599" i="34"/>
  <c r="K597" i="34"/>
  <c r="K596" i="34"/>
  <c r="K578" i="34"/>
  <c r="K577" i="34"/>
  <c r="K575" i="34"/>
  <c r="K574" i="34"/>
  <c r="K573" i="34"/>
  <c r="K572" i="34"/>
  <c r="K571" i="34"/>
  <c r="K570" i="34"/>
  <c r="K569" i="34"/>
  <c r="K567" i="34"/>
  <c r="K564" i="34"/>
  <c r="K563" i="34"/>
  <c r="K562" i="34"/>
  <c r="K561" i="34"/>
  <c r="K560" i="34"/>
  <c r="K559" i="34"/>
  <c r="K550" i="34"/>
  <c r="K549" i="34"/>
  <c r="K548" i="34"/>
  <c r="K547" i="34"/>
  <c r="K546" i="34"/>
  <c r="K543" i="34"/>
  <c r="K542" i="34"/>
  <c r="K541" i="34"/>
  <c r="K540" i="34"/>
  <c r="K539" i="34"/>
  <c r="K537" i="34"/>
  <c r="K524" i="34"/>
  <c r="K522" i="34"/>
  <c r="K521" i="34"/>
  <c r="K520" i="34"/>
  <c r="K519" i="34"/>
  <c r="K518" i="34"/>
  <c r="K517" i="34"/>
  <c r="K513" i="34"/>
  <c r="K512" i="34"/>
  <c r="K510" i="34"/>
  <c r="K509" i="34"/>
  <c r="K507" i="34"/>
  <c r="K506" i="34"/>
  <c r="K505" i="34"/>
  <c r="K504" i="34"/>
  <c r="K503" i="34"/>
  <c r="K494" i="34"/>
  <c r="K480" i="34"/>
  <c r="K474" i="34"/>
  <c r="K473" i="34"/>
  <c r="K468" i="34"/>
  <c r="K467" i="34"/>
  <c r="K466" i="34"/>
  <c r="K465" i="34"/>
  <c r="K470" i="34"/>
  <c r="K463" i="34"/>
  <c r="K461" i="34"/>
  <c r="K460" i="34"/>
  <c r="K459" i="34"/>
  <c r="K458" i="34"/>
  <c r="K457" i="34"/>
  <c r="K452" i="34"/>
  <c r="K451" i="34"/>
  <c r="K444" i="34"/>
  <c r="K443" i="34"/>
  <c r="K442" i="34"/>
  <c r="K439" i="34"/>
  <c r="K438" i="34"/>
  <c r="K437" i="34"/>
  <c r="K436" i="34"/>
  <c r="K435" i="34"/>
  <c r="K434" i="34"/>
  <c r="K432" i="34"/>
  <c r="K431" i="34"/>
  <c r="K430" i="34"/>
  <c r="K429" i="34"/>
  <c r="K428" i="34"/>
  <c r="K427" i="34"/>
  <c r="K417" i="34"/>
  <c r="K416" i="34"/>
  <c r="K415" i="34"/>
  <c r="K414" i="34"/>
  <c r="K413" i="34"/>
  <c r="K425" i="34"/>
  <c r="K424" i="34"/>
  <c r="K423" i="34"/>
  <c r="K422" i="34"/>
  <c r="K421" i="34"/>
  <c r="K420" i="34"/>
  <c r="K419" i="34"/>
  <c r="K411" i="34"/>
  <c r="K410" i="34"/>
  <c r="K409" i="34"/>
  <c r="K408" i="34"/>
  <c r="K406" i="34"/>
  <c r="K405" i="34"/>
  <c r="K403" i="34"/>
  <c r="K402" i="34"/>
  <c r="K401" i="34"/>
  <c r="K400" i="34"/>
  <c r="K399" i="34"/>
  <c r="K398" i="34"/>
  <c r="K397" i="34"/>
  <c r="K396" i="34"/>
  <c r="K391" i="34"/>
  <c r="K389" i="34"/>
  <c r="K386" i="34"/>
  <c r="K385" i="34"/>
  <c r="K384" i="34"/>
  <c r="K383" i="34"/>
  <c r="K382" i="34"/>
  <c r="K381" i="34"/>
  <c r="K379" i="34"/>
  <c r="K378" i="34"/>
  <c r="K377" i="34"/>
  <c r="K353" i="34"/>
  <c r="K350" i="34"/>
  <c r="K365" i="34"/>
  <c r="K362" i="34"/>
  <c r="K344" i="34"/>
  <c r="K343" i="34"/>
  <c r="K340" i="34"/>
  <c r="K338" i="34"/>
  <c r="K335" i="34"/>
  <c r="K334" i="34"/>
  <c r="K333" i="34"/>
  <c r="K320" i="34"/>
  <c r="K319" i="34"/>
  <c r="K318" i="34"/>
  <c r="K316" i="34"/>
  <c r="K315" i="34"/>
  <c r="K309" i="34"/>
  <c r="K308" i="34"/>
  <c r="K307" i="34"/>
  <c r="K306" i="34"/>
  <c r="K304" i="34"/>
  <c r="K303" i="34"/>
  <c r="K302" i="34"/>
  <c r="K301" i="34"/>
  <c r="K298" i="34"/>
  <c r="K297" i="34"/>
  <c r="K296" i="34"/>
  <c r="K295" i="34"/>
  <c r="K294" i="34"/>
  <c r="K293" i="34"/>
  <c r="K288" i="34"/>
  <c r="K287" i="34"/>
  <c r="K286" i="34"/>
  <c r="K285" i="34"/>
  <c r="K283" i="34"/>
  <c r="K282" i="34"/>
  <c r="K281" i="34"/>
  <c r="K280" i="34"/>
  <c r="K277" i="34"/>
  <c r="K276" i="34"/>
  <c r="K268" i="34"/>
  <c r="K255" i="34"/>
  <c r="K254" i="34"/>
  <c r="K253" i="34"/>
  <c r="K252" i="34"/>
  <c r="K250" i="34"/>
  <c r="K249" i="34"/>
  <c r="K245" i="34"/>
  <c r="K244" i="34"/>
  <c r="K243" i="34"/>
  <c r="K242" i="34"/>
  <c r="K240" i="34"/>
  <c r="K237" i="34"/>
  <c r="K235" i="34"/>
  <c r="K233" i="34"/>
  <c r="K230" i="34"/>
  <c r="K229" i="34"/>
  <c r="K228" i="34"/>
  <c r="K227" i="34"/>
  <c r="K209" i="34"/>
  <c r="K208" i="34"/>
  <c r="K206" i="34"/>
  <c r="K205" i="34"/>
  <c r="K203" i="34"/>
  <c r="K202" i="34"/>
  <c r="K200" i="34"/>
  <c r="K194" i="34"/>
  <c r="K193" i="34"/>
  <c r="K192" i="34"/>
  <c r="K189" i="34"/>
  <c r="K181" i="34"/>
  <c r="K179" i="34"/>
  <c r="K178" i="34"/>
  <c r="K177" i="34"/>
  <c r="K176" i="34"/>
  <c r="K175" i="34"/>
  <c r="K174" i="34"/>
  <c r="K173" i="34"/>
  <c r="K172" i="34"/>
  <c r="K171" i="34"/>
  <c r="K168" i="34"/>
  <c r="K166" i="34"/>
  <c r="K164" i="34"/>
  <c r="K163" i="34"/>
  <c r="K159" i="34"/>
  <c r="K158" i="34"/>
  <c r="K157" i="34"/>
  <c r="K149" i="34"/>
  <c r="K148" i="34"/>
  <c r="K142" i="34"/>
  <c r="K141" i="34"/>
  <c r="K140" i="34"/>
  <c r="K138" i="34"/>
  <c r="K137" i="34"/>
  <c r="K135" i="34"/>
  <c r="K123" i="34"/>
  <c r="K122" i="34"/>
  <c r="K121" i="34"/>
  <c r="K120" i="34"/>
  <c r="K118" i="34"/>
  <c r="K117" i="34"/>
  <c r="K114" i="34"/>
  <c r="K112" i="34"/>
  <c r="K107" i="34"/>
  <c r="K106" i="34"/>
  <c r="K105" i="34"/>
  <c r="K104" i="34"/>
  <c r="K103" i="34"/>
  <c r="K102" i="34"/>
  <c r="K101" i="34"/>
  <c r="K99" i="34"/>
  <c r="K98" i="34"/>
  <c r="K92" i="34"/>
  <c r="K90" i="34"/>
  <c r="K89" i="34"/>
  <c r="K88" i="34"/>
  <c r="K87" i="34"/>
  <c r="K85" i="34"/>
  <c r="K80" i="34"/>
  <c r="K79" i="34"/>
  <c r="K78" i="34"/>
  <c r="K77" i="34"/>
  <c r="K76" i="34"/>
  <c r="K75" i="34"/>
  <c r="K74" i="34"/>
  <c r="K73" i="34"/>
  <c r="K68" i="34"/>
  <c r="K66" i="34"/>
  <c r="K65" i="34"/>
  <c r="K62" i="34"/>
  <c r="K59" i="34"/>
  <c r="K58" i="34"/>
  <c r="K57" i="34"/>
  <c r="K56" i="34"/>
  <c r="K55" i="34"/>
  <c r="K54" i="34"/>
  <c r="K52" i="34"/>
  <c r="K51" i="34"/>
  <c r="K44" i="34"/>
  <c r="K40" i="34"/>
  <c r="K39" i="34"/>
  <c r="K37" i="34"/>
  <c r="K34" i="34"/>
  <c r="K33" i="34"/>
  <c r="A82" i="55" l="1"/>
  <c r="B83" i="55"/>
  <c r="A3" i="54"/>
  <c r="A2" i="54"/>
  <c r="C22" i="54"/>
  <c r="A83" i="55" l="1"/>
  <c r="B84" i="55"/>
  <c r="B2" i="55"/>
  <c r="B1" i="55"/>
  <c r="A6" i="12"/>
  <c r="A30" i="70"/>
  <c r="A70" i="70"/>
  <c r="A9" i="70"/>
  <c r="A28" i="70"/>
  <c r="A7" i="70"/>
  <c r="A11" i="70"/>
  <c r="A12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1509" i="34"/>
  <c r="B1465" i="34"/>
  <c r="B1457" i="34"/>
  <c r="B1497" i="34"/>
  <c r="B482" i="34"/>
  <c r="B2327" i="34"/>
  <c r="B2325" i="34"/>
  <c r="B2036" i="34"/>
  <c r="B1513" i="34"/>
  <c r="B90" i="55" l="1"/>
  <c r="A89" i="55"/>
  <c r="B2859" i="34"/>
  <c r="B2423" i="34"/>
  <c r="B1809" i="34"/>
  <c r="B1808" i="34"/>
  <c r="B1807" i="34"/>
  <c r="B1806" i="34"/>
  <c r="B1803" i="34"/>
  <c r="B1802" i="34"/>
  <c r="B1800" i="34"/>
  <c r="B1799" i="34"/>
  <c r="B1798" i="34"/>
  <c r="B1797" i="34"/>
  <c r="B1795" i="34"/>
  <c r="B1794" i="34"/>
  <c r="B1790" i="34"/>
  <c r="B1789" i="34"/>
  <c r="B1788" i="34"/>
  <c r="B1732" i="34"/>
  <c r="B1731" i="34"/>
  <c r="B1730" i="34"/>
  <c r="B1729" i="34"/>
  <c r="B1728" i="34"/>
  <c r="B1727" i="34"/>
  <c r="B1726" i="34"/>
  <c r="B1725" i="34"/>
  <c r="B1717" i="34"/>
  <c r="B1670" i="34"/>
  <c r="B1668" i="34"/>
  <c r="B1667" i="34"/>
  <c r="B1666" i="34"/>
  <c r="B1665" i="34"/>
  <c r="B1664" i="34"/>
  <c r="B1663" i="34"/>
  <c r="B1661" i="34"/>
  <c r="B1660" i="34"/>
  <c r="B1611" i="34"/>
  <c r="B1610" i="34"/>
  <c r="B1609" i="34"/>
  <c r="B1608" i="34"/>
  <c r="B1607" i="34"/>
  <c r="B1606" i="34"/>
  <c r="B1605" i="34"/>
  <c r="B1604" i="34"/>
  <c r="B1603" i="34"/>
  <c r="B2340" i="34"/>
  <c r="B2318" i="34"/>
  <c r="B2313" i="34"/>
  <c r="B2155" i="34"/>
  <c r="B2154" i="34"/>
  <c r="B2071" i="34"/>
  <c r="B2070" i="34"/>
  <c r="B2030" i="34"/>
  <c r="B2029" i="34"/>
  <c r="B1977" i="34"/>
  <c r="B1976" i="34"/>
  <c r="B1968" i="34"/>
  <c r="B1965" i="34"/>
  <c r="B1964" i="34"/>
  <c r="B1963" i="34"/>
  <c r="B1939" i="34"/>
  <c r="B1938" i="34"/>
  <c r="B1937" i="34"/>
  <c r="B1934" i="34"/>
  <c r="B1933" i="34"/>
  <c r="B1932" i="34"/>
  <c r="B1901" i="34"/>
  <c r="B1900" i="34"/>
  <c r="B1896" i="34"/>
  <c r="B1895" i="34"/>
  <c r="B1894" i="34"/>
  <c r="B1893" i="34"/>
  <c r="B1892" i="34"/>
  <c r="B1891" i="34"/>
  <c r="B1890" i="34"/>
  <c r="B1865" i="34"/>
  <c r="B1864" i="34"/>
  <c r="B1863" i="34"/>
  <c r="B1862" i="34"/>
  <c r="B1861" i="34"/>
  <c r="B1860" i="34"/>
  <c r="B1858" i="34"/>
  <c r="B1857" i="34"/>
  <c r="B1856" i="34"/>
  <c r="B1812" i="34"/>
  <c r="B1811" i="34"/>
  <c r="B1810" i="34"/>
  <c r="B2529" i="34"/>
  <c r="B2528" i="34"/>
  <c r="B2527" i="34"/>
  <c r="B2510" i="34"/>
  <c r="B2509" i="34"/>
  <c r="B2508" i="34"/>
  <c r="B2507" i="34"/>
  <c r="B2506" i="34"/>
  <c r="B2505" i="34"/>
  <c r="B2504" i="34"/>
  <c r="B2503" i="34"/>
  <c r="B2502" i="34"/>
  <c r="B2471" i="34"/>
  <c r="B2470" i="34"/>
  <c r="B2469" i="34"/>
  <c r="B2468" i="34"/>
  <c r="B2467" i="34"/>
  <c r="B2466" i="34"/>
  <c r="B2465" i="34"/>
  <c r="B2457" i="34"/>
  <c r="B2456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394" i="34"/>
  <c r="B2390" i="34"/>
  <c r="B2348" i="34"/>
  <c r="B2347" i="34"/>
  <c r="B2346" i="34"/>
  <c r="B2345" i="34"/>
  <c r="B2344" i="34"/>
  <c r="B2343" i="34"/>
  <c r="B2342" i="34"/>
  <c r="B2341" i="34"/>
  <c r="B2179" i="34"/>
  <c r="B2178" i="34"/>
  <c r="B2171" i="34"/>
  <c r="B2170" i="34"/>
  <c r="B2169" i="34"/>
  <c r="B2168" i="34"/>
  <c r="B2167" i="34"/>
  <c r="B2166" i="34"/>
  <c r="B2165" i="34"/>
  <c r="B2161" i="34"/>
  <c r="B2160" i="34"/>
  <c r="B2159" i="34"/>
  <c r="B2158" i="34"/>
  <c r="B2111" i="34"/>
  <c r="B2110" i="34"/>
  <c r="B2109" i="34"/>
  <c r="B2108" i="34"/>
  <c r="B2107" i="34"/>
  <c r="B2106" i="34"/>
  <c r="B2105" i="34"/>
  <c r="B2104" i="34"/>
  <c r="B2103" i="34"/>
  <c r="B2081" i="34"/>
  <c r="B2079" i="34"/>
  <c r="B2078" i="34"/>
  <c r="B2077" i="34"/>
  <c r="B2076" i="34"/>
  <c r="B2075" i="34"/>
  <c r="B2074" i="34"/>
  <c r="B2073" i="34"/>
  <c r="B2072" i="34"/>
  <c r="B109" i="34"/>
  <c r="B94" i="34"/>
  <c r="B71" i="34"/>
  <c r="B70" i="34"/>
  <c r="B61" i="34"/>
  <c r="B46" i="34"/>
  <c r="B36" i="34"/>
  <c r="B29" i="34"/>
  <c r="B2532" i="34"/>
  <c r="B2531" i="34"/>
  <c r="B2530" i="34"/>
  <c r="B2260" i="34"/>
  <c r="B2259" i="34"/>
  <c r="B2258" i="34"/>
  <c r="B2257" i="34"/>
  <c r="B2256" i="34"/>
  <c r="B2255" i="34"/>
  <c r="B2254" i="34"/>
  <c r="B2253" i="34"/>
  <c r="B2183" i="34"/>
  <c r="B2182" i="34"/>
  <c r="B2181" i="34"/>
  <c r="B2180" i="34"/>
  <c r="A77" i="70"/>
  <c r="B806" i="34"/>
  <c r="B91" i="55" l="1"/>
  <c r="A90" i="55"/>
  <c r="B414" i="34"/>
  <c r="B413" i="34"/>
  <c r="B426" i="34"/>
  <c r="B425" i="34"/>
  <c r="B424" i="34"/>
  <c r="B423" i="34"/>
  <c r="B422" i="34"/>
  <c r="B421" i="34"/>
  <c r="B420" i="34"/>
  <c r="B419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2" i="34"/>
  <c r="B391" i="34"/>
  <c r="B390" i="34"/>
  <c r="B389" i="34"/>
  <c r="B387" i="34"/>
  <c r="B386" i="34"/>
  <c r="B385" i="34"/>
  <c r="B384" i="34"/>
  <c r="B383" i="34"/>
  <c r="B382" i="34"/>
  <c r="B381" i="34"/>
  <c r="B380" i="34"/>
  <c r="B379" i="34"/>
  <c r="B378" i="34"/>
  <c r="B829" i="34"/>
  <c r="B828" i="34"/>
  <c r="B827" i="34"/>
  <c r="B635" i="34"/>
  <c r="B634" i="34"/>
  <c r="B633" i="34"/>
  <c r="B632" i="34"/>
  <c r="B631" i="34"/>
  <c r="B630" i="34"/>
  <c r="B629" i="34"/>
  <c r="B622" i="34"/>
  <c r="B621" i="34"/>
  <c r="B620" i="34"/>
  <c r="B616" i="34"/>
  <c r="B615" i="34"/>
  <c r="B614" i="34"/>
  <c r="B613" i="34"/>
  <c r="B612" i="34"/>
  <c r="B600" i="34"/>
  <c r="B599" i="34"/>
  <c r="B598" i="34"/>
  <c r="B597" i="34"/>
  <c r="B596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5" i="34"/>
  <c r="B564" i="34"/>
  <c r="B563" i="34"/>
  <c r="B562" i="34"/>
  <c r="B561" i="34"/>
  <c r="B560" i="34"/>
  <c r="B559" i="34"/>
  <c r="B551" i="34"/>
  <c r="B550" i="34"/>
  <c r="B549" i="34"/>
  <c r="B548" i="34"/>
  <c r="B1207" i="34"/>
  <c r="B1206" i="34"/>
  <c r="B1205" i="34"/>
  <c r="B1204" i="34"/>
  <c r="B1203" i="34"/>
  <c r="B1202" i="34"/>
  <c r="B1201" i="34"/>
  <c r="B1196" i="34"/>
  <c r="B1195" i="34"/>
  <c r="B1194" i="34"/>
  <c r="B1193" i="34"/>
  <c r="B1185" i="34"/>
  <c r="B1184" i="34"/>
  <c r="B1183" i="34"/>
  <c r="B1182" i="34"/>
  <c r="B1181" i="34"/>
  <c r="B1180" i="34"/>
  <c r="B1179" i="34"/>
  <c r="B1178" i="34"/>
  <c r="B1177" i="34"/>
  <c r="B1176" i="34"/>
  <c r="B1174" i="34"/>
  <c r="B1173" i="34"/>
  <c r="B1168" i="34"/>
  <c r="B1167" i="34"/>
  <c r="B1165" i="34"/>
  <c r="B1164" i="34"/>
  <c r="B1163" i="34"/>
  <c r="B1162" i="34"/>
  <c r="B1161" i="34"/>
  <c r="B1160" i="34"/>
  <c r="B1159" i="34"/>
  <c r="B818" i="34"/>
  <c r="B817" i="34"/>
  <c r="B809" i="34"/>
  <c r="B808" i="34"/>
  <c r="B807" i="34"/>
  <c r="B641" i="34"/>
  <c r="B640" i="34"/>
  <c r="B639" i="34"/>
  <c r="B638" i="34"/>
  <c r="B637" i="34"/>
  <c r="B636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518" i="34"/>
  <c r="B151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A91" i="55" l="1"/>
  <c r="B92" i="55"/>
  <c r="A92" i="55" l="1"/>
  <c r="B93" i="55"/>
  <c r="B2329" i="34"/>
  <c r="B2827" i="34"/>
  <c r="A93" i="55" l="1"/>
  <c r="B94" i="55"/>
  <c r="B2826" i="34"/>
  <c r="B2825" i="34"/>
  <c r="B63" i="34"/>
  <c r="A94" i="55" l="1"/>
  <c r="B95" i="55"/>
  <c r="B3468" i="34"/>
  <c r="B3469" i="34"/>
  <c r="B3470" i="34"/>
  <c r="B3471" i="34"/>
  <c r="B3472" i="34"/>
  <c r="B3473" i="34"/>
  <c r="B3474" i="34"/>
  <c r="B3475" i="34"/>
  <c r="B3476" i="34"/>
  <c r="B3477" i="34"/>
  <c r="B3479" i="34"/>
  <c r="B3480" i="34"/>
  <c r="B3481" i="34"/>
  <c r="B3482" i="34"/>
  <c r="B3483" i="34"/>
  <c r="B3484" i="34"/>
  <c r="B3485" i="34"/>
  <c r="B3487" i="34"/>
  <c r="B3488" i="34"/>
  <c r="B3489" i="34"/>
  <c r="B3490" i="34"/>
  <c r="B2615" i="34"/>
  <c r="B2616" i="34"/>
  <c r="B2617" i="34"/>
  <c r="B2618" i="34"/>
  <c r="B2619" i="34"/>
  <c r="B2629" i="34"/>
  <c r="B2630" i="34"/>
  <c r="B2631" i="34"/>
  <c r="B2632" i="34"/>
  <c r="B2633" i="34"/>
  <c r="B2634" i="34"/>
  <c r="B2635" i="34"/>
  <c r="B2637" i="34"/>
  <c r="B2638" i="34"/>
  <c r="B2639" i="34"/>
  <c r="B2640" i="34"/>
  <c r="B2641" i="34"/>
  <c r="B2642" i="34"/>
  <c r="B2644" i="34"/>
  <c r="B2646" i="34"/>
  <c r="B2647" i="34"/>
  <c r="B2648" i="34"/>
  <c r="B2649" i="34"/>
  <c r="B2650" i="34"/>
  <c r="B2651" i="34"/>
  <c r="B2652" i="34"/>
  <c r="B2653" i="34"/>
  <c r="B2654" i="34"/>
  <c r="B2655" i="34"/>
  <c r="B2661" i="34"/>
  <c r="B2662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92" i="34"/>
  <c r="B2793" i="34"/>
  <c r="B2794" i="34"/>
  <c r="B2795" i="34"/>
  <c r="B2796" i="34"/>
  <c r="B2797" i="34"/>
  <c r="B2798" i="34"/>
  <c r="B2799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663" i="34"/>
  <c r="B2624" i="34"/>
  <c r="B2700" i="34"/>
  <c r="B2701" i="34"/>
  <c r="B2702" i="34"/>
  <c r="B2703" i="34"/>
  <c r="B2704" i="34"/>
  <c r="B2705" i="34"/>
  <c r="B2706" i="34"/>
  <c r="B2707" i="34"/>
  <c r="B2708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1" i="34"/>
  <c r="B2770" i="34"/>
  <c r="B2769" i="34"/>
  <c r="B276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23" i="34"/>
  <c r="B2622" i="34"/>
  <c r="B2660" i="34"/>
  <c r="B2659" i="34"/>
  <c r="B2824" i="34"/>
  <c r="B2658" i="34"/>
  <c r="B2657" i="34"/>
  <c r="B2656" i="34"/>
  <c r="B2628" i="34"/>
  <c r="B2627" i="34"/>
  <c r="B2626" i="34"/>
  <c r="B2621" i="34"/>
  <c r="B2620" i="34"/>
  <c r="B2645" i="34"/>
  <c r="B2643" i="34"/>
  <c r="B2636" i="34"/>
  <c r="B2614" i="34"/>
  <c r="B2612" i="34"/>
  <c r="B2613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8" i="34"/>
  <c r="B2857" i="34"/>
  <c r="B2791" i="34"/>
  <c r="B3478" i="34"/>
  <c r="B2904" i="34"/>
  <c r="B2903" i="34"/>
  <c r="B2902" i="34"/>
  <c r="B2901" i="34"/>
  <c r="B2900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74" i="34"/>
  <c r="B2773" i="34"/>
  <c r="B2772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3501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777" i="34"/>
  <c r="B2776" i="34"/>
  <c r="B2775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625" i="34"/>
  <c r="B3500" i="34"/>
  <c r="B3499" i="34"/>
  <c r="B3498" i="34"/>
  <c r="B3497" i="34"/>
  <c r="B3496" i="34"/>
  <c r="B3495" i="34"/>
  <c r="B3494" i="34"/>
  <c r="B3493" i="34"/>
  <c r="B3492" i="34"/>
  <c r="B3491" i="34"/>
  <c r="B3486" i="34"/>
  <c r="B186" i="34"/>
  <c r="B271" i="34"/>
  <c r="B272" i="34"/>
  <c r="B356" i="34"/>
  <c r="B357" i="34"/>
  <c r="B358" i="34"/>
  <c r="B359" i="34"/>
  <c r="B360" i="34"/>
  <c r="B361" i="34"/>
  <c r="B96" i="34"/>
  <c r="B97" i="34"/>
  <c r="B125" i="34"/>
  <c r="B126" i="34"/>
  <c r="B127" i="34"/>
  <c r="B187" i="34"/>
  <c r="B552" i="34"/>
  <c r="B553" i="34"/>
  <c r="B554" i="34"/>
  <c r="B580" i="34"/>
  <c r="B581" i="34"/>
  <c r="B588" i="34"/>
  <c r="B589" i="34"/>
  <c r="B591" i="34"/>
  <c r="B592" i="34"/>
  <c r="B593" i="34"/>
  <c r="B594" i="34"/>
  <c r="B603" i="34"/>
  <c r="B604" i="34"/>
  <c r="B606" i="34"/>
  <c r="B607" i="34"/>
  <c r="B609" i="34"/>
  <c r="B610" i="34"/>
  <c r="B611" i="34"/>
  <c r="B1565" i="34"/>
  <c r="B1566" i="34"/>
  <c r="B1567" i="34"/>
  <c r="B1577" i="34"/>
  <c r="B1578" i="34"/>
  <c r="B1579" i="34"/>
  <c r="B1584" i="34"/>
  <c r="B1585" i="34"/>
  <c r="B1586" i="34"/>
  <c r="B1590" i="34"/>
  <c r="B1591" i="34"/>
  <c r="B1592" i="34"/>
  <c r="B1720" i="34"/>
  <c r="B1721" i="34"/>
  <c r="B1722" i="34"/>
  <c r="B1757" i="34"/>
  <c r="B1758" i="34"/>
  <c r="B1620" i="34"/>
  <c r="B1621" i="34"/>
  <c r="B1622" i="34"/>
  <c r="B1627" i="34"/>
  <c r="B1628" i="34"/>
  <c r="B1629" i="34"/>
  <c r="B1635" i="34"/>
  <c r="B1636" i="34"/>
  <c r="B1637" i="34"/>
  <c r="B257" i="34"/>
  <c r="B258" i="34"/>
  <c r="B259" i="34"/>
  <c r="B260" i="34"/>
  <c r="B261" i="34"/>
  <c r="B265" i="34"/>
  <c r="B266" i="34"/>
  <c r="B267" i="34"/>
  <c r="B273" i="34"/>
  <c r="B274" i="34"/>
  <c r="B275" i="34"/>
  <c r="B369" i="34"/>
  <c r="B370" i="34"/>
  <c r="B371" i="34"/>
  <c r="B372" i="34"/>
  <c r="B373" i="34"/>
  <c r="B394" i="34"/>
  <c r="B534" i="34"/>
  <c r="B582" i="34"/>
  <c r="B583" i="34"/>
  <c r="B584" i="34"/>
  <c r="B585" i="34"/>
  <c r="B586" i="34"/>
  <c r="B587" i="34"/>
  <c r="B704" i="34"/>
  <c r="B705" i="34"/>
  <c r="B706" i="34"/>
  <c r="B707" i="34"/>
  <c r="B708" i="34"/>
  <c r="B709" i="34"/>
  <c r="B2498" i="34"/>
  <c r="B2450" i="34"/>
  <c r="B2451" i="34"/>
  <c r="B2458" i="34"/>
  <c r="B2459" i="34"/>
  <c r="B2460" i="34"/>
  <c r="B2542" i="34"/>
  <c r="B2543" i="34"/>
  <c r="B2601" i="34"/>
  <c r="B2602" i="34"/>
  <c r="B2603" i="34"/>
  <c r="B2604" i="34"/>
  <c r="B2605" i="34"/>
  <c r="B188" i="34"/>
  <c r="B197" i="34"/>
  <c r="B198" i="34"/>
  <c r="B290" i="34"/>
  <c r="B291" i="34"/>
  <c r="B292" i="34"/>
  <c r="B325" i="34"/>
  <c r="B326" i="34"/>
  <c r="B347" i="34"/>
  <c r="B348" i="34"/>
  <c r="B221" i="34"/>
  <c r="B222" i="34"/>
  <c r="B25" i="34"/>
  <c r="B26" i="34"/>
  <c r="B27" i="34"/>
  <c r="B28" i="34"/>
  <c r="B617" i="34"/>
  <c r="B618" i="34"/>
  <c r="B625" i="34"/>
  <c r="B626" i="34"/>
  <c r="B628" i="34"/>
  <c r="B685" i="34"/>
  <c r="B687" i="34"/>
  <c r="B331" i="34"/>
  <c r="B332" i="34"/>
  <c r="B717" i="34"/>
  <c r="B719" i="34"/>
  <c r="B764" i="34"/>
  <c r="B765" i="34"/>
  <c r="B767" i="34"/>
  <c r="B768" i="34"/>
  <c r="B769" i="34"/>
  <c r="B771" i="34"/>
  <c r="B2146" i="34"/>
  <c r="B2147" i="34"/>
  <c r="B2246" i="34"/>
  <c r="B2248" i="34"/>
  <c r="B2097" i="34"/>
  <c r="B2098" i="34"/>
  <c r="B2043" i="34"/>
  <c r="B2044" i="34"/>
  <c r="B2017" i="34"/>
  <c r="B2018" i="34"/>
  <c r="B1914" i="34"/>
  <c r="B1915" i="34"/>
  <c r="B2198" i="34"/>
  <c r="B2199" i="34"/>
  <c r="B2392" i="34"/>
  <c r="B2393" i="34"/>
  <c r="B2009" i="34"/>
  <c r="B2011" i="34"/>
  <c r="B1038" i="34"/>
  <c r="B1039" i="34"/>
  <c r="B1085" i="34"/>
  <c r="B1086" i="34"/>
  <c r="B1041" i="34"/>
  <c r="B1042" i="34"/>
  <c r="B1046" i="34"/>
  <c r="B1048" i="34"/>
  <c r="B710" i="34"/>
  <c r="B711" i="34"/>
  <c r="B712" i="34"/>
  <c r="B713" i="34"/>
  <c r="B714" i="34"/>
  <c r="B720" i="34"/>
  <c r="B721" i="34"/>
  <c r="B722" i="34"/>
  <c r="B723" i="34"/>
  <c r="B724" i="34"/>
  <c r="B725" i="34"/>
  <c r="B185" i="34"/>
  <c r="B1756" i="34"/>
  <c r="B623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B96" i="55" l="1"/>
  <c r="A95" i="55"/>
  <c r="A3491" i="34"/>
  <c r="A3495" i="34"/>
  <c r="A3499" i="34"/>
  <c r="A3489" i="34"/>
  <c r="A3485" i="34"/>
  <c r="A3481" i="34"/>
  <c r="A3492" i="34"/>
  <c r="A3496" i="34"/>
  <c r="A3500" i="34"/>
  <c r="A3501" i="34"/>
  <c r="A3488" i="34"/>
  <c r="A3484" i="34"/>
  <c r="A3493" i="34"/>
  <c r="A3497" i="34"/>
  <c r="A3487" i="34"/>
  <c r="A3483" i="34"/>
  <c r="A3486" i="34"/>
  <c r="A3494" i="34"/>
  <c r="A3498" i="34"/>
  <c r="A3490" i="34"/>
  <c r="A3482" i="34"/>
  <c r="A96" i="55" l="1"/>
  <c r="B97" i="55"/>
  <c r="B2164" i="34"/>
  <c r="B2163" i="34"/>
  <c r="B2162" i="34"/>
  <c r="B1957" i="34"/>
  <c r="B2177" i="34"/>
  <c r="B2176" i="34"/>
  <c r="B2215" i="34"/>
  <c r="B1952" i="34"/>
  <c r="B1951" i="34"/>
  <c r="B1911" i="34"/>
  <c r="B1884" i="34"/>
  <c r="B1954" i="34"/>
  <c r="B1953" i="34"/>
  <c r="B1955" i="34"/>
  <c r="B1772" i="34"/>
  <c r="B1771" i="34"/>
  <c r="B1766" i="34"/>
  <c r="B1841" i="34"/>
  <c r="B1775" i="34"/>
  <c r="B2583" i="34"/>
  <c r="B2315" i="34"/>
  <c r="A97" i="55" l="1"/>
  <c r="B98" i="55"/>
  <c r="B329" i="34"/>
  <c r="B328" i="34"/>
  <c r="B323" i="34"/>
  <c r="B311" i="34"/>
  <c r="B300" i="34"/>
  <c r="B279" i="34"/>
  <c r="B263" i="34"/>
  <c r="B262" i="34"/>
  <c r="B223" i="34"/>
  <c r="B217" i="34"/>
  <c r="B216" i="34"/>
  <c r="B2525" i="34"/>
  <c r="B2524" i="34"/>
  <c r="B2523" i="34"/>
  <c r="B2522" i="34"/>
  <c r="B2497" i="34"/>
  <c r="B2496" i="34"/>
  <c r="B2495" i="34"/>
  <c r="B2494" i="34"/>
  <c r="B2493" i="34"/>
  <c r="B2492" i="34"/>
  <c r="B2491" i="34"/>
  <c r="B2486" i="34"/>
  <c r="B2455" i="34"/>
  <c r="B2454" i="34"/>
  <c r="B2453" i="34"/>
  <c r="B2452" i="34"/>
  <c r="B2442" i="34"/>
  <c r="B2441" i="34"/>
  <c r="B2440" i="34"/>
  <c r="B2439" i="34"/>
  <c r="B2438" i="34"/>
  <c r="B2407" i="34"/>
  <c r="B2367" i="34"/>
  <c r="B2366" i="34"/>
  <c r="B2365" i="34"/>
  <c r="B2364" i="34"/>
  <c r="B2363" i="34"/>
  <c r="B2362" i="34"/>
  <c r="B2361" i="34"/>
  <c r="B2360" i="34"/>
  <c r="B2320" i="34"/>
  <c r="B2278" i="34"/>
  <c r="B2277" i="34"/>
  <c r="B2276" i="34"/>
  <c r="B2274" i="34"/>
  <c r="B2273" i="34"/>
  <c r="B2272" i="34"/>
  <c r="B2271" i="34"/>
  <c r="B2252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4" i="34"/>
  <c r="B2223" i="34"/>
  <c r="B2214" i="34"/>
  <c r="B2157" i="34"/>
  <c r="B2129" i="34"/>
  <c r="B2128" i="34"/>
  <c r="B2127" i="34"/>
  <c r="B2125" i="34"/>
  <c r="B2124" i="34"/>
  <c r="B2121" i="34"/>
  <c r="B2120" i="34"/>
  <c r="B2102" i="34"/>
  <c r="B2101" i="34"/>
  <c r="B2100" i="34"/>
  <c r="B2099" i="34"/>
  <c r="B2095" i="34"/>
  <c r="B2094" i="34"/>
  <c r="B2093" i="34"/>
  <c r="B2092" i="34"/>
  <c r="B2091" i="34"/>
  <c r="B2032" i="34"/>
  <c r="B1979" i="34"/>
  <c r="B1975" i="34"/>
  <c r="B1974" i="34"/>
  <c r="B1973" i="34"/>
  <c r="B1961" i="34"/>
  <c r="B1949" i="34"/>
  <c r="B1948" i="34"/>
  <c r="B1947" i="34"/>
  <c r="B1946" i="34"/>
  <c r="B1931" i="34"/>
  <c r="B1930" i="34"/>
  <c r="B1929" i="34"/>
  <c r="B1927" i="34"/>
  <c r="B1926" i="34"/>
  <c r="B1925" i="34"/>
  <c r="B1924" i="34"/>
  <c r="B1923" i="34"/>
  <c r="B1889" i="34"/>
  <c r="B1888" i="34"/>
  <c r="B1887" i="34"/>
  <c r="B1886" i="34"/>
  <c r="B1885" i="34"/>
  <c r="B1883" i="34"/>
  <c r="B1882" i="34"/>
  <c r="B1881" i="34"/>
  <c r="B1855" i="34"/>
  <c r="B1854" i="34"/>
  <c r="B1853" i="34"/>
  <c r="B1852" i="34"/>
  <c r="B1851" i="34"/>
  <c r="B1850" i="34"/>
  <c r="B1845" i="34"/>
  <c r="B1844" i="34"/>
  <c r="B1843" i="34"/>
  <c r="B1842" i="34"/>
  <c r="B1835" i="34"/>
  <c r="B1834" i="34"/>
  <c r="B1833" i="34"/>
  <c r="B1832" i="34"/>
  <c r="B1831" i="34"/>
  <c r="B1830" i="34"/>
  <c r="B1782" i="34"/>
  <c r="B1781" i="34"/>
  <c r="B1780" i="34"/>
  <c r="B1779" i="34"/>
  <c r="B1765" i="34"/>
  <c r="B1764" i="34"/>
  <c r="B1762" i="34"/>
  <c r="B1761" i="34"/>
  <c r="B1703" i="34"/>
  <c r="B1699" i="34"/>
  <c r="B1698" i="34"/>
  <c r="B1697" i="34"/>
  <c r="B1696" i="34"/>
  <c r="B1695" i="34"/>
  <c r="B1694" i="34"/>
  <c r="B1693" i="34"/>
  <c r="B1658" i="34"/>
  <c r="B1657" i="34"/>
  <c r="B1836" i="34"/>
  <c r="B1778" i="34"/>
  <c r="B1777" i="34"/>
  <c r="B1776" i="34"/>
  <c r="B1768" i="34"/>
  <c r="B1767" i="34"/>
  <c r="B1750" i="34"/>
  <c r="B1749" i="34"/>
  <c r="B1675" i="34"/>
  <c r="B1653" i="34"/>
  <c r="B1619" i="34"/>
  <c r="B1172" i="34"/>
  <c r="B1171" i="34"/>
  <c r="B1170" i="34"/>
  <c r="B1084" i="34"/>
  <c r="B1077" i="34"/>
  <c r="B1053" i="34"/>
  <c r="B1052" i="34"/>
  <c r="B1037" i="34"/>
  <c r="B994" i="34"/>
  <c r="B899" i="34"/>
  <c r="B893" i="34"/>
  <c r="B892" i="34"/>
  <c r="B1036" i="34"/>
  <c r="B24" i="34"/>
  <c r="B1618" i="34"/>
  <c r="B1783" i="34"/>
  <c r="B1197" i="34"/>
  <c r="B1186" i="34"/>
  <c r="B1169" i="34"/>
  <c r="B1166" i="34"/>
  <c r="B1156" i="34"/>
  <c r="B1076" i="34"/>
  <c r="B1075" i="34"/>
  <c r="B1051" i="34"/>
  <c r="B865" i="34"/>
  <c r="B864" i="34"/>
  <c r="B810" i="34"/>
  <c r="B703" i="34"/>
  <c r="B698" i="34"/>
  <c r="B697" i="34"/>
  <c r="B602" i="34"/>
  <c r="B601" i="34"/>
  <c r="B1444" i="34"/>
  <c r="B1377" i="34"/>
  <c r="B958" i="34"/>
  <c r="B898" i="34"/>
  <c r="B897" i="34"/>
  <c r="B891" i="34"/>
  <c r="B863" i="34"/>
  <c r="B862" i="34"/>
  <c r="B851" i="34"/>
  <c r="B784" i="34"/>
  <c r="B702" i="34"/>
  <c r="B684" i="34"/>
  <c r="B667" i="34"/>
  <c r="B590" i="34"/>
  <c r="B489" i="34"/>
  <c r="B488" i="34"/>
  <c r="B487" i="34"/>
  <c r="B486" i="34"/>
  <c r="B485" i="34"/>
  <c r="B484" i="34"/>
  <c r="B483" i="34"/>
  <c r="B456" i="34"/>
  <c r="B368" i="34"/>
  <c r="B330" i="34"/>
  <c r="B324" i="34"/>
  <c r="B783" i="34"/>
  <c r="B763" i="34"/>
  <c r="B23" i="34"/>
  <c r="B95" i="34"/>
  <c r="B314" i="34"/>
  <c r="B313" i="34"/>
  <c r="B312" i="34"/>
  <c r="B50" i="34"/>
  <c r="B47" i="34"/>
  <c r="B2217" i="34"/>
  <c r="B2195" i="34"/>
  <c r="B2194" i="34"/>
  <c r="B2238" i="34"/>
  <c r="B2221" i="34"/>
  <c r="B2216" i="34"/>
  <c r="B1956" i="34"/>
  <c r="B1871" i="34"/>
  <c r="B1755" i="34"/>
  <c r="B1718" i="34"/>
  <c r="B1713" i="34"/>
  <c r="B1712" i="34"/>
  <c r="B1711" i="34"/>
  <c r="B1700" i="34"/>
  <c r="B1674" i="34"/>
  <c r="B1669" i="34"/>
  <c r="B1652" i="34"/>
  <c r="B1634" i="34"/>
  <c r="B1617" i="34"/>
  <c r="B1376" i="34"/>
  <c r="B1375" i="34"/>
  <c r="B1374" i="34"/>
  <c r="B1363" i="34"/>
  <c r="B1349" i="34"/>
  <c r="B1345" i="34"/>
  <c r="B1329" i="34"/>
  <c r="B1296" i="34"/>
  <c r="B1295" i="34"/>
  <c r="B1294" i="34"/>
  <c r="B1240" i="34"/>
  <c r="B1199" i="34"/>
  <c r="B1198" i="34"/>
  <c r="B2379" i="34"/>
  <c r="B2349" i="34"/>
  <c r="B2332" i="34"/>
  <c r="B2287" i="34"/>
  <c r="B2275" i="34"/>
  <c r="B2263" i="34"/>
  <c r="B2242" i="34"/>
  <c r="B1576" i="34"/>
  <c r="B1532" i="34"/>
  <c r="B1504" i="34"/>
  <c r="B1462" i="34"/>
  <c r="B1461" i="34"/>
  <c r="B1553" i="34"/>
  <c r="B1460" i="34"/>
  <c r="B1447" i="34"/>
  <c r="B1446" i="34"/>
  <c r="B762" i="34"/>
  <c r="B264" i="34"/>
  <c r="B247" i="34"/>
  <c r="B220" i="34"/>
  <c r="B219" i="34"/>
  <c r="B218" i="34"/>
  <c r="B84" i="34"/>
  <c r="B83" i="34"/>
  <c r="B82" i="34"/>
  <c r="B2584" i="34"/>
  <c r="B2582" i="34"/>
  <c r="B2331" i="34"/>
  <c r="B2314" i="34"/>
  <c r="B30" i="34"/>
  <c r="B526" i="34"/>
  <c r="B527" i="34"/>
  <c r="B516" i="34"/>
  <c r="B515" i="34"/>
  <c r="B502" i="34"/>
  <c r="B501" i="34"/>
  <c r="B500" i="34"/>
  <c r="B499" i="34"/>
  <c r="B498" i="34"/>
  <c r="B497" i="34"/>
  <c r="B496" i="34"/>
  <c r="B493" i="34"/>
  <c r="B492" i="34"/>
  <c r="B49" i="34"/>
  <c r="B48" i="34"/>
  <c r="B42" i="34"/>
  <c r="B1626" i="34"/>
  <c r="B156" i="34"/>
  <c r="B155" i="34"/>
  <c r="B154" i="34"/>
  <c r="B2540" i="34"/>
  <c r="B2539" i="34"/>
  <c r="B2538" i="34"/>
  <c r="B2537" i="34"/>
  <c r="B2490" i="34"/>
  <c r="B2489" i="34"/>
  <c r="B2488" i="34"/>
  <c r="B2476" i="34"/>
  <c r="B2464" i="34"/>
  <c r="B2449" i="34"/>
  <c r="B2594" i="34"/>
  <c r="B2593" i="34"/>
  <c r="B2592" i="34"/>
  <c r="B2591" i="34"/>
  <c r="B2590" i="34"/>
  <c r="B2589" i="34"/>
  <c r="B2588" i="34"/>
  <c r="B2587" i="34"/>
  <c r="B2586" i="34"/>
  <c r="B2585" i="34"/>
  <c r="B2581" i="34"/>
  <c r="B2580" i="34"/>
  <c r="B2579" i="34"/>
  <c r="B2578" i="34"/>
  <c r="B2577" i="34"/>
  <c r="B2576" i="34"/>
  <c r="B2569" i="34"/>
  <c r="B2568" i="34"/>
  <c r="B2567" i="34"/>
  <c r="B2566" i="34"/>
  <c r="B2565" i="34"/>
  <c r="B2564" i="34"/>
  <c r="B2558" i="34"/>
  <c r="B2557" i="34"/>
  <c r="B1752" i="34"/>
  <c r="B1751" i="34"/>
  <c r="B1724" i="34"/>
  <c r="B1723" i="34"/>
  <c r="B1508" i="34"/>
  <c r="B1464" i="34"/>
  <c r="B1463" i="34"/>
  <c r="B1433" i="34"/>
  <c r="B1079" i="34"/>
  <c r="B780" i="34"/>
  <c r="B779" i="34"/>
  <c r="B778" i="34"/>
  <c r="B2448" i="34"/>
  <c r="B2447" i="34"/>
  <c r="B2288" i="34"/>
  <c r="B2535" i="34"/>
  <c r="B2391" i="34"/>
  <c r="B2241" i="34"/>
  <c r="B2240" i="34"/>
  <c r="B2193" i="34"/>
  <c r="B2192" i="34"/>
  <c r="B2191" i="34"/>
  <c r="B2190" i="34"/>
  <c r="B2189" i="34"/>
  <c r="B2188" i="34"/>
  <c r="B2187" i="34"/>
  <c r="B2186" i="34"/>
  <c r="B2150" i="34"/>
  <c r="B2149" i="34"/>
  <c r="B2135" i="34"/>
  <c r="B2126" i="34"/>
  <c r="B2122" i="34"/>
  <c r="B2080" i="34"/>
  <c r="B2058" i="34"/>
  <c r="B2047" i="34"/>
  <c r="B2046" i="34"/>
  <c r="B2045" i="34"/>
  <c r="B1840" i="34"/>
  <c r="B1839" i="34"/>
  <c r="B1838" i="34"/>
  <c r="B2042" i="34"/>
  <c r="B2016" i="34"/>
  <c r="B2012" i="34"/>
  <c r="B2008" i="34"/>
  <c r="B1970" i="34"/>
  <c r="B1950" i="34"/>
  <c r="B1928" i="34"/>
  <c r="B1910" i="34"/>
  <c r="B1909" i="34"/>
  <c r="B1904" i="34"/>
  <c r="B1870" i="34"/>
  <c r="B1445" i="34"/>
  <c r="B1383" i="34"/>
  <c r="B1382" i="34"/>
  <c r="B1381" i="34"/>
  <c r="B1378" i="34"/>
  <c r="B1316" i="34"/>
  <c r="B1315" i="34"/>
  <c r="B1314" i="34"/>
  <c r="B1313" i="34"/>
  <c r="B1241" i="34"/>
  <c r="B1200" i="34"/>
  <c r="B1175" i="34"/>
  <c r="B1045" i="34"/>
  <c r="B184" i="34"/>
  <c r="B2239" i="34"/>
  <c r="B2222" i="34"/>
  <c r="B2173" i="34"/>
  <c r="B2172" i="34"/>
  <c r="B2145" i="34"/>
  <c r="B2136" i="34"/>
  <c r="B2123" i="34"/>
  <c r="B2096" i="34"/>
  <c r="B2059" i="34"/>
  <c r="B2048" i="34"/>
  <c r="B2027" i="34"/>
  <c r="B2026" i="34"/>
  <c r="B2025" i="34"/>
  <c r="B2024" i="34"/>
  <c r="B2023" i="34"/>
  <c r="B1981" i="34"/>
  <c r="B1980" i="34"/>
  <c r="B1960" i="34"/>
  <c r="B1959" i="34"/>
  <c r="B1958" i="34"/>
  <c r="B1859" i="34"/>
  <c r="B1849" i="34"/>
  <c r="B1837" i="34"/>
  <c r="B1078" i="34"/>
  <c r="B961" i="34"/>
  <c r="B960" i="34"/>
  <c r="B959" i="34"/>
  <c r="B940" i="34"/>
  <c r="B939" i="34"/>
  <c r="B938" i="34"/>
  <c r="B917" i="34"/>
  <c r="B916" i="34"/>
  <c r="B914" i="34"/>
  <c r="B913" i="34"/>
  <c r="B902" i="34"/>
  <c r="B900" i="34"/>
  <c r="B890" i="34"/>
  <c r="B888" i="34"/>
  <c r="B887" i="34"/>
  <c r="B885" i="34"/>
  <c r="B877" i="34"/>
  <c r="B875" i="34"/>
  <c r="B867" i="34"/>
  <c r="B866" i="34"/>
  <c r="B813" i="34"/>
  <c r="B812" i="34"/>
  <c r="B811" i="34"/>
  <c r="B787" i="34"/>
  <c r="B785" i="34"/>
  <c r="B782" i="34"/>
  <c r="B491" i="34"/>
  <c r="B490" i="34"/>
  <c r="B450" i="34"/>
  <c r="B449" i="34"/>
  <c r="B448" i="34"/>
  <c r="B447" i="34"/>
  <c r="B446" i="34"/>
  <c r="B111" i="34"/>
  <c r="B110" i="34"/>
  <c r="B2446" i="34"/>
  <c r="B2445" i="34"/>
  <c r="B2428" i="34"/>
  <c r="B2427" i="34"/>
  <c r="B2426" i="34"/>
  <c r="B2404" i="34"/>
  <c r="B2403" i="34"/>
  <c r="B2383" i="34"/>
  <c r="B2382" i="34"/>
  <c r="B2381" i="34"/>
  <c r="B2351" i="34"/>
  <c r="B2350" i="34"/>
  <c r="B2317" i="34"/>
  <c r="B2316" i="34"/>
  <c r="B2292" i="34"/>
  <c r="B2291" i="34"/>
  <c r="B2290" i="34"/>
  <c r="B2289" i="34"/>
  <c r="B2487" i="34"/>
  <c r="B2475" i="34"/>
  <c r="B2463" i="34"/>
  <c r="B2461" i="34"/>
  <c r="B2444" i="34"/>
  <c r="B2443" i="34"/>
  <c r="B2425" i="34"/>
  <c r="B2600" i="34"/>
  <c r="B2599" i="34"/>
  <c r="B2598" i="34"/>
  <c r="B2597" i="34"/>
  <c r="B2596" i="34"/>
  <c r="B2595" i="34"/>
  <c r="B2226" i="34"/>
  <c r="B2225" i="34"/>
  <c r="B2175" i="34"/>
  <c r="B2174" i="34"/>
  <c r="B1984" i="34"/>
  <c r="B1983" i="34"/>
  <c r="B1982" i="34"/>
  <c r="B1753" i="34"/>
  <c r="B2402" i="34"/>
  <c r="B2401" i="34"/>
  <c r="B248" i="34"/>
  <c r="B232" i="34"/>
  <c r="B147" i="34"/>
  <c r="B133" i="34"/>
  <c r="B132" i="34"/>
  <c r="B131" i="34"/>
  <c r="B130" i="34"/>
  <c r="B129" i="34"/>
  <c r="B128" i="34"/>
  <c r="B72" i="34"/>
  <c r="B1583" i="34"/>
  <c r="B1582" i="34"/>
  <c r="B1581" i="34"/>
  <c r="B1580" i="34"/>
  <c r="B1899" i="34"/>
  <c r="B1897" i="34"/>
  <c r="B2436" i="34"/>
  <c r="B2435" i="34"/>
  <c r="B1482" i="34"/>
  <c r="B1481" i="34"/>
  <c r="B1480" i="34"/>
  <c r="B1631" i="34"/>
  <c r="B1630" i="34"/>
  <c r="B1625" i="34"/>
  <c r="B1624" i="34"/>
  <c r="B1623" i="34"/>
  <c r="B1770" i="34"/>
  <c r="B1769" i="34"/>
  <c r="B1689" i="34"/>
  <c r="B1688" i="34"/>
  <c r="B1500" i="34"/>
  <c r="B1499" i="34"/>
  <c r="B1498" i="34"/>
  <c r="B1449" i="34"/>
  <c r="B1448" i="34"/>
  <c r="B1409" i="34"/>
  <c r="B1408" i="34"/>
  <c r="B1388" i="34"/>
  <c r="B1387" i="34"/>
  <c r="B1385" i="34"/>
  <c r="B1384" i="34"/>
  <c r="B1351" i="34"/>
  <c r="B1350" i="34"/>
  <c r="B1192" i="34"/>
  <c r="B1191" i="34"/>
  <c r="B1190" i="34"/>
  <c r="B1189" i="34"/>
  <c r="B1188" i="34"/>
  <c r="B1187" i="34"/>
  <c r="B1134" i="34"/>
  <c r="B1133" i="34"/>
  <c r="B1132" i="34"/>
  <c r="B1080" i="34"/>
  <c r="B536" i="34"/>
  <c r="B535" i="34"/>
  <c r="B532" i="34"/>
  <c r="B531" i="34"/>
  <c r="B530" i="34"/>
  <c r="B529" i="34"/>
  <c r="B528" i="34"/>
  <c r="A98" i="55" l="1"/>
  <c r="B99" i="55"/>
  <c r="A99" i="55" l="1"/>
  <c r="B100" i="55"/>
  <c r="B1519" i="34"/>
  <c r="B1389" i="34"/>
  <c r="B1380" i="34"/>
  <c r="B1379" i="34"/>
  <c r="B1373" i="34"/>
  <c r="B1372" i="34"/>
  <c r="B1371" i="34"/>
  <c r="B1370" i="34"/>
  <c r="B1369" i="34"/>
  <c r="B1368" i="34"/>
  <c r="B1367" i="34"/>
  <c r="B1366" i="34"/>
  <c r="B1365" i="34"/>
  <c r="B1364" i="34"/>
  <c r="B1362" i="34"/>
  <c r="B1361" i="34"/>
  <c r="B1360" i="34"/>
  <c r="B1359" i="34"/>
  <c r="B1358" i="34"/>
  <c r="B1357" i="34"/>
  <c r="B1356" i="34"/>
  <c r="B1355" i="34"/>
  <c r="B1347" i="34"/>
  <c r="B1346" i="34"/>
  <c r="B1343" i="34"/>
  <c r="B1342" i="34"/>
  <c r="B1341" i="34"/>
  <c r="B1340" i="34"/>
  <c r="B1328" i="34"/>
  <c r="B1327" i="34"/>
  <c r="B1326" i="34"/>
  <c r="B1325" i="34"/>
  <c r="B1324" i="34"/>
  <c r="B1323" i="34"/>
  <c r="B1321" i="34"/>
  <c r="B1320" i="34"/>
  <c r="B1319" i="34"/>
  <c r="B1318" i="34"/>
  <c r="B1317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3" i="34"/>
  <c r="B1292" i="34"/>
  <c r="B1291" i="34"/>
  <c r="B1290" i="34"/>
  <c r="B1289" i="34"/>
  <c r="B1288" i="34"/>
  <c r="B1287" i="34"/>
  <c r="B1286" i="34"/>
  <c r="B1285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831" i="34"/>
  <c r="B830" i="34"/>
  <c r="B821" i="34"/>
  <c r="B820" i="34"/>
  <c r="B819" i="34"/>
  <c r="B690" i="34"/>
  <c r="B689" i="34"/>
  <c r="B688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471" i="34"/>
  <c r="B470" i="34"/>
  <c r="B464" i="34"/>
  <c r="B463" i="34"/>
  <c r="B462" i="34"/>
  <c r="B461" i="34"/>
  <c r="B460" i="34"/>
  <c r="B459" i="34"/>
  <c r="B458" i="34"/>
  <c r="B457" i="34"/>
  <c r="B453" i="34"/>
  <c r="B452" i="34"/>
  <c r="B451" i="34"/>
  <c r="B445" i="34"/>
  <c r="B444" i="34"/>
  <c r="B443" i="34"/>
  <c r="B442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18" i="34"/>
  <c r="B417" i="34"/>
  <c r="B416" i="34"/>
  <c r="B415" i="34"/>
  <c r="B1530" i="34"/>
  <c r="B1531" i="34"/>
  <c r="B1542" i="34"/>
  <c r="B1543" i="34"/>
  <c r="B1544" i="34"/>
  <c r="B1546" i="34"/>
  <c r="B1547" i="34"/>
  <c r="B1548" i="34"/>
  <c r="B1549" i="34"/>
  <c r="B1550" i="34"/>
  <c r="B1551" i="34"/>
  <c r="B1552" i="34"/>
  <c r="B1554" i="34"/>
  <c r="B1555" i="34"/>
  <c r="B1564" i="34"/>
  <c r="B1571" i="34"/>
  <c r="B1572" i="34"/>
  <c r="B1573" i="34"/>
  <c r="B1574" i="34"/>
  <c r="B1575" i="34"/>
  <c r="B1597" i="34"/>
  <c r="B1598" i="34"/>
  <c r="B1612" i="34"/>
  <c r="B1613" i="34"/>
  <c r="B1614" i="34"/>
  <c r="B1615" i="34"/>
  <c r="B1616" i="34"/>
  <c r="B1632" i="34"/>
  <c r="B1633" i="34"/>
  <c r="B1638" i="34"/>
  <c r="B1639" i="34"/>
  <c r="B1640" i="34"/>
  <c r="B1671" i="34"/>
  <c r="B1672" i="34"/>
  <c r="B1673" i="34"/>
  <c r="B1676" i="34"/>
  <c r="B1677" i="34"/>
  <c r="B1678" i="34"/>
  <c r="B1706" i="34"/>
  <c r="B1707" i="34"/>
  <c r="B1708" i="34"/>
  <c r="B1709" i="34"/>
  <c r="B1710" i="34"/>
  <c r="B1714" i="34"/>
  <c r="B1715" i="34"/>
  <c r="B1716" i="34"/>
  <c r="B1733" i="34"/>
  <c r="B1734" i="34"/>
  <c r="B1735" i="34"/>
  <c r="B1736" i="34"/>
  <c r="B1737" i="34"/>
  <c r="B1738" i="34"/>
  <c r="B1740" i="34"/>
  <c r="B1741" i="34"/>
  <c r="B1866" i="34"/>
  <c r="B1867" i="34"/>
  <c r="B1868" i="34"/>
  <c r="B1869" i="34"/>
  <c r="B1872" i="34"/>
  <c r="B1902" i="34"/>
  <c r="B1903" i="34"/>
  <c r="B1907" i="34"/>
  <c r="B1940" i="34"/>
  <c r="B1990" i="34"/>
  <c r="B1996" i="34"/>
  <c r="B1997" i="34"/>
  <c r="B1998" i="34"/>
  <c r="B1999" i="34"/>
  <c r="B2000" i="34"/>
  <c r="B2001" i="34"/>
  <c r="B2002" i="34"/>
  <c r="B2003" i="34"/>
  <c r="B2004" i="34"/>
  <c r="B2007" i="34"/>
  <c r="B2013" i="34"/>
  <c r="B2014" i="34"/>
  <c r="B2015" i="34"/>
  <c r="B2019" i="34"/>
  <c r="B2020" i="34"/>
  <c r="B2021" i="34"/>
  <c r="B2022" i="34"/>
  <c r="B2038" i="34"/>
  <c r="B2039" i="34"/>
  <c r="B2040" i="34"/>
  <c r="B2041" i="34"/>
  <c r="B2052" i="34"/>
  <c r="B2053" i="34"/>
  <c r="B2054" i="34"/>
  <c r="B2055" i="34"/>
  <c r="B2056" i="34"/>
  <c r="B2057" i="34"/>
  <c r="B2060" i="34"/>
  <c r="B2061" i="34"/>
  <c r="B2062" i="34"/>
  <c r="B2063" i="34"/>
  <c r="B2064" i="34"/>
  <c r="B2065" i="34"/>
  <c r="B2134" i="34"/>
  <c r="B2140" i="34"/>
  <c r="B2141" i="34"/>
  <c r="B2142" i="34"/>
  <c r="B2143" i="34"/>
  <c r="B2144" i="34"/>
  <c r="B2151" i="34"/>
  <c r="B2282" i="34"/>
  <c r="B2283" i="34"/>
  <c r="B2284" i="34"/>
  <c r="B2285" i="34"/>
  <c r="B2286" i="34"/>
  <c r="B2293" i="34"/>
  <c r="B2294" i="34"/>
  <c r="B2295" i="34"/>
  <c r="B2296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30" i="34"/>
  <c r="B2333" i="34"/>
  <c r="B2334" i="34"/>
  <c r="B2335" i="34"/>
  <c r="B2336" i="34"/>
  <c r="B2337" i="34"/>
  <c r="B2338" i="34"/>
  <c r="B2339" i="34"/>
  <c r="B2372" i="34"/>
  <c r="B2373" i="34"/>
  <c r="B2374" i="34"/>
  <c r="B2375" i="34"/>
  <c r="B2376" i="34"/>
  <c r="B2377" i="34"/>
  <c r="B2378" i="34"/>
  <c r="B2384" i="34"/>
  <c r="B2395" i="34"/>
  <c r="B2396" i="34"/>
  <c r="B2397" i="34"/>
  <c r="B2398" i="34"/>
  <c r="B2399" i="34"/>
  <c r="B2400" i="34"/>
  <c r="B2405" i="34"/>
  <c r="B2472" i="34"/>
  <c r="B2473" i="34"/>
  <c r="B2474" i="34"/>
  <c r="B1529" i="34"/>
  <c r="B1680" i="34"/>
  <c r="B1679" i="34"/>
  <c r="B1647" i="34"/>
  <c r="B1646" i="34"/>
  <c r="B1645" i="34"/>
  <c r="B1644" i="34"/>
  <c r="B1643" i="34"/>
  <c r="B1642" i="34"/>
  <c r="B1641" i="34"/>
  <c r="B247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759" i="34"/>
  <c r="B1754" i="34"/>
  <c r="B1747" i="34"/>
  <c r="B1746" i="34"/>
  <c r="B1745" i="34"/>
  <c r="B1744" i="34"/>
  <c r="B1743" i="34"/>
  <c r="B1742" i="34"/>
  <c r="B1692" i="34"/>
  <c r="B1691" i="34"/>
  <c r="B1690" i="34"/>
  <c r="B1683" i="34"/>
  <c r="B1682" i="34"/>
  <c r="B1681" i="34"/>
  <c r="B1972" i="34"/>
  <c r="B1971" i="34"/>
  <c r="B1969" i="34"/>
  <c r="B1945" i="34"/>
  <c r="B1944" i="34"/>
  <c r="B1943" i="34"/>
  <c r="B1942" i="34"/>
  <c r="B1941" i="34"/>
  <c r="B1922" i="34"/>
  <c r="B1921" i="34"/>
  <c r="B1920" i="34"/>
  <c r="B1919" i="34"/>
  <c r="B1918" i="34"/>
  <c r="B1917" i="34"/>
  <c r="B1916" i="34"/>
  <c r="B1908" i="34"/>
  <c r="B1880" i="34"/>
  <c r="B1879" i="34"/>
  <c r="B1878" i="34"/>
  <c r="B1877" i="34"/>
  <c r="B1876" i="34"/>
  <c r="B1875" i="34"/>
  <c r="B1874" i="34"/>
  <c r="B1873" i="34"/>
  <c r="B1829" i="34"/>
  <c r="B1828" i="34"/>
  <c r="B1827" i="34"/>
  <c r="B2205" i="34"/>
  <c r="B2204" i="34"/>
  <c r="B2203" i="34"/>
  <c r="B2197" i="34"/>
  <c r="B2196" i="34"/>
  <c r="B2185" i="34"/>
  <c r="B2184" i="34"/>
  <c r="B2156" i="34"/>
  <c r="B2119" i="34"/>
  <c r="B2118" i="34"/>
  <c r="B2117" i="34"/>
  <c r="B2116" i="34"/>
  <c r="B2115" i="34"/>
  <c r="B2114" i="34"/>
  <c r="B2113" i="34"/>
  <c r="B2112" i="34"/>
  <c r="B2090" i="34"/>
  <c r="B2089" i="34"/>
  <c r="B2088" i="34"/>
  <c r="B2087" i="34"/>
  <c r="B2086" i="34"/>
  <c r="B2085" i="34"/>
  <c r="B2084" i="34"/>
  <c r="B2083" i="34"/>
  <c r="B2082" i="34"/>
  <c r="B2031" i="34"/>
  <c r="B1978" i="34"/>
  <c r="B2422" i="34"/>
  <c r="B2421" i="34"/>
  <c r="B2406" i="34"/>
  <c r="B2359" i="34"/>
  <c r="B2358" i="34"/>
  <c r="B2357" i="34"/>
  <c r="B2356" i="34"/>
  <c r="B2355" i="34"/>
  <c r="B2354" i="34"/>
  <c r="B2353" i="34"/>
  <c r="B2352" i="34"/>
  <c r="B2319" i="34"/>
  <c r="B2270" i="34"/>
  <c r="B2269" i="34"/>
  <c r="B2268" i="34"/>
  <c r="B2267" i="34"/>
  <c r="B2266" i="34"/>
  <c r="B2262" i="34"/>
  <c r="B2261" i="34"/>
  <c r="B2213" i="34"/>
  <c r="B2212" i="34"/>
  <c r="B2211" i="34"/>
  <c r="B2210" i="34"/>
  <c r="B2209" i="34"/>
  <c r="B2208" i="34"/>
  <c r="B2207" i="34"/>
  <c r="B2206" i="34"/>
  <c r="B161" i="34"/>
  <c r="B152" i="34"/>
  <c r="B134" i="34"/>
  <c r="B116" i="34"/>
  <c r="B2521" i="34"/>
  <c r="B2520" i="34"/>
  <c r="B2514" i="34"/>
  <c r="B2513" i="34"/>
  <c r="B2512" i="34"/>
  <c r="B2511" i="34"/>
  <c r="B2485" i="34"/>
  <c r="B2484" i="34"/>
  <c r="B2483" i="34"/>
  <c r="B2482" i="34"/>
  <c r="B2481" i="34"/>
  <c r="B2480" i="34"/>
  <c r="B2479" i="34"/>
  <c r="B2478" i="34"/>
  <c r="B2437" i="34"/>
  <c r="B2434" i="34"/>
  <c r="B2433" i="34"/>
  <c r="B2432" i="34"/>
  <c r="B2431" i="34"/>
  <c r="B2430" i="34"/>
  <c r="B2429" i="34"/>
  <c r="B1007" i="34"/>
  <c r="B1537" i="34"/>
  <c r="B1536" i="34"/>
  <c r="B1535" i="34"/>
  <c r="B1534" i="34"/>
  <c r="B1533" i="34"/>
  <c r="B1507" i="34"/>
  <c r="B1506" i="34"/>
  <c r="B1505" i="34"/>
  <c r="B1655" i="34"/>
  <c r="B1654" i="34"/>
  <c r="B1651" i="34"/>
  <c r="B1650" i="34"/>
  <c r="B1649" i="34"/>
  <c r="B1648" i="34"/>
  <c r="B1525" i="34"/>
  <c r="B1524" i="34"/>
  <c r="B1813" i="34"/>
  <c r="B1523" i="34"/>
  <c r="B215" i="34"/>
  <c r="B214" i="34"/>
  <c r="B213" i="34"/>
  <c r="B212" i="34"/>
  <c r="B211" i="34"/>
  <c r="B196" i="34"/>
  <c r="B162" i="34"/>
  <c r="B1431" i="34"/>
  <c r="B1430" i="34"/>
  <c r="B1429" i="34"/>
  <c r="B1428" i="34"/>
  <c r="B1427" i="34"/>
  <c r="B1284" i="34"/>
  <c r="B2424" i="34"/>
  <c r="B1687" i="34"/>
  <c r="B1686" i="34"/>
  <c r="B1967" i="34"/>
  <c r="B1966" i="34"/>
  <c r="B1702" i="34"/>
  <c r="B1701" i="34"/>
  <c r="B2220" i="34"/>
  <c r="B2219" i="34"/>
  <c r="B2218" i="34"/>
  <c r="B1774" i="34"/>
  <c r="B1773" i="34"/>
  <c r="B2245" i="34"/>
  <c r="B2243" i="34"/>
  <c r="B2202" i="34"/>
  <c r="B2201" i="34"/>
  <c r="B2200" i="34"/>
  <c r="B1012" i="34"/>
  <c r="B1011" i="34"/>
  <c r="B1010" i="34"/>
  <c r="B1009" i="34"/>
  <c r="B2544" i="34"/>
  <c r="B2515" i="34"/>
  <c r="B1283" i="34"/>
  <c r="B968" i="34"/>
  <c r="B967" i="34"/>
  <c r="B966" i="34"/>
  <c r="B965" i="34"/>
  <c r="B964" i="34"/>
  <c r="B944" i="34"/>
  <c r="B943" i="34"/>
  <c r="B942" i="34"/>
  <c r="B941" i="34"/>
  <c r="B732" i="34"/>
  <c r="B731" i="34"/>
  <c r="B730" i="34"/>
  <c r="B729" i="34"/>
  <c r="B728" i="34"/>
  <c r="B727" i="34"/>
  <c r="B726" i="34"/>
  <c r="B2574" i="34"/>
  <c r="B2573" i="34"/>
  <c r="B2572" i="34"/>
  <c r="B2571" i="34"/>
  <c r="B2570" i="34"/>
  <c r="B1432" i="34"/>
  <c r="B3516" i="34"/>
  <c r="B3515" i="34"/>
  <c r="B3514" i="34"/>
  <c r="B3513" i="34"/>
  <c r="B3512" i="34"/>
  <c r="B3511" i="34"/>
  <c r="B3510" i="34"/>
  <c r="B3509" i="34"/>
  <c r="B3508" i="34"/>
  <c r="B3507" i="34"/>
  <c r="B3506" i="34"/>
  <c r="B3505" i="34"/>
  <c r="B3504" i="34"/>
  <c r="B3503" i="34"/>
  <c r="B3502" i="34"/>
  <c r="B2611" i="34"/>
  <c r="B2610" i="34"/>
  <c r="B2609" i="34"/>
  <c r="B2608" i="34"/>
  <c r="B2607" i="34"/>
  <c r="B2606" i="34"/>
  <c r="B2549" i="34"/>
  <c r="B2548" i="34"/>
  <c r="B2547" i="34"/>
  <c r="B2545" i="34"/>
  <c r="B32" i="34"/>
  <c r="B270" i="34"/>
  <c r="B2380" i="34"/>
  <c r="B31" i="34"/>
  <c r="B3520" i="34"/>
  <c r="B3519" i="34"/>
  <c r="B3518" i="34"/>
  <c r="B3517" i="34"/>
  <c r="A100" i="55" l="1"/>
  <c r="B101" i="55"/>
  <c r="A3518" i="34"/>
  <c r="A3505" i="34"/>
  <c r="A3509" i="34"/>
  <c r="A3513" i="34"/>
  <c r="A3519" i="34"/>
  <c r="A3502" i="34"/>
  <c r="A3506" i="34"/>
  <c r="A3510" i="34"/>
  <c r="A3514" i="34"/>
  <c r="A3520" i="34"/>
  <c r="A3503" i="34"/>
  <c r="A3507" i="34"/>
  <c r="A3511" i="34"/>
  <c r="A3515" i="34"/>
  <c r="A3517" i="34"/>
  <c r="A3504" i="34"/>
  <c r="A3508" i="34"/>
  <c r="A3512" i="34"/>
  <c r="A3516" i="34"/>
  <c r="A101" i="55" l="1"/>
  <c r="B102" i="55"/>
  <c r="B1516" i="34"/>
  <c r="B1155" i="34"/>
  <c r="B826" i="34"/>
  <c r="B805" i="34"/>
  <c r="A102" i="55" l="1"/>
  <c r="B103" i="55"/>
  <c r="E40" i="55"/>
  <c r="A103" i="55" l="1"/>
  <c r="B104" i="55"/>
  <c r="B1411" i="34"/>
  <c r="B1402" i="34"/>
  <c r="B1396" i="34"/>
  <c r="B750" i="34"/>
  <c r="B745" i="34"/>
  <c r="B716" i="34"/>
  <c r="A104" i="55" l="1"/>
  <c r="B105" i="55"/>
  <c r="B514" i="34"/>
  <c r="B1105" i="34"/>
  <c r="A105" i="55" l="1"/>
  <c r="B106" i="55"/>
  <c r="B909" i="34"/>
  <c r="B859" i="34"/>
  <c r="B90" i="34"/>
  <c r="B86" i="34"/>
  <c r="B176" i="34"/>
  <c r="B240" i="34"/>
  <c r="B924" i="34"/>
  <c r="B1068" i="34"/>
  <c r="A106" i="55" l="1"/>
  <c r="B107" i="55"/>
  <c r="B160" i="34"/>
  <c r="B157" i="34"/>
  <c r="A107" i="55" l="1"/>
  <c r="B108" i="55"/>
  <c r="B252" i="34"/>
  <c r="B251" i="34"/>
  <c r="B250" i="34"/>
  <c r="B249" i="34"/>
  <c r="B246" i="34"/>
  <c r="B245" i="34"/>
  <c r="B236" i="34"/>
  <c r="B235" i="34"/>
  <c r="B234" i="34"/>
  <c r="B233" i="34"/>
  <c r="B228" i="34"/>
  <c r="B227" i="34"/>
  <c r="B210" i="34"/>
  <c r="B209" i="34"/>
  <c r="B208" i="34"/>
  <c r="B207" i="34"/>
  <c r="B206" i="34"/>
  <c r="B205" i="34"/>
  <c r="B204" i="34"/>
  <c r="B175" i="34"/>
  <c r="B174" i="34"/>
  <c r="B173" i="34"/>
  <c r="B172" i="34"/>
  <c r="B171" i="34"/>
  <c r="B169" i="34"/>
  <c r="B168" i="34"/>
  <c r="B167" i="34"/>
  <c r="B164" i="34"/>
  <c r="B163" i="34"/>
  <c r="B159" i="34"/>
  <c r="B158" i="34"/>
  <c r="B150" i="34"/>
  <c r="B149" i="34"/>
  <c r="B148" i="34"/>
  <c r="B1104" i="34"/>
  <c r="B1103" i="34"/>
  <c r="B1102" i="34"/>
  <c r="B1067" i="34"/>
  <c r="B1066" i="34"/>
  <c r="B1065" i="34"/>
  <c r="B1064" i="34"/>
  <c r="B1063" i="34"/>
  <c r="B1062" i="34"/>
  <c r="B1061" i="34"/>
  <c r="B1060" i="34"/>
  <c r="B1034" i="34"/>
  <c r="B1033" i="34"/>
  <c r="B1032" i="34"/>
  <c r="B1031" i="34"/>
  <c r="B1030" i="34"/>
  <c r="B1029" i="34"/>
  <c r="B1028" i="34"/>
  <c r="B1027" i="34"/>
  <c r="B1026" i="34"/>
  <c r="B1022" i="34"/>
  <c r="B1021" i="34"/>
  <c r="B1020" i="34"/>
  <c r="B1019" i="34"/>
  <c r="B1018" i="34"/>
  <c r="B1017" i="34"/>
  <c r="B1016" i="34"/>
  <c r="B1015" i="34"/>
  <c r="B1014" i="34"/>
  <c r="B995" i="34"/>
  <c r="B993" i="34"/>
  <c r="B992" i="34"/>
  <c r="B991" i="34"/>
  <c r="B990" i="34"/>
  <c r="B989" i="34"/>
  <c r="B988" i="34"/>
  <c r="B987" i="34"/>
  <c r="B986" i="34"/>
  <c r="B955" i="34"/>
  <c r="B954" i="34"/>
  <c r="B953" i="34"/>
  <c r="B952" i="34"/>
  <c r="B951" i="34"/>
  <c r="B950" i="34"/>
  <c r="B949" i="34"/>
  <c r="B948" i="34"/>
  <c r="B947" i="34"/>
  <c r="B905" i="34"/>
  <c r="B904" i="34"/>
  <c r="B903" i="34"/>
  <c r="B895" i="34"/>
  <c r="B894" i="34"/>
  <c r="B884" i="34"/>
  <c r="B883" i="34"/>
  <c r="B882" i="34"/>
  <c r="B845" i="34"/>
  <c r="B844" i="34"/>
  <c r="B843" i="34"/>
  <c r="B842" i="34"/>
  <c r="B841" i="34"/>
  <c r="B840" i="34"/>
  <c r="B839" i="34"/>
  <c r="B838" i="34"/>
  <c r="B837" i="34"/>
  <c r="B801" i="34"/>
  <c r="B800" i="34"/>
  <c r="B799" i="34"/>
  <c r="B798" i="34"/>
  <c r="B797" i="34"/>
  <c r="B796" i="34"/>
  <c r="B795" i="34"/>
  <c r="B793" i="34"/>
  <c r="B792" i="34"/>
  <c r="B475" i="34"/>
  <c r="B474" i="34"/>
  <c r="B473" i="34"/>
  <c r="B469" i="34"/>
  <c r="B468" i="34"/>
  <c r="B467" i="34"/>
  <c r="B466" i="34"/>
  <c r="B465" i="34"/>
  <c r="B343" i="34"/>
  <c r="B341" i="34"/>
  <c r="B340" i="34"/>
  <c r="B339" i="34"/>
  <c r="B338" i="34"/>
  <c r="B336" i="34"/>
  <c r="B335" i="34"/>
  <c r="B334" i="34"/>
  <c r="B333" i="34"/>
  <c r="B303" i="34"/>
  <c r="B302" i="34"/>
  <c r="B301" i="34"/>
  <c r="B299" i="34"/>
  <c r="B298" i="34"/>
  <c r="B297" i="34"/>
  <c r="B296" i="34"/>
  <c r="B295" i="34"/>
  <c r="B294" i="34"/>
  <c r="B287" i="34"/>
  <c r="B286" i="34"/>
  <c r="B285" i="34"/>
  <c r="B284" i="34"/>
  <c r="B283" i="34"/>
  <c r="B282" i="34"/>
  <c r="B281" i="34"/>
  <c r="B280" i="34"/>
  <c r="B278" i="34"/>
  <c r="B255" i="34"/>
  <c r="B254" i="34"/>
  <c r="B253" i="34"/>
  <c r="B1421" i="34"/>
  <c r="B1420" i="34"/>
  <c r="B1419" i="34"/>
  <c r="B1418" i="34"/>
  <c r="B1417" i="34"/>
  <c r="B1416" i="34"/>
  <c r="B1415" i="34"/>
  <c r="B1414" i="34"/>
  <c r="B1413" i="34"/>
  <c r="B1412" i="34"/>
  <c r="B699" i="34"/>
  <c r="B695" i="34"/>
  <c r="B694" i="34"/>
  <c r="B693" i="34"/>
  <c r="B692" i="34"/>
  <c r="B691" i="34"/>
  <c r="B547" i="34"/>
  <c r="B546" i="34"/>
  <c r="B544" i="34"/>
  <c r="B543" i="34"/>
  <c r="B542" i="34"/>
  <c r="B541" i="34"/>
  <c r="B540" i="34"/>
  <c r="B539" i="34"/>
  <c r="B538" i="34"/>
  <c r="B537" i="34"/>
  <c r="B525" i="34"/>
  <c r="B524" i="34"/>
  <c r="B523" i="34"/>
  <c r="B522" i="34"/>
  <c r="B521" i="34"/>
  <c r="B520" i="34"/>
  <c r="B519" i="34"/>
  <c r="B518" i="34"/>
  <c r="B517" i="34"/>
  <c r="B511" i="34"/>
  <c r="B510" i="34"/>
  <c r="B509" i="34"/>
  <c r="B508" i="34"/>
  <c r="B507" i="34"/>
  <c r="B506" i="34"/>
  <c r="B505" i="34"/>
  <c r="B504" i="34"/>
  <c r="B503" i="34"/>
  <c r="B495" i="34"/>
  <c r="B494" i="34"/>
  <c r="B481" i="34"/>
  <c r="B480" i="34"/>
  <c r="B1137" i="34"/>
  <c r="B1136" i="34"/>
  <c r="B1131" i="34"/>
  <c r="B1119" i="34"/>
  <c r="B1410" i="34"/>
  <c r="B1406" i="34"/>
  <c r="B1405" i="34"/>
  <c r="B1404" i="34"/>
  <c r="B1403" i="34"/>
  <c r="B1401" i="34"/>
  <c r="B1400" i="34"/>
  <c r="B1399" i="34"/>
  <c r="B1398" i="34"/>
  <c r="B1397" i="34"/>
  <c r="B1395" i="34"/>
  <c r="B1394" i="34"/>
  <c r="B1393" i="34"/>
  <c r="B1392" i="34"/>
  <c r="B1391" i="34"/>
  <c r="B1390" i="34"/>
  <c r="B833" i="34"/>
  <c r="B832" i="34"/>
  <c r="B825" i="34"/>
  <c r="B824" i="34"/>
  <c r="B823" i="34"/>
  <c r="B791" i="34"/>
  <c r="B790" i="34"/>
  <c r="B789" i="34"/>
  <c r="B788" i="34"/>
  <c r="B776" i="34"/>
  <c r="B775" i="34"/>
  <c r="B773" i="34"/>
  <c r="B772" i="34"/>
  <c r="B761" i="34"/>
  <c r="B760" i="34"/>
  <c r="B759" i="34"/>
  <c r="B758" i="34"/>
  <c r="B757" i="34"/>
  <c r="B756" i="34"/>
  <c r="B755" i="34"/>
  <c r="B754" i="34"/>
  <c r="B752" i="34"/>
  <c r="B751" i="34"/>
  <c r="B749" i="34"/>
  <c r="B748" i="34"/>
  <c r="B747" i="34"/>
  <c r="B746" i="34"/>
  <c r="B743" i="34"/>
  <c r="B742" i="34"/>
  <c r="B741" i="34"/>
  <c r="B740" i="34"/>
  <c r="B739" i="34"/>
  <c r="B738" i="34"/>
  <c r="B737" i="34"/>
  <c r="B736" i="34"/>
  <c r="B735" i="34"/>
  <c r="B734" i="34"/>
  <c r="B733" i="34"/>
  <c r="B715" i="34"/>
  <c r="B700" i="34"/>
  <c r="B513" i="34"/>
  <c r="B512" i="34"/>
  <c r="B1106" i="34"/>
  <c r="B2328" i="34"/>
  <c r="B2326" i="34"/>
  <c r="B2324" i="34"/>
  <c r="B2323" i="34"/>
  <c r="B2322" i="34"/>
  <c r="B2321" i="34"/>
  <c r="B2311" i="34"/>
  <c r="B2310" i="34"/>
  <c r="B2309" i="34"/>
  <c r="B2297" i="34"/>
  <c r="B2152" i="34"/>
  <c r="B2133" i="34"/>
  <c r="B2132" i="34"/>
  <c r="B2131" i="34"/>
  <c r="B2130" i="34"/>
  <c r="B2067" i="34"/>
  <c r="B2066" i="34"/>
  <c r="B2068" i="34"/>
  <c r="B2037" i="34"/>
  <c r="B2035" i="34"/>
  <c r="B2034" i="34"/>
  <c r="B2033" i="34"/>
  <c r="B2006" i="34"/>
  <c r="B2005" i="34"/>
  <c r="B1995" i="34"/>
  <c r="B1994" i="34"/>
  <c r="B1993" i="34"/>
  <c r="B1992" i="34"/>
  <c r="B1991" i="34"/>
  <c r="B1987" i="34"/>
  <c r="B1986" i="34"/>
  <c r="B1962" i="34"/>
  <c r="B1784" i="34"/>
  <c r="B1786" i="34"/>
  <c r="B1785" i="34"/>
  <c r="B1705" i="34"/>
  <c r="B1704" i="34"/>
  <c r="B1659" i="34"/>
  <c r="B1602" i="34"/>
  <c r="B1601" i="34"/>
  <c r="B1600" i="34"/>
  <c r="B1599" i="34"/>
  <c r="B1563" i="34"/>
  <c r="B1562" i="34"/>
  <c r="B1561" i="34"/>
  <c r="B1560" i="34"/>
  <c r="B1558" i="34"/>
  <c r="B1557" i="34"/>
  <c r="B1556" i="34"/>
  <c r="B1527" i="34"/>
  <c r="B1526" i="34"/>
  <c r="B346" i="34"/>
  <c r="B477" i="34"/>
  <c r="B476" i="34"/>
  <c r="B2279" i="34"/>
  <c r="B2281" i="34"/>
  <c r="B2280" i="34"/>
  <c r="B1985" i="34"/>
  <c r="B1989" i="34"/>
  <c r="B1988" i="34"/>
  <c r="B1522" i="34"/>
  <c r="B1521" i="34"/>
  <c r="B1520" i="34"/>
  <c r="B1501" i="34"/>
  <c r="B1496" i="34"/>
  <c r="B1495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56" i="34"/>
  <c r="B1455" i="34"/>
  <c r="B1459" i="34"/>
  <c r="B1458" i="34"/>
  <c r="B1454" i="34"/>
  <c r="B1453" i="34"/>
  <c r="B1452" i="34"/>
  <c r="B1451" i="34"/>
  <c r="B1443" i="34"/>
  <c r="B1442" i="34"/>
  <c r="B1441" i="34"/>
  <c r="B1439" i="34"/>
  <c r="B1438" i="34"/>
  <c r="B1437" i="34"/>
  <c r="B1436" i="34"/>
  <c r="B1435" i="34"/>
  <c r="B1434" i="34"/>
  <c r="B1426" i="34"/>
  <c r="B1425" i="34"/>
  <c r="B1424" i="34"/>
  <c r="B1423" i="34"/>
  <c r="B1422" i="34"/>
  <c r="B2069" i="34"/>
  <c r="B2028" i="34"/>
  <c r="B455" i="34"/>
  <c r="B454" i="34"/>
  <c r="B479" i="34"/>
  <c r="B478" i="34"/>
  <c r="B367" i="34"/>
  <c r="B2408" i="34"/>
  <c r="B2386" i="34"/>
  <c r="B2385" i="34"/>
  <c r="B2388" i="34"/>
  <c r="B2387" i="34"/>
  <c r="B2371" i="34"/>
  <c r="B2370" i="34"/>
  <c r="B2369" i="34"/>
  <c r="B2368" i="34"/>
  <c r="A108" i="55" l="1"/>
  <c r="B109" i="55"/>
  <c r="B81" i="34"/>
  <c r="B85" i="34"/>
  <c r="B120" i="34"/>
  <c r="B1515" i="34"/>
  <c r="B804" i="34"/>
  <c r="A109" i="55" l="1"/>
  <c r="B110" i="55"/>
  <c r="B2153" i="34"/>
  <c r="B2409" i="34"/>
  <c r="B2389" i="34"/>
  <c r="B2312" i="34"/>
  <c r="B1528" i="34"/>
  <c r="B2526" i="34"/>
  <c r="A110" i="55" l="1"/>
  <c r="B111" i="55"/>
  <c r="A111" i="55" l="1"/>
  <c r="B112" i="55"/>
  <c r="I18" i="54"/>
  <c r="B35" i="34"/>
  <c r="A112" i="55" l="1"/>
  <c r="B113" i="55"/>
  <c r="N11" i="34"/>
  <c r="N12" i="34"/>
  <c r="N10" i="34"/>
  <c r="A113" i="55" l="1"/>
  <c r="B114" i="55"/>
  <c r="A114" i="55" l="1"/>
  <c r="B115" i="55"/>
  <c r="B1502" i="34"/>
  <c r="B1514" i="34"/>
  <c r="B802" i="34"/>
  <c r="B803" i="34"/>
  <c r="A115" i="55" l="1"/>
  <c r="B116" i="55"/>
  <c r="B140" i="34"/>
  <c r="B139" i="34"/>
  <c r="A116" i="55" l="1"/>
  <c r="B117" i="55"/>
  <c r="B269" i="34"/>
  <c r="B141" i="34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F12" i="61"/>
  <c r="E12" i="61"/>
  <c r="D12" i="61"/>
  <c r="G12" i="61"/>
  <c r="H12" i="61"/>
  <c r="I12" i="61"/>
  <c r="C12" i="61"/>
  <c r="A117" i="55" l="1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A122" i="55" l="1"/>
  <c r="B123" i="55"/>
  <c r="B74" i="34"/>
  <c r="B73" i="34"/>
  <c r="A123" i="55" l="1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A3" i="15"/>
  <c r="A2" i="15"/>
  <c r="N8" i="73"/>
  <c r="M8" i="73"/>
  <c r="A2" i="73"/>
  <c r="A1" i="73"/>
  <c r="K496" i="55" l="1"/>
  <c r="K623" i="55"/>
  <c r="K403" i="55"/>
  <c r="K427" i="55"/>
  <c r="A125" i="55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861" i="34"/>
  <c r="B860" i="34"/>
  <c r="B847" i="34"/>
  <c r="B858" i="34"/>
  <c r="B857" i="34"/>
  <c r="B856" i="34"/>
  <c r="B855" i="34"/>
  <c r="B854" i="34"/>
  <c r="B853" i="34"/>
  <c r="B1503" i="34"/>
  <c r="B934" i="34"/>
  <c r="B933" i="34"/>
  <c r="B923" i="34"/>
  <c r="B922" i="34"/>
  <c r="B835" i="34"/>
  <c r="B985" i="34"/>
  <c r="B984" i="34"/>
  <c r="B317" i="34"/>
  <c r="B316" i="34"/>
  <c r="B315" i="34"/>
  <c r="B308" i="34"/>
  <c r="B276" i="34"/>
  <c r="B244" i="34"/>
  <c r="B277" i="34"/>
  <c r="B305" i="34"/>
  <c r="B306" i="34"/>
  <c r="B307" i="34"/>
  <c r="B309" i="34"/>
  <c r="B310" i="34"/>
  <c r="B318" i="34"/>
  <c r="B319" i="34"/>
  <c r="B320" i="34"/>
  <c r="B321" i="34"/>
  <c r="B350" i="34"/>
  <c r="B351" i="34"/>
  <c r="B1510" i="34"/>
  <c r="B1511" i="34"/>
  <c r="B849" i="34"/>
  <c r="B869" i="34"/>
  <c r="B870" i="34"/>
  <c r="B871" i="34"/>
  <c r="B872" i="34"/>
  <c r="B873" i="34"/>
  <c r="B879" i="34"/>
  <c r="B880" i="34"/>
  <c r="B906" i="34"/>
  <c r="B908" i="34"/>
  <c r="B910" i="34"/>
  <c r="B911" i="34"/>
  <c r="B912" i="34"/>
  <c r="B919" i="34"/>
  <c r="B920" i="34"/>
  <c r="B925" i="34"/>
  <c r="B927" i="34"/>
  <c r="B928" i="34"/>
  <c r="B929" i="34"/>
  <c r="B930" i="34"/>
  <c r="B931" i="34"/>
  <c r="B932" i="34"/>
  <c r="B956" i="34"/>
  <c r="B957" i="34"/>
  <c r="B977" i="34"/>
  <c r="B979" i="34"/>
  <c r="B970" i="34"/>
  <c r="B981" i="34"/>
  <c r="B983" i="34"/>
  <c r="B1000" i="34"/>
  <c r="B1001" i="34"/>
  <c r="B1002" i="34"/>
  <c r="B1003" i="34"/>
  <c r="B1004" i="34"/>
  <c r="B1005" i="34"/>
  <c r="B1013" i="34"/>
  <c r="B1069" i="34"/>
  <c r="B1070" i="34"/>
  <c r="B1071" i="34"/>
  <c r="B1072" i="34"/>
  <c r="B935" i="34"/>
  <c r="B936" i="34"/>
  <c r="B937" i="34"/>
  <c r="B945" i="34"/>
  <c r="B946" i="34"/>
  <c r="B973" i="34"/>
  <c r="B974" i="34"/>
  <c r="B975" i="34"/>
  <c r="B976" i="34"/>
  <c r="B1043" i="34"/>
  <c r="B1044" i="34"/>
  <c r="B1049" i="34"/>
  <c r="B1050" i="34"/>
  <c r="B1056" i="34"/>
  <c r="B1057" i="34"/>
  <c r="B1058" i="34"/>
  <c r="B1059" i="34"/>
  <c r="B1089" i="34"/>
  <c r="B1090" i="34"/>
  <c r="B1091" i="34"/>
  <c r="B1092" i="34"/>
  <c r="B1093" i="34"/>
  <c r="B1094" i="34"/>
  <c r="B1095" i="34"/>
  <c r="B1099" i="34"/>
  <c r="B1100" i="34"/>
  <c r="B1101" i="34"/>
  <c r="B1107" i="34"/>
  <c r="B1108" i="34"/>
  <c r="B1109" i="34"/>
  <c r="B1110" i="34"/>
  <c r="B1111" i="34"/>
  <c r="B1096" i="34"/>
  <c r="B1097" i="34"/>
  <c r="B1112" i="34"/>
  <c r="B1113" i="34"/>
  <c r="B1118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0" i="34"/>
  <c r="B1151" i="34"/>
  <c r="B1073" i="34"/>
  <c r="B1074" i="34"/>
  <c r="B1081" i="34"/>
  <c r="B1082" i="34"/>
  <c r="B1083" i="34"/>
  <c r="B1087" i="34"/>
  <c r="B1152" i="34"/>
  <c r="B1153" i="34"/>
  <c r="B1154" i="34"/>
  <c r="I13" i="71"/>
  <c r="O11" i="42"/>
  <c r="N11" i="42"/>
  <c r="A128" i="55" l="1"/>
  <c r="B129" i="55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8" i="70"/>
  <c r="C78" i="70"/>
  <c r="D79" i="70" l="1"/>
  <c r="A129" i="55"/>
  <c r="B130" i="55"/>
  <c r="B192" i="34"/>
  <c r="B193" i="34"/>
  <c r="B194" i="34"/>
  <c r="B195" i="34"/>
  <c r="B200" i="34"/>
  <c r="B201" i="34"/>
  <c r="B177" i="34"/>
  <c r="B178" i="34"/>
  <c r="B241" i="34"/>
  <c r="B242" i="34"/>
  <c r="B243" i="34"/>
  <c r="A130" i="55" l="1"/>
  <c r="B131" i="55"/>
  <c r="B135" i="34"/>
  <c r="B136" i="34"/>
  <c r="B137" i="34"/>
  <c r="B138" i="34"/>
  <c r="B181" i="34"/>
  <c r="B182" i="34"/>
  <c r="B189" i="34"/>
  <c r="B190" i="34"/>
  <c r="B114" i="34"/>
  <c r="B115" i="34"/>
  <c r="B117" i="34"/>
  <c r="B118" i="34"/>
  <c r="B119" i="34"/>
  <c r="B121" i="34"/>
  <c r="B122" i="34"/>
  <c r="B123" i="34"/>
  <c r="B124" i="34"/>
  <c r="B113" i="34"/>
  <c r="B60" i="34"/>
  <c r="B112" i="34"/>
  <c r="B143" i="34"/>
  <c r="B142" i="34"/>
  <c r="B366" i="34"/>
  <c r="B365" i="34"/>
  <c r="B363" i="34"/>
  <c r="B362" i="34"/>
  <c r="B345" i="34"/>
  <c r="B293" i="34"/>
  <c r="B268" i="34"/>
  <c r="B256" i="34"/>
  <c r="B231" i="34"/>
  <c r="B59" i="34"/>
  <c r="B53" i="34"/>
  <c r="B54" i="34"/>
  <c r="B37" i="34"/>
  <c r="B38" i="34"/>
  <c r="B39" i="34"/>
  <c r="B40" i="34"/>
  <c r="B41" i="34"/>
  <c r="B44" i="34"/>
  <c r="B45" i="34"/>
  <c r="B288" i="34"/>
  <c r="B289" i="34"/>
  <c r="B103" i="34"/>
  <c r="B104" i="34"/>
  <c r="B202" i="34"/>
  <c r="B203" i="34"/>
  <c r="B229" i="34"/>
  <c r="B230" i="34"/>
  <c r="B100" i="34"/>
  <c r="B91" i="34"/>
  <c r="B92" i="34"/>
  <c r="B87" i="34"/>
  <c r="B88" i="34"/>
  <c r="B77" i="34"/>
  <c r="B78" i="34"/>
  <c r="B79" i="34"/>
  <c r="B80" i="34"/>
  <c r="B75" i="34"/>
  <c r="B76" i="34"/>
  <c r="B65" i="34"/>
  <c r="B66" i="34"/>
  <c r="B67" i="34"/>
  <c r="B68" i="34"/>
  <c r="B69" i="34"/>
  <c r="B51" i="34"/>
  <c r="B52" i="34"/>
  <c r="B55" i="34"/>
  <c r="B56" i="34"/>
  <c r="B57" i="34"/>
  <c r="B58" i="34"/>
  <c r="B33" i="34"/>
  <c r="B34" i="34"/>
  <c r="B101" i="34"/>
  <c r="B102" i="34"/>
  <c r="B106" i="34"/>
  <c r="B107" i="34"/>
  <c r="B93" i="34"/>
  <c r="B98" i="34"/>
  <c r="B99" i="34"/>
  <c r="A131" i="55" l="1"/>
  <c r="B132" i="55"/>
  <c r="B1035" i="34"/>
  <c r="B999" i="34"/>
  <c r="B998" i="34"/>
  <c r="B997" i="34"/>
  <c r="B972" i="34"/>
  <c r="B971" i="34"/>
  <c r="B852" i="34"/>
  <c r="B850" i="34"/>
  <c r="B377" i="34"/>
  <c r="B354" i="34"/>
  <c r="B353" i="34"/>
  <c r="B237" i="34"/>
  <c r="B180" i="34"/>
  <c r="B179" i="34"/>
  <c r="B165" i="34"/>
  <c r="B166" i="34"/>
  <c r="B89" i="34"/>
  <c r="A132" i="55" l="1"/>
  <c r="B133" i="55"/>
  <c r="A14" i="71"/>
  <c r="E37" i="71" s="1"/>
  <c r="A19" i="71"/>
  <c r="A20" i="71"/>
  <c r="A17" i="71"/>
  <c r="B238" i="34"/>
  <c r="A18" i="71"/>
  <c r="B1025" i="34"/>
  <c r="A16" i="71"/>
  <c r="A15" i="71"/>
  <c r="U10" i="34"/>
  <c r="A133" i="55" l="1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05" i="34"/>
  <c r="B304" i="34"/>
  <c r="B344" i="34"/>
  <c r="B836" i="34"/>
  <c r="B846" i="34"/>
  <c r="B878" i="34"/>
  <c r="B969" i="34"/>
  <c r="B980" i="34"/>
  <c r="B996" i="34"/>
  <c r="B1023" i="34"/>
  <c r="B1088" i="34"/>
  <c r="B62" i="34"/>
  <c r="B137" i="55" l="1"/>
  <c r="A136" i="55"/>
  <c r="B108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137" i="55" l="1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21" i="34"/>
  <c r="B5122" i="34"/>
  <c r="B5123" i="34"/>
  <c r="B5124" i="34"/>
  <c r="G22" i="68" l="1"/>
  <c r="H22" i="68" s="1"/>
  <c r="F23" i="68" s="1"/>
  <c r="A144" i="55"/>
  <c r="B145" i="55"/>
  <c r="A5121" i="34"/>
  <c r="A5122" i="34"/>
  <c r="A5123" i="34"/>
  <c r="A5124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G24" i="68" l="1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B15" i="34"/>
  <c r="B16" i="34"/>
  <c r="B21" i="34"/>
  <c r="B17" i="34"/>
  <c r="B18" i="34"/>
  <c r="B19" i="34"/>
  <c r="B20" i="34"/>
  <c r="B10" i="34"/>
  <c r="P10" i="34" s="1"/>
  <c r="G26" i="68" l="1"/>
  <c r="A149" i="55"/>
  <c r="B150" i="55"/>
  <c r="P11" i="34"/>
  <c r="A12" i="34"/>
  <c r="Q12" i="34"/>
  <c r="R12" i="34"/>
  <c r="Z12" i="34"/>
  <c r="Z11" i="34"/>
  <c r="Q11" i="34"/>
  <c r="R11" i="34"/>
  <c r="Q10" i="34"/>
  <c r="Z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D61" i="15" s="1"/>
  <c r="A153" i="55"/>
  <c r="B154" i="55"/>
  <c r="D43" i="15"/>
  <c r="A154" i="55" l="1"/>
  <c r="B155" i="55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A11" i="56" l="1"/>
  <c r="W10" i="34"/>
  <c r="A155" i="55"/>
  <c r="B156" i="55"/>
  <c r="G667" i="55"/>
  <c r="I667" i="55"/>
  <c r="I40" i="55"/>
  <c r="V11" i="34"/>
  <c r="V12" i="34"/>
  <c r="W12" i="34"/>
  <c r="W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C15" i="39" l="1"/>
  <c r="K5129" i="34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81" i="42"/>
  <c r="I82" i="42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H368" i="55" a="1"/>
  <c r="H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2" i="70" a="1"/>
  <c r="E12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L368" i="55" l="1"/>
  <c r="L173" i="55"/>
  <c r="L227" i="55"/>
  <c r="L590" i="55"/>
  <c r="J482" i="55" a="1"/>
  <c r="J482" i="55" s="1"/>
  <c r="J524" i="55" a="1"/>
  <c r="J524" i="55" s="1"/>
  <c r="J359" i="55" a="1"/>
  <c r="J359" i="55" s="1"/>
  <c r="L359" i="55" s="1"/>
  <c r="J390" i="55" a="1"/>
  <c r="J390" i="55" s="1"/>
  <c r="J76" i="55" a="1"/>
  <c r="J76" i="55" s="1"/>
  <c r="J512" i="55" a="1"/>
  <c r="J512" i="55" s="1"/>
  <c r="L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L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594" i="55"/>
  <c r="L602" i="55"/>
  <c r="L591" i="55"/>
  <c r="L589" i="55"/>
  <c r="L13" i="55"/>
  <c r="L371" i="55"/>
  <c r="F58" i="70" a="1"/>
  <c r="F58" i="70" s="1"/>
  <c r="E58" i="70" a="1"/>
  <c r="E5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57" i="70" a="1"/>
  <c r="F57" i="70" s="1"/>
  <c r="E57" i="70" a="1"/>
  <c r="E5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27" i="70" a="1"/>
  <c r="F27" i="70" s="1"/>
  <c r="F34" i="70" a="1"/>
  <c r="F34" i="70" s="1"/>
  <c r="F37" i="70" a="1"/>
  <c r="F37" i="70" s="1"/>
  <c r="E46" i="70" a="1"/>
  <c r="E46" i="70" s="1"/>
  <c r="E26" i="70" a="1"/>
  <c r="E26" i="70" s="1"/>
  <c r="F6" i="70" a="1"/>
  <c r="F6" i="70" s="1"/>
  <c r="E9" i="70" a="1"/>
  <c r="E9" i="70" s="1"/>
  <c r="E8" i="70" a="1"/>
  <c r="E8" i="70" s="1"/>
  <c r="E73" i="70" a="1"/>
  <c r="E73" i="70" s="1"/>
  <c r="E54" i="70" a="1"/>
  <c r="E54" i="70" s="1"/>
  <c r="E34" i="70" a="1"/>
  <c r="E34" i="70" s="1"/>
  <c r="F45" i="70" a="1"/>
  <c r="F45" i="70" s="1"/>
  <c r="E60" i="70" a="1"/>
  <c r="E60" i="70" s="1"/>
  <c r="E50" i="70" a="1"/>
  <c r="E50" i="70" s="1"/>
  <c r="E21" i="70" a="1"/>
  <c r="E21" i="70" s="1"/>
  <c r="F20" i="70" a="1"/>
  <c r="F20" i="70" s="1"/>
  <c r="F44" i="70" a="1"/>
  <c r="F44" i="70" s="1"/>
  <c r="E63" i="70" a="1"/>
  <c r="E63" i="70" s="1"/>
  <c r="E23" i="70" a="1"/>
  <c r="E23" i="70" s="1"/>
  <c r="E72" i="70" a="1"/>
  <c r="E72" i="70" s="1"/>
  <c r="F48" i="70" a="1"/>
  <c r="F48" i="70" s="1"/>
  <c r="F13" i="70" a="1"/>
  <c r="F13" i="70" s="1"/>
  <c r="E37" i="70" a="1"/>
  <c r="E37" i="70" s="1"/>
  <c r="E52" i="70" a="1"/>
  <c r="E52" i="70" s="1"/>
  <c r="F14" i="70" a="1"/>
  <c r="F14" i="70" s="1"/>
  <c r="F29" i="70" a="1"/>
  <c r="F29" i="70" s="1"/>
  <c r="F7" i="70" a="1"/>
  <c r="F7" i="70" s="1"/>
  <c r="F16" i="70" a="1"/>
  <c r="F16" i="70" s="1"/>
  <c r="E74" i="70" a="1"/>
  <c r="E74" i="70" s="1"/>
  <c r="E68" i="70" a="1"/>
  <c r="E68" i="70" s="1"/>
  <c r="F52" i="70" a="1"/>
  <c r="F52" i="70" s="1"/>
  <c r="E59" i="70" a="1"/>
  <c r="E59" i="70" s="1"/>
  <c r="F19" i="70" a="1"/>
  <c r="F19" i="70" s="1"/>
  <c r="F39" i="70" a="1"/>
  <c r="F39" i="70" s="1"/>
  <c r="F63" i="70" a="1"/>
  <c r="F63" i="70" s="1"/>
  <c r="E38" i="70" a="1"/>
  <c r="E38" i="70" s="1"/>
  <c r="E11" i="70" a="1"/>
  <c r="E11" i="70" s="1"/>
  <c r="E75" i="70" a="1"/>
  <c r="E75" i="70" s="1"/>
  <c r="F67" i="70" a="1"/>
  <c r="F67" i="70" s="1"/>
  <c r="E61" i="70" a="1"/>
  <c r="E61" i="70" s="1"/>
  <c r="E15" i="70" a="1"/>
  <c r="E15" i="70" s="1"/>
  <c r="E47" i="70" a="1"/>
  <c r="E47" i="70" s="1"/>
  <c r="E56" i="70" a="1"/>
  <c r="E56" i="70" s="1"/>
  <c r="F41" i="70" a="1"/>
  <c r="F41" i="70" s="1"/>
  <c r="F72" i="70" a="1"/>
  <c r="F72" i="70" s="1"/>
  <c r="F25" i="70" a="1"/>
  <c r="F25" i="70" s="1"/>
  <c r="E55" i="70" a="1"/>
  <c r="E55" i="70" s="1"/>
  <c r="E32" i="70" a="1"/>
  <c r="E32" i="70" s="1"/>
  <c r="F51" i="70" a="1"/>
  <c r="F51" i="70" s="1"/>
  <c r="F71" i="70" a="1"/>
  <c r="F71" i="70" s="1"/>
  <c r="E7" i="70" a="1"/>
  <c r="E7" i="70" s="1"/>
  <c r="E19" i="70" a="1"/>
  <c r="E19" i="70" s="1"/>
  <c r="F9" i="70" a="1"/>
  <c r="F9" i="70" s="1"/>
  <c r="F8" i="70" a="1"/>
  <c r="F8" i="70" s="1"/>
  <c r="F73" i="70" a="1"/>
  <c r="F73" i="70" s="1"/>
  <c r="E64" i="70" a="1"/>
  <c r="E64" i="70" s="1"/>
  <c r="E76" i="70" a="1"/>
  <c r="E76" i="70" s="1"/>
  <c r="E36" i="70" a="1"/>
  <c r="E36" i="70" s="1"/>
  <c r="F50" i="70" a="1"/>
  <c r="F50" i="70" s="1"/>
  <c r="F21" i="70" a="1"/>
  <c r="F21" i="70" s="1"/>
  <c r="F47" i="70" a="1"/>
  <c r="F47" i="70" s="1"/>
  <c r="F24" i="70" a="1"/>
  <c r="F24" i="70" s="1"/>
  <c r="F74" i="70" a="1"/>
  <c r="F74" i="70" s="1"/>
  <c r="E28" i="70" a="1"/>
  <c r="E28" i="70" s="1"/>
  <c r="E53" i="70" a="1"/>
  <c r="E53" i="70" s="1"/>
  <c r="F75" i="70" a="1"/>
  <c r="F75" i="70" s="1"/>
  <c r="F76" i="70" a="1"/>
  <c r="F76" i="70" s="1"/>
  <c r="F69" i="70" a="1"/>
  <c r="F69" i="70" s="1"/>
  <c r="E31" i="70" a="1"/>
  <c r="E31" i="70" s="1"/>
  <c r="E17" i="70" a="1"/>
  <c r="E17" i="70" s="1"/>
  <c r="F18" i="70" a="1"/>
  <c r="F18" i="70" s="1"/>
  <c r="E22" i="70" a="1"/>
  <c r="E22" i="70" s="1"/>
  <c r="E20" i="70" a="1"/>
  <c r="E20" i="70" s="1"/>
  <c r="E44" i="70" a="1"/>
  <c r="E44" i="70" s="1"/>
  <c r="F32" i="70" a="1"/>
  <c r="F32" i="70" s="1"/>
  <c r="E49" i="70" a="1"/>
  <c r="E49" i="70" s="1"/>
  <c r="E10" i="70" a="1"/>
  <c r="E10" i="70" s="1"/>
  <c r="E40" i="70" a="1"/>
  <c r="E40" i="70" s="1"/>
  <c r="E33" i="70" a="1"/>
  <c r="E33" i="70" s="1"/>
  <c r="F59" i="70" a="1"/>
  <c r="F59" i="70" s="1"/>
  <c r="F64" i="70" a="1"/>
  <c r="F64" i="70" s="1"/>
  <c r="E30" i="70" a="1"/>
  <c r="E30" i="70" s="1"/>
  <c r="E25" i="70" a="1"/>
  <c r="E25" i="70" s="1"/>
  <c r="F46" i="70" a="1"/>
  <c r="F46" i="70" s="1"/>
  <c r="F26" i="70" a="1"/>
  <c r="F26" i="70" s="1"/>
  <c r="E35" i="70" a="1"/>
  <c r="E35" i="70" s="1"/>
  <c r="E27" i="70" a="1"/>
  <c r="E27" i="70" s="1"/>
  <c r="F61" i="70" a="1"/>
  <c r="F61" i="70" s="1"/>
  <c r="F15" i="70" a="1"/>
  <c r="F15" i="70" s="1"/>
  <c r="F56" i="70" a="1"/>
  <c r="F56" i="70" s="1"/>
  <c r="E70" i="70" a="1"/>
  <c r="E70" i="70" s="1"/>
  <c r="E66" i="70" a="1"/>
  <c r="E66" i="70" s="1"/>
  <c r="F62" i="70" a="1"/>
  <c r="F62" i="70" s="1"/>
  <c r="F55" i="70" a="1"/>
  <c r="F55" i="70" s="1"/>
  <c r="F22" i="70" a="1"/>
  <c r="F22" i="70" s="1"/>
  <c r="E39" i="70" a="1"/>
  <c r="E39" i="70" s="1"/>
  <c r="F35" i="70" a="1"/>
  <c r="F35" i="70" s="1"/>
  <c r="F23" i="70" a="1"/>
  <c r="F23" i="70" s="1"/>
  <c r="E6" i="70" a="1"/>
  <c r="E6" i="70" s="1"/>
  <c r="F70" i="70" a="1"/>
  <c r="F70" i="70" s="1"/>
  <c r="F66" i="70" a="1"/>
  <c r="F66" i="70" s="1"/>
  <c r="E45" i="70" a="1"/>
  <c r="E45" i="70" s="1"/>
  <c r="F33" i="70" a="1"/>
  <c r="F33" i="70" s="1"/>
  <c r="F65" i="70" a="1"/>
  <c r="F65" i="70" s="1"/>
  <c r="E62" i="70" a="1"/>
  <c r="E62" i="70" s="1"/>
  <c r="E51" i="70" a="1"/>
  <c r="E51" i="70" s="1"/>
  <c r="E71" i="70" a="1"/>
  <c r="E71" i="70" s="1"/>
  <c r="F28" i="70" a="1"/>
  <c r="F28" i="70" s="1"/>
  <c r="F53" i="70" a="1"/>
  <c r="F53" i="70" s="1"/>
  <c r="F60" i="70" a="1"/>
  <c r="F60" i="70" s="1"/>
  <c r="E48" i="70" a="1"/>
  <c r="E48" i="70" s="1"/>
  <c r="E13" i="70" a="1"/>
  <c r="E13" i="70" s="1"/>
  <c r="E24" i="70" a="1"/>
  <c r="E24" i="70" s="1"/>
  <c r="E18" i="70" a="1"/>
  <c r="E18" i="70" s="1"/>
  <c r="F31" i="70" a="1"/>
  <c r="F31" i="70" s="1"/>
  <c r="F17" i="70" a="1"/>
  <c r="F17" i="70" s="1"/>
  <c r="E69" i="70" a="1"/>
  <c r="E69" i="70" s="1"/>
  <c r="E14" i="70" a="1"/>
  <c r="E14" i="70" s="1"/>
  <c r="E29" i="70" a="1"/>
  <c r="E29" i="70" s="1"/>
  <c r="F38" i="70" a="1"/>
  <c r="F38" i="70" s="1"/>
  <c r="F11" i="70" a="1"/>
  <c r="F11" i="70" s="1"/>
  <c r="F42" i="70" a="1"/>
  <c r="F42" i="70" s="1"/>
  <c r="E16" i="70" a="1"/>
  <c r="E16" i="70" s="1"/>
  <c r="E65" i="70" a="1"/>
  <c r="E65" i="70" s="1"/>
  <c r="G65" i="70" s="1"/>
  <c r="F49" i="70" a="1"/>
  <c r="F49" i="70" s="1"/>
  <c r="F10" i="70" a="1"/>
  <c r="F10" i="70" s="1"/>
  <c r="E42" i="70" a="1"/>
  <c r="E42" i="70" s="1"/>
  <c r="E43" i="70" a="1"/>
  <c r="E43" i="70" s="1"/>
  <c r="F30" i="70" a="1"/>
  <c r="F30" i="70" s="1"/>
  <c r="F36" i="70" a="1"/>
  <c r="F36" i="70" s="1"/>
  <c r="F40" i="70" a="1"/>
  <c r="F40" i="70" s="1"/>
  <c r="F54" i="70" a="1"/>
  <c r="F54" i="70" s="1"/>
  <c r="F68" i="70" a="1"/>
  <c r="F68" i="70" s="1"/>
  <c r="E67" i="70" a="1"/>
  <c r="E67" i="70" s="1"/>
  <c r="F43" i="70" a="1"/>
  <c r="F43" i="70" s="1"/>
  <c r="E41" i="70" a="1"/>
  <c r="E41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2" i="70" a="1"/>
  <c r="F12" i="70" s="1"/>
  <c r="G12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58" i="70"/>
  <c r="H58" i="70"/>
  <c r="H9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45" i="70"/>
  <c r="L279" i="55"/>
  <c r="L233" i="55"/>
  <c r="L212" i="55"/>
  <c r="H72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46" i="70"/>
  <c r="G7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30" i="70"/>
  <c r="G53" i="70"/>
  <c r="H28" i="70"/>
  <c r="H74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57" i="70"/>
  <c r="G57" i="70"/>
  <c r="G8" i="70"/>
  <c r="H34" i="70"/>
  <c r="G68" i="70"/>
  <c r="G36" i="70"/>
  <c r="H38" i="70"/>
  <c r="H13" i="70"/>
  <c r="G59" i="70"/>
  <c r="G16" i="70"/>
  <c r="G67" i="70"/>
  <c r="H40" i="70"/>
  <c r="G14" i="70"/>
  <c r="G75" i="70"/>
  <c r="H49" i="70"/>
  <c r="G39" i="70"/>
  <c r="H64" i="70"/>
  <c r="H41" i="70"/>
  <c r="H15" i="70"/>
  <c r="H32" i="70"/>
  <c r="H20" i="70"/>
  <c r="H73" i="70"/>
  <c r="G66" i="70"/>
  <c r="H50" i="70"/>
  <c r="H25" i="70"/>
  <c r="G9" i="70"/>
  <c r="H31" i="70"/>
  <c r="H71" i="70"/>
  <c r="H56" i="70"/>
  <c r="G63" i="70"/>
  <c r="H61" i="70"/>
  <c r="H19" i="70"/>
  <c r="H21" i="70"/>
  <c r="G26" i="70"/>
  <c r="H29" i="70"/>
  <c r="G23" i="70"/>
  <c r="G11" i="70"/>
  <c r="H27" i="70"/>
  <c r="H22" i="70"/>
  <c r="H70" i="70"/>
  <c r="H69" i="70"/>
  <c r="G28" i="70"/>
  <c r="H76" i="70"/>
  <c r="G47" i="70"/>
  <c r="G52" i="70"/>
  <c r="H44" i="70"/>
  <c r="H37" i="70"/>
  <c r="H54" i="70"/>
  <c r="H48" i="70"/>
  <c r="G70" i="70"/>
  <c r="H43" i="15"/>
  <c r="H10" i="70"/>
  <c r="H18" i="70"/>
  <c r="H60" i="70"/>
  <c r="G51" i="70"/>
  <c r="H6" i="70"/>
  <c r="G43" i="70"/>
  <c r="H33" i="70"/>
  <c r="H55" i="70"/>
  <c r="G24" i="70"/>
  <c r="H17" i="70"/>
  <c r="H11" i="70"/>
  <c r="H35" i="70"/>
  <c r="H30" i="70"/>
  <c r="G62" i="70"/>
  <c r="H21" i="15"/>
  <c r="H42" i="70"/>
  <c r="H36" i="15"/>
  <c r="G38" i="70"/>
  <c r="H24" i="70"/>
  <c r="G35" i="70"/>
  <c r="G13" i="70"/>
  <c r="H16" i="70"/>
  <c r="G50" i="70"/>
  <c r="G42" i="70"/>
  <c r="H23" i="70"/>
  <c r="G40" i="70"/>
  <c r="H39" i="70"/>
  <c r="H59" i="70"/>
  <c r="G31" i="70"/>
  <c r="H67" i="70"/>
  <c r="H62" i="70"/>
  <c r="H8" i="70"/>
  <c r="G45" i="70"/>
  <c r="G20" i="70"/>
  <c r="G71" i="70"/>
  <c r="G46" i="70"/>
  <c r="G61" i="70"/>
  <c r="G54" i="70"/>
  <c r="G55" i="70"/>
  <c r="H63" i="70"/>
  <c r="G44" i="70"/>
  <c r="G15" i="70"/>
  <c r="G17" i="70"/>
  <c r="G73" i="70"/>
  <c r="G25" i="70"/>
  <c r="G60" i="70"/>
  <c r="G10" i="70"/>
  <c r="G41" i="70"/>
  <c r="G27" i="70"/>
  <c r="G37" i="70"/>
  <c r="G72" i="70"/>
  <c r="G32" i="70"/>
  <c r="G22" i="70"/>
  <c r="G74" i="70"/>
  <c r="H52" i="70"/>
  <c r="H68" i="70"/>
  <c r="G64" i="70"/>
  <c r="G34" i="70"/>
  <c r="H26" i="70"/>
  <c r="G56" i="70"/>
  <c r="H43" i="70"/>
  <c r="G49" i="70"/>
  <c r="G19" i="70"/>
  <c r="H53" i="70"/>
  <c r="H66" i="70"/>
  <c r="G76" i="70"/>
  <c r="G48" i="70"/>
  <c r="G33" i="70"/>
  <c r="H65" i="70"/>
  <c r="G18" i="70"/>
  <c r="G21" i="70"/>
  <c r="H47" i="70"/>
  <c r="H14" i="70"/>
  <c r="G6" i="70"/>
  <c r="H75" i="70"/>
  <c r="H36" i="70"/>
  <c r="G69" i="70"/>
  <c r="G29" i="70"/>
  <c r="H51" i="70"/>
  <c r="E78" i="70"/>
  <c r="E79" i="70" s="1"/>
  <c r="G18" i="15"/>
  <c r="G34" i="15"/>
  <c r="G21" i="15"/>
  <c r="F78" i="70"/>
  <c r="F79" i="70" s="1"/>
  <c r="H12" i="70"/>
  <c r="H7" i="70"/>
  <c r="H18" i="15"/>
  <c r="G16" i="15"/>
  <c r="H34" i="15"/>
  <c r="G43" i="15"/>
  <c r="G46" i="15"/>
  <c r="L12" i="55"/>
  <c r="H46" i="15"/>
  <c r="J45" i="15"/>
  <c r="G36" i="15"/>
  <c r="G78" i="70" l="1"/>
  <c r="J48" i="15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H78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<sst xmlns="http://schemas.openxmlformats.org/spreadsheetml/2006/main" count="35172" uniqueCount="2064">
  <si>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</si>
  <si>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</si>
  <si>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</si>
  <si>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</si>
  <si>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</si>
  <si>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</si>
  <si>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</si>
  <si>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</si>
  <si>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</si>
  <si>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</si>
  <si>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</si>
  <si>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</si>
  <si>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</si>
  <si>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</si>
  <si>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</si>
  <si>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</si>
  <si>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</si>
  <si>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</si>
  <si>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</si>
  <si>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</si>
  <si>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</si>
  <si>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</si>
  <si>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</si>
  <si>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</si>
  <si>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</si>
  <si>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</si>
  <si>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</si>
  <si>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</si>
  <si>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</si>
  <si>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</si>
  <si>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</si>
  <si>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</si>
  <si>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</si>
  <si>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</si>
  <si>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</si>
  <si>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</si>
  <si>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</si>
  <si>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</si>
  <si>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</si>
  <si>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</si>
  <si>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</si>
  <si>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</si>
  <si>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</si>
  <si>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</si>
  <si>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</si>
  <si>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</si>
  <si>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</si>
  <si>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</si>
  <si>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</si>
  <si>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</si>
  <si>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</si>
  <si>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</si>
  <si>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</si>
  <si>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</si>
  <si>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</si>
  <si>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</si>
  <si>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</si>
  <si>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</si>
  <si>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</si>
  <si>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</si>
  <si>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</si>
  <si>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</si>
  <si>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</si>
  <si>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</si>
  <si>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</si>
  <si>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</si>
  <si>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</si>
  <si>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</si>
  <si>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</si>
  <si>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</si>
  <si>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</si>
  <si>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</si>
  <si>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</si>
  <si>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</si>
  <si>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</si>
  <si>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</si>
  <si>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</si>
  <si>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</si>
  <si>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</si>
  <si>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</si>
  <si>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</si>
  <si>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</si>
  <si>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</si>
  <si>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</si>
  <si>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</si>
  <si>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</si>
  <si>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</si>
  <si>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</si>
  <si>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</si>
  <si>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</si>
  <si>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</si>
  <si>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</si>
  <si>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</si>
  <si>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</si>
  <si>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</si>
  <si>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</si>
  <si>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</si>
  <si>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</si>
  <si>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</si>
  <si>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</si>
  <si>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</si>
  <si>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</si>
  <si>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</si>
  <si>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</si>
  <si>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</si>
  <si>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</si>
  <si>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</si>
  <si>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</si>
  <si>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</si>
  <si>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</si>
  <si>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</si>
  <si>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</si>
  <si>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</si>
  <si>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</si>
  <si>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</si>
  <si>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</si>
  <si>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</si>
  <si>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</si>
  <si>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</si>
  <si>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</si>
  <si>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</si>
  <si>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</si>
  <si>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</si>
  <si>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</si>
  <si>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</si>
  <si>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</si>
  <si>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</si>
  <si>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</si>
  <si>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</si>
  <si>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</si>
  <si>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</si>
  <si>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</si>
  <si>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</si>
  <si>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</si>
  <si>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</si>
  <si>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</si>
  <si>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</si>
  <si>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</si>
  <si>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</si>
  <si>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</si>
  <si>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</si>
  <si>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</si>
  <si>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</si>
  <si>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</si>
  <si>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</si>
  <si>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</si>
  <si>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</si>
  <si>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</si>
  <si>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</si>
  <si>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</si>
  <si>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</si>
  <si>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</si>
  <si>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</si>
  <si>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</si>
  <si>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</si>
  <si>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</si>
  <si>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</si>
  <si>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</si>
  <si>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</si>
  <si>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</si>
  <si>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</si>
  <si>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</si>
  <si>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</si>
  <si>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</si>
  <si>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</si>
  <si>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</si>
  <si>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</si>
  <si>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</si>
  <si>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</si>
  <si>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</si>
  <si>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</si>
  <si>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</si>
  <si>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</si>
  <si>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</si>
  <si>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</si>
  <si>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</si>
  <si>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</si>
  <si>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</si>
  <si>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</si>
  <si>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</si>
  <si>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</si>
  <si>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</si>
  <si>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</si>
  <si>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</si>
  <si>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</si>
  <si>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</si>
  <si>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</si>
  <si>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</si>
  <si>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</si>
  <si>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</si>
  <si>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</si>
  <si>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</si>
  <si>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</si>
  <si>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</si>
  <si>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</si>
  <si>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</si>
  <si>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</si>
  <si>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</si>
  <si>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</si>
  <si>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</si>
  <si>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</si>
  <si>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</si>
  <si>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</si>
  <si>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</si>
  <si>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</si>
  <si>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</si>
  <si>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</si>
  <si>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</si>
  <si>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</si>
  <si>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</si>
  <si>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</si>
  <si>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</si>
  <si>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</si>
  <si>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</si>
  <si>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</si>
  <si>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</si>
  <si>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</si>
  <si>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</si>
  <si>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</si>
  <si>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</si>
  <si>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</si>
  <si>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</si>
  <si>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</si>
  <si>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</si>
  <si>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</si>
  <si>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</si>
  <si>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</si>
  <si>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</si>
  <si>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</si>
  <si>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</si>
  <si>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</si>
  <si>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</si>
  <si>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</si>
  <si>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</si>
  <si>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</si>
  <si>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</si>
  <si>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</si>
  <si>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</si>
  <si>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</si>
  <si>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</si>
  <si>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</si>
  <si>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</si>
  <si>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</si>
  <si>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</si>
  <si>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</si>
  <si>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</si>
  <si>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</si>
  <si>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</si>
  <si>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</si>
  <si>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</si>
  <si>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</si>
  <si>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</si>
  <si>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</si>
  <si>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</si>
  <si>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</si>
  <si>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</si>
  <si>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</si>
  <si>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</si>
  <si>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</si>
  <si>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</si>
  <si>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</si>
  <si>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</si>
  <si>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</si>
  <si>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</si>
  <si>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</si>
  <si>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</si>
  <si>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</si>
  <si>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</si>
  <si>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</si>
  <si>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</si>
  <si>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</si>
  <si>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</si>
  <si>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</si>
  <si>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</si>
  <si>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</si>
  <si>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</si>
  <si>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</si>
  <si>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</si>
  <si>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</si>
  <si>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</si>
  <si>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</si>
  <si>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</si>
  <si>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</si>
  <si>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</si>
  <si>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</si>
  <si>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</si>
  <si>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</si>
  <si>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</si>
  <si>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</si>
  <si>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</si>
  <si>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</si>
  <si>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</si>
  <si>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</si>
  <si>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</si>
  <si>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</si>
  <si>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</si>
  <si>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</si>
  <si>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</si>
  <si>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</si>
  <si>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</si>
  <si>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</si>
  <si>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</si>
  <si>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</si>
  <si>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</si>
  <si>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</si>
  <si>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</si>
  <si>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</si>
  <si>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</si>
  <si>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</si>
  <si>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</si>
  <si>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</si>
  <si>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</si>
  <si>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</si>
  <si>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</si>
  <si>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</si>
  <si>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</si>
  <si>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</si>
  <si>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</si>
  <si>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</si>
  <si>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</si>
  <si>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</si>
  <si>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</si>
  <si>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</si>
  <si>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</si>
  <si>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</si>
  <si>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</si>
  <si>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</si>
  <si>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</si>
  <si>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</si>
  <si>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</si>
  <si>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</si>
  <si>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</si>
  <si>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</si>
  <si>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</si>
  <si>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</si>
  <si>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</si>
  <si>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</si>
  <si>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</si>
  <si>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</si>
  <si>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</si>
  <si>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</si>
  <si>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</si>
  <si>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</si>
  <si>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</si>
  <si>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</si>
  <si>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</si>
  <si>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</si>
  <si>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</si>
  <si>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</si>
  <si>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</si>
  <si>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</si>
  <si>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</si>
  <si>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</si>
  <si>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</si>
  <si>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</si>
  <si>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</si>
  <si>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</si>
  <si>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</si>
  <si>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</si>
  <si>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</si>
  <si>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</si>
  <si>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</si>
  <si>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</si>
  <si>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</si>
  <si>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</si>
  <si>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</si>
  <si>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</si>
  <si>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</si>
  <si>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</si>
  <si>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</si>
  <si>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</si>
  <si>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</si>
  <si>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</si>
  <si>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</si>
  <si>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</si>
  <si>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</si>
  <si>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</si>
  <si>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</si>
  <si>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</si>
  <si>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</si>
  <si>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</si>
  <si>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</si>
  <si>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</si>
  <si>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</si>
  <si>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</si>
  <si>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</si>
  <si>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</si>
  <si>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</si>
  <si>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</si>
  <si>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</si>
  <si>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</si>
  <si>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</si>
  <si>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</si>
  <si>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</si>
  <si>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</si>
  <si>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</si>
  <si>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</si>
  <si>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</si>
  <si>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</si>
  <si>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</si>
  <si>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</si>
  <si>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</si>
  <si>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</si>
  <si>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</si>
  <si>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</si>
  <si>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</si>
  <si>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</si>
  <si>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</si>
  <si>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</si>
  <si>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</si>
  <si>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</si>
  <si>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</si>
  <si>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</si>
  <si>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</si>
  <si>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</si>
  <si>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</si>
  <si>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</si>
  <si>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</si>
  <si>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</si>
  <si>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</si>
  <si>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</si>
  <si>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</si>
  <si>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</si>
  <si>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</si>
  <si>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</si>
  <si>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</si>
  <si>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</si>
  <si>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</si>
  <si>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</si>
  <si>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</si>
  <si>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</si>
  <si>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</si>
  <si>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</si>
  <si>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</si>
  <si>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</si>
  <si>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</si>
  <si>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</si>
  <si>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</si>
  <si>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</si>
  <si>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</si>
  <si>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</si>
  <si>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</si>
  <si>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</si>
  <si>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</si>
  <si>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</si>
  <si>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</si>
  <si>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</si>
  <si>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</si>
  <si>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</si>
  <si>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</si>
  <si>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</si>
  <si>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</si>
  <si>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</si>
  <si>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</si>
  <si>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</si>
  <si>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</si>
  <si>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</si>
  <si>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</si>
  <si>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</si>
  <si>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</si>
  <si>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</si>
  <si>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</si>
  <si>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</si>
  <si>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</si>
  <si>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</si>
  <si>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</si>
  <si>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</si>
  <si>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</si>
  <si>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</si>
  <si>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</si>
  <si>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</si>
  <si>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</si>
  <si>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</si>
  <si>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</si>
  <si>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</si>
  <si>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</si>
  <si>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</si>
  <si>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</si>
  <si>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</si>
  <si>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</si>
  <si>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</si>
  <si>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</si>
  <si>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</si>
  <si>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</si>
  <si>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</si>
  <si>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</si>
  <si>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</si>
  <si>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</si>
  <si>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</si>
  <si>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</si>
  <si>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</si>
  <si>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</si>
  <si>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</si>
  <si>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</si>
  <si>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</si>
  <si>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</si>
  <si>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</si>
  <si>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</si>
  <si>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</si>
  <si>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</si>
  <si>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</si>
  <si>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</si>
  <si>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</si>
  <si>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</si>
  <si>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</si>
  <si>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</si>
  <si>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</si>
  <si>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</si>
  <si>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</si>
  <si>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</si>
  <si>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</si>
  <si>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</si>
  <si>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</si>
  <si>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</si>
  <si>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</si>
  <si>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</si>
  <si>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</si>
  <si>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</si>
  <si>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</si>
  <si>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</si>
  <si>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</si>
  <si>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</si>
  <si>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</si>
  <si>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</si>
  <si>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</si>
  <si>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</si>
  <si>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</si>
  <si>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</si>
  <si>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</si>
  <si>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</si>
  <si>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</si>
  <si>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</si>
  <si>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</si>
  <si>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</si>
  <si>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</si>
  <si>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</si>
  <si>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</si>
  <si>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</si>
  <si>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</si>
  <si>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</si>
  <si>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</si>
  <si>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</si>
  <si>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</si>
  <si>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</si>
  <si>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</si>
  <si>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</si>
  <si>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</si>
  <si>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</si>
  <si>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</si>
  <si>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</si>
  <si>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</si>
  <si>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</si>
  <si>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</si>
  <si>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</si>
  <si>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</si>
  <si>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</si>
  <si>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</si>
  <si>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</si>
  <si>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</si>
  <si>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</si>
  <si>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</si>
  <si>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</si>
  <si>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</si>
  <si>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</si>
  <si>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</si>
  <si>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</si>
  <si>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</si>
  <si>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</si>
  <si>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</si>
  <si>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</si>
  <si>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</si>
  <si>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</si>
  <si>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</si>
  <si>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</si>
  <si>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</si>
  <si>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</si>
  <si>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</si>
  <si>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</si>
  <si>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</si>
  <si>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</si>
  <si>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</si>
  <si>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</si>
  <si>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</si>
  <si>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</si>
  <si>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</si>
  <si>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</si>
  <si>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</si>
  <si>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</si>
  <si>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</si>
  <si>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</si>
  <si>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</si>
  <si>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</si>
  <si>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</si>
  <si>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</si>
  <si>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</si>
  <si>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</si>
  <si>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</si>
  <si>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</si>
  <si>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</si>
  <si>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</si>
  <si>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</si>
  <si>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</si>
  <si>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</si>
  <si>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</si>
  <si>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</si>
  <si>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</si>
  <si>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</si>
  <si>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</si>
  <si>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</si>
  <si>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</si>
  <si>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</si>
  <si>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</si>
  <si>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</si>
  <si>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</si>
  <si>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</si>
  <si>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</si>
  <si>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</si>
  <si>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</si>
  <si>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</si>
  <si>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</si>
  <si>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</si>
  <si>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</si>
  <si>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</si>
  <si>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</si>
  <si>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</si>
  <si>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</si>
  <si>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</si>
  <si>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</si>
  <si>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</si>
  <si>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</si>
  <si>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</si>
  <si>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</si>
  <si>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</si>
  <si>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</si>
  <si>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</si>
  <si>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</si>
  <si>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</si>
  <si>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</si>
  <si>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</si>
  <si>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</si>
  <si>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</si>
  <si>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</si>
  <si>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</si>
  <si>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</si>
  <si>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</si>
  <si>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</si>
  <si>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</si>
  <si>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</si>
  <si>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</si>
  <si>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</si>
  <si>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</si>
  <si>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</si>
  <si>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</si>
  <si>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</si>
  <si>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</si>
  <si>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</si>
  <si>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</si>
  <si>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</si>
  <si>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</si>
  <si>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</si>
  <si>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</si>
  <si>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</si>
  <si>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</si>
  <si>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</si>
  <si>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</si>
  <si>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</si>
  <si>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</si>
  <si>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</si>
  <si>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</si>
  <si>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</si>
  <si>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</si>
  <si>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</si>
  <si>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</si>
  <si>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</si>
  <si>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</si>
  <si>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</si>
  <si>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</si>
  <si>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</si>
  <si>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</si>
  <si>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</si>
  <si>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</si>
  <si>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</si>
  <si>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</si>
  <si>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</si>
  <si>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</si>
  <si>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</si>
  <si>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</si>
  <si>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</si>
  <si>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</si>
  <si>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</si>
  <si>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</si>
  <si>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</si>
  <si>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</si>
  <si>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</si>
  <si>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</si>
  <si>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</si>
  <si>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</si>
  <si>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</si>
  <si>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</si>
  <si>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</si>
  <si>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</si>
  <si>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</si>
  <si>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</si>
  <si>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</si>
  <si>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</si>
  <si>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</si>
  <si>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</si>
  <si>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</si>
  <si>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</si>
  <si>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</si>
  <si>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</si>
  <si>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</si>
  <si>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</si>
  <si>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</si>
  <si>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</si>
  <si>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</si>
  <si>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</si>
  <si>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</si>
  <si>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</si>
  <si>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</si>
  <si>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</si>
  <si>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</si>
  <si>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</si>
  <si>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</si>
  <si>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</si>
  <si>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</si>
  <si>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</si>
  <si>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</si>
  <si>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</si>
  <si>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</si>
  <si>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</si>
  <si>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</si>
  <si>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</si>
  <si>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</si>
  <si>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</si>
  <si>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</si>
  <si>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</si>
  <si>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</si>
  <si>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</si>
  <si>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</si>
  <si>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</si>
  <si>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</si>
  <si>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</si>
  <si>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</si>
  <si>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</si>
  <si>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</si>
  <si>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</si>
  <si>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</si>
  <si>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</si>
  <si>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</si>
  <si>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</si>
  <si>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</si>
  <si>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</si>
  <si>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</si>
  <si>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</si>
  <si>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</si>
  <si>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</si>
  <si>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</si>
  <si>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</si>
  <si>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</si>
  <si>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</si>
  <si>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</si>
  <si>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</si>
  <si>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</si>
  <si>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</si>
  <si>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</si>
  <si>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</si>
  <si>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</si>
  <si>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</si>
  <si>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</si>
  <si>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</si>
  <si>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</si>
  <si>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</si>
  <si>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</si>
  <si>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</si>
  <si>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</si>
  <si>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</si>
  <si>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</si>
  <si>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</si>
  <si>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</si>
  <si>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</si>
  <si>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</si>
  <si>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</si>
  <si>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</si>
  <si>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</si>
  <si>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</si>
  <si>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</si>
  <si>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</si>
  <si>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</si>
  <si>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</si>
  <si>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</si>
  <si>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</si>
  <si>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</si>
  <si>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</si>
  <si>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</si>
  <si>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</si>
  <si>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</si>
  <si>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</si>
  <si>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</si>
  <si>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</si>
  <si>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</si>
  <si>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</si>
  <si>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</si>
  <si>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</si>
  <si>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</si>
  <si>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</si>
  <si>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</si>
  <si>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</si>
  <si>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</si>
  <si>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</si>
  <si>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</si>
  <si>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</si>
  <si>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</si>
  <si>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</si>
  <si>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</si>
  <si>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</si>
  <si>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</si>
  <si>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</si>
  <si>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</si>
  <si>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</si>
  <si>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</si>
  <si>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</si>
  <si>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</si>
  <si>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</si>
  <si>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</si>
  <si>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</si>
  <si>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</si>
  <si>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</si>
  <si>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</si>
  <si>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</si>
  <si>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</si>
  <si>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</si>
  <si>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</si>
  <si>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</si>
  <si>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</si>
  <si>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</si>
  <si>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</si>
  <si>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</si>
  <si>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</si>
  <si>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</si>
  <si>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</si>
  <si>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</si>
  <si>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</si>
  <si>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</si>
  <si>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</si>
  <si>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</si>
  <si>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</si>
  <si>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</si>
  <si>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</si>
  <si>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</si>
  <si>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</si>
  <si>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</si>
  <si>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</si>
  <si>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</si>
  <si>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</si>
  <si>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</si>
  <si>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</si>
  <si>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</si>
  <si>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</si>
  <si>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</si>
  <si>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</si>
  <si>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</si>
  <si>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</si>
  <si>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</si>
  <si>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</si>
  <si>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</si>
  <si>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</si>
  <si>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</si>
  <si>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</si>
  <si>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</si>
  <si>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</si>
  <si>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</si>
  <si>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</si>
  <si>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</si>
  <si>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</si>
  <si>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</si>
  <si>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</si>
  <si>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</si>
  <si>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</si>
  <si>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</si>
  <si>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</si>
  <si>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</si>
  <si>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</si>
  <si>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</si>
  <si>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</si>
  <si>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</si>
  <si>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</si>
  <si>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</si>
  <si>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</si>
  <si>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</si>
  <si>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</si>
  <si>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</si>
  <si>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</si>
  <si>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</si>
  <si>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</si>
  <si>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</si>
  <si>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</si>
  <si>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</si>
  <si>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</si>
  <si>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</si>
  <si>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</si>
  <si>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</si>
  <si>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</si>
  <si>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</si>
  <si>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</si>
  <si>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</si>
  <si>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</si>
  <si>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</si>
  <si>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</si>
  <si>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</si>
  <si>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</si>
  <si>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</si>
  <si>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</si>
  <si>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</si>
  <si>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</si>
  <si>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</si>
  <si>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</si>
  <si>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</si>
  <si>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</si>
  <si>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</si>
  <si>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</si>
  <si>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</si>
  <si>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</si>
  <si>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</si>
  <si>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</si>
  <si>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</si>
  <si>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</si>
  <si>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</si>
  <si>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</si>
  <si>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</si>
  <si>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</si>
  <si>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</si>
  <si>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</si>
  <si>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</si>
  <si>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</si>
  <si>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</si>
  <si>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</si>
  <si>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</si>
  <si>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</si>
  <si>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</si>
  <si>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</si>
  <si>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</si>
  <si>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</si>
  <si>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</si>
  <si>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</si>
  <si>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</si>
  <si>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</si>
  <si>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</si>
  <si>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</si>
  <si>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</si>
  <si>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</si>
  <si>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</si>
  <si>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</si>
  <si>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</si>
  <si>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</si>
  <si>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</si>
  <si>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</si>
  <si>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</si>
  <si>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</si>
  <si>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</si>
  <si>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</si>
  <si>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</si>
  <si>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</si>
  <si>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</si>
  <si>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</si>
  <si>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</si>
  <si>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</si>
  <si>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</si>
  <si>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</si>
  <si>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</si>
  <si>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</si>
  <si>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</si>
  <si>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</si>
  <si>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</si>
  <si>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</si>
  <si>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</si>
  <si>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</si>
  <si>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</si>
  <si>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</si>
  <si>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</si>
  <si>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</si>
  <si>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</si>
  <si>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</si>
  <si>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</si>
  <si>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</si>
  <si>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</si>
  <si>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</si>
  <si>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</si>
  <si>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</si>
  <si>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</si>
  <si>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</si>
  <si>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</si>
  <si>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</si>
  <si>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</si>
  <si>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</si>
  <si>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</si>
  <si>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</si>
  <si>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</si>
  <si>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</si>
  <si>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</si>
  <si>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</si>
  <si>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</si>
  <si>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</si>
  <si>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</si>
  <si>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</si>
  <si>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</si>
  <si>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</si>
  <si>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</si>
  <si>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</si>
  <si>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</si>
  <si>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</si>
  <si>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</si>
  <si>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</si>
  <si>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</si>
  <si>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</si>
  <si>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</si>
  <si>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</si>
  <si>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</si>
  <si>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</si>
  <si>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</si>
  <si>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</si>
  <si>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</si>
  <si>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</si>
  <si>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</si>
  <si>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</si>
  <si>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</si>
  <si>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</si>
  <si>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</si>
  <si>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</si>
  <si>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</si>
  <si>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</si>
  <si>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</si>
  <si>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</si>
  <si>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</si>
  <si>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</si>
  <si>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</si>
  <si>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</si>
  <si>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</si>
  <si>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</si>
  <si>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</si>
  <si>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</si>
  <si>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</si>
  <si>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</si>
  <si>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</si>
  <si>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</si>
  <si>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</si>
  <si>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</si>
  <si>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</si>
  <si>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</si>
  <si>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</si>
  <si>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</si>
  <si>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</si>
  <si>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</si>
  <si>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</si>
  <si>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</si>
  <si>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</si>
  <si>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</si>
  <si>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</si>
  <si>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</si>
  <si>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</si>
  <si>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</si>
  <si>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</si>
  <si>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</si>
  <si>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</si>
  <si>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</si>
  <si>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</si>
  <si>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</si>
  <si>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</si>
  <si>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</si>
  <si>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</si>
  <si>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</si>
  <si>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</si>
  <si>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</si>
  <si>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</si>
  <si>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</si>
  <si>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</si>
  <si>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</si>
  <si>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</si>
  <si>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</si>
  <si>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</si>
  <si>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</si>
  <si>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</si>
  <si>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</si>
  <si>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</si>
  <si>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</si>
  <si>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</si>
  <si>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</si>
  <si>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</si>
  <si>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</si>
  <si>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</si>
  <si>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</si>
  <si>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</si>
  <si>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</si>
  <si>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</si>
  <si>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</si>
  <si>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</si>
  <si>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</si>
  <si>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</si>
  <si>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</si>
  <si>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</si>
  <si>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</si>
  <si>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</si>
  <si>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</si>
  <si>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</si>
  <si>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</si>
  <si>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</si>
  <si>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</si>
  <si>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</si>
  <si>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</si>
  <si>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</si>
  <si>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</si>
  <si>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</si>
  <si>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</si>
  <si>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</si>
  <si>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</si>
  <si>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</si>
  <si>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</si>
  <si>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</si>
  <si>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</si>
  <si>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</si>
  <si>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</si>
  <si>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</si>
  <si>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</si>
  <si>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</si>
  <si>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</si>
  <si>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</si>
  <si>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</si>
  <si>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</si>
  <si>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</si>
  <si>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</si>
  <si>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</si>
  <si>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</si>
  <si>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</si>
  <si>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</si>
  <si>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</si>
  <si>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</si>
  <si>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</si>
  <si>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</si>
  <si>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</si>
  <si>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</si>
  <si>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</si>
  <si>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</si>
  <si>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</si>
  <si>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</si>
  <si>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</si>
  <si>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</si>
  <si>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</si>
  <si>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</si>
  <si>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</si>
  <si>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</si>
  <si>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</si>
  <si>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</si>
  <si>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</si>
  <si>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</si>
  <si>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</si>
  <si>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</si>
  <si>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</si>
  <si>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</si>
  <si>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</si>
  <si>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</si>
  <si>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</si>
  <si>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</si>
  <si>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</si>
  <si>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</si>
  <si>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</si>
  <si>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</si>
  <si>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</si>
  <si>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</si>
  <si>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</si>
  <si>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</si>
  <si>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</si>
  <si>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</si>
  <si>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</si>
  <si>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</si>
  <si>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</si>
  <si>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</si>
  <si>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</si>
  <si>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</si>
  <si>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</si>
  <si>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</si>
  <si>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</si>
  <si>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</si>
  <si>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</si>
  <si>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</si>
  <si>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</si>
  <si>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</si>
  <si>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</si>
  <si>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</si>
  <si>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</si>
  <si>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</si>
  <si>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</si>
  <si>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</si>
  <si>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</si>
  <si>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</si>
  <si>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</si>
  <si>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</si>
  <si>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</si>
  <si>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</si>
  <si>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</si>
  <si>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</si>
  <si>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</si>
  <si>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</si>
  <si>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</si>
  <si>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</si>
  <si>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</si>
  <si>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</si>
  <si>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</si>
  <si>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</si>
  <si>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</si>
  <si>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</si>
  <si>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</si>
  <si>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</si>
  <si>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</si>
  <si>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</si>
  <si>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</si>
  <si>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</si>
  <si>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</si>
  <si>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</si>
  <si>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</si>
  <si>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</si>
  <si>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</si>
  <si>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</si>
  <si>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</si>
  <si>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</si>
  <si>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</si>
  <si>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</si>
  <si>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</si>
  <si>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</si>
  <si>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</si>
  <si>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</si>
  <si>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</si>
  <si>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</si>
  <si>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</si>
  <si>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</si>
  <si>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</si>
  <si>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</si>
  <si>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</si>
  <si>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</si>
  <si>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</si>
  <si>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</si>
  <si>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</si>
  <si>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</si>
  <si>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</si>
  <si>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</si>
  <si>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</si>
  <si>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</si>
  <si>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</si>
  <si>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</si>
  <si>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</si>
  <si>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</si>
  <si>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</si>
  <si>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</si>
  <si>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</si>
  <si>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</si>
  <si>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</si>
  <si>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</si>
  <si>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</si>
  <si>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</si>
  <si>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</si>
  <si>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</si>
  <si>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</si>
  <si>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</si>
  <si>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</si>
  <si>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</si>
  <si>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</si>
  <si>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</si>
  <si>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</si>
  <si>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</si>
  <si>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</si>
  <si>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</si>
  <si>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</si>
  <si>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</si>
  <si>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</si>
  <si>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</si>
  <si>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</si>
  <si>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</si>
  <si>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</si>
  <si>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</si>
  <si>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</si>
  <si>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</si>
  <si>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</si>
  <si>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</si>
  <si>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</si>
  <si>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</si>
  <si>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</si>
  <si>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</si>
  <si>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</si>
  <si>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</si>
  <si>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</si>
  <si>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</si>
  <si>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</si>
  <si>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</si>
  <si>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</si>
  <si>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</si>
  <si>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</si>
  <si>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</si>
  <si>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</si>
  <si>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</si>
  <si>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</si>
  <si>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</si>
  <si>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</si>
  <si>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</si>
  <si>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</si>
  <si>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</si>
  <si>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</si>
  <si>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</si>
  <si>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</si>
  <si>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</si>
  <si>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</si>
  <si>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</si>
  <si>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</si>
  <si>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</si>
  <si>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</si>
  <si>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</si>
  <si>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</si>
  <si>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</si>
  <si>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</si>
  <si>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</si>
  <si>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</si>
  <si>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</si>
  <si>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</si>
  <si>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</si>
  <si>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</si>
  <si>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</si>
  <si>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</si>
  <si>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</si>
  <si>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</si>
  <si>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</si>
  <si>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</si>
  <si>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</si>
  <si>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</si>
  <si>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</si>
  <si>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</si>
  <si>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</si>
  <si>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</si>
  <si>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</si>
  <si>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</si>
  <si>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</si>
  <si>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</si>
  <si>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</si>
  <si>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</si>
  <si>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</si>
  <si>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</si>
  <si>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</si>
  <si>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</si>
  <si>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</si>
  <si>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</si>
  <si>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</si>
  <si>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</si>
  <si>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</si>
  <si>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</si>
  <si>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</si>
  <si>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</si>
  <si>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</si>
  <si>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</si>
  <si>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</si>
  <si>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</si>
  <si>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</si>
  <si>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</si>
  <si>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</si>
  <si>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</si>
  <si>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</si>
  <si>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</si>
  <si>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</si>
  <si>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</si>
  <si>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</si>
  <si>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</si>
  <si>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</si>
  <si>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</si>
  <si>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</si>
  <si>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</si>
  <si>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</si>
  <si>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</si>
  <si>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</si>
  <si>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</si>
  <si>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</si>
  <si>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</si>
  <si>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</si>
  <si>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</si>
  <si>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</si>
  <si>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</si>
  <si>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</si>
  <si>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</si>
  <si>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</si>
  <si>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</si>
  <si>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</si>
  <si>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</si>
  <si>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</si>
  <si>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</si>
  <si>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</si>
  <si>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</si>
  <si>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</si>
  <si>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</si>
  <si>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</si>
  <si>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</si>
  <si>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</si>
  <si>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</si>
  <si>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</si>
  <si>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</si>
  <si>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</si>
  <si>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</si>
  <si>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</si>
  <si>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</si>
  <si>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</si>
  <si>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</si>
  <si>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</si>
  <si>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</si>
  <si>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</si>
  <si>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</si>
  <si>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</si>
  <si>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</si>
  <si>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</si>
  <si>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</si>
  <si>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</si>
  <si>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</si>
  <si>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</si>
  <si>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</si>
  <si>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</si>
  <si>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</si>
  <si>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</si>
  <si>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</si>
  <si>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</si>
  <si>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</si>
  <si>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</si>
  <si>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</si>
  <si>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</si>
  <si>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</si>
  <si>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</si>
  <si>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</si>
  <si>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</si>
  <si>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</si>
  <si>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</si>
  <si>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</si>
  <si>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</si>
  <si>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</si>
  <si>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</si>
  <si>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</si>
  <si>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</si>
  <si>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</si>
  <si>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</si>
  <si>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</si>
  <si>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</si>
  <si>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</si>
  <si>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</si>
  <si>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</si>
  <si>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</si>
  <si>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</si>
  <si>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</si>
  <si>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</si>
  <si>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</si>
  <si>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</si>
  <si>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</si>
  <si>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</si>
  <si>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</si>
  <si>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</si>
  <si>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</si>
  <si>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</si>
  <si>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</si>
  <si>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</si>
  <si>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</si>
  <si>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</si>
  <si>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</si>
  <si>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</si>
  <si>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</si>
  <si>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</si>
  <si>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</si>
  <si>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</si>
  <si>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</si>
  <si>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</si>
  <si>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</si>
  <si>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</si>
  <si>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</si>
  <si>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</si>
  <si>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</si>
  <si>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</si>
  <si>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</si>
  <si>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</si>
  <si>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</si>
  <si>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</si>
  <si>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</si>
  <si>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</si>
  <si>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</si>
  <si>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</si>
  <si>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</si>
  <si>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</si>
  <si>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</si>
  <si>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</si>
  <si>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</si>
  <si>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</si>
  <si>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</si>
  <si>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</si>
  <si>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</si>
  <si>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</si>
  <si>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</si>
  <si>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</si>
  <si>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</si>
  <si>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</si>
  <si>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</si>
  <si>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</si>
  <si>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</si>
  <si>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</si>
  <si>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</si>
  <si>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</si>
  <si>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</si>
  <si>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</si>
  <si>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</si>
  <si>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</si>
  <si>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</si>
  <si>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</si>
  <si>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</si>
  <si>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</si>
  <si>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</si>
  <si>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</si>
  <si>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</si>
  <si>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</si>
  <si>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</si>
  <si>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</si>
  <si>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</si>
  <si>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</si>
  <si>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</si>
  <si>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</si>
  <si>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</si>
  <si>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</si>
  <si>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</si>
  <si>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</si>
  <si>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</si>
  <si>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</si>
  <si>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</si>
  <si>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</si>
  <si>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</si>
  <si>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</si>
  <si>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</si>
  <si>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</si>
  <si>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</si>
  <si>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</si>
  <si>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</si>
  <si>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</si>
  <si>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</si>
  <si>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</si>
  <si>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</si>
  <si>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</si>
  <si>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</si>
  <si>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</si>
  <si>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</si>
  <si>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</si>
  <si>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</si>
  <si>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</si>
  <si>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</si>
  <si>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</si>
  <si>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</si>
  <si>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</si>
  <si>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</si>
  <si>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</si>
  <si>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</si>
  <si>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</si>
  <si>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</si>
  <si>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</si>
  <si>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</si>
  <si>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</si>
  <si>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</si>
  <si>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</si>
  <si>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</si>
  <si>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</si>
  <si>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</si>
  <si>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</si>
  <si>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</si>
  <si>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</si>
  <si>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</si>
  <si>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</si>
  <si>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</si>
  <si>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</si>
  <si>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</si>
  <si>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</si>
  <si>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</si>
  <si>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</si>
  <si>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</si>
  <si>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</si>
  <si>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</si>
  <si>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</si>
  <si>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</si>
  <si>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</si>
  <si>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</si>
  <si>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</si>
  <si>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</si>
  <si>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</si>
  <si>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</si>
  <si>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</si>
  <si>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</si>
  <si>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</si>
  <si>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</si>
  <si>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</si>
  <si>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</si>
  <si>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</si>
  <si>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</si>
  <si>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</si>
  <si>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</si>
  <si>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</si>
  <si>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</si>
  <si>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</si>
  <si>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</si>
  <si>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</si>
  <si>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</si>
  <si>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</si>
  <si>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</si>
  <si>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</si>
  <si>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</si>
  <si>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</si>
  <si>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</si>
  <si>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</si>
  <si>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</si>
  <si>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</si>
  <si>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</si>
  <si>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</si>
  <si>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</si>
  <si>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</si>
  <si>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</si>
  <si>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</si>
  <si>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</si>
  <si>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</si>
  <si>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</si>
  <si>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</si>
  <si>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</si>
  <si>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</si>
  <si>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</si>
  <si>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</si>
  <si>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</si>
  <si>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</si>
  <si>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</si>
  <si>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</si>
  <si>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</si>
  <si>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</si>
  <si>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</si>
  <si>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</si>
  <si>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</si>
  <si>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</si>
  <si>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</si>
  <si>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</si>
  <si>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</si>
  <si>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</si>
  <si>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</si>
  <si>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</si>
  <si>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</si>
  <si>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</si>
  <si>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</si>
  <si>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</si>
  <si>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</si>
  <si>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</si>
  <si>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</si>
  <si>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</si>
  <si>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</si>
  <si>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</si>
  <si>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</si>
  <si>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</si>
  <si>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</si>
  <si>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</si>
  <si>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</si>
  <si>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</si>
  <si>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</si>
  <si>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</si>
  <si>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</si>
  <si>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</si>
  <si>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</si>
  <si>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</si>
  <si>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</si>
  <si>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</si>
  <si>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</si>
  <si>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</si>
  <si>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</si>
  <si>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</si>
  <si>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</si>
  <si>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</si>
  <si>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</si>
  <si>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</si>
  <si>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</si>
  <si>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</si>
  <si>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</si>
  <si>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</si>
  <si>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</si>
  <si>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</si>
  <si>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</si>
  <si>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</si>
  <si>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</si>
  <si>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</si>
  <si>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</si>
  <si>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</si>
  <si>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</si>
  <si>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</si>
  <si>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</si>
  <si>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</si>
  <si>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</si>
  <si>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</si>
  <si>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</si>
  <si>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</si>
  <si>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</si>
  <si>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</si>
  <si>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</si>
  <si>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</si>
  <si>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</si>
  <si>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</si>
  <si>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</si>
  <si>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</si>
  <si>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</si>
  <si>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</si>
  <si>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</si>
  <si>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</si>
  <si>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</si>
  <si>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</si>
  <si>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</si>
  <si>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</si>
  <si>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</si>
  <si>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</si>
  <si>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</si>
  <si>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</si>
  <si>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</si>
  <si>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</si>
  <si>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</si>
  <si>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</si>
  <si>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</si>
  <si>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</si>
  <si>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</si>
  <si>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</si>
  <si>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</si>
  <si>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</si>
  <si>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</si>
  <si>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</si>
  <si>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</si>
  <si>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</si>
  <si>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</si>
  <si>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</si>
  <si>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</si>
  <si>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</si>
  <si>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</si>
  <si>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</si>
  <si>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</si>
  <si>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</si>
  <si>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</si>
  <si>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</si>
  <si>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</si>
  <si>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</si>
  <si>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</si>
  <si>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</si>
  <si>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</si>
  <si>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</si>
  <si>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</si>
  <si>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</si>
  <si>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</si>
  <si>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</si>
  <si>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</si>
  <si>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</si>
  <si>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</si>
  <si>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</si>
  <si>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</si>
  <si>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</si>
  <si>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</si>
  <si>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</si>
  <si>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</si>
  <si>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</si>
  <si>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</si>
  <si>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</si>
  <si>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</si>
  <si>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</si>
  <si>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</si>
  <si>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</si>
  <si>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</si>
  <si>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</si>
  <si>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</si>
  <si>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</si>
  <si>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</si>
  <si>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</si>
  <si>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</si>
  <si>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</si>
  <si>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</si>
  <si>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</si>
  <si>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</si>
  <si>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</si>
  <si>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</si>
  <si>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</si>
  <si>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</si>
  <si>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</si>
  <si>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</si>
  <si>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</si>
  <si>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</si>
  <si>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</si>
  <si>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</si>
  <si>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</si>
  <si>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</si>
  <si>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</si>
  <si>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</si>
  <si>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</si>
  <si>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</si>
  <si>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</si>
  <si>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</si>
  <si>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</si>
  <si>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</si>
  <si>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</si>
  <si>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</si>
  <si>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</si>
  <si>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</si>
  <si>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</si>
  <si>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</si>
  <si>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</si>
  <si>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</si>
  <si>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</si>
  <si>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</si>
  <si>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</si>
  <si>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</si>
  <si>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</si>
  <si>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</si>
  <si>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</si>
  <si>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</si>
  <si>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</si>
  <si>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</si>
  <si>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</si>
  <si>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</si>
  <si>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</si>
  <si>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</si>
  <si>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</si>
  <si>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</si>
  <si>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</si>
  <si>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</si>
  <si>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</si>
  <si>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</si>
  <si>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</si>
  <si>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</si>
  <si>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</si>
  <si>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</si>
  <si>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</si>
  <si>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</si>
  <si>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</si>
  <si>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</si>
  <si>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</si>
  <si>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</si>
  <si>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</si>
  <si>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</si>
  <si>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</si>
  <si>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</si>
  <si>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</si>
  <si>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</si>
  <si>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</si>
  <si>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</si>
  <si>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</si>
  <si>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</si>
  <si>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</si>
  <si>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</si>
  <si>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</si>
  <si>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</si>
  <si>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</si>
  <si>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</si>
  <si>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</si>
  <si>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</si>
  <si>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</si>
  <si>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</si>
  <si>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</si>
  <si>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</si>
  <si>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</si>
  <si>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</si>
  <si>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</si>
  <si>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</si>
  <si>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</si>
  <si>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</si>
  <si>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</si>
  <si>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</si>
  <si>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</si>
  <si>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</si>
  <si>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</si>
  <si>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</si>
  <si>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</si>
  <si>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</si>
  <si>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</si>
  <si>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</si>
  <si>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</si>
  <si>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</si>
  <si>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</si>
  <si>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</si>
  <si>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</si>
  <si>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</si>
  <si>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</si>
  <si>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</si>
  <si>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</si>
  <si>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</si>
  <si>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</si>
  <si>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</si>
  <si>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</si>
  <si>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</si>
  <si>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</si>
  <si>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</si>
  <si>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</si>
  <si>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</si>
  <si>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</si>
  <si>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</si>
  <si>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</si>
  <si>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</si>
  <si>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</si>
  <si>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</si>
  <si>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</si>
  <si>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</si>
  <si>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</si>
  <si>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</si>
  <si>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</si>
  <si>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</si>
  <si>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</si>
  <si>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</si>
  <si>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</si>
  <si>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</si>
  <si>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</si>
  <si>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</si>
  <si>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</si>
  <si>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</si>
  <si>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</si>
  <si>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</si>
  <si>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</si>
  <si>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</si>
  <si>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</si>
  <si>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</si>
  <si>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</si>
  <si>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</si>
  <si>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</si>
  <si>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</si>
  <si>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</si>
  <si>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</si>
  <si>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</si>
  <si>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</si>
  <si>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</si>
  <si>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</si>
  <si>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</si>
  <si>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</si>
  <si>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</si>
  <si>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</si>
  <si>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</si>
  <si>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</si>
  <si>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</si>
  <si>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</si>
  <si>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</si>
  <si>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</si>
  <si>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</si>
  <si>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</si>
  <si>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</si>
  <si>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</si>
  <si>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</si>
  <si>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</si>
  <si>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</si>
  <si>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</si>
  <si>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</si>
  <si>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</si>
  <si>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</si>
  <si>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</si>
  <si>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</si>
  <si>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</si>
  <si>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</si>
  <si>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</si>
  <si>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</si>
  <si>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</si>
  <si>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</si>
  <si>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</si>
  <si>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</si>
  <si>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</si>
  <si>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</si>
  <si>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</si>
  <si>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</si>
  <si>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</si>
  <si>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</si>
  <si>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</si>
  <si>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</si>
  <si>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</si>
  <si>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</si>
  <si>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</si>
  <si>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</si>
  <si>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</si>
  <si>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</si>
  <si>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</si>
  <si>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</si>
  <si>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</si>
  <si>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</si>
  <si>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</si>
  <si>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</si>
  <si>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</si>
  <si>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</si>
  <si>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</si>
  <si>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</si>
  <si>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</si>
  <si>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</si>
  <si>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</si>
  <si>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</si>
  <si>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</si>
  <si>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</si>
  <si>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</si>
  <si>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</si>
  <si>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</si>
  <si>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</si>
  <si>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</si>
  <si>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</si>
  <si>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</si>
  <si>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</si>
  <si>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</si>
  <si>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</si>
  <si>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</si>
  <si>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</si>
  <si>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</si>
  <si>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</si>
  <si>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</si>
  <si>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</si>
  <si>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</si>
  <si>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</si>
  <si>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</si>
  <si>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</si>
  <si>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</si>
  <si>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</si>
  <si>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</si>
  <si>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</si>
  <si>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</si>
  <si>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</si>
  <si>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</si>
  <si>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</si>
  <si>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</si>
  <si>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</si>
  <si>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</si>
  <si>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</si>
  <si>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</si>
  <si>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</si>
  <si>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</si>
  <si>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NL/N</t>
  </si>
  <si>
    <t>Quý I</t>
  </si>
  <si>
    <t>Chi Cục Thuế Bình Chánh</t>
  </si>
  <si>
    <t>Thuế GTGT phải nộp</t>
  </si>
  <si>
    <t>KC hết nợ</t>
  </si>
  <si>
    <t>Mượn vốn</t>
  </si>
  <si>
    <t>Trả vốn mượn</t>
  </si>
  <si>
    <t>0000371;0000372</t>
  </si>
  <si>
    <t>0000264;0000267;0000336;0000352;0000407</t>
  </si>
  <si>
    <t>0000368;0000401</t>
  </si>
  <si>
    <t>0000300;0000343</t>
  </si>
  <si>
    <t>0000399;0000469;0000472</t>
  </si>
  <si>
    <t>0000346;0000369</t>
  </si>
  <si>
    <t>0000269;0000284;0000327;0000384</t>
  </si>
  <si>
    <t>0000493;0000028</t>
  </si>
  <si>
    <t>0000263;0000312;0000316</t>
  </si>
  <si>
    <t>0000342;0000379;0000380</t>
  </si>
  <si>
    <t>0000422;0000454;0000466</t>
  </si>
  <si>
    <t>0000022;0000048;0000053;0000058</t>
  </si>
  <si>
    <t>0000249;0000280</t>
  </si>
  <si>
    <t>0000288;0000297;0000305;0000313</t>
  </si>
  <si>
    <t>0000320;0000333;0000340;0000349;0000363</t>
  </si>
  <si>
    <t>0000387;0000393;0000428</t>
  </si>
  <si>
    <t>0000439;0000446;0000458;0000480;0000010;0000017</t>
  </si>
  <si>
    <t>0000031;0000051</t>
  </si>
  <si>
    <t>0000285;0000308;0000311</t>
  </si>
  <si>
    <t>0000332;0000339;0000355;0000364</t>
  </si>
  <si>
    <t>0000383;0000395</t>
  </si>
  <si>
    <t>0000417;0000431</t>
  </si>
  <si>
    <t>0000444;0000452;0000459;0000477</t>
  </si>
  <si>
    <t>0000494;0000498;0000007;0000009</t>
  </si>
  <si>
    <t>0000021;0000056</t>
  </si>
  <si>
    <t>0000323;0000324;0000325</t>
  </si>
  <si>
    <t>0000338;0000341</t>
  </si>
  <si>
    <t>0000360;0000366</t>
  </si>
  <si>
    <t>0000378;0000381</t>
  </si>
  <si>
    <t>0000402;0000403;0000412</t>
  </si>
  <si>
    <t>0000421;0000423;0000429</t>
  </si>
  <si>
    <t>0000455;0000457</t>
  </si>
  <si>
    <t>0000465;0000470</t>
  </si>
  <si>
    <t>0000488;0000496;0000497;0000003</t>
  </si>
  <si>
    <t>0000004;0000006</t>
  </si>
  <si>
    <t>0000023;0000027;0000029</t>
  </si>
  <si>
    <t>0000033;0000036;0000047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</si>
</sst>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4" fontId="96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J48" sqref="J48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5.7109375" style="161" customWidth="1"/>
    <col min="5" max="6" width="14.7109375" style="629" customWidth="1"/>
    <col min="7" max="7" width="1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397</v>
      </c>
      <c r="E6" s="630"/>
      <c r="F6" s="630"/>
      <c r="G6" s="630"/>
      <c r="H6" s="630"/>
    </row>
    <row r="7" spans="1:16" ht="6.75" customHeight="1"/>
    <row r="8" spans="1:16" ht="21.75" customHeight="1">
      <c r="A8" s="937" t="s">
        <v>393</v>
      </c>
      <c r="B8" s="937" t="s">
        <v>352</v>
      </c>
      <c r="C8" s="933" t="s">
        <v>37</v>
      </c>
      <c r="D8" s="934"/>
      <c r="E8" s="933" t="s">
        <v>38</v>
      </c>
      <c r="F8" s="934"/>
      <c r="G8" s="933" t="s">
        <v>353</v>
      </c>
      <c r="H8" s="934"/>
    </row>
    <row r="9" spans="1:16" ht="21.75" customHeight="1">
      <c r="A9" s="938"/>
      <c r="B9" s="938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1" customFormat="1" ht="17.25" customHeight="1">
      <c r="A10" s="633" t="s">
        <v>47</v>
      </c>
      <c r="B10" s="634" t="s">
        <v>48</v>
      </c>
      <c r="C10" s="635">
        <v>2384365828</v>
      </c>
      <c r="D10" s="635"/>
      <c r="E10" s="635">
        <f t="array" ref="E10">SUM(IF(A10=KHN,TH))</f>
        <v>4368477675</v>
      </c>
      <c r="F10" s="635">
        <f t="array" ref="F10">SUM(IF(A10=KHC,TH))</f>
        <v>3716378737</v>
      </c>
      <c r="G10" s="636">
        <f>MAX(C10+E10-D10-F10,0)</f>
        <v>3036464766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1" customFormat="1" ht="17.25" customHeight="1">
      <c r="A11" s="638" t="s">
        <v>16</v>
      </c>
      <c r="B11" s="638" t="s">
        <v>49</v>
      </c>
      <c r="C11" s="639">
        <f t="shared" ref="C11:H11" si="0">C10</f>
        <v>2384365828</v>
      </c>
      <c r="D11" s="639">
        <f t="shared" si="0"/>
        <v>0</v>
      </c>
      <c r="E11" s="639">
        <f t="shared" si="0"/>
        <v>4368477675</v>
      </c>
      <c r="F11" s="639">
        <f t="shared" si="0"/>
        <v>3716378737</v>
      </c>
      <c r="G11" s="639">
        <f t="shared" si="0"/>
        <v>3036464766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1" customFormat="1" ht="17.25" customHeight="1">
      <c r="A12" s="634" t="s">
        <v>24</v>
      </c>
      <c r="B12" s="634" t="s">
        <v>50</v>
      </c>
      <c r="C12" s="635">
        <v>21469174</v>
      </c>
      <c r="D12" s="635">
        <v>0</v>
      </c>
      <c r="E12" s="635">
        <f t="array" ref="E12">SUM(IF(A12=KHN,TH))</f>
        <v>5336683169</v>
      </c>
      <c r="F12" s="635">
        <f t="array" ref="F12">SUM(IF(A12=KHC,TH))</f>
        <v>5340045225</v>
      </c>
      <c r="G12" s="636">
        <f>MAX(C12+E12-D12-F12,0)</f>
        <v>18107118</v>
      </c>
      <c r="H12" s="636">
        <f>MAX(D12+F12-E12-C12,0)</f>
        <v>0</v>
      </c>
      <c r="K12" s="637"/>
      <c r="L12" s="637"/>
      <c r="M12" s="637"/>
    </row>
    <row r="13" spans="1:16" s="161" customFormat="1" ht="17.25" customHeight="1">
      <c r="A13" s="638" t="s">
        <v>51</v>
      </c>
      <c r="B13" s="638" t="s">
        <v>52</v>
      </c>
      <c r="C13" s="639">
        <f t="shared" ref="C13:H13" si="1">C12</f>
        <v>21469174</v>
      </c>
      <c r="D13" s="639">
        <f t="shared" si="1"/>
        <v>0</v>
      </c>
      <c r="E13" s="639">
        <f t="shared" si="1"/>
        <v>5336683169</v>
      </c>
      <c r="F13" s="639">
        <f t="shared" si="1"/>
        <v>5340045225</v>
      </c>
      <c r="G13" s="639">
        <f t="shared" si="1"/>
        <v>18107118</v>
      </c>
      <c r="H13" s="639">
        <f t="shared" si="1"/>
        <v>0</v>
      </c>
    </row>
    <row r="14" spans="1:16" s="161" customFormat="1" ht="17.25" customHeight="1">
      <c r="A14" s="638" t="s">
        <v>259</v>
      </c>
      <c r="B14" s="638" t="s">
        <v>271</v>
      </c>
      <c r="C14" s="639">
        <v>217375604</v>
      </c>
      <c r="D14" s="639"/>
      <c r="E14" s="640">
        <f t="array" ref="E14">SUM(IF(A14=KHN,TH))</f>
        <v>4531638741</v>
      </c>
      <c r="F14" s="640">
        <f t="array" ref="F14">SUM(IF(A14=KHC,TH))</f>
        <v>3541515404</v>
      </c>
      <c r="G14" s="639">
        <f>MAX(C14+E14-D14-F14,0)</f>
        <v>1207498941</v>
      </c>
      <c r="H14" s="639">
        <f>MAX(D14+F14-E14-C14,0)</f>
        <v>0</v>
      </c>
    </row>
    <row r="15" spans="1:16" s="161" customFormat="1" ht="17.25" customHeight="1">
      <c r="A15" s="634" t="s">
        <v>9</v>
      </c>
      <c r="B15" s="634" t="s">
        <v>53</v>
      </c>
      <c r="C15" s="635">
        <v>33677130</v>
      </c>
      <c r="D15" s="635"/>
      <c r="E15" s="635">
        <f t="array" ref="E15">SUM(IF(A15=KHN,TH))</f>
        <v>378289968</v>
      </c>
      <c r="F15" s="635">
        <f t="array" ref="F15">SUM(IF(A15=KHC,TH))</f>
        <v>411967098</v>
      </c>
      <c r="G15" s="636">
        <f>MAX(C15+E15-D15-F15,0)</f>
        <v>0</v>
      </c>
      <c r="H15" s="636">
        <f>MAX(D15+F15-E15-C15,0)</f>
        <v>0</v>
      </c>
    </row>
    <row r="16" spans="1:16" s="161" customFormat="1" ht="17.25" customHeight="1">
      <c r="A16" s="638" t="s">
        <v>54</v>
      </c>
      <c r="B16" s="638" t="s">
        <v>55</v>
      </c>
      <c r="C16" s="639">
        <f t="shared" ref="C16:H16" si="2">C15</f>
        <v>33677130</v>
      </c>
      <c r="D16" s="639">
        <f t="shared" si="2"/>
        <v>0</v>
      </c>
      <c r="E16" s="639">
        <f t="shared" si="2"/>
        <v>378289968</v>
      </c>
      <c r="F16" s="639">
        <f t="shared" si="2"/>
        <v>411967098</v>
      </c>
      <c r="G16" s="639">
        <f t="shared" si="2"/>
        <v>0</v>
      </c>
      <c r="H16" s="639">
        <f t="shared" si="2"/>
        <v>0</v>
      </c>
    </row>
    <row r="17" spans="1:8" s="161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21000000</v>
      </c>
      <c r="F17" s="635">
        <f t="array" ref="F17">SUM(IF(A17=KHC,TH))</f>
        <v>21000000</v>
      </c>
      <c r="G17" s="636">
        <f t="shared" ref="G17:G32" si="3">MAX(C17+E17-D17-F17,0)</f>
        <v>0</v>
      </c>
      <c r="H17" s="636">
        <f t="shared" ref="H17:H32" si="4">MAX(D17+F17-E17-C17,0)</f>
        <v>0</v>
      </c>
    </row>
    <row r="18" spans="1:8" s="161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21000000</v>
      </c>
      <c r="F18" s="639">
        <f>F17</f>
        <v>21000000</v>
      </c>
      <c r="G18" s="639">
        <f t="shared" si="3"/>
        <v>0</v>
      </c>
      <c r="H18" s="639">
        <f t="shared" si="4"/>
        <v>0</v>
      </c>
    </row>
    <row r="19" spans="1:8" s="161" customFormat="1" ht="17.25" customHeight="1">
      <c r="A19" s="634" t="s">
        <v>159</v>
      </c>
      <c r="B19" s="634" t="s">
        <v>160</v>
      </c>
      <c r="C19" s="635">
        <v>883626200</v>
      </c>
      <c r="D19" s="635"/>
      <c r="E19" s="635">
        <f t="array" ref="E19">SUM(IF(A19=KHN,TH))</f>
        <v>2754882000</v>
      </c>
      <c r="F19" s="635">
        <f t="array" ref="F19">SUM(IF(A19=KHC,TH))</f>
        <v>3030002900</v>
      </c>
      <c r="G19" s="636">
        <f t="shared" si="3"/>
        <v>608505300</v>
      </c>
      <c r="H19" s="636">
        <f t="shared" si="4"/>
        <v>0</v>
      </c>
    </row>
    <row r="20" spans="1:8" s="161" customFormat="1" ht="17.25" customHeight="1">
      <c r="A20" s="634" t="s">
        <v>161</v>
      </c>
      <c r="B20" s="634" t="s">
        <v>162</v>
      </c>
      <c r="C20" s="635">
        <v>70000000</v>
      </c>
      <c r="D20" s="635"/>
      <c r="E20" s="635">
        <f t="array" ref="E20">SUM(IF(A20=KHN,TH))</f>
        <v>53350400</v>
      </c>
      <c r="F20" s="635">
        <f t="array" ref="F20">SUM(IF(A20=KHC,TH))</f>
        <v>123350400</v>
      </c>
      <c r="G20" s="635">
        <f t="shared" si="3"/>
        <v>0</v>
      </c>
      <c r="H20" s="635">
        <f t="shared" si="4"/>
        <v>0</v>
      </c>
    </row>
    <row r="21" spans="1:8" s="161" customFormat="1" ht="17.25" customHeight="1">
      <c r="A21" s="638" t="s">
        <v>163</v>
      </c>
      <c r="B21" s="638" t="s">
        <v>164</v>
      </c>
      <c r="C21" s="639">
        <f>C19+C20</f>
        <v>953626200</v>
      </c>
      <c r="D21" s="639">
        <f>D19+D20</f>
        <v>0</v>
      </c>
      <c r="E21" s="639">
        <f>E19+E20</f>
        <v>2808232400</v>
      </c>
      <c r="F21" s="639">
        <f>F19+F20</f>
        <v>3153353300</v>
      </c>
      <c r="G21" s="639">
        <f t="shared" si="3"/>
        <v>608505300</v>
      </c>
      <c r="H21" s="639">
        <f t="shared" si="4"/>
        <v>0</v>
      </c>
    </row>
    <row r="22" spans="1:8" s="161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3735663300</v>
      </c>
      <c r="F22" s="640">
        <f t="array" ref="F22">SUM(IF(A22=KHC,TH))</f>
        <v>3735663300</v>
      </c>
      <c r="G22" s="639">
        <f t="shared" si="3"/>
        <v>0</v>
      </c>
      <c r="H22" s="639">
        <f t="shared" si="4"/>
        <v>0</v>
      </c>
    </row>
    <row r="23" spans="1:8" s="161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3735663300</v>
      </c>
      <c r="F23" s="640">
        <f t="array" ref="F23">SUM(IF(A23=KHC,TH))</f>
        <v>3735663300</v>
      </c>
      <c r="G23" s="639">
        <f t="shared" si="3"/>
        <v>0</v>
      </c>
      <c r="H23" s="639">
        <f t="shared" si="4"/>
        <v>0</v>
      </c>
    </row>
    <row r="24" spans="1:8" s="161" customFormat="1" ht="17.25" customHeight="1">
      <c r="A24" s="641" t="s">
        <v>169</v>
      </c>
      <c r="B24" s="642" t="s">
        <v>1847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0</v>
      </c>
      <c r="G24" s="643">
        <f t="shared" si="3"/>
        <v>1365000000</v>
      </c>
      <c r="H24" s="643">
        <f t="shared" si="4"/>
        <v>0</v>
      </c>
    </row>
    <row r="25" spans="1:8" s="161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0</v>
      </c>
      <c r="G25" s="639">
        <f t="shared" si="5"/>
        <v>1365000000</v>
      </c>
      <c r="H25" s="639">
        <f t="shared" si="5"/>
        <v>0</v>
      </c>
    </row>
    <row r="26" spans="1:8" s="161" customFormat="1" ht="17.25" customHeight="1">
      <c r="A26" s="634" t="s">
        <v>260</v>
      </c>
      <c r="B26" s="634" t="s">
        <v>268</v>
      </c>
      <c r="C26" s="635"/>
      <c r="D26" s="635">
        <v>281250000</v>
      </c>
      <c r="E26" s="635">
        <f t="array" ref="E26">SUM(IF(A26=KHN,TH))</f>
        <v>0</v>
      </c>
      <c r="F26" s="635">
        <f t="array" ref="F26">SUM(IF(A26=KHC,TH))</f>
        <v>123000000</v>
      </c>
      <c r="G26" s="635">
        <f>MAX(C26+E26-D26-F26,0)</f>
        <v>0</v>
      </c>
      <c r="H26" s="635">
        <f>MAX(D26+F26-E26-C26,0)</f>
        <v>404250000</v>
      </c>
    </row>
    <row r="27" spans="1:8" s="161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281250000</v>
      </c>
      <c r="E27" s="639">
        <f t="shared" si="6"/>
        <v>0</v>
      </c>
      <c r="F27" s="639">
        <f t="shared" si="6"/>
        <v>123000000</v>
      </c>
      <c r="G27" s="639">
        <f t="shared" si="6"/>
        <v>0</v>
      </c>
      <c r="H27" s="639">
        <f t="shared" si="6"/>
        <v>404250000</v>
      </c>
    </row>
    <row r="28" spans="1:8" s="161" customFormat="1" ht="17.25" customHeight="1">
      <c r="A28" s="638" t="s">
        <v>8</v>
      </c>
      <c r="B28" s="638" t="s">
        <v>60</v>
      </c>
      <c r="C28" s="639"/>
      <c r="D28" s="639">
        <v>1287610148</v>
      </c>
      <c r="E28" s="640">
        <f t="array" ref="E28">SUM(IF(A28=KHN,TH))</f>
        <v>2444845648</v>
      </c>
      <c r="F28" s="640">
        <f t="array" ref="F28">SUM(IF(A28=KHC,TH))</f>
        <v>3088806640</v>
      </c>
      <c r="G28" s="639">
        <f t="shared" si="3"/>
        <v>0</v>
      </c>
      <c r="H28" s="639">
        <f t="shared" si="4"/>
        <v>1931571140</v>
      </c>
    </row>
    <row r="29" spans="1:8" s="161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411967098</v>
      </c>
      <c r="F29" s="635">
        <f t="array" ref="F29">SUM(IF(A29=KHC,TH))</f>
        <v>411967098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1" customFormat="1" ht="17.25" customHeight="1">
      <c r="A30" s="634" t="s">
        <v>61</v>
      </c>
      <c r="B30" s="634" t="s">
        <v>62</v>
      </c>
      <c r="C30" s="635"/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0</v>
      </c>
      <c r="H30" s="635">
        <f t="shared" si="4"/>
        <v>0</v>
      </c>
    </row>
    <row r="31" spans="1:8" s="161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1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2" s="161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2" s="161" customFormat="1" ht="17.25" customHeight="1">
      <c r="A34" s="638" t="s">
        <v>66</v>
      </c>
      <c r="B34" s="638" t="s">
        <v>67</v>
      </c>
      <c r="C34" s="639">
        <f>C30+C33+C31+C29</f>
        <v>0</v>
      </c>
      <c r="D34" s="639">
        <f t="shared" ref="D34:H34" si="10">D30+D33+D31+D29</f>
        <v>0</v>
      </c>
      <c r="E34" s="639">
        <f t="shared" si="10"/>
        <v>412967098</v>
      </c>
      <c r="F34" s="639">
        <f t="shared" si="10"/>
        <v>412967098</v>
      </c>
      <c r="G34" s="639">
        <f t="shared" si="10"/>
        <v>0</v>
      </c>
      <c r="H34" s="639">
        <f t="shared" si="10"/>
        <v>0</v>
      </c>
    </row>
    <row r="35" spans="1:12" s="161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613200000</v>
      </c>
      <c r="F35" s="635">
        <f t="array" ref="F35">SUM(IF(A35=KHC,TH))</f>
        <v>613200000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2" s="161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613200000</v>
      </c>
      <c r="F36" s="639">
        <f>F35</f>
        <v>613200000</v>
      </c>
      <c r="G36" s="639">
        <f t="shared" si="11"/>
        <v>0</v>
      </c>
      <c r="H36" s="639">
        <f t="shared" si="12"/>
        <v>0</v>
      </c>
    </row>
    <row r="37" spans="1:12" s="161" customFormat="1" ht="17.25" customHeight="1">
      <c r="A37" s="634" t="s">
        <v>17</v>
      </c>
      <c r="B37" s="634" t="s">
        <v>68</v>
      </c>
      <c r="C37" s="635"/>
      <c r="D37" s="635">
        <v>31026938</v>
      </c>
      <c r="E37" s="635">
        <f t="array" ref="E37">SUM(IF(A37=KHN,TH))</f>
        <v>8000000</v>
      </c>
      <c r="F37" s="635">
        <f t="array" ref="F37">SUM(IF(A37=KHC,TH))</f>
        <v>90627970</v>
      </c>
      <c r="G37" s="635">
        <f t="shared" si="11"/>
        <v>0</v>
      </c>
      <c r="H37" s="635">
        <f t="shared" si="12"/>
        <v>113654908</v>
      </c>
    </row>
    <row r="38" spans="1:12" s="161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31026938</v>
      </c>
      <c r="E38" s="639">
        <f t="shared" si="13"/>
        <v>8000000</v>
      </c>
      <c r="F38" s="639">
        <f t="shared" si="13"/>
        <v>90627970</v>
      </c>
      <c r="G38" s="639">
        <f t="shared" si="13"/>
        <v>0</v>
      </c>
      <c r="H38" s="639">
        <f t="shared" si="13"/>
        <v>113654908</v>
      </c>
    </row>
    <row r="39" spans="1:12" s="874" customFormat="1" ht="13.5">
      <c r="A39" s="870" t="s">
        <v>1899</v>
      </c>
      <c r="B39" s="871" t="s">
        <v>1910</v>
      </c>
      <c r="C39" s="872"/>
      <c r="D39" s="872">
        <v>1000000000</v>
      </c>
      <c r="E39" s="873">
        <f t="array" ref="E39">SUM(IF(A39=KHN,TH))</f>
        <v>1183270000</v>
      </c>
      <c r="F39" s="873">
        <f t="array" ref="F39">SUM(IF(A39=KHC,TH))</f>
        <v>1997693000</v>
      </c>
      <c r="G39" s="872">
        <f>MAX(C39+E39-D39-F39,0)</f>
        <v>0</v>
      </c>
      <c r="H39" s="872">
        <f>MAX(D39+F39-E39-C39,0)</f>
        <v>1814423000</v>
      </c>
    </row>
    <row r="40" spans="1:12" s="874" customFormat="1" ht="13.5">
      <c r="A40" s="870" t="s">
        <v>1911</v>
      </c>
      <c r="B40" s="871" t="s">
        <v>1912</v>
      </c>
      <c r="C40" s="873"/>
      <c r="D40" s="873">
        <v>396580000</v>
      </c>
      <c r="E40" s="873">
        <f t="array" ref="E40">SUM(IF(A40=KHN,TH))</f>
        <v>496140000</v>
      </c>
      <c r="F40" s="873">
        <f t="array" ref="F40">SUM(IF(A40=KHC,TH))</f>
        <v>99560000</v>
      </c>
      <c r="G40" s="873">
        <f>MAX(C40+E40-D40-F40,0)</f>
        <v>0</v>
      </c>
      <c r="H40" s="873">
        <f>MAX(D40+F40-E40-C40,0)</f>
        <v>0</v>
      </c>
    </row>
    <row r="41" spans="1:12" s="874" customFormat="1" ht="13.5">
      <c r="A41" s="875" t="s">
        <v>1892</v>
      </c>
      <c r="B41" s="876" t="s">
        <v>1913</v>
      </c>
      <c r="C41" s="877">
        <f t="shared" ref="C41:H41" si="14">SUM(C39:C40)</f>
        <v>0</v>
      </c>
      <c r="D41" s="877">
        <f t="shared" si="14"/>
        <v>1396580000</v>
      </c>
      <c r="E41" s="877">
        <f t="shared" si="14"/>
        <v>1679410000</v>
      </c>
      <c r="F41" s="877">
        <f t="shared" si="14"/>
        <v>2097253000</v>
      </c>
      <c r="G41" s="877">
        <f t="shared" si="14"/>
        <v>0</v>
      </c>
      <c r="H41" s="877">
        <f t="shared" si="14"/>
        <v>1814423000</v>
      </c>
    </row>
    <row r="42" spans="1:12" s="161" customFormat="1" ht="17.25" customHeight="1">
      <c r="A42" s="634" t="s">
        <v>25</v>
      </c>
      <c r="B42" s="634" t="s">
        <v>71</v>
      </c>
      <c r="C42" s="635"/>
      <c r="D42" s="912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2" s="161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2" s="161" customFormat="1" ht="17.25" customHeight="1">
      <c r="A44" s="633" t="s">
        <v>74</v>
      </c>
      <c r="B44" s="634" t="s">
        <v>75</v>
      </c>
      <c r="C44" s="635"/>
      <c r="D44" s="635">
        <v>79046850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79046850</v>
      </c>
    </row>
    <row r="45" spans="1:12" s="161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SUM(IF(A45=TH!$L$10:$L$5124,TH!$K$10:$K$5124))</f>
        <v>7369773</v>
      </c>
      <c r="F45" s="635">
        <f t="array" ref="F45">SUM(IF(A45=TH!$M$10:$M$5124,TH!$K$10:$K$5124))</f>
        <v>0</v>
      </c>
      <c r="G45" s="635">
        <f>MAX(C45+E45-D45-F45,0)</f>
        <v>7369773</v>
      </c>
      <c r="H45" s="635">
        <f>MAX(D45+F45-E45-C45,0)</f>
        <v>0</v>
      </c>
      <c r="J45" s="292">
        <f>L45-H45</f>
        <v>-273269946</v>
      </c>
      <c r="L45" s="161">
        <v>-273269946</v>
      </c>
    </row>
    <row r="46" spans="1:12" s="161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79046850</v>
      </c>
      <c r="E46" s="639">
        <f t="shared" si="15"/>
        <v>7369773</v>
      </c>
      <c r="F46" s="639">
        <f t="shared" si="15"/>
        <v>0</v>
      </c>
      <c r="G46" s="639">
        <f t="shared" si="15"/>
        <v>7369773</v>
      </c>
      <c r="H46" s="639">
        <f t="shared" si="15"/>
        <v>79046850</v>
      </c>
    </row>
    <row r="47" spans="1:12" s="161" customFormat="1" ht="17.25" customHeight="1">
      <c r="A47" s="633" t="s">
        <v>174</v>
      </c>
      <c r="B47" s="634" t="s">
        <v>175</v>
      </c>
      <c r="C47" s="635"/>
      <c r="D47" s="635"/>
      <c r="E47" s="635">
        <f t="array" ref="E47">SUM(IF(A47=KHN,TH))</f>
        <v>4119671643</v>
      </c>
      <c r="F47" s="635">
        <f t="array" ref="F47">SUM(IF(A47=KHC,TH))</f>
        <v>4119671643</v>
      </c>
      <c r="G47" s="636"/>
      <c r="H47" s="636"/>
      <c r="I47" s="161">
        <f>E47-F47</f>
        <v>0</v>
      </c>
    </row>
    <row r="48" spans="1:12" s="161" customFormat="1" ht="17.25" customHeight="1">
      <c r="A48" s="638" t="s">
        <v>176</v>
      </c>
      <c r="B48" s="638" t="s">
        <v>177</v>
      </c>
      <c r="C48" s="639"/>
      <c r="D48" s="639"/>
      <c r="E48" s="639">
        <f>E47</f>
        <v>4119671643</v>
      </c>
      <c r="F48" s="639">
        <f>F47</f>
        <v>4119671643</v>
      </c>
      <c r="G48" s="639"/>
      <c r="H48" s="639"/>
      <c r="I48" s="161">
        <f>E48-F48</f>
        <v>0</v>
      </c>
      <c r="J48" s="161">
        <f>H46-G46</f>
        <v>71677077</v>
      </c>
    </row>
    <row r="49" spans="1:9" s="161" customFormat="1" ht="17.25" customHeight="1">
      <c r="A49" s="638" t="s">
        <v>40</v>
      </c>
      <c r="B49" s="638" t="s">
        <v>80</v>
      </c>
      <c r="C49" s="639"/>
      <c r="D49" s="639"/>
      <c r="E49" s="640">
        <f t="array" ref="E49">SUM(IF(A49=KHN,TH))</f>
        <v>78921</v>
      </c>
      <c r="F49" s="640">
        <f t="array" ref="F49">SUM(IF(A49=KHC,TH))</f>
        <v>78921</v>
      </c>
      <c r="G49" s="639"/>
      <c r="H49" s="639"/>
      <c r="I49" s="161">
        <f t="shared" ref="I49:I57" si="16">E49-F49</f>
        <v>0</v>
      </c>
    </row>
    <row r="50" spans="1:9" s="161" customFormat="1" ht="17.25" customHeight="1">
      <c r="A50" s="638" t="s">
        <v>172</v>
      </c>
      <c r="B50" s="638" t="s">
        <v>173</v>
      </c>
      <c r="C50" s="639"/>
      <c r="D50" s="639"/>
      <c r="E50" s="640">
        <f t="array" ref="E50">SUM(IF(A50=KHN,TH))</f>
        <v>3735663300</v>
      </c>
      <c r="F50" s="640">
        <f t="array" ref="F50">SUM(IF(A50=KHC,TH))</f>
        <v>3735663300</v>
      </c>
      <c r="G50" s="639"/>
      <c r="H50" s="639"/>
      <c r="I50" s="161">
        <f t="shared" si="16"/>
        <v>0</v>
      </c>
    </row>
    <row r="51" spans="1:9" s="161" customFormat="1" ht="17.25" customHeight="1">
      <c r="A51" s="638" t="s">
        <v>81</v>
      </c>
      <c r="B51" s="638" t="s">
        <v>82</v>
      </c>
      <c r="C51" s="639"/>
      <c r="D51" s="639"/>
      <c r="E51" s="640">
        <f t="array" ref="E51">SUM(IF(A51=KHN,TH))</f>
        <v>162672940</v>
      </c>
      <c r="F51" s="640">
        <f t="array" ref="F51">SUM(IF(A51=KHC,TH))</f>
        <v>162672940</v>
      </c>
      <c r="G51" s="639"/>
      <c r="H51" s="639"/>
      <c r="I51" s="161">
        <f t="shared" si="16"/>
        <v>0</v>
      </c>
    </row>
    <row r="52" spans="1:9" s="161" customFormat="1" ht="17.25" customHeight="1">
      <c r="A52" s="644" t="s">
        <v>261</v>
      </c>
      <c r="B52" s="638" t="s">
        <v>329</v>
      </c>
      <c r="C52" s="639"/>
      <c r="D52" s="639"/>
      <c r="E52" s="640">
        <f t="array" ref="E52">SUM(IF(A52=KHN,TH))</f>
        <v>0</v>
      </c>
      <c r="F52" s="640">
        <f t="array" ref="F52">SUM(IF(A52=KHC,TH))</f>
        <v>0</v>
      </c>
      <c r="G52" s="639"/>
      <c r="H52" s="639"/>
      <c r="I52" s="161">
        <f>E52-F52</f>
        <v>0</v>
      </c>
    </row>
    <row r="53" spans="1:9" s="161" customFormat="1" ht="17.25" customHeight="1">
      <c r="A53" s="638" t="s">
        <v>83</v>
      </c>
      <c r="B53" s="638" t="s">
        <v>84</v>
      </c>
      <c r="C53" s="639"/>
      <c r="D53" s="639"/>
      <c r="E53" s="640">
        <f t="array" ref="E53">SUM(IF(A53=KHN,TH))</f>
        <v>228396228</v>
      </c>
      <c r="F53" s="640">
        <f t="array" ref="F53">SUM(IF(A53=KHC,TH))</f>
        <v>228396228</v>
      </c>
      <c r="G53" s="639"/>
      <c r="H53" s="639"/>
      <c r="I53" s="161">
        <f t="shared" si="16"/>
        <v>0</v>
      </c>
    </row>
    <row r="54" spans="1:9" s="161" customFormat="1" ht="17.25" customHeight="1">
      <c r="A54" s="644" t="s">
        <v>85</v>
      </c>
      <c r="B54" s="638" t="s">
        <v>86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1">
        <f t="shared" si="16"/>
        <v>0</v>
      </c>
    </row>
    <row r="55" spans="1:9" s="161" customFormat="1" ht="17.25" customHeight="1">
      <c r="A55" s="638" t="s">
        <v>87</v>
      </c>
      <c r="B55" s="638" t="s">
        <v>88</v>
      </c>
      <c r="C55" s="639"/>
      <c r="D55" s="639"/>
      <c r="E55" s="640">
        <f t="array" ref="E55">SUM(IF(A55=KHN,TH))</f>
        <v>387869</v>
      </c>
      <c r="F55" s="640">
        <f t="array" ref="F55">SUM(IF(A55=KHC,TH))</f>
        <v>387869</v>
      </c>
      <c r="G55" s="639"/>
      <c r="H55" s="639"/>
      <c r="I55" s="161">
        <f t="shared" si="16"/>
        <v>0</v>
      </c>
    </row>
    <row r="56" spans="1:9" s="161" customFormat="1" ht="17.25" customHeight="1">
      <c r="A56" s="644" t="s">
        <v>89</v>
      </c>
      <c r="B56" s="638" t="s">
        <v>90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1">
        <f t="shared" si="16"/>
        <v>0</v>
      </c>
    </row>
    <row r="57" spans="1:9" s="161" customFormat="1" ht="17.25" customHeight="1">
      <c r="A57" s="638" t="s">
        <v>91</v>
      </c>
      <c r="B57" s="638" t="s">
        <v>92</v>
      </c>
      <c r="C57" s="639"/>
      <c r="D57" s="639"/>
      <c r="E57" s="648">
        <f t="array" ref="E57">SUM(IF(A57=KHN,TH))</f>
        <v>4127120337</v>
      </c>
      <c r="F57" s="648">
        <f t="array" ref="F57">SUM(IF(A57=TH!$M$10:$M$5124,TH!$K$10:$K$5124))</f>
        <v>4127120337</v>
      </c>
      <c r="G57" s="639"/>
      <c r="H57" s="639"/>
      <c r="I57" s="161">
        <f t="shared" si="16"/>
        <v>0</v>
      </c>
    </row>
    <row r="58" spans="1:9" s="161" customFormat="1" ht="17.25" customHeight="1">
      <c r="A58" s="935" t="s">
        <v>39</v>
      </c>
      <c r="B58" s="936"/>
      <c r="C58" s="649">
        <f>C11+C13+C14+C16+C18+C21+C22+C23+C25+C27+C28+C34+C36+C38+C41+C43+C46+C48+C49+C50+C51+C52+C53+C54+C55+C56+C57</f>
        <v>4975513936</v>
      </c>
      <c r="D58" s="649">
        <f t="shared" ref="D58:H58" si="17">D11+D13+D14+D16+D18+D21+D22+D23+D25+D27+D28+D34+D36+D38+D41+D43+D46+D48+D49+D50+D51+D52+D53+D54+D55+D56+D57</f>
        <v>4975513936</v>
      </c>
      <c r="E58" s="649">
        <f t="shared" si="17"/>
        <v>42455432310</v>
      </c>
      <c r="F58" s="649">
        <f t="shared" si="17"/>
        <v>42455432310</v>
      </c>
      <c r="G58" s="649">
        <f t="shared" si="17"/>
        <v>6242945898</v>
      </c>
      <c r="H58" s="649">
        <f t="shared" si="17"/>
        <v>6242945898</v>
      </c>
    </row>
    <row r="59" spans="1:9">
      <c r="E59" s="650"/>
      <c r="F59" s="651"/>
    </row>
    <row r="60" spans="1:9">
      <c r="E60" s="651"/>
      <c r="H60" s="651">
        <f>G58-H58</f>
        <v>0</v>
      </c>
    </row>
    <row r="61" spans="1:9">
      <c r="D61" s="161">
        <f>D58-C58</f>
        <v>0</v>
      </c>
      <c r="E61" s="652"/>
      <c r="F61" s="652"/>
    </row>
    <row r="62" spans="1:9">
      <c r="E62" s="652"/>
      <c r="F62" s="652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5129"/>
  <sheetViews>
    <sheetView topLeftCell="A7" workbookViewId="0">
      <pane ySplit="3" topLeftCell="A22" activePane="bottomLeft" state="frozen"/>
      <selection activeCell="A7" sqref="A7"/>
      <selection pane="bottomLeft" activeCell="F5110" sqref="F5110"/>
    </sheetView>
  </sheetViews>
  <sheetFormatPr defaultRowHeight="12.75"/>
  <cols>
    <col min="1" max="1" width="4.5703125" style="204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0" t="s">
        <v>93</v>
      </c>
      <c r="D4" s="940"/>
      <c r="E4" s="940"/>
      <c r="F4" s="940"/>
      <c r="G4" s="940"/>
      <c r="H4" s="940"/>
      <c r="I4" s="940"/>
      <c r="J4" s="940"/>
      <c r="K4" s="940"/>
      <c r="L4" s="940"/>
      <c r="M4" s="940"/>
    </row>
    <row r="5" spans="1:27" ht="14.25">
      <c r="B5" s="42"/>
      <c r="C5" s="941"/>
      <c r="D5" s="941"/>
      <c r="E5" s="941"/>
      <c r="F5" s="941"/>
      <c r="G5" s="941"/>
      <c r="H5" s="941"/>
      <c r="I5" s="941"/>
      <c r="J5" s="941"/>
      <c r="K5" s="941"/>
      <c r="L5" s="941"/>
      <c r="M5" s="941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56" t="s">
        <v>117</v>
      </c>
      <c r="B7" s="958" t="s">
        <v>101</v>
      </c>
      <c r="C7" s="942" t="s">
        <v>20</v>
      </c>
      <c r="D7" s="943" t="s">
        <v>1</v>
      </c>
      <c r="E7" s="944"/>
      <c r="F7" s="942" t="s">
        <v>0</v>
      </c>
      <c r="G7" s="946" t="s">
        <v>116</v>
      </c>
      <c r="H7" s="960" t="s">
        <v>44</v>
      </c>
      <c r="I7" s="965" t="s">
        <v>258</v>
      </c>
      <c r="J7" s="966"/>
      <c r="K7" s="942" t="s">
        <v>157</v>
      </c>
      <c r="L7" s="945" t="s">
        <v>94</v>
      </c>
      <c r="M7" s="945"/>
      <c r="N7" s="963" t="s">
        <v>381</v>
      </c>
      <c r="O7" s="954" t="s">
        <v>1892</v>
      </c>
      <c r="P7" s="948" t="s">
        <v>47</v>
      </c>
      <c r="Q7" s="949"/>
      <c r="R7" s="950"/>
      <c r="S7" s="948" t="s">
        <v>51</v>
      </c>
      <c r="T7" s="949"/>
      <c r="U7" s="950"/>
      <c r="V7" s="961" t="str">
        <f>CTTK!$E$7</f>
        <v>642</v>
      </c>
      <c r="W7" s="939" t="s">
        <v>163</v>
      </c>
      <c r="X7" s="939"/>
      <c r="Y7" s="939"/>
      <c r="Z7" s="939" t="s">
        <v>351</v>
      </c>
      <c r="AA7" s="770"/>
    </row>
    <row r="8" spans="1:27" ht="24.75" customHeight="1">
      <c r="A8" s="957"/>
      <c r="B8" s="959"/>
      <c r="C8" s="942"/>
      <c r="D8" s="201" t="s">
        <v>15</v>
      </c>
      <c r="E8" s="200" t="s">
        <v>32</v>
      </c>
      <c r="F8" s="942"/>
      <c r="G8" s="947"/>
      <c r="H8" s="960"/>
      <c r="I8" s="261" t="s">
        <v>203</v>
      </c>
      <c r="J8" s="261" t="s">
        <v>204</v>
      </c>
      <c r="K8" s="942"/>
      <c r="L8" s="202" t="s">
        <v>22</v>
      </c>
      <c r="M8" s="202" t="s">
        <v>23</v>
      </c>
      <c r="N8" s="964"/>
      <c r="O8" s="955"/>
      <c r="P8" s="951"/>
      <c r="Q8" s="952"/>
      <c r="R8" s="953"/>
      <c r="S8" s="951"/>
      <c r="T8" s="952"/>
      <c r="U8" s="953"/>
      <c r="V8" s="962"/>
      <c r="W8" s="939"/>
      <c r="X8" s="939"/>
      <c r="Y8" s="939"/>
      <c r="Z8" s="939"/>
      <c r="AA8" s="770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1"/>
    </row>
    <row r="10" spans="1:27" s="208" customFormat="1" ht="15.75" customHeight="1">
      <c r="A10" s="203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2"/>
    </row>
    <row r="11" spans="1:27" s="208" customFormat="1" ht="15.75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2"/>
    </row>
    <row r="12" spans="1:27" s="208" customFormat="1" ht="15.75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2"/>
    </row>
    <row r="13" spans="1:27" s="208" customFormat="1" ht="15.75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2"/>
    </row>
    <row r="14" spans="1:27" s="208" customFormat="1" ht="15.75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392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2"/>
    </row>
    <row r="15" spans="1:27" s="208" customFormat="1" ht="15.75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2"/>
    </row>
    <row r="16" spans="1:27" s="208" customFormat="1" ht="15.75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2"/>
    </row>
    <row r="17" spans="1:28" s="208" customFormat="1" ht="15.75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2"/>
    </row>
    <row r="18" spans="1:28" s="208" customFormat="1" ht="15.75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4119671643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2"/>
    </row>
    <row r="19" spans="1:28" s="208" customFormat="1" ht="15.75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2"/>
    </row>
    <row r="20" spans="1:28" s="208" customFormat="1" ht="15.75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6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2"/>
    </row>
    <row r="21" spans="1:28" s="208" customFormat="1" ht="15.75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391</v>
      </c>
      <c r="G21" s="49"/>
      <c r="H21" s="50"/>
      <c r="I21" s="253"/>
      <c r="J21" s="253"/>
      <c r="K21" s="51">
        <v>7369773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6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2"/>
    </row>
    <row r="22" spans="1:28" s="895" customFormat="1" ht="15.75" customHeight="1">
      <c r="A22" s="203" t="str">
        <f>IF(B22&lt;&gt;"",IF(AND(B22&gt;=_TM1,B22&lt;=_TM2,OR(TH!L22="1111",TH!M22="1111")),TH!D22,""),"")</f>
        <v/>
      </c>
      <c r="B22" s="36">
        <f>IF(C22&lt;&gt;"",MONTH(C22),"")</f>
        <v>1</v>
      </c>
      <c r="C22" s="888">
        <f>E22</f>
        <v>42006</v>
      </c>
      <c r="D22" s="888" t="s">
        <v>334</v>
      </c>
      <c r="E22" s="888">
        <v>42006</v>
      </c>
      <c r="F22" s="889" t="s">
        <v>1938</v>
      </c>
      <c r="G22" s="890"/>
      <c r="H22" s="891"/>
      <c r="I22" s="892"/>
      <c r="J22" s="892"/>
      <c r="K22" s="893">
        <v>30750000</v>
      </c>
      <c r="L22" s="894" t="s">
        <v>165</v>
      </c>
      <c r="M22" s="894" t="s">
        <v>260</v>
      </c>
      <c r="N22" s="52" t="str">
        <f>IF(AND('331-CT'!$E$7=TH!H22,OR(L22="331",M22="331")),"331",IF(AND(OR(L22="131",M22="131"),H22='131-CT'!$E$7),"131",""))</f>
        <v/>
      </c>
      <c r="O22" s="86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895" customFormat="1" ht="15.75" customHeight="1">
      <c r="A23" s="203" t="str">
        <f>IF(B23&lt;&gt;"",IF(AND(B23&gt;=_TM1,B23&lt;=_TM2,OR(TH!L23="1111",TH!M23="1111")),TH!D23,""),"")</f>
        <v/>
      </c>
      <c r="B23" s="36">
        <f>IF(C23&lt;&gt;"",MONTH(C23),"")</f>
        <v>1</v>
      </c>
      <c r="C23" s="183">
        <f>E23</f>
        <v>42006</v>
      </c>
      <c r="D23" s="183" t="s">
        <v>1324</v>
      </c>
      <c r="E23" s="190">
        <v>42006</v>
      </c>
      <c r="F23" s="296" t="s">
        <v>1326</v>
      </c>
      <c r="G23" s="482" t="s">
        <v>332</v>
      </c>
      <c r="H23" s="831" t="s">
        <v>1928</v>
      </c>
      <c r="I23" s="255"/>
      <c r="J23" s="255"/>
      <c r="K23" s="593">
        <v>15000000</v>
      </c>
      <c r="L23" s="594" t="s">
        <v>8</v>
      </c>
      <c r="M23" s="594" t="s">
        <v>24</v>
      </c>
      <c r="N23" s="52" t="str">
        <f>IF(AND('331-CT'!$E$7=TH!H23,OR(L23="331",M23="331")),"331",IF(AND(OR(L23="131",M23="131"),H23='131-CT'!$E$7),"131",""))</f>
        <v/>
      </c>
      <c r="O23" s="86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>x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99"/>
      <c r="AB23" s="210"/>
    </row>
    <row r="24" spans="1:28" s="895" customFormat="1" ht="15.75" customHeight="1">
      <c r="A24" s="203" t="str">
        <f>IF(B24&lt;&gt;"",IF(AND(B24&gt;=_TM1,B24&lt;=_TM2,OR(TH!L24="1111",TH!M24="1111")),TH!D24,""),"")</f>
        <v/>
      </c>
      <c r="B24" s="36">
        <f>IF(C24&lt;&gt;"",MONTH(C24),"")</f>
        <v>1</v>
      </c>
      <c r="C24" s="183">
        <f>E24</f>
        <v>42006</v>
      </c>
      <c r="D24" s="183" t="s">
        <v>1324</v>
      </c>
      <c r="E24" s="190">
        <v>42006</v>
      </c>
      <c r="F24" s="188" t="s">
        <v>1327</v>
      </c>
      <c r="G24" s="482" t="s">
        <v>332</v>
      </c>
      <c r="H24" s="7"/>
      <c r="I24" s="255"/>
      <c r="J24" s="255"/>
      <c r="K24" s="593">
        <v>20000</v>
      </c>
      <c r="L24" s="594" t="s">
        <v>83</v>
      </c>
      <c r="M24" s="594" t="s">
        <v>24</v>
      </c>
      <c r="N24" s="52" t="str">
        <f>IF(AND('331-CT'!$E$7=TH!H24,OR(L24="331",M24="331")),"331",IF(AND(OR(L24="131",M24="131"),H24='131-CT'!$E$7),"131",""))</f>
        <v/>
      </c>
      <c r="O24" s="86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>x</v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99"/>
      <c r="AB24" s="210"/>
    </row>
    <row r="25" spans="1:28" s="895" customFormat="1" ht="15.75" customHeight="1">
      <c r="A25" s="203" t="str">
        <f>IF(B25&lt;&gt;"",IF(AND(B25&gt;=_TM1,B25&lt;=_TM2,OR(TH!L25="1111",TH!M25="1111")),TH!D25,""),"")</f>
        <v/>
      </c>
      <c r="B25" s="36">
        <f>IF(C25&lt;&gt;"",MONTH(C25),"")</f>
        <v>1</v>
      </c>
      <c r="C25" s="183">
        <v>42006</v>
      </c>
      <c r="D25" s="37"/>
      <c r="E25" s="727">
        <v>41967</v>
      </c>
      <c r="F25" s="188" t="s">
        <v>1382</v>
      </c>
      <c r="G25" s="482" t="s">
        <v>1386</v>
      </c>
      <c r="H25" s="7" t="s">
        <v>1383</v>
      </c>
      <c r="I25" s="255"/>
      <c r="J25" s="255"/>
      <c r="K25" s="593">
        <v>1081252</v>
      </c>
      <c r="L25" s="193" t="s">
        <v>83</v>
      </c>
      <c r="M25" s="193" t="s">
        <v>47</v>
      </c>
      <c r="N25" s="52" t="str">
        <f>IF(AND('331-CT'!$E$7=TH!H25,OR(L25="331",M25="331")),"331",IF(AND(OR(L25="131",M25="131"),H25='131-CT'!$E$7),"131",""))</f>
        <v/>
      </c>
      <c r="O25" s="86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>x</v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>x</v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99"/>
      <c r="AB25" s="210"/>
    </row>
    <row r="26" spans="1:28" s="895" customFormat="1" ht="15.75" customHeight="1">
      <c r="A26" s="203" t="str">
        <f>IF(B26&lt;&gt;"",IF(AND(B26&gt;=_TM1,B26&lt;=_TM2,OR(TH!L26="1111",TH!M26="1111")),TH!D26,""),"")</f>
        <v/>
      </c>
      <c r="B26" s="36">
        <f>IF(C26&lt;&gt;"",MONTH(C26),"")</f>
        <v>1</v>
      </c>
      <c r="C26" s="183">
        <v>42006</v>
      </c>
      <c r="D26" s="37"/>
      <c r="E26" s="727">
        <v>41967</v>
      </c>
      <c r="F26" s="188" t="s">
        <v>1384</v>
      </c>
      <c r="G26" s="482" t="s">
        <v>1386</v>
      </c>
      <c r="H26" s="7" t="s">
        <v>1383</v>
      </c>
      <c r="I26" s="255"/>
      <c r="J26" s="255"/>
      <c r="K26" s="593">
        <v>108125</v>
      </c>
      <c r="L26" s="193" t="s">
        <v>9</v>
      </c>
      <c r="M26" s="193" t="s">
        <v>47</v>
      </c>
      <c r="N26" s="52" t="str">
        <f>IF(AND('331-CT'!$E$7=TH!H26,OR(L26="331",M26="331")),"331",IF(AND(OR(L26="131",M26="131"),H26='131-CT'!$E$7),"131",""))</f>
        <v/>
      </c>
      <c r="O26" s="86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>x</v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99"/>
      <c r="AB26" s="210"/>
    </row>
    <row r="27" spans="1:28" s="895" customFormat="1" ht="15.75" customHeight="1">
      <c r="A27" s="203" t="str">
        <f>IF(B27&lt;&gt;"",IF(AND(B27&gt;=_TM1,B27&lt;=_TM2,OR(TH!L27="1111",TH!M27="1111")),TH!D27,""),"")</f>
        <v/>
      </c>
      <c r="B27" s="36">
        <f>IF(C27&lt;&gt;"",MONTH(C27),"")</f>
        <v>1</v>
      </c>
      <c r="C27" s="183">
        <v>42006</v>
      </c>
      <c r="D27" s="37"/>
      <c r="E27" s="727">
        <v>41997</v>
      </c>
      <c r="F27" s="188" t="s">
        <v>1382</v>
      </c>
      <c r="G27" s="482" t="s">
        <v>1387</v>
      </c>
      <c r="H27" s="7" t="s">
        <v>1383</v>
      </c>
      <c r="I27" s="255"/>
      <c r="J27" s="255"/>
      <c r="K27" s="593">
        <v>949392</v>
      </c>
      <c r="L27" s="193" t="s">
        <v>83</v>
      </c>
      <c r="M27" s="193" t="s">
        <v>47</v>
      </c>
      <c r="N27" s="52" t="str">
        <f>IF(AND('331-CT'!$E$7=TH!H27,OR(L27="331",M27="331")),"331",IF(AND(OR(L27="131",M27="131"),H27='131-CT'!$E$7),"131",""))</f>
        <v/>
      </c>
      <c r="O27" s="86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>x</v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99"/>
      <c r="AB27" s="210"/>
    </row>
    <row r="28" spans="1:28" s="895" customFormat="1" ht="15.75" customHeight="1">
      <c r="A28" s="203" t="str">
        <f>IF(B28&lt;&gt;"",IF(AND(B28&gt;=_TM1,B28&lt;=_TM2,OR(TH!L28="1111",TH!M28="1111")),TH!D28,""),"")</f>
        <v/>
      </c>
      <c r="B28" s="36">
        <f>IF(C28&lt;&gt;"",MONTH(C28),"")</f>
        <v>1</v>
      </c>
      <c r="C28" s="183">
        <v>42006</v>
      </c>
      <c r="D28" s="37"/>
      <c r="E28" s="727">
        <v>41997</v>
      </c>
      <c r="F28" s="188" t="s">
        <v>1384</v>
      </c>
      <c r="G28" s="482" t="s">
        <v>1387</v>
      </c>
      <c r="H28" s="7" t="s">
        <v>1383</v>
      </c>
      <c r="I28" s="255"/>
      <c r="J28" s="255"/>
      <c r="K28" s="593">
        <v>94939</v>
      </c>
      <c r="L28" s="193" t="s">
        <v>9</v>
      </c>
      <c r="M28" s="193" t="s">
        <v>47</v>
      </c>
      <c r="N28" s="52" t="str">
        <f>IF(AND('331-CT'!$E$7=TH!H28,OR(L28="331",M28="331")),"331",IF(AND(OR(L28="131",M28="131"),H28='131-CT'!$E$7),"131",""))</f>
        <v/>
      </c>
      <c r="O28" s="86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99"/>
      <c r="AB28" s="210"/>
    </row>
    <row r="29" spans="1:28" ht="15.75" customHeight="1">
      <c r="A29" s="203" t="str">
        <f>IF(B29&lt;&gt;"",IF(AND(B29&gt;=_TM1,B29&lt;=_TM2,OR(TH!L29="1111",TH!M29="1111")),TH!D29,""),"")</f>
        <v/>
      </c>
      <c r="B29" s="36">
        <f>IF(C29&lt;&gt;"",MONTH(C29),"")</f>
        <v>1</v>
      </c>
      <c r="C29" s="183">
        <f>E29</f>
        <v>42009</v>
      </c>
      <c r="D29" s="190" t="s">
        <v>1319</v>
      </c>
      <c r="E29" s="190">
        <v>42009</v>
      </c>
      <c r="F29" s="191" t="s">
        <v>1320</v>
      </c>
      <c r="G29" s="482" t="s">
        <v>332</v>
      </c>
      <c r="H29" s="7" t="s">
        <v>407</v>
      </c>
      <c r="I29" s="255"/>
      <c r="J29" s="255"/>
      <c r="K29" s="593">
        <v>27924325</v>
      </c>
      <c r="L29" s="193" t="s">
        <v>24</v>
      </c>
      <c r="M29" s="193" t="s">
        <v>259</v>
      </c>
      <c r="N29" s="52" t="str">
        <f>IF(AND('331-CT'!$E$7=TH!H29,OR(L29="331",M29="331")),"331",IF(AND(OR(L29="131",M29="131"),H29='131-CT'!$E$7),"131",""))</f>
        <v/>
      </c>
      <c r="O29" s="86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>x</v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99"/>
      <c r="AB29" s="210"/>
    </row>
    <row r="30" spans="1:28" ht="15.75" customHeight="1">
      <c r="A30" s="203" t="str">
        <f>IF(B30&lt;&gt;"",IF(AND(B30&gt;=_TM1,B30&lt;=_TM2,OR(TH!L30="1111",TH!M30="1111")),TH!D30,""),"")</f>
        <v/>
      </c>
      <c r="B30" s="36">
        <f>IF(C30&lt;&gt;"",MONTH(C30),"")</f>
        <v>1</v>
      </c>
      <c r="C30" s="183">
        <f>E30</f>
        <v>42009</v>
      </c>
      <c r="D30" s="183" t="s">
        <v>1324</v>
      </c>
      <c r="E30" s="190">
        <v>42009</v>
      </c>
      <c r="F30" s="188" t="s">
        <v>1325</v>
      </c>
      <c r="G30" s="482" t="s">
        <v>332</v>
      </c>
      <c r="H30" s="7" t="s">
        <v>1322</v>
      </c>
      <c r="I30" s="255"/>
      <c r="J30" s="255"/>
      <c r="K30" s="593">
        <v>4500000</v>
      </c>
      <c r="L30" s="594" t="s">
        <v>47</v>
      </c>
      <c r="M30" s="594" t="s">
        <v>24</v>
      </c>
      <c r="N30" s="52" t="str">
        <f>IF(AND('331-CT'!$E$7=TH!H30,OR(L30="331",M30="331")),"331",IF(AND(OR(L30="131",M30="131"),H30='131-CT'!$E$7),"131",""))</f>
        <v/>
      </c>
      <c r="O30" s="86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>x</v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>x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99"/>
      <c r="AB30" s="210"/>
    </row>
    <row r="31" spans="1:28" ht="15.75" customHeight="1">
      <c r="A31" s="203" t="str">
        <f>IF(B31&lt;&gt;"",IF(AND(B31&gt;=_TM1,B31&lt;=_TM2,OR(TH!L31="1111",TH!M31="1111")),TH!D31,""),"")</f>
        <v/>
      </c>
      <c r="B31" s="36">
        <f>IF(C31&lt;&gt;"",MONTH(C31),"")</f>
        <v>1</v>
      </c>
      <c r="C31" s="183">
        <f>E31</f>
        <v>42009</v>
      </c>
      <c r="D31" s="183" t="s">
        <v>1324</v>
      </c>
      <c r="E31" s="190">
        <v>42009</v>
      </c>
      <c r="F31" s="296" t="s">
        <v>1326</v>
      </c>
      <c r="G31" s="482" t="s">
        <v>332</v>
      </c>
      <c r="H31" s="831" t="s">
        <v>1930</v>
      </c>
      <c r="I31" s="255"/>
      <c r="J31" s="255"/>
      <c r="K31" s="593">
        <v>15000000</v>
      </c>
      <c r="L31" s="594" t="s">
        <v>8</v>
      </c>
      <c r="M31" s="594" t="s">
        <v>24</v>
      </c>
      <c r="N31" s="52" t="str">
        <f>IF(AND('331-CT'!$E$7=TH!H31,OR(L31="331",M31="331")),"331",IF(AND(OR(L31="131",M31="131"),H31='131-CT'!$E$7),"131",""))</f>
        <v/>
      </c>
      <c r="O31" s="86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>x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99"/>
      <c r="AB31" s="210"/>
    </row>
    <row r="32" spans="1:28" ht="15.75" customHeight="1">
      <c r="A32" s="203" t="str">
        <f>IF(B32&lt;&gt;"",IF(AND(B32&gt;=_TM1,B32&lt;=_TM2,OR(TH!L32="1111",TH!M32="1111")),TH!D32,""),"")</f>
        <v/>
      </c>
      <c r="B32" s="36">
        <f>IF(C32&lt;&gt;"",MONTH(C32),"")</f>
        <v>1</v>
      </c>
      <c r="C32" s="183">
        <f>E32</f>
        <v>42009</v>
      </c>
      <c r="D32" s="183" t="s">
        <v>1324</v>
      </c>
      <c r="E32" s="190">
        <v>42009</v>
      </c>
      <c r="F32" s="188" t="s">
        <v>1327</v>
      </c>
      <c r="G32" s="482" t="s">
        <v>332</v>
      </c>
      <c r="H32" s="7"/>
      <c r="I32" s="255"/>
      <c r="J32" s="255"/>
      <c r="K32" s="593">
        <v>15000</v>
      </c>
      <c r="L32" s="594" t="s">
        <v>83</v>
      </c>
      <c r="M32" s="594" t="s">
        <v>24</v>
      </c>
      <c r="N32" s="52" t="str">
        <f>IF(AND('331-CT'!$E$7=TH!H32,OR(L32="331",M32="331")),"331",IF(AND(OR(L32="131",M32="131"),H32='131-CT'!$E$7),"131",""))</f>
        <v/>
      </c>
      <c r="O32" s="86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>x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99"/>
      <c r="AB32" s="210"/>
    </row>
    <row r="33" spans="1:28" ht="15.75" customHeight="1">
      <c r="A33" s="203" t="str">
        <f>IF(B33&lt;&gt;"",IF(AND(B33&gt;=_TM1,B33&lt;=_TM2,OR(TH!L33="1111",TH!M33="1111")),TH!D33,""),"")</f>
        <v/>
      </c>
      <c r="B33" s="36">
        <f>IF(C33&lt;&gt;"",MONTH(C33),"")</f>
        <v>1</v>
      </c>
      <c r="C33" s="183">
        <f>E33</f>
        <v>42010</v>
      </c>
      <c r="D33" s="183" t="s">
        <v>1507</v>
      </c>
      <c r="E33" s="183">
        <v>42010</v>
      </c>
      <c r="F33" s="188" t="s">
        <v>398</v>
      </c>
      <c r="G33" s="595" t="s">
        <v>399</v>
      </c>
      <c r="H33" s="7" t="s">
        <v>400</v>
      </c>
      <c r="I33" s="255">
        <v>936</v>
      </c>
      <c r="J33" s="255">
        <v>5150</v>
      </c>
      <c r="K33" s="593">
        <f>ROUND(I33*J33,0)</f>
        <v>4820400</v>
      </c>
      <c r="L33" s="594" t="s">
        <v>259</v>
      </c>
      <c r="M33" s="594" t="s">
        <v>174</v>
      </c>
      <c r="N33" s="52" t="str">
        <f>IF(AND('331-CT'!$E$7=TH!H33,OR(L33="331",M33="331")),"331",IF(AND(OR(L33="131",M33="131"),H33='131-CT'!$E$7),"131",""))</f>
        <v/>
      </c>
      <c r="O33" s="86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99"/>
      <c r="AB33" s="585"/>
    </row>
    <row r="34" spans="1:28" ht="15.75" customHeight="1">
      <c r="A34" s="203" t="str">
        <f>IF(B34&lt;&gt;"",IF(AND(B34&gt;=_TM1,B34&lt;=_TM2,OR(TH!L34="1111",TH!M34="1111")),TH!D34,""),"")</f>
        <v/>
      </c>
      <c r="B34" s="36">
        <f>IF(C34&lt;&gt;"",MONTH(C34),"")</f>
        <v>1</v>
      </c>
      <c r="C34" s="183">
        <f>E34</f>
        <v>42010</v>
      </c>
      <c r="D34" s="183" t="s">
        <v>1507</v>
      </c>
      <c r="E34" s="183">
        <v>42010</v>
      </c>
      <c r="F34" s="188" t="s">
        <v>401</v>
      </c>
      <c r="G34" s="595" t="s">
        <v>399</v>
      </c>
      <c r="H34" s="7" t="s">
        <v>400</v>
      </c>
      <c r="I34" s="255">
        <v>316</v>
      </c>
      <c r="J34" s="255">
        <v>5980</v>
      </c>
      <c r="K34" s="593">
        <f>ROUND(I34*J34,0)</f>
        <v>1889680</v>
      </c>
      <c r="L34" s="594" t="s">
        <v>259</v>
      </c>
      <c r="M34" s="594" t="s">
        <v>174</v>
      </c>
      <c r="N34" s="52" t="str">
        <f>IF(AND('331-CT'!$E$7=TH!H34,OR(L34="331",M34="331")),"331",IF(AND(OR(L34="131",M34="131"),H34='131-CT'!$E$7),"131",""))</f>
        <v/>
      </c>
      <c r="O34" s="86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99"/>
      <c r="AB34" s="585"/>
    </row>
    <row r="35" spans="1:28" ht="15.75" customHeight="1">
      <c r="A35" s="203" t="str">
        <f>IF(B35&lt;&gt;"",IF(AND(B35&gt;=_TM1,B35&lt;=_TM2,OR(TH!L35="1111",TH!M35="1111")),TH!D35,""),"")</f>
        <v/>
      </c>
      <c r="B35" s="36">
        <f>IF(C35&lt;&gt;"",MONTH(C35),"")</f>
        <v>1</v>
      </c>
      <c r="C35" s="183">
        <f>E35</f>
        <v>42010</v>
      </c>
      <c r="D35" s="183" t="s">
        <v>1507</v>
      </c>
      <c r="E35" s="183">
        <v>42010</v>
      </c>
      <c r="F35" s="188" t="s">
        <v>402</v>
      </c>
      <c r="G35" s="595" t="s">
        <v>399</v>
      </c>
      <c r="H35" s="7" t="s">
        <v>400</v>
      </c>
      <c r="I35" s="255"/>
      <c r="J35" s="255"/>
      <c r="K35" s="593">
        <v>671008</v>
      </c>
      <c r="L35" s="594" t="s">
        <v>259</v>
      </c>
      <c r="M35" s="594" t="s">
        <v>371</v>
      </c>
      <c r="N35" s="52" t="str">
        <f>IF(AND('331-CT'!$E$7=TH!H35,OR(L35="331",M35="331")),"331",IF(AND(OR(L35="131",M35="131"),H35='131-CT'!$E$7),"131",""))</f>
        <v/>
      </c>
      <c r="O35" s="86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99"/>
      <c r="AB35" s="585"/>
    </row>
    <row r="36" spans="1:28" ht="15.75" customHeight="1">
      <c r="A36" s="203" t="str">
        <f>IF(B36&lt;&gt;"",IF(AND(B36&gt;=_TM1,B36&lt;=_TM2,OR(TH!L36="1111",TH!M36="1111")),TH!D36,""),"")</f>
        <v/>
      </c>
      <c r="B36" s="36">
        <f>IF(C36&lt;&gt;"",MONTH(C36),"")</f>
        <v>1</v>
      </c>
      <c r="C36" s="183">
        <f>E36</f>
        <v>42010</v>
      </c>
      <c r="D36" s="190" t="s">
        <v>1319</v>
      </c>
      <c r="E36" s="190">
        <v>42010</v>
      </c>
      <c r="F36" s="191" t="s">
        <v>1320</v>
      </c>
      <c r="G36" s="482" t="s">
        <v>332</v>
      </c>
      <c r="H36" s="7" t="s">
        <v>872</v>
      </c>
      <c r="I36" s="255"/>
      <c r="J36" s="255"/>
      <c r="K36" s="593">
        <v>9674935</v>
      </c>
      <c r="L36" s="193" t="s">
        <v>24</v>
      </c>
      <c r="M36" s="193" t="s">
        <v>259</v>
      </c>
      <c r="N36" s="52" t="str">
        <f>IF(AND('331-CT'!$E$7=TH!H36,OR(L36="331",M36="331")),"331",IF(AND(OR(L36="131",M36="131"),H36='131-CT'!$E$7),"131",""))</f>
        <v/>
      </c>
      <c r="O36" s="86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>x</v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99"/>
      <c r="AB36" s="210"/>
    </row>
    <row r="37" spans="1:28" ht="15.75" customHeight="1">
      <c r="A37" s="203" t="str">
        <f>IF(B37&lt;&gt;"",IF(AND(B37&gt;=_TM1,B37&lt;=_TM2,OR(TH!L37="1111",TH!M37="1111")),TH!D37,""),"")</f>
        <v/>
      </c>
      <c r="B37" s="36">
        <f>IF(C37&lt;&gt;"",MONTH(C37),"")</f>
        <v>1</v>
      </c>
      <c r="C37" s="183">
        <f>E37</f>
        <v>42011</v>
      </c>
      <c r="D37" s="183" t="s">
        <v>1507</v>
      </c>
      <c r="E37" s="37">
        <v>42011</v>
      </c>
      <c r="F37" s="188" t="s">
        <v>403</v>
      </c>
      <c r="G37" s="654" t="s">
        <v>404</v>
      </c>
      <c r="H37" s="7" t="s">
        <v>976</v>
      </c>
      <c r="I37" s="255">
        <v>500</v>
      </c>
      <c r="J37" s="255">
        <v>9300</v>
      </c>
      <c r="K37" s="593">
        <f>ROUND(I37*J37,0)</f>
        <v>4650000</v>
      </c>
      <c r="L37" s="594" t="s">
        <v>259</v>
      </c>
      <c r="M37" s="594" t="s">
        <v>174</v>
      </c>
      <c r="N37" s="52" t="str">
        <f>IF(AND('331-CT'!$E$7=TH!H37,OR(L37="331",M37="331")),"331",IF(AND(OR(L37="131",M37="131"),H37='131-CT'!$E$7),"131",""))</f>
        <v/>
      </c>
      <c r="O37" s="86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99"/>
      <c r="AB37" s="210"/>
    </row>
    <row r="38" spans="1:28" ht="15.75" customHeight="1">
      <c r="A38" s="203" t="str">
        <f>IF(B38&lt;&gt;"",IF(AND(B38&gt;=_TM1,B38&lt;=_TM2,OR(TH!L38="1111",TH!M38="1111")),TH!D38,""),"")</f>
        <v/>
      </c>
      <c r="B38" s="36">
        <f>IF(C38&lt;&gt;"",MONTH(C38),"")</f>
        <v>1</v>
      </c>
      <c r="C38" s="183">
        <f>E38</f>
        <v>42011</v>
      </c>
      <c r="D38" s="183" t="s">
        <v>1507</v>
      </c>
      <c r="E38" s="37">
        <v>42011</v>
      </c>
      <c r="F38" s="188" t="s">
        <v>402</v>
      </c>
      <c r="G38" s="654" t="s">
        <v>404</v>
      </c>
      <c r="H38" s="7" t="s">
        <v>976</v>
      </c>
      <c r="I38" s="255"/>
      <c r="J38" s="255"/>
      <c r="K38" s="38">
        <v>465000</v>
      </c>
      <c r="L38" s="594" t="s">
        <v>259</v>
      </c>
      <c r="M38" s="594" t="s">
        <v>371</v>
      </c>
      <c r="N38" s="52" t="str">
        <f>IF(AND('331-CT'!$E$7=TH!H38,OR(L38="331",M38="331")),"331",IF(AND(OR(L38="131",M38="131"),H38='131-CT'!$E$7),"131",""))</f>
        <v/>
      </c>
      <c r="O38" s="86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99"/>
      <c r="AB38" s="210"/>
    </row>
    <row r="39" spans="1:28" ht="15.75" customHeight="1">
      <c r="A39" s="203" t="str">
        <f>IF(B39&lt;&gt;"",IF(AND(B39&gt;=_TM1,B39&lt;=_TM2,OR(TH!L39="1111",TH!M39="1111")),TH!D39,""),"")</f>
        <v/>
      </c>
      <c r="B39" s="36">
        <f>IF(C39&lt;&gt;"",MONTH(C39),"")</f>
        <v>1</v>
      </c>
      <c r="C39" s="183">
        <f>E39</f>
        <v>42011</v>
      </c>
      <c r="D39" s="183" t="s">
        <v>1508</v>
      </c>
      <c r="E39" s="37">
        <v>42011</v>
      </c>
      <c r="F39" s="188" t="s">
        <v>405</v>
      </c>
      <c r="G39" s="479" t="s">
        <v>406</v>
      </c>
      <c r="H39" s="7" t="s">
        <v>407</v>
      </c>
      <c r="I39" s="255">
        <v>660</v>
      </c>
      <c r="J39" s="255">
        <v>9200</v>
      </c>
      <c r="K39" s="593">
        <f>ROUND(I39*J39,0)</f>
        <v>6072000</v>
      </c>
      <c r="L39" s="594" t="s">
        <v>259</v>
      </c>
      <c r="M39" s="594" t="s">
        <v>174</v>
      </c>
      <c r="N39" s="52" t="str">
        <f>IF(AND('331-CT'!$E$7=TH!H39,OR(L39="331",M39="331")),"331",IF(AND(OR(L39="131",M39="131"),H39='131-CT'!$E$7),"131",""))</f>
        <v/>
      </c>
      <c r="O39" s="86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99"/>
      <c r="AB39" s="585"/>
    </row>
    <row r="40" spans="1:28" ht="15.75" customHeight="1">
      <c r="A40" s="203" t="str">
        <f>IF(B40&lt;&gt;"",IF(AND(B40&gt;=_TM1,B40&lt;=_TM2,OR(TH!L40="1111",TH!M40="1111")),TH!D40,""),"")</f>
        <v/>
      </c>
      <c r="B40" s="36">
        <f>IF(C40&lt;&gt;"",MONTH(C40),"")</f>
        <v>1</v>
      </c>
      <c r="C40" s="183">
        <f>E40</f>
        <v>42011</v>
      </c>
      <c r="D40" s="183" t="s">
        <v>1508</v>
      </c>
      <c r="E40" s="37">
        <v>42011</v>
      </c>
      <c r="F40" s="188" t="s">
        <v>408</v>
      </c>
      <c r="G40" s="479" t="s">
        <v>406</v>
      </c>
      <c r="H40" s="7" t="s">
        <v>407</v>
      </c>
      <c r="I40" s="255">
        <v>661</v>
      </c>
      <c r="J40" s="255">
        <v>8400</v>
      </c>
      <c r="K40" s="593">
        <f>ROUND(I40*J40,0)</f>
        <v>5552400</v>
      </c>
      <c r="L40" s="594" t="s">
        <v>259</v>
      </c>
      <c r="M40" s="594" t="s">
        <v>174</v>
      </c>
      <c r="N40" s="52" t="str">
        <f>IF(AND('331-CT'!$E$7=TH!H40,OR(L40="331",M40="331")),"331",IF(AND(OR(L40="131",M40="131"),H40='131-CT'!$E$7),"131",""))</f>
        <v/>
      </c>
      <c r="O40" s="86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99"/>
      <c r="AB40" s="585"/>
    </row>
    <row r="41" spans="1:28" ht="15.75" customHeight="1">
      <c r="A41" s="203" t="str">
        <f>IF(B41&lt;&gt;"",IF(AND(B41&gt;=_TM1,B41&lt;=_TM2,OR(TH!L41="1111",TH!M41="1111")),TH!D41,""),"")</f>
        <v/>
      </c>
      <c r="B41" s="36">
        <f>IF(C41&lt;&gt;"",MONTH(C41),"")</f>
        <v>1</v>
      </c>
      <c r="C41" s="183">
        <f>E41</f>
        <v>42011</v>
      </c>
      <c r="D41" s="183" t="s">
        <v>1508</v>
      </c>
      <c r="E41" s="37">
        <v>42011</v>
      </c>
      <c r="F41" s="40" t="s">
        <v>402</v>
      </c>
      <c r="G41" s="479" t="s">
        <v>406</v>
      </c>
      <c r="H41" s="45" t="s">
        <v>407</v>
      </c>
      <c r="I41" s="255"/>
      <c r="J41" s="255"/>
      <c r="K41" s="655">
        <v>1162440</v>
      </c>
      <c r="L41" s="594" t="s">
        <v>259</v>
      </c>
      <c r="M41" s="594" t="s">
        <v>371</v>
      </c>
      <c r="N41" s="52" t="str">
        <f>IF(AND('331-CT'!$E$7=TH!H41,OR(L41="331",M41="331")),"331",IF(AND(OR(L41="131",M41="131"),H41='131-CT'!$E$7),"131",""))</f>
        <v/>
      </c>
      <c r="O41" s="86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99"/>
      <c r="AB41" s="585"/>
    </row>
    <row r="42" spans="1:28" ht="15.75" customHeight="1">
      <c r="A42" s="203" t="str">
        <f>IF(B42&lt;&gt;"",IF(AND(B42&gt;=_TM1,B42&lt;=_TM2,OR(TH!L42="1111",TH!M42="1111")),TH!D42,""),"")</f>
        <v/>
      </c>
      <c r="B42" s="36">
        <f>IF(C42&lt;&gt;"",MONTH(C42),"")</f>
        <v>1</v>
      </c>
      <c r="C42" s="183">
        <f>E42</f>
        <v>42011</v>
      </c>
      <c r="D42" s="183" t="s">
        <v>1960</v>
      </c>
      <c r="E42" s="190">
        <v>42011</v>
      </c>
      <c r="F42" s="188" t="s">
        <v>356</v>
      </c>
      <c r="G42" s="482" t="s">
        <v>1349</v>
      </c>
      <c r="H42" s="7" t="s">
        <v>1348</v>
      </c>
      <c r="I42" s="255">
        <v>100</v>
      </c>
      <c r="J42" s="255">
        <v>21000</v>
      </c>
      <c r="K42" s="593">
        <f>ROUND(I42*J42,0)</f>
        <v>2100000</v>
      </c>
      <c r="L42" s="594" t="s">
        <v>161</v>
      </c>
      <c r="M42" s="594" t="s">
        <v>8</v>
      </c>
      <c r="N42" s="52" t="str">
        <f>IF(AND('331-CT'!$E$7=TH!H42,OR(L42="331",M42="331")),"331",IF(AND(OR(L42="131",M42="131"),H42='131-CT'!$E$7),"131",""))</f>
        <v/>
      </c>
      <c r="O42" s="86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>x</v>
      </c>
      <c r="Z42" s="52" t="str">
        <f>IF(AND(B42&lt;=NKC!$N$8,B42&gt;=NKC!$M$8),"x","")</f>
        <v/>
      </c>
      <c r="AA42" s="799"/>
      <c r="AB42" s="210"/>
    </row>
    <row r="43" spans="1:28" ht="15.75" customHeight="1">
      <c r="A43" s="203" t="str">
        <f>IF(B43&lt;&gt;"",IF(AND(B43&gt;=_TM1,B43&lt;=_TM2,OR(TH!L43="1111",TH!M43="1111")),TH!D43,""),"")</f>
        <v/>
      </c>
      <c r="B43" s="36">
        <f>IF(C43&lt;&gt;"",MONTH(C43),"")</f>
        <v>1</v>
      </c>
      <c r="C43" s="183">
        <f>E43</f>
        <v>42011</v>
      </c>
      <c r="D43" s="183" t="s">
        <v>1960</v>
      </c>
      <c r="E43" s="190">
        <v>42011</v>
      </c>
      <c r="F43" s="296" t="s">
        <v>1326</v>
      </c>
      <c r="G43" s="482" t="s">
        <v>1349</v>
      </c>
      <c r="H43" s="7" t="s">
        <v>1348</v>
      </c>
      <c r="I43" s="255">
        <v>100</v>
      </c>
      <c r="J43" s="255">
        <v>21000</v>
      </c>
      <c r="K43" s="593">
        <f>ROUND(I43*J43,0)</f>
        <v>2100000</v>
      </c>
      <c r="L43" s="594" t="s">
        <v>8</v>
      </c>
      <c r="M43" s="594" t="s">
        <v>47</v>
      </c>
      <c r="N43" s="52" t="str">
        <f>IF(AND('331-CT'!$E$7=TH!H43,OR(L43="331",M43="331")),"331",IF(AND(OR(L43="131",M43="131"),H43='131-CT'!$E$7),"131",""))</f>
        <v/>
      </c>
      <c r="O43" s="86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99"/>
      <c r="AB43" s="210"/>
    </row>
    <row r="44" spans="1:28" ht="15.75" customHeight="1">
      <c r="A44" s="203" t="str">
        <f>IF(B44&lt;&gt;"",IF(AND(B44&gt;=_TM1,B44&lt;=_TM2,OR(TH!L44="1111",TH!M44="1111")),TH!D44,""),"")</f>
        <v/>
      </c>
      <c r="B44" s="36">
        <f>IF(C44&lt;&gt;"",MONTH(C44),"")</f>
        <v>1</v>
      </c>
      <c r="C44" s="183">
        <f>E44</f>
        <v>42012</v>
      </c>
      <c r="D44" s="183" t="s">
        <v>1509</v>
      </c>
      <c r="E44" s="37">
        <v>42012</v>
      </c>
      <c r="F44" s="40" t="s">
        <v>409</v>
      </c>
      <c r="G44" s="479" t="s">
        <v>410</v>
      </c>
      <c r="H44" s="7" t="s">
        <v>837</v>
      </c>
      <c r="I44" s="255">
        <v>7200</v>
      </c>
      <c r="J44" s="255">
        <v>7400</v>
      </c>
      <c r="K44" s="593">
        <f>ROUND(I44*J44,0)</f>
        <v>53280000</v>
      </c>
      <c r="L44" s="594" t="s">
        <v>259</v>
      </c>
      <c r="M44" s="594" t="s">
        <v>174</v>
      </c>
      <c r="N44" s="52" t="str">
        <f>IF(AND('331-CT'!$E$7=TH!H44,OR(L44="331",M44="331")),"331",IF(AND(OR(L44="131",M44="131"),H44='131-CT'!$E$7),"131",""))</f>
        <v/>
      </c>
      <c r="O44" s="86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99"/>
      <c r="AB44" s="585"/>
    </row>
    <row r="45" spans="1:28" ht="15.75" customHeight="1">
      <c r="A45" s="203" t="str">
        <f>IF(B45&lt;&gt;"",IF(AND(B45&gt;=_TM1,B45&lt;=_TM2,OR(TH!L45="1111",TH!M45="1111")),TH!D45,""),"")</f>
        <v/>
      </c>
      <c r="B45" s="36">
        <f>IF(C45&lt;&gt;"",MONTH(C45),"")</f>
        <v>1</v>
      </c>
      <c r="C45" s="183">
        <f>E45</f>
        <v>42012</v>
      </c>
      <c r="D45" s="183" t="s">
        <v>1509</v>
      </c>
      <c r="E45" s="37">
        <v>42012</v>
      </c>
      <c r="F45" s="40" t="s">
        <v>402</v>
      </c>
      <c r="G45" s="479" t="s">
        <v>410</v>
      </c>
      <c r="H45" s="7" t="s">
        <v>837</v>
      </c>
      <c r="I45" s="255"/>
      <c r="J45" s="255"/>
      <c r="K45" s="38">
        <v>5328000</v>
      </c>
      <c r="L45" s="594" t="s">
        <v>259</v>
      </c>
      <c r="M45" s="594" t="s">
        <v>371</v>
      </c>
      <c r="N45" s="52" t="str">
        <f>IF(AND('331-CT'!$E$7=TH!H45,OR(L45="331",M45="331")),"331",IF(AND(OR(L45="131",M45="131"),H45='131-CT'!$E$7),"131",""))</f>
        <v/>
      </c>
      <c r="O45" s="86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99"/>
      <c r="AB45" s="585"/>
    </row>
    <row r="46" spans="1:28" ht="15.75" customHeight="1">
      <c r="A46" s="203" t="str">
        <f>IF(B46&lt;&gt;"",IF(AND(B46&gt;=_TM1,B46&lt;=_TM2,OR(TH!L46="1111",TH!M46="1111")),TH!D46,""),"")</f>
        <v/>
      </c>
      <c r="B46" s="36">
        <f>IF(C46&lt;&gt;"",MONTH(C46),"")</f>
        <v>1</v>
      </c>
      <c r="C46" s="183">
        <f>E46</f>
        <v>42012</v>
      </c>
      <c r="D46" s="190" t="s">
        <v>1319</v>
      </c>
      <c r="E46" s="190">
        <v>42012</v>
      </c>
      <c r="F46" s="191" t="s">
        <v>1320</v>
      </c>
      <c r="G46" s="482" t="s">
        <v>332</v>
      </c>
      <c r="H46" s="7" t="s">
        <v>400</v>
      </c>
      <c r="I46" s="255"/>
      <c r="J46" s="255"/>
      <c r="K46" s="593">
        <v>21964668</v>
      </c>
      <c r="L46" s="193" t="s">
        <v>24</v>
      </c>
      <c r="M46" s="193" t="s">
        <v>259</v>
      </c>
      <c r="N46" s="52" t="str">
        <f>IF(AND('331-CT'!$E$7=TH!H46,OR(L46="331",M46="331")),"331",IF(AND(OR(L46="131",M46="131"),H46='131-CT'!$E$7),"131",""))</f>
        <v/>
      </c>
      <c r="O46" s="86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>x</v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99"/>
      <c r="AB46" s="210"/>
    </row>
    <row r="47" spans="1:28" ht="15.75" customHeight="1">
      <c r="A47" s="203" t="str">
        <f>IF(B47&lt;&gt;"",IF(AND(B47&gt;=_TM1,B47&lt;=_TM2,OR(TH!L47="1111",TH!M47="1111")),TH!D47,""),"")</f>
        <v/>
      </c>
      <c r="B47" s="36">
        <f>IF(C47&lt;&gt;"",MONTH(C47),"")</f>
        <v>1</v>
      </c>
      <c r="C47" s="183">
        <f>E47</f>
        <v>42012</v>
      </c>
      <c r="D47" s="183" t="s">
        <v>1324</v>
      </c>
      <c r="E47" s="190">
        <v>42012</v>
      </c>
      <c r="F47" s="188" t="s">
        <v>1325</v>
      </c>
      <c r="G47" s="482" t="s">
        <v>332</v>
      </c>
      <c r="H47" s="7" t="s">
        <v>1322</v>
      </c>
      <c r="I47" s="255"/>
      <c r="J47" s="255"/>
      <c r="K47" s="593">
        <v>37500000</v>
      </c>
      <c r="L47" s="594" t="s">
        <v>47</v>
      </c>
      <c r="M47" s="594" t="s">
        <v>24</v>
      </c>
      <c r="N47" s="52" t="str">
        <f>IF(AND('331-CT'!$E$7=TH!H47,OR(L47="331",M47="331")),"331",IF(AND(OR(L47="131",M47="131"),H47='131-CT'!$E$7),"131",""))</f>
        <v/>
      </c>
      <c r="O47" s="86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>x</v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>x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99"/>
      <c r="AB47" s="210"/>
    </row>
    <row r="48" spans="1:28" ht="15.75" customHeight="1">
      <c r="A48" s="203" t="str">
        <f>IF(B48&lt;&gt;"",IF(AND(B48&gt;=_TM1,B48&lt;=_TM2,OR(TH!L48="1111",TH!M48="1111")),TH!D48,""),"")</f>
        <v/>
      </c>
      <c r="B48" s="36">
        <f>IF(C48&lt;&gt;"",MONTH(C48),"")</f>
        <v>1</v>
      </c>
      <c r="C48" s="183">
        <f>E48</f>
        <v>42012</v>
      </c>
      <c r="D48" s="183"/>
      <c r="E48" s="190">
        <v>42012</v>
      </c>
      <c r="F48" s="188" t="s">
        <v>1351</v>
      </c>
      <c r="G48" s="482" t="s">
        <v>1353</v>
      </c>
      <c r="H48" s="7" t="s">
        <v>1350</v>
      </c>
      <c r="I48" s="255"/>
      <c r="J48" s="255"/>
      <c r="K48" s="593">
        <f>610233+185479+357233+242681</f>
        <v>1395626</v>
      </c>
      <c r="L48" s="594" t="s">
        <v>83</v>
      </c>
      <c r="M48" s="594" t="s">
        <v>47</v>
      </c>
      <c r="N48" s="52" t="str">
        <f>IF(AND('331-CT'!$E$7=TH!H48,OR(L48="331",M48="331")),"331",IF(AND(OR(L48="131",M48="131"),H48='131-CT'!$E$7),"131",""))</f>
        <v/>
      </c>
      <c r="O48" s="86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>x</v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>x</v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99"/>
      <c r="AB48" s="210"/>
    </row>
    <row r="49" spans="1:28" ht="15.75" customHeight="1">
      <c r="A49" s="203" t="str">
        <f>IF(B49&lt;&gt;"",IF(AND(B49&gt;=_TM1,B49&lt;=_TM2,OR(TH!L49="1111",TH!M49="1111")),TH!D49,""),"")</f>
        <v/>
      </c>
      <c r="B49" s="36">
        <f>IF(C49&lt;&gt;"",MONTH(C49),"")</f>
        <v>1</v>
      </c>
      <c r="C49" s="183">
        <f>E49</f>
        <v>42012</v>
      </c>
      <c r="D49" s="183"/>
      <c r="E49" s="190">
        <v>42012</v>
      </c>
      <c r="F49" s="188" t="s">
        <v>1352</v>
      </c>
      <c r="G49" s="482" t="s">
        <v>1353</v>
      </c>
      <c r="H49" s="7" t="s">
        <v>1350</v>
      </c>
      <c r="I49" s="255"/>
      <c r="J49" s="255"/>
      <c r="K49" s="593">
        <f>61023+18548+35724+24268</f>
        <v>139563</v>
      </c>
      <c r="L49" s="594" t="s">
        <v>9</v>
      </c>
      <c r="M49" s="594" t="s">
        <v>47</v>
      </c>
      <c r="N49" s="52" t="str">
        <f>IF(AND('331-CT'!$E$7=TH!H49,OR(L49="331",M49="331")),"331",IF(AND(OR(L49="131",M49="131"),H49='131-CT'!$E$7),"131",""))</f>
        <v/>
      </c>
      <c r="O49" s="86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>x</v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99"/>
      <c r="AB49" s="210"/>
    </row>
    <row r="50" spans="1:28" ht="15.75" customHeight="1">
      <c r="A50" s="203" t="str">
        <f>IF(B50&lt;&gt;"",IF(AND(B50&gt;=_TM1,B50&lt;=_TM2,OR(TH!L50="1111",TH!M50="1111")),TH!D50,""),"")</f>
        <v/>
      </c>
      <c r="B50" s="36">
        <f>IF(C50&lt;&gt;"",MONTH(C50),"")</f>
        <v>1</v>
      </c>
      <c r="C50" s="183">
        <f>E50</f>
        <v>42014</v>
      </c>
      <c r="D50" s="183" t="s">
        <v>1324</v>
      </c>
      <c r="E50" s="190">
        <v>42014</v>
      </c>
      <c r="F50" s="188" t="s">
        <v>1325</v>
      </c>
      <c r="G50" s="482" t="s">
        <v>332</v>
      </c>
      <c r="H50" s="7" t="s">
        <v>1322</v>
      </c>
      <c r="I50" s="255"/>
      <c r="J50" s="255"/>
      <c r="K50" s="593">
        <v>22000000</v>
      </c>
      <c r="L50" s="594" t="s">
        <v>47</v>
      </c>
      <c r="M50" s="594" t="s">
        <v>24</v>
      </c>
      <c r="N50" s="52" t="str">
        <f>IF(AND('331-CT'!$E$7=TH!H50,OR(L50="331",M50="331")),"331",IF(AND(OR(L50="131",M50="131"),H50='131-CT'!$E$7),"131",""))</f>
        <v/>
      </c>
      <c r="O50" s="86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>x</v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>x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99"/>
      <c r="AB50" s="210"/>
    </row>
    <row r="51" spans="1:28" ht="15.75" customHeight="1">
      <c r="A51" s="203" t="str">
        <f>IF(B51&lt;&gt;"",IF(AND(B51&gt;=_TM1,B51&lt;=_TM2,OR(TH!L51="1111",TH!M51="1111")),TH!D51,""),"")</f>
        <v/>
      </c>
      <c r="B51" s="36">
        <f>IF(C51&lt;&gt;"",MONTH(C51),"")</f>
        <v>1</v>
      </c>
      <c r="C51" s="183">
        <f>E51</f>
        <v>42017</v>
      </c>
      <c r="D51" s="183" t="s">
        <v>1510</v>
      </c>
      <c r="E51" s="183">
        <v>42017</v>
      </c>
      <c r="F51" s="188" t="s">
        <v>413</v>
      </c>
      <c r="G51" s="654" t="s">
        <v>411</v>
      </c>
      <c r="H51" s="7" t="s">
        <v>412</v>
      </c>
      <c r="I51" s="255">
        <v>503</v>
      </c>
      <c r="J51" s="255">
        <v>10500</v>
      </c>
      <c r="K51" s="593">
        <f>ROUND(I51*J51,0)</f>
        <v>5281500</v>
      </c>
      <c r="L51" s="594" t="s">
        <v>259</v>
      </c>
      <c r="M51" s="594" t="s">
        <v>174</v>
      </c>
      <c r="N51" s="52" t="str">
        <f>IF(AND('331-CT'!$E$7=TH!H51,OR(L51="331",M51="331")),"331",IF(AND(OR(L51="131",M51="131"),H51='131-CT'!$E$7),"131",""))</f>
        <v/>
      </c>
      <c r="O51" s="86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99"/>
      <c r="AB51" s="585"/>
    </row>
    <row r="52" spans="1:28" ht="15.75" customHeight="1">
      <c r="A52" s="203" t="str">
        <f>IF(B52&lt;&gt;"",IF(AND(B52&gt;=_TM1,B52&lt;=_TM2,OR(TH!L52="1111",TH!M52="1111")),TH!D52,""),"")</f>
        <v/>
      </c>
      <c r="B52" s="36">
        <f>IF(C52&lt;&gt;"",MONTH(C52),"")</f>
        <v>1</v>
      </c>
      <c r="C52" s="183">
        <f>E52</f>
        <v>42017</v>
      </c>
      <c r="D52" s="183" t="s">
        <v>1510</v>
      </c>
      <c r="E52" s="183">
        <v>42017</v>
      </c>
      <c r="F52" s="188" t="s">
        <v>413</v>
      </c>
      <c r="G52" s="654" t="s">
        <v>411</v>
      </c>
      <c r="H52" s="7" t="s">
        <v>412</v>
      </c>
      <c r="I52" s="255">
        <v>499</v>
      </c>
      <c r="J52" s="255">
        <v>10500</v>
      </c>
      <c r="K52" s="593">
        <f>ROUND(I52*J52,0)</f>
        <v>5239500</v>
      </c>
      <c r="L52" s="594" t="s">
        <v>259</v>
      </c>
      <c r="M52" s="594" t="s">
        <v>174</v>
      </c>
      <c r="N52" s="52" t="str">
        <f>IF(AND('331-CT'!$E$7=TH!H52,OR(L52="331",M52="331")),"331",IF(AND(OR(L52="131",M52="131"),H52='131-CT'!$E$7),"131",""))</f>
        <v/>
      </c>
      <c r="O52" s="86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99"/>
      <c r="AB52" s="585"/>
    </row>
    <row r="53" spans="1:28" ht="15.75" customHeight="1">
      <c r="A53" s="203" t="str">
        <f>IF(B53&lt;&gt;"",IF(AND(B53&gt;=_TM1,B53&lt;=_TM2,OR(TH!L53="1111",TH!M53="1111")),TH!D53,""),"")</f>
        <v/>
      </c>
      <c r="B53" s="36">
        <f>IF(C53&lt;&gt;"",MONTH(C53),"")</f>
        <v>1</v>
      </c>
      <c r="C53" s="183">
        <f>E53</f>
        <v>42017</v>
      </c>
      <c r="D53" s="183" t="s">
        <v>1510</v>
      </c>
      <c r="E53" s="37">
        <v>42017</v>
      </c>
      <c r="F53" s="40" t="s">
        <v>402</v>
      </c>
      <c r="G53" s="479" t="s">
        <v>411</v>
      </c>
      <c r="H53" s="45" t="s">
        <v>412</v>
      </c>
      <c r="I53" s="255"/>
      <c r="J53" s="255"/>
      <c r="K53" s="38">
        <v>1052100</v>
      </c>
      <c r="L53" s="594" t="s">
        <v>259</v>
      </c>
      <c r="M53" s="594" t="s">
        <v>371</v>
      </c>
      <c r="N53" s="52" t="str">
        <f>IF(AND('331-CT'!$E$7=TH!H53,OR(L53="331",M53="331")),"331",IF(AND(OR(L53="131",M53="131"),H53='131-CT'!$E$7),"131",""))</f>
        <v/>
      </c>
      <c r="O53" s="86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99"/>
      <c r="AB53" s="585"/>
    </row>
    <row r="54" spans="1:28" ht="15.75" customHeight="1">
      <c r="A54" s="203" t="str">
        <f>IF(B54&lt;&gt;"",IF(AND(B54&gt;=_TM1,B54&lt;=_TM2,OR(TH!L54="1111",TH!M54="1111")),TH!D54,""),"")</f>
        <v/>
      </c>
      <c r="B54" s="36">
        <f>IF(C54&lt;&gt;"",MONTH(C54),"")</f>
        <v>1</v>
      </c>
      <c r="C54" s="183">
        <f>E54</f>
        <v>42018</v>
      </c>
      <c r="D54" s="183" t="s">
        <v>1511</v>
      </c>
      <c r="E54" s="37">
        <v>42018</v>
      </c>
      <c r="F54" s="40" t="s">
        <v>414</v>
      </c>
      <c r="G54" s="479" t="s">
        <v>415</v>
      </c>
      <c r="H54" s="45" t="s">
        <v>416</v>
      </c>
      <c r="I54" s="255">
        <v>27</v>
      </c>
      <c r="J54" s="255">
        <v>49000</v>
      </c>
      <c r="K54" s="593">
        <f>ROUND(I54*J54,0)</f>
        <v>1323000</v>
      </c>
      <c r="L54" s="594" t="s">
        <v>259</v>
      </c>
      <c r="M54" s="594" t="s">
        <v>174</v>
      </c>
      <c r="N54" s="52" t="str">
        <f>IF(AND('331-CT'!$E$7=TH!H54,OR(L54="331",M54="331")),"331",IF(AND(OR(L54="131",M54="131"),H54='131-CT'!$E$7),"131",""))</f>
        <v/>
      </c>
      <c r="O54" s="86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99"/>
      <c r="AB54" s="585"/>
    </row>
    <row r="55" spans="1:28" ht="15.75" customHeight="1">
      <c r="A55" s="203" t="str">
        <f>IF(B55&lt;&gt;"",IF(AND(B55&gt;=_TM1,B55&lt;=_TM2,OR(TH!L55="1111",TH!M55="1111")),TH!D55,""),"")</f>
        <v/>
      </c>
      <c r="B55" s="36">
        <f>IF(C55&lt;&gt;"",MONTH(C55),"")</f>
        <v>1</v>
      </c>
      <c r="C55" s="183">
        <f>E55</f>
        <v>42018</v>
      </c>
      <c r="D55" s="183" t="s">
        <v>1511</v>
      </c>
      <c r="E55" s="183">
        <v>42018</v>
      </c>
      <c r="F55" s="188" t="s">
        <v>417</v>
      </c>
      <c r="G55" s="654" t="s">
        <v>415</v>
      </c>
      <c r="H55" s="7" t="s">
        <v>416</v>
      </c>
      <c r="I55" s="255">
        <v>67</v>
      </c>
      <c r="J55" s="255">
        <v>42300</v>
      </c>
      <c r="K55" s="593">
        <f>ROUND(I55*J55,0)</f>
        <v>2834100</v>
      </c>
      <c r="L55" s="594" t="s">
        <v>259</v>
      </c>
      <c r="M55" s="594" t="s">
        <v>174</v>
      </c>
      <c r="N55" s="52" t="str">
        <f>IF(AND('331-CT'!$E$7=TH!H55,OR(L55="331",M55="331")),"331",IF(AND(OR(L55="131",M55="131"),H55='131-CT'!$E$7),"131",""))</f>
        <v/>
      </c>
      <c r="O55" s="86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99"/>
      <c r="AB55" s="585"/>
    </row>
    <row r="56" spans="1:28" ht="15.75" customHeight="1">
      <c r="A56" s="203" t="str">
        <f>IF(B56&lt;&gt;"",IF(AND(B56&gt;=_TM1,B56&lt;=_TM2,OR(TH!L56="1111",TH!M56="1111")),TH!D56,""),"")</f>
        <v/>
      </c>
      <c r="B56" s="36">
        <f>IF(C56&lt;&gt;"",MONTH(C56),"")</f>
        <v>1</v>
      </c>
      <c r="C56" s="183">
        <f>E56</f>
        <v>42018</v>
      </c>
      <c r="D56" s="183" t="s">
        <v>1511</v>
      </c>
      <c r="E56" s="183">
        <v>42018</v>
      </c>
      <c r="F56" s="188" t="s">
        <v>418</v>
      </c>
      <c r="G56" s="654" t="s">
        <v>415</v>
      </c>
      <c r="H56" s="7" t="s">
        <v>416</v>
      </c>
      <c r="I56" s="255">
        <v>85</v>
      </c>
      <c r="J56" s="255">
        <v>32900</v>
      </c>
      <c r="K56" s="593">
        <f>ROUND(I56*J56,0)</f>
        <v>2796500</v>
      </c>
      <c r="L56" s="594" t="s">
        <v>259</v>
      </c>
      <c r="M56" s="594" t="s">
        <v>174</v>
      </c>
      <c r="N56" s="52" t="str">
        <f>IF(AND('331-CT'!$E$7=TH!H56,OR(L56="331",M56="331")),"331",IF(AND(OR(L56="131",M56="131"),H56='131-CT'!$E$7),"131",""))</f>
        <v/>
      </c>
      <c r="O56" s="86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99"/>
      <c r="AB56" s="585"/>
    </row>
    <row r="57" spans="1:28" ht="15.75" customHeight="1">
      <c r="A57" s="203" t="str">
        <f>IF(B57&lt;&gt;"",IF(AND(B57&gt;=_TM1,B57&lt;=_TM2,OR(TH!L57="1111",TH!M57="1111")),TH!D57,""),"")</f>
        <v/>
      </c>
      <c r="B57" s="36">
        <f>IF(C57&lt;&gt;"",MONTH(C57),"")</f>
        <v>1</v>
      </c>
      <c r="C57" s="183">
        <f>E57</f>
        <v>42018</v>
      </c>
      <c r="D57" s="183" t="s">
        <v>1511</v>
      </c>
      <c r="E57" s="183">
        <v>42018</v>
      </c>
      <c r="F57" s="188" t="s">
        <v>419</v>
      </c>
      <c r="G57" s="654" t="s">
        <v>415</v>
      </c>
      <c r="H57" s="7" t="s">
        <v>416</v>
      </c>
      <c r="I57" s="255">
        <v>572</v>
      </c>
      <c r="J57" s="255">
        <v>22300</v>
      </c>
      <c r="K57" s="593">
        <f>ROUND(I57*J57,0)</f>
        <v>12755600</v>
      </c>
      <c r="L57" s="594" t="s">
        <v>259</v>
      </c>
      <c r="M57" s="594" t="s">
        <v>174</v>
      </c>
      <c r="N57" s="52" t="str">
        <f>IF(AND('331-CT'!$E$7=TH!H57,OR(L57="331",M57="331")),"331",IF(AND(OR(L57="131",M57="131"),H57='131-CT'!$E$7),"131",""))</f>
        <v/>
      </c>
      <c r="O57" s="86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99"/>
      <c r="AB57" s="585"/>
    </row>
    <row r="58" spans="1:28" ht="15.75" customHeight="1">
      <c r="A58" s="203" t="str">
        <f>IF(B58&lt;&gt;"",IF(AND(B58&gt;=_TM1,B58&lt;=_TM2,OR(TH!L58="1111",TH!M58="1111")),TH!D58,""),"")</f>
        <v/>
      </c>
      <c r="B58" s="36">
        <f>IF(C58&lt;&gt;"",MONTH(C58),"")</f>
        <v>1</v>
      </c>
      <c r="C58" s="183">
        <f>E58</f>
        <v>42018</v>
      </c>
      <c r="D58" s="183" t="s">
        <v>1511</v>
      </c>
      <c r="E58" s="183">
        <v>42018</v>
      </c>
      <c r="F58" s="188" t="s">
        <v>1652</v>
      </c>
      <c r="G58" s="654" t="s">
        <v>415</v>
      </c>
      <c r="H58" s="7" t="s">
        <v>416</v>
      </c>
      <c r="I58" s="255">
        <v>358</v>
      </c>
      <c r="J58" s="255">
        <v>1500</v>
      </c>
      <c r="K58" s="593">
        <f>ROUND(I58*J58,0)</f>
        <v>537000</v>
      </c>
      <c r="L58" s="594" t="s">
        <v>259</v>
      </c>
      <c r="M58" s="594" t="s">
        <v>174</v>
      </c>
      <c r="N58" s="52" t="str">
        <f>IF(AND('331-CT'!$E$7=TH!H58,OR(L58="331",M58="331")),"331",IF(AND(OR(L58="131",M58="131"),H58='131-CT'!$E$7),"131",""))</f>
        <v/>
      </c>
      <c r="O58" s="86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99"/>
      <c r="AB58" s="585"/>
    </row>
    <row r="59" spans="1:28" ht="15.75" customHeight="1">
      <c r="A59" s="203" t="str">
        <f>IF(B59&lt;&gt;"",IF(AND(B59&gt;=_TM1,B59&lt;=_TM2,OR(TH!L59="1111",TH!M59="1111")),TH!D59,""),"")</f>
        <v/>
      </c>
      <c r="B59" s="36">
        <f>IF(C59&lt;&gt;"",MONTH(C59),"")</f>
        <v>1</v>
      </c>
      <c r="C59" s="183">
        <f>E59</f>
        <v>42018</v>
      </c>
      <c r="D59" s="183" t="s">
        <v>1511</v>
      </c>
      <c r="E59" s="183">
        <v>42018</v>
      </c>
      <c r="F59" s="188" t="s">
        <v>1653</v>
      </c>
      <c r="G59" s="654" t="s">
        <v>415</v>
      </c>
      <c r="H59" s="7" t="s">
        <v>416</v>
      </c>
      <c r="I59" s="255">
        <v>1144</v>
      </c>
      <c r="J59" s="255">
        <v>1023</v>
      </c>
      <c r="K59" s="593">
        <f>ROUND(I59*J59,0)</f>
        <v>1170312</v>
      </c>
      <c r="L59" s="594" t="s">
        <v>259</v>
      </c>
      <c r="M59" s="594" t="s">
        <v>174</v>
      </c>
      <c r="N59" s="52" t="str">
        <f>IF(AND('331-CT'!$E$7=TH!H59,OR(L59="331",M59="331")),"331",IF(AND(OR(L59="131",M59="131"),H59='131-CT'!$E$7),"131",""))</f>
        <v/>
      </c>
      <c r="O59" s="86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99"/>
      <c r="AB59" s="585"/>
    </row>
    <row r="60" spans="1:28" ht="15.75" customHeight="1">
      <c r="A60" s="203" t="str">
        <f>IF(B60&lt;&gt;"",IF(AND(B60&gt;=_TM1,B60&lt;=_TM2,OR(TH!L60="1111",TH!M60="1111")),TH!D60,""),"")</f>
        <v/>
      </c>
      <c r="B60" s="36">
        <f>IF(C60&lt;&gt;"",MONTH(C60),"")</f>
        <v>1</v>
      </c>
      <c r="C60" s="183">
        <f>E60</f>
        <v>42018</v>
      </c>
      <c r="D60" s="183" t="s">
        <v>1511</v>
      </c>
      <c r="E60" s="183">
        <v>42018</v>
      </c>
      <c r="F60" s="188" t="s">
        <v>402</v>
      </c>
      <c r="G60" s="654" t="s">
        <v>415</v>
      </c>
      <c r="H60" s="7" t="s">
        <v>416</v>
      </c>
      <c r="I60" s="255"/>
      <c r="J60" s="255"/>
      <c r="K60" s="38">
        <v>2141651</v>
      </c>
      <c r="L60" s="594" t="s">
        <v>259</v>
      </c>
      <c r="M60" s="594" t="s">
        <v>371</v>
      </c>
      <c r="N60" s="52" t="str">
        <f>IF(AND('331-CT'!$E$7=TH!H60,OR(L60="331",M60="331")),"331",IF(AND(OR(L60="131",M60="131"),H60='131-CT'!$E$7),"131",""))</f>
        <v/>
      </c>
      <c r="O60" s="86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99"/>
      <c r="AB60" s="585"/>
    </row>
    <row r="61" spans="1:28" ht="15.75" customHeight="1">
      <c r="A61" s="203" t="str">
        <f>IF(B61&lt;&gt;"",IF(AND(B61&gt;=_TM1,B61&lt;=_TM2,OR(TH!L61="1111",TH!M61="1111")),TH!D61,""),"")</f>
        <v/>
      </c>
      <c r="B61" s="36">
        <f>IF(C61&lt;&gt;"",MONTH(C61),"")</f>
        <v>1</v>
      </c>
      <c r="C61" s="183">
        <f>E61</f>
        <v>42023</v>
      </c>
      <c r="D61" s="190" t="s">
        <v>1319</v>
      </c>
      <c r="E61" s="190">
        <v>42023</v>
      </c>
      <c r="F61" s="191" t="s">
        <v>1320</v>
      </c>
      <c r="G61" s="482" t="s">
        <v>332</v>
      </c>
      <c r="H61" s="7" t="s">
        <v>453</v>
      </c>
      <c r="I61" s="255"/>
      <c r="J61" s="255"/>
      <c r="K61" s="593">
        <v>17341830</v>
      </c>
      <c r="L61" s="193" t="s">
        <v>24</v>
      </c>
      <c r="M61" s="193" t="s">
        <v>259</v>
      </c>
      <c r="N61" s="52" t="str">
        <f>IF(AND('331-CT'!$E$7=TH!H61,OR(L61="331",M61="331")),"331",IF(AND(OR(L61="131",M61="131"),H61='131-CT'!$E$7),"131",""))</f>
        <v/>
      </c>
      <c r="O61" s="86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>x</v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99"/>
      <c r="AB61" s="210"/>
    </row>
    <row r="62" spans="1:28" s="585" customFormat="1" ht="15.75" customHeight="1">
      <c r="A62" s="203" t="str">
        <f>IF(B62&lt;&gt;"",IF(AND(B62&gt;=_TM1,B62&lt;=_TM2,OR(TH!L62="1111",TH!M62="1111")),TH!D62,""),"")</f>
        <v/>
      </c>
      <c r="B62" s="36">
        <f>IF(C62&lt;&gt;"",MONTH(C62),"")</f>
        <v>1</v>
      </c>
      <c r="C62" s="183">
        <f>E62</f>
        <v>42024</v>
      </c>
      <c r="D62" s="183" t="s">
        <v>1512</v>
      </c>
      <c r="E62" s="183">
        <v>42024</v>
      </c>
      <c r="F62" s="188" t="s">
        <v>420</v>
      </c>
      <c r="G62" s="595" t="s">
        <v>421</v>
      </c>
      <c r="H62" s="44" t="s">
        <v>422</v>
      </c>
      <c r="I62" s="255">
        <v>220</v>
      </c>
      <c r="J62" s="255">
        <v>15160</v>
      </c>
      <c r="K62" s="593">
        <f>ROUND(I62*J62,0)</f>
        <v>3335200</v>
      </c>
      <c r="L62" s="594" t="s">
        <v>259</v>
      </c>
      <c r="M62" s="594" t="s">
        <v>174</v>
      </c>
      <c r="N62" s="52" t="str">
        <f>IF(AND('331-CT'!$E$7=TH!H62,OR(L62="331",M62="331")),"331",IF(AND(OR(L62="131",M62="131"),H62='131-CT'!$E$7),"131",""))</f>
        <v/>
      </c>
      <c r="O62" s="86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99"/>
    </row>
    <row r="63" spans="1:28" s="585" customFormat="1" ht="15.75" customHeight="1">
      <c r="A63" s="203" t="str">
        <f>IF(B63&lt;&gt;"",IF(AND(B63&gt;=_TM1,B63&lt;=_TM2,OR(TH!L63="1111",TH!M63="1111")),TH!D63,""),"")</f>
        <v/>
      </c>
      <c r="B63" s="36">
        <f>IF(C63&lt;&gt;"",MONTH(C63),"")</f>
        <v>1</v>
      </c>
      <c r="C63" s="183">
        <f>E63</f>
        <v>42024</v>
      </c>
      <c r="D63" s="183" t="s">
        <v>1512</v>
      </c>
      <c r="E63" s="183">
        <v>42024</v>
      </c>
      <c r="F63" s="188" t="s">
        <v>402</v>
      </c>
      <c r="G63" s="654" t="s">
        <v>421</v>
      </c>
      <c r="H63" s="7" t="s">
        <v>422</v>
      </c>
      <c r="I63" s="255"/>
      <c r="J63" s="255"/>
      <c r="K63" s="593">
        <v>333520</v>
      </c>
      <c r="L63" s="594" t="s">
        <v>259</v>
      </c>
      <c r="M63" s="594" t="s">
        <v>371</v>
      </c>
      <c r="N63" s="52" t="str">
        <f>IF(AND('331-CT'!$E$7=TH!H63,OR(L63="331",M63="331")),"331",IF(AND(OR(L63="131",M63="131"),H63='131-CT'!$E$7),"131",""))</f>
        <v/>
      </c>
      <c r="O63" s="86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99"/>
    </row>
    <row r="64" spans="1:28" s="585" customFormat="1" ht="15.75" customHeight="1">
      <c r="A64" s="203" t="str">
        <f>IF(B64&lt;&gt;"",IF(AND(B64&gt;=_TM1,B64&lt;=_TM2,OR(TH!L64="1111",TH!M64="1111")),TH!D64,""),"")</f>
        <v/>
      </c>
      <c r="B64" s="36">
        <f>IF(C64&lt;&gt;"",MONTH(C64),"")</f>
        <v>1</v>
      </c>
      <c r="C64" s="183">
        <f>E64</f>
        <v>42024</v>
      </c>
      <c r="D64" s="183" t="s">
        <v>1512</v>
      </c>
      <c r="E64" s="183">
        <v>42024</v>
      </c>
      <c r="F64" s="191" t="s">
        <v>1320</v>
      </c>
      <c r="G64" s="654" t="s">
        <v>421</v>
      </c>
      <c r="H64" s="7" t="s">
        <v>422</v>
      </c>
      <c r="I64" s="255"/>
      <c r="J64" s="255"/>
      <c r="K64" s="593">
        <v>3668720</v>
      </c>
      <c r="L64" s="594" t="s">
        <v>47</v>
      </c>
      <c r="M64" s="594" t="s">
        <v>259</v>
      </c>
      <c r="N64" s="52" t="str">
        <f>IF(AND('331-CT'!$E$7=TH!H64,OR(L64="331",M64="331")),"331",IF(AND(OR(L64="131",M64="131"),H64='131-CT'!$E$7),"131",""))</f>
        <v/>
      </c>
      <c r="O64" s="86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99"/>
    </row>
    <row r="65" spans="1:28" s="210" customFormat="1" ht="15.75" customHeight="1">
      <c r="A65" s="203" t="str">
        <f>IF(B65&lt;&gt;"",IF(AND(B65&gt;=_TM1,B65&lt;=_TM2,OR(TH!L65="1111",TH!M65="1111")),TH!D65,""),"")</f>
        <v/>
      </c>
      <c r="B65" s="36">
        <f>IF(C65&lt;&gt;"",MONTH(C65),"")</f>
        <v>1</v>
      </c>
      <c r="C65" s="183">
        <f>E65</f>
        <v>42024</v>
      </c>
      <c r="D65" s="183" t="s">
        <v>1513</v>
      </c>
      <c r="E65" s="183">
        <v>42024</v>
      </c>
      <c r="F65" s="188" t="s">
        <v>405</v>
      </c>
      <c r="G65" s="654" t="s">
        <v>423</v>
      </c>
      <c r="H65" s="7" t="s">
        <v>407</v>
      </c>
      <c r="I65" s="255">
        <v>455</v>
      </c>
      <c r="J65" s="255">
        <v>9200</v>
      </c>
      <c r="K65" s="593">
        <f>ROUND(I65*J65,0)</f>
        <v>4186000</v>
      </c>
      <c r="L65" s="594" t="s">
        <v>259</v>
      </c>
      <c r="M65" s="594" t="s">
        <v>174</v>
      </c>
      <c r="N65" s="52" t="str">
        <f>IF(AND('331-CT'!$E$7=TH!H65,OR(L65="331",M65="331")),"331",IF(AND(OR(L65="131",M65="131"),H65='131-CT'!$E$7),"131",""))</f>
        <v/>
      </c>
      <c r="O65" s="86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99"/>
      <c r="AB65" s="585"/>
    </row>
    <row r="66" spans="1:28" s="210" customFormat="1" ht="15.75" customHeight="1">
      <c r="A66" s="203" t="str">
        <f>IF(B66&lt;&gt;"",IF(AND(B66&gt;=_TM1,B66&lt;=_TM2,OR(TH!L66="1111",TH!M66="1111")),TH!D66,""),"")</f>
        <v/>
      </c>
      <c r="B66" s="36">
        <f>IF(C66&lt;&gt;"",MONTH(C66),"")</f>
        <v>1</v>
      </c>
      <c r="C66" s="183">
        <f>E66</f>
        <v>42024</v>
      </c>
      <c r="D66" s="183" t="s">
        <v>1513</v>
      </c>
      <c r="E66" s="183">
        <v>42024</v>
      </c>
      <c r="F66" s="188" t="s">
        <v>408</v>
      </c>
      <c r="G66" s="654" t="s">
        <v>423</v>
      </c>
      <c r="H66" s="7" t="s">
        <v>407</v>
      </c>
      <c r="I66" s="255">
        <v>51</v>
      </c>
      <c r="J66" s="255">
        <v>8400</v>
      </c>
      <c r="K66" s="593">
        <f>ROUND(I66*J66,0)</f>
        <v>428400</v>
      </c>
      <c r="L66" s="594" t="s">
        <v>259</v>
      </c>
      <c r="M66" s="594" t="s">
        <v>174</v>
      </c>
      <c r="N66" s="52" t="str">
        <f>IF(AND('331-CT'!$E$7=TH!H66,OR(L66="331",M66="331")),"331",IF(AND(OR(L66="131",M66="131"),H66='131-CT'!$E$7),"131",""))</f>
        <v/>
      </c>
      <c r="O66" s="86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99"/>
      <c r="AB66" s="585"/>
    </row>
    <row r="67" spans="1:28" s="585" customFormat="1" ht="15.75" customHeight="1">
      <c r="A67" s="203" t="str">
        <f>IF(B67&lt;&gt;"",IF(AND(B67&gt;=_TM1,B67&lt;=_TM2,OR(TH!L67="1111",TH!M67="1111")),TH!D67,""),"")</f>
        <v/>
      </c>
      <c r="B67" s="36">
        <f>IF(C67&lt;&gt;"",MONTH(C67),"")</f>
        <v>1</v>
      </c>
      <c r="C67" s="183">
        <f>E67</f>
        <v>42024</v>
      </c>
      <c r="D67" s="183" t="s">
        <v>1513</v>
      </c>
      <c r="E67" s="183">
        <v>42024</v>
      </c>
      <c r="F67" s="188" t="s">
        <v>402</v>
      </c>
      <c r="G67" s="654" t="s">
        <v>423</v>
      </c>
      <c r="H67" s="7" t="s">
        <v>407</v>
      </c>
      <c r="I67" s="255"/>
      <c r="J67" s="255"/>
      <c r="K67" s="593">
        <v>461440</v>
      </c>
      <c r="L67" s="594" t="s">
        <v>259</v>
      </c>
      <c r="M67" s="594" t="s">
        <v>371</v>
      </c>
      <c r="N67" s="52" t="str">
        <f>IF(AND('331-CT'!$E$7=TH!H67,OR(L67="331",M67="331")),"331",IF(AND(OR(L67="131",M67="131"),H67='131-CT'!$E$7),"131",""))</f>
        <v/>
      </c>
      <c r="O67" s="86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99"/>
    </row>
    <row r="68" spans="1:28" s="585" customFormat="1" ht="15.75" customHeight="1">
      <c r="A68" s="203" t="str">
        <f>IF(B68&lt;&gt;"",IF(AND(B68&gt;=_TM1,B68&lt;=_TM2,OR(TH!L68="1111",TH!M68="1111")),TH!D68,""),"")</f>
        <v/>
      </c>
      <c r="B68" s="36">
        <f>IF(C68&lt;&gt;"",MONTH(C68),"")</f>
        <v>1</v>
      </c>
      <c r="C68" s="183">
        <f>E68</f>
        <v>42024</v>
      </c>
      <c r="D68" s="183" t="s">
        <v>1514</v>
      </c>
      <c r="E68" s="183">
        <v>42024</v>
      </c>
      <c r="F68" s="188" t="s">
        <v>424</v>
      </c>
      <c r="G68" s="654" t="s">
        <v>425</v>
      </c>
      <c r="H68" s="7" t="s">
        <v>407</v>
      </c>
      <c r="I68" s="255">
        <v>1934</v>
      </c>
      <c r="J68" s="255">
        <v>8300</v>
      </c>
      <c r="K68" s="593">
        <f>ROUND(I68*J68,0)</f>
        <v>16052200</v>
      </c>
      <c r="L68" s="594" t="s">
        <v>259</v>
      </c>
      <c r="M68" s="594" t="s">
        <v>174</v>
      </c>
      <c r="N68" s="52" t="str">
        <f>IF(AND('331-CT'!$E$7=TH!H68,OR(L68="331",M68="331")),"331",IF(AND(OR(L68="131",M68="131"),H68='131-CT'!$E$7),"131",""))</f>
        <v/>
      </c>
      <c r="O68" s="86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99"/>
    </row>
    <row r="69" spans="1:28" s="585" customFormat="1" ht="15.75" customHeight="1">
      <c r="A69" s="203" t="str">
        <f>IF(B69&lt;&gt;"",IF(AND(B69&gt;=_TM1,B69&lt;=_TM2,OR(TH!L69="1111",TH!M69="1111")),TH!D69,""),"")</f>
        <v/>
      </c>
      <c r="B69" s="36">
        <f>IF(C69&lt;&gt;"",MONTH(C69),"")</f>
        <v>1</v>
      </c>
      <c r="C69" s="183">
        <f>E69</f>
        <v>42024</v>
      </c>
      <c r="D69" s="183" t="s">
        <v>1514</v>
      </c>
      <c r="E69" s="183">
        <v>42024</v>
      </c>
      <c r="F69" s="188" t="s">
        <v>402</v>
      </c>
      <c r="G69" s="654" t="s">
        <v>425</v>
      </c>
      <c r="H69" s="7" t="s">
        <v>407</v>
      </c>
      <c r="I69" s="255"/>
      <c r="J69" s="255"/>
      <c r="K69" s="593">
        <v>1605220</v>
      </c>
      <c r="L69" s="594" t="s">
        <v>259</v>
      </c>
      <c r="M69" s="594" t="s">
        <v>371</v>
      </c>
      <c r="N69" s="52" t="str">
        <f>IF(AND('331-CT'!$E$7=TH!H69,OR(L69="331",M69="331")),"331",IF(AND(OR(L69="131",M69="131"),H69='131-CT'!$E$7),"131",""))</f>
        <v/>
      </c>
      <c r="O69" s="86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99"/>
    </row>
    <row r="70" spans="1:28" s="585" customFormat="1" ht="15.75" customHeight="1">
      <c r="A70" s="203" t="str">
        <f>IF(B70&lt;&gt;"",IF(AND(B70&gt;=_TM1,B70&lt;=_TM2,OR(TH!L70="1111",TH!M70="1111")),TH!D70,""),"")</f>
        <v/>
      </c>
      <c r="B70" s="36">
        <f>IF(C70&lt;&gt;"",MONTH(C70),"")</f>
        <v>1</v>
      </c>
      <c r="C70" s="183">
        <f>E70</f>
        <v>42024</v>
      </c>
      <c r="D70" s="190" t="s">
        <v>1319</v>
      </c>
      <c r="E70" s="190">
        <v>42024</v>
      </c>
      <c r="F70" s="191" t="s">
        <v>1320</v>
      </c>
      <c r="G70" s="482" t="s">
        <v>332</v>
      </c>
      <c r="H70" s="7" t="s">
        <v>435</v>
      </c>
      <c r="I70" s="255"/>
      <c r="J70" s="255"/>
      <c r="K70" s="593">
        <v>13387000</v>
      </c>
      <c r="L70" s="193" t="s">
        <v>24</v>
      </c>
      <c r="M70" s="193" t="s">
        <v>259</v>
      </c>
      <c r="N70" s="52" t="str">
        <f>IF(AND('331-CT'!$E$7=TH!H70,OR(L70="331",M70="331")),"331",IF(AND(OR(L70="131",M70="131"),H70='131-CT'!$E$7),"131",""))</f>
        <v/>
      </c>
      <c r="O70" s="86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>x</v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99"/>
      <c r="AB70" s="210"/>
    </row>
    <row r="71" spans="1:28" s="585" customFormat="1" ht="15.75" customHeight="1">
      <c r="A71" s="203" t="str">
        <f>IF(B71&lt;&gt;"",IF(AND(B71&gt;=_TM1,B71&lt;=_TM2,OR(TH!L71="1111",TH!M71="1111")),TH!D71,""),"")</f>
        <v/>
      </c>
      <c r="B71" s="36">
        <f>IF(C71&lt;&gt;"",MONTH(C71),"")</f>
        <v>1</v>
      </c>
      <c r="C71" s="183">
        <f>E71</f>
        <v>42024</v>
      </c>
      <c r="D71" s="190" t="s">
        <v>1319</v>
      </c>
      <c r="E71" s="190">
        <v>42024</v>
      </c>
      <c r="F71" s="191" t="s">
        <v>1320</v>
      </c>
      <c r="G71" s="482" t="s">
        <v>332</v>
      </c>
      <c r="H71" s="7" t="s">
        <v>837</v>
      </c>
      <c r="I71" s="255"/>
      <c r="J71" s="255"/>
      <c r="K71" s="593">
        <v>40000000</v>
      </c>
      <c r="L71" s="193" t="s">
        <v>24</v>
      </c>
      <c r="M71" s="193" t="s">
        <v>259</v>
      </c>
      <c r="N71" s="52" t="str">
        <f>IF(AND('331-CT'!$E$7=TH!H71,OR(L71="331",M71="331")),"331",IF(AND(OR(L71="131",M71="131"),H71='131-CT'!$E$7),"131",""))</f>
        <v/>
      </c>
      <c r="O71" s="86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>x</v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99"/>
      <c r="AB71" s="210"/>
    </row>
    <row r="72" spans="1:28" s="585" customFormat="1" ht="15.75" customHeight="1">
      <c r="A72" s="203" t="str">
        <f>IF(B72&lt;&gt;"",IF(AND(B72&gt;=_TM1,B72&lt;=_TM2,OR(TH!L72="1111",TH!M72="1111")),TH!D72,""),"")</f>
        <v/>
      </c>
      <c r="B72" s="36">
        <f>IF(C72&lt;&gt;"",MONTH(C72),"")</f>
        <v>1</v>
      </c>
      <c r="C72" s="183">
        <f>E72</f>
        <v>42024</v>
      </c>
      <c r="D72" s="190" t="s">
        <v>1324</v>
      </c>
      <c r="E72" s="190">
        <v>42024</v>
      </c>
      <c r="F72" s="191" t="s">
        <v>1895</v>
      </c>
      <c r="G72" s="191" t="s">
        <v>1893</v>
      </c>
      <c r="H72" s="192"/>
      <c r="I72" s="255"/>
      <c r="J72" s="255"/>
      <c r="K72" s="593">
        <v>11000</v>
      </c>
      <c r="L72" s="193" t="s">
        <v>83</v>
      </c>
      <c r="M72" s="193" t="s">
        <v>24</v>
      </c>
      <c r="N72" s="52" t="str">
        <f>IF(AND('331-CT'!$E$7=TH!H72,OR(L72="331",M72="331")),"331",IF(AND(OR(L72="131",M72="131"),H72='131-CT'!$E$7),"131",""))</f>
        <v/>
      </c>
      <c r="O72" s="86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99"/>
      <c r="AB72" s="210"/>
    </row>
    <row r="73" spans="1:28" s="585" customFormat="1" ht="15.75" customHeight="1">
      <c r="A73" s="203" t="str">
        <f>IF(B73&lt;&gt;"",IF(AND(B73&gt;=_TM1,B73&lt;=_TM2,OR(TH!L73="1111",TH!M73="1111")),TH!D73,""),"")</f>
        <v/>
      </c>
      <c r="B73" s="36">
        <f>IF(C73&lt;&gt;"",MONTH(C73),"")</f>
        <v>1</v>
      </c>
      <c r="C73" s="183">
        <f>E73</f>
        <v>42025</v>
      </c>
      <c r="D73" s="183" t="s">
        <v>1515</v>
      </c>
      <c r="E73" s="183">
        <v>42025</v>
      </c>
      <c r="F73" s="40" t="s">
        <v>426</v>
      </c>
      <c r="G73" s="654" t="s">
        <v>427</v>
      </c>
      <c r="H73" s="7" t="s">
        <v>407</v>
      </c>
      <c r="I73" s="255">
        <v>105</v>
      </c>
      <c r="J73" s="255">
        <v>10500</v>
      </c>
      <c r="K73" s="593">
        <f>ROUND(I73*J73,0)</f>
        <v>1102500</v>
      </c>
      <c r="L73" s="594" t="s">
        <v>259</v>
      </c>
      <c r="M73" s="594" t="s">
        <v>174</v>
      </c>
      <c r="N73" s="52" t="str">
        <f>IF(AND('331-CT'!$E$7=TH!H73,OR(L73="331",M73="331")),"331",IF(AND(OR(L73="131",M73="131"),H73='131-CT'!$E$7),"131",""))</f>
        <v/>
      </c>
      <c r="O73" s="86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99"/>
    </row>
    <row r="74" spans="1:28" s="585" customFormat="1" ht="15.75" customHeight="1">
      <c r="A74" s="203" t="str">
        <f>IF(B74&lt;&gt;"",IF(AND(B74&gt;=_TM1,B74&lt;=_TM2,OR(TH!L74="1111",TH!M74="1111")),TH!D74,""),"")</f>
        <v/>
      </c>
      <c r="B74" s="36">
        <f>IF(C74&lt;&gt;"",MONTH(C74),"")</f>
        <v>1</v>
      </c>
      <c r="C74" s="183">
        <f>E74</f>
        <v>42025</v>
      </c>
      <c r="D74" s="183" t="s">
        <v>1515</v>
      </c>
      <c r="E74" s="183">
        <v>42025</v>
      </c>
      <c r="F74" s="40" t="s">
        <v>428</v>
      </c>
      <c r="G74" s="654" t="s">
        <v>427</v>
      </c>
      <c r="H74" s="7" t="s">
        <v>407</v>
      </c>
      <c r="I74" s="255">
        <v>32</v>
      </c>
      <c r="J74" s="255">
        <v>13200</v>
      </c>
      <c r="K74" s="593">
        <f>ROUND(I74*J74,0)</f>
        <v>422400</v>
      </c>
      <c r="L74" s="594" t="s">
        <v>259</v>
      </c>
      <c r="M74" s="594" t="s">
        <v>174</v>
      </c>
      <c r="N74" s="52" t="str">
        <f>IF(AND('331-CT'!$E$7=TH!H74,OR(L74="331",M74="331")),"331",IF(AND(OR(L74="131",M74="131"),H74='131-CT'!$E$7),"131",""))</f>
        <v/>
      </c>
      <c r="O74" s="86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99"/>
    </row>
    <row r="75" spans="1:28" s="585" customFormat="1" ht="15.75" customHeight="1">
      <c r="A75" s="203" t="str">
        <f>IF(B75&lt;&gt;"",IF(AND(B75&gt;=_TM1,B75&lt;=_TM2,OR(TH!L75="1111",TH!M75="1111")),TH!D75,""),"")</f>
        <v/>
      </c>
      <c r="B75" s="36">
        <f>IF(C75&lt;&gt;"",MONTH(C75),"")</f>
        <v>1</v>
      </c>
      <c r="C75" s="183">
        <f>E75</f>
        <v>42025</v>
      </c>
      <c r="D75" s="183" t="s">
        <v>1515</v>
      </c>
      <c r="E75" s="183">
        <v>42025</v>
      </c>
      <c r="F75" s="188" t="s">
        <v>405</v>
      </c>
      <c r="G75" s="654" t="s">
        <v>427</v>
      </c>
      <c r="H75" s="7" t="s">
        <v>407</v>
      </c>
      <c r="I75" s="255">
        <v>102</v>
      </c>
      <c r="J75" s="255">
        <v>9200</v>
      </c>
      <c r="K75" s="593">
        <f>ROUND(I75*J75,0)</f>
        <v>938400</v>
      </c>
      <c r="L75" s="594" t="s">
        <v>259</v>
      </c>
      <c r="M75" s="594" t="s">
        <v>174</v>
      </c>
      <c r="N75" s="52" t="str">
        <f>IF(AND('331-CT'!$E$7=TH!H75,OR(L75="331",M75="331")),"331",IF(AND(OR(L75="131",M75="131"),H75='131-CT'!$E$7),"131",""))</f>
        <v/>
      </c>
      <c r="O75" s="86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99"/>
    </row>
    <row r="76" spans="1:28" s="585" customFormat="1" ht="15.75" customHeight="1">
      <c r="A76" s="203" t="str">
        <f>IF(B76&lt;&gt;"",IF(AND(B76&gt;=_TM1,B76&lt;=_TM2,OR(TH!L76="1111",TH!M76="1111")),TH!D76,""),"")</f>
        <v/>
      </c>
      <c r="B76" s="36">
        <f>IF(C76&lt;&gt;"",MONTH(C76),"")</f>
        <v>1</v>
      </c>
      <c r="C76" s="183">
        <f>E76</f>
        <v>42025</v>
      </c>
      <c r="D76" s="183" t="s">
        <v>1515</v>
      </c>
      <c r="E76" s="183">
        <v>42025</v>
      </c>
      <c r="F76" s="188" t="s">
        <v>429</v>
      </c>
      <c r="G76" s="654" t="s">
        <v>427</v>
      </c>
      <c r="H76" s="7" t="s">
        <v>407</v>
      </c>
      <c r="I76" s="255">
        <v>102</v>
      </c>
      <c r="J76" s="255">
        <v>9780</v>
      </c>
      <c r="K76" s="593">
        <f>ROUND(I76*J76,0)</f>
        <v>997560</v>
      </c>
      <c r="L76" s="594" t="s">
        <v>259</v>
      </c>
      <c r="M76" s="594" t="s">
        <v>174</v>
      </c>
      <c r="N76" s="52" t="str">
        <f>IF(AND('331-CT'!$E$7=TH!H76,OR(L76="331",M76="331")),"331",IF(AND(OR(L76="131",M76="131"),H76='131-CT'!$E$7),"131",""))</f>
        <v/>
      </c>
      <c r="O76" s="86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99"/>
    </row>
    <row r="77" spans="1:28" s="585" customFormat="1" ht="15.75" customHeight="1">
      <c r="A77" s="203" t="str">
        <f>IF(B77&lt;&gt;"",IF(AND(B77&gt;=_TM1,B77&lt;=_TM2,OR(TH!L77="1111",TH!M77="1111")),TH!D77,""),"")</f>
        <v/>
      </c>
      <c r="B77" s="36">
        <f>IF(C77&lt;&gt;"",MONTH(C77),"")</f>
        <v>1</v>
      </c>
      <c r="C77" s="183">
        <f>E77</f>
        <v>42025</v>
      </c>
      <c r="D77" s="183" t="s">
        <v>1515</v>
      </c>
      <c r="E77" s="183">
        <v>42025</v>
      </c>
      <c r="F77" s="188" t="s">
        <v>430</v>
      </c>
      <c r="G77" s="654" t="s">
        <v>427</v>
      </c>
      <c r="H77" s="7" t="s">
        <v>407</v>
      </c>
      <c r="I77" s="255">
        <v>40</v>
      </c>
      <c r="J77" s="255">
        <v>9900</v>
      </c>
      <c r="K77" s="593">
        <f>ROUND(I77*J77,0)</f>
        <v>396000</v>
      </c>
      <c r="L77" s="594" t="s">
        <v>259</v>
      </c>
      <c r="M77" s="594" t="s">
        <v>174</v>
      </c>
      <c r="N77" s="52" t="str">
        <f>IF(AND('331-CT'!$E$7=TH!H77,OR(L77="331",M77="331")),"331",IF(AND(OR(L77="131",M77="131"),H77='131-CT'!$E$7),"131",""))</f>
        <v/>
      </c>
      <c r="O77" s="86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99"/>
    </row>
    <row r="78" spans="1:28" s="585" customFormat="1" ht="15.75" customHeight="1">
      <c r="A78" s="203" t="str">
        <f>IF(B78&lt;&gt;"",IF(AND(B78&gt;=_TM1,B78&lt;=_TM2,OR(TH!L78="1111",TH!M78="1111")),TH!D78,""),"")</f>
        <v/>
      </c>
      <c r="B78" s="36">
        <f>IF(C78&lt;&gt;"",MONTH(C78),"")</f>
        <v>1</v>
      </c>
      <c r="C78" s="183">
        <f>E78</f>
        <v>42025</v>
      </c>
      <c r="D78" s="183" t="s">
        <v>1515</v>
      </c>
      <c r="E78" s="183">
        <v>42025</v>
      </c>
      <c r="F78" s="188" t="s">
        <v>424</v>
      </c>
      <c r="G78" s="654" t="s">
        <v>427</v>
      </c>
      <c r="H78" s="7" t="s">
        <v>407</v>
      </c>
      <c r="I78" s="255">
        <v>298</v>
      </c>
      <c r="J78" s="255">
        <v>7970</v>
      </c>
      <c r="K78" s="593">
        <f>ROUND(I78*J78,0)</f>
        <v>2375060</v>
      </c>
      <c r="L78" s="594" t="s">
        <v>259</v>
      </c>
      <c r="M78" s="594" t="s">
        <v>174</v>
      </c>
      <c r="N78" s="52" t="str">
        <f>IF(AND('331-CT'!$E$7=TH!H78,OR(L78="331",M78="331")),"331",IF(AND(OR(L78="131",M78="131"),H78='131-CT'!$E$7),"131",""))</f>
        <v/>
      </c>
      <c r="O78" s="86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99"/>
    </row>
    <row r="79" spans="1:28" s="585" customFormat="1" ht="15.75" customHeight="1">
      <c r="A79" s="203" t="str">
        <f>IF(B79&lt;&gt;"",IF(AND(B79&gt;=_TM1,B79&lt;=_TM2,OR(TH!L79="1111",TH!M79="1111")),TH!D79,""),"")</f>
        <v/>
      </c>
      <c r="B79" s="36">
        <f>IF(C79&lt;&gt;"",MONTH(C79),"")</f>
        <v>1</v>
      </c>
      <c r="C79" s="183">
        <f>E79</f>
        <v>42025</v>
      </c>
      <c r="D79" s="183" t="s">
        <v>1515</v>
      </c>
      <c r="E79" s="183">
        <v>42025</v>
      </c>
      <c r="F79" s="188" t="s">
        <v>431</v>
      </c>
      <c r="G79" s="654" t="s">
        <v>427</v>
      </c>
      <c r="H79" s="7" t="s">
        <v>407</v>
      </c>
      <c r="I79" s="255">
        <v>51</v>
      </c>
      <c r="J79" s="255">
        <v>11500</v>
      </c>
      <c r="K79" s="593">
        <f>ROUND(I79*J79,0)</f>
        <v>586500</v>
      </c>
      <c r="L79" s="594" t="s">
        <v>259</v>
      </c>
      <c r="M79" s="594" t="s">
        <v>174</v>
      </c>
      <c r="N79" s="52" t="str">
        <f>IF(AND('331-CT'!$E$7=TH!H79,OR(L79="331",M79="331")),"331",IF(AND(OR(L79="131",M79="131"),H79='131-CT'!$E$7),"131",""))</f>
        <v/>
      </c>
      <c r="O79" s="86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99"/>
    </row>
    <row r="80" spans="1:28" s="585" customFormat="1" ht="15.75" customHeight="1">
      <c r="A80" s="203" t="str">
        <f>IF(B80&lt;&gt;"",IF(AND(B80&gt;=_TM1,B80&lt;=_TM2,OR(TH!L80="1111",TH!M80="1111")),TH!D80,""),"")</f>
        <v/>
      </c>
      <c r="B80" s="36">
        <f>IF(C80&lt;&gt;"",MONTH(C80),"")</f>
        <v>1</v>
      </c>
      <c r="C80" s="183">
        <f>E80</f>
        <v>42025</v>
      </c>
      <c r="D80" s="183" t="s">
        <v>1515</v>
      </c>
      <c r="E80" s="183">
        <v>42025</v>
      </c>
      <c r="F80" s="188" t="s">
        <v>432</v>
      </c>
      <c r="G80" s="654" t="s">
        <v>427</v>
      </c>
      <c r="H80" s="7" t="s">
        <v>407</v>
      </c>
      <c r="I80" s="255">
        <v>380</v>
      </c>
      <c r="J80" s="255">
        <v>14000</v>
      </c>
      <c r="K80" s="593">
        <f>ROUND(I80*J80,0)</f>
        <v>5320000</v>
      </c>
      <c r="L80" s="594" t="s">
        <v>259</v>
      </c>
      <c r="M80" s="594" t="s">
        <v>174</v>
      </c>
      <c r="N80" s="52" t="str">
        <f>IF(AND('331-CT'!$E$7=TH!H80,OR(L80="331",M80="331")),"331",IF(AND(OR(L80="131",M80="131"),H80='131-CT'!$E$7),"131",""))</f>
        <v/>
      </c>
      <c r="O80" s="86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99"/>
    </row>
    <row r="81" spans="1:28" s="585" customFormat="1" ht="15.75" customHeight="1">
      <c r="A81" s="203" t="str">
        <f>IF(B81&lt;&gt;"",IF(AND(B81&gt;=_TM1,B81&lt;=_TM2,OR(TH!L81="1111",TH!M81="1111")),TH!D81,""),"")</f>
        <v/>
      </c>
      <c r="B81" s="36">
        <f>IF(C81&lt;&gt;"",MONTH(C81),"")</f>
        <v>1</v>
      </c>
      <c r="C81" s="183">
        <f>E81</f>
        <v>42025</v>
      </c>
      <c r="D81" s="183" t="s">
        <v>1515</v>
      </c>
      <c r="E81" s="727">
        <v>42025</v>
      </c>
      <c r="F81" s="444" t="s">
        <v>402</v>
      </c>
      <c r="G81" s="40" t="s">
        <v>427</v>
      </c>
      <c r="H81" s="7" t="s">
        <v>407</v>
      </c>
      <c r="I81" s="255"/>
      <c r="J81" s="255"/>
      <c r="K81" s="593">
        <v>1213842</v>
      </c>
      <c r="L81" s="594" t="s">
        <v>259</v>
      </c>
      <c r="M81" s="594" t="s">
        <v>371</v>
      </c>
      <c r="N81" s="52" t="str">
        <f>IF(AND('331-CT'!$E$7=TH!H81,OR(L81="331",M81="331")),"331",IF(AND(OR(L81="131",M81="131"),H81='131-CT'!$E$7),"131",""))</f>
        <v/>
      </c>
      <c r="O81" s="86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99"/>
    </row>
    <row r="82" spans="1:28" s="585" customFormat="1" ht="15.75" customHeight="1">
      <c r="A82" s="203" t="str">
        <f>IF(B82&lt;&gt;"",IF(AND(B82&gt;=_TM1,B82&lt;=_TM2,OR(TH!L82="1111",TH!M82="1111")),TH!D82,""),"")</f>
        <v/>
      </c>
      <c r="B82" s="36">
        <f>IF(C82&lt;&gt;"",MONTH(C82),"")</f>
        <v>1</v>
      </c>
      <c r="C82" s="183">
        <f>E82</f>
        <v>42025</v>
      </c>
      <c r="D82" s="183" t="s">
        <v>1324</v>
      </c>
      <c r="E82" s="190">
        <v>42025</v>
      </c>
      <c r="F82" s="188" t="s">
        <v>1325</v>
      </c>
      <c r="G82" s="482" t="s">
        <v>332</v>
      </c>
      <c r="H82" s="7" t="s">
        <v>1322</v>
      </c>
      <c r="I82" s="255"/>
      <c r="J82" s="255"/>
      <c r="K82" s="593">
        <v>55700000</v>
      </c>
      <c r="L82" s="594" t="s">
        <v>47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6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>x</v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>x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99"/>
      <c r="AB82" s="210"/>
    </row>
    <row r="83" spans="1:28" s="585" customFormat="1" ht="15.75" customHeight="1">
      <c r="A83" s="203" t="str">
        <f>IF(B83&lt;&gt;"",IF(AND(B83&gt;=_TM1,B83&lt;=_TM2,OR(TH!L83="1111",TH!M83="1111")),TH!D83,""),"")</f>
        <v/>
      </c>
      <c r="B83" s="36">
        <f>IF(C83&lt;&gt;"",MONTH(C83),"")</f>
        <v>1</v>
      </c>
      <c r="C83" s="183">
        <f>E83</f>
        <v>42025</v>
      </c>
      <c r="D83" s="183" t="s">
        <v>1324</v>
      </c>
      <c r="E83" s="190">
        <v>42025</v>
      </c>
      <c r="F83" s="296" t="s">
        <v>1326</v>
      </c>
      <c r="G83" s="482" t="s">
        <v>332</v>
      </c>
      <c r="H83" s="831" t="s">
        <v>1930</v>
      </c>
      <c r="I83" s="255"/>
      <c r="J83" s="255"/>
      <c r="K83" s="593">
        <v>15000000</v>
      </c>
      <c r="L83" s="594" t="s">
        <v>8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6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>x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99"/>
      <c r="AB83" s="210"/>
    </row>
    <row r="84" spans="1:28" s="585" customFormat="1" ht="15.75" customHeight="1">
      <c r="A84" s="203" t="str">
        <f>IF(B84&lt;&gt;"",IF(AND(B84&gt;=_TM1,B84&lt;=_TM2,OR(TH!L84="1111",TH!M84="1111")),TH!D84,""),"")</f>
        <v/>
      </c>
      <c r="B84" s="36">
        <f>IF(C84&lt;&gt;"",MONTH(C84),"")</f>
        <v>1</v>
      </c>
      <c r="C84" s="183">
        <f>E84</f>
        <v>42025</v>
      </c>
      <c r="D84" s="183" t="s">
        <v>1324</v>
      </c>
      <c r="E84" s="190">
        <v>42025</v>
      </c>
      <c r="F84" s="188" t="s">
        <v>1327</v>
      </c>
      <c r="G84" s="482" t="s">
        <v>332</v>
      </c>
      <c r="H84" s="7"/>
      <c r="I84" s="255"/>
      <c r="J84" s="255"/>
      <c r="K84" s="593">
        <v>20000</v>
      </c>
      <c r="L84" s="594" t="s">
        <v>83</v>
      </c>
      <c r="M84" s="594" t="s">
        <v>24</v>
      </c>
      <c r="N84" s="52" t="str">
        <f>IF(AND('331-CT'!$E$7=TH!H84,OR(L84="331",M84="331")),"331",IF(AND(OR(L84="131",M84="131"),H84='131-CT'!$E$7),"131",""))</f>
        <v/>
      </c>
      <c r="O84" s="86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>x</v>
      </c>
      <c r="V84" s="52" t="str">
        <f>IF(OR(TH!L84=TH!$V$7,M84=TH!$V$7),"x","")</f>
        <v>x</v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99"/>
      <c r="AB84" s="210"/>
    </row>
    <row r="85" spans="1:28" s="585" customFormat="1" ht="15.75" customHeight="1">
      <c r="A85" s="203" t="str">
        <f>IF(B85&lt;&gt;"",IF(AND(B85&gt;=_TM1,B85&lt;=_TM2,OR(TH!L85="1111",TH!M85="1111")),TH!D85,""),"")</f>
        <v/>
      </c>
      <c r="B85" s="36">
        <f>IF(C85&lt;&gt;"",MONTH(C85),"")</f>
        <v>1</v>
      </c>
      <c r="C85" s="183">
        <f>E85</f>
        <v>42026</v>
      </c>
      <c r="D85" s="183" t="s">
        <v>1516</v>
      </c>
      <c r="E85" s="727">
        <v>42026</v>
      </c>
      <c r="F85" s="444" t="s">
        <v>433</v>
      </c>
      <c r="G85" s="40" t="s">
        <v>434</v>
      </c>
      <c r="H85" s="7" t="s">
        <v>435</v>
      </c>
      <c r="I85" s="255">
        <v>733</v>
      </c>
      <c r="J85" s="255">
        <v>12000</v>
      </c>
      <c r="K85" s="593">
        <f>ROUND(I85*J85,0)</f>
        <v>8796000</v>
      </c>
      <c r="L85" s="594" t="s">
        <v>259</v>
      </c>
      <c r="M85" s="594" t="s">
        <v>174</v>
      </c>
      <c r="N85" s="52" t="str">
        <f>IF(AND('331-CT'!$E$7=TH!H85,OR(L85="331",M85="331")),"331",IF(AND(OR(L85="131",M85="131"),H85='131-CT'!$E$7),"131",""))</f>
        <v/>
      </c>
      <c r="O85" s="86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99"/>
    </row>
    <row r="86" spans="1:28" s="585" customFormat="1" ht="15.75" customHeight="1">
      <c r="A86" s="203" t="str">
        <f>IF(B86&lt;&gt;"",IF(AND(B86&gt;=_TM1,B86&lt;=_TM2,OR(TH!L86="1111",TH!M86="1111")),TH!D86,""),"")</f>
        <v/>
      </c>
      <c r="B86" s="36">
        <f>IF(C86&lt;&gt;"",MONTH(C86),"")</f>
        <v>1</v>
      </c>
      <c r="C86" s="183">
        <f>E86</f>
        <v>42026</v>
      </c>
      <c r="D86" s="183" t="s">
        <v>1516</v>
      </c>
      <c r="E86" s="183">
        <v>42026</v>
      </c>
      <c r="F86" s="188" t="s">
        <v>402</v>
      </c>
      <c r="G86" s="654" t="s">
        <v>434</v>
      </c>
      <c r="H86" s="7" t="s">
        <v>435</v>
      </c>
      <c r="I86" s="255"/>
      <c r="J86" s="255"/>
      <c r="K86" s="593">
        <v>879600</v>
      </c>
      <c r="L86" s="594" t="s">
        <v>259</v>
      </c>
      <c r="M86" s="594" t="s">
        <v>371</v>
      </c>
      <c r="N86" s="52" t="str">
        <f>IF(AND('331-CT'!$E$7=TH!H86,OR(L86="331",M86="331")),"331",IF(AND(OR(L86="131",M86="131"),H86='131-CT'!$E$7),"131",""))</f>
        <v/>
      </c>
      <c r="O86" s="86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99"/>
    </row>
    <row r="87" spans="1:28" s="585" customFormat="1" ht="15.75" customHeight="1">
      <c r="A87" s="203" t="str">
        <f>IF(B87&lt;&gt;"",IF(AND(B87&gt;=_TM1,B87&lt;=_TM2,OR(TH!L87="1111",TH!M87="1111")),TH!D87,""),"")</f>
        <v/>
      </c>
      <c r="B87" s="36">
        <f>IF(C87&lt;&gt;"",MONTH(C87),"")</f>
        <v>1</v>
      </c>
      <c r="C87" s="183">
        <f>E87</f>
        <v>42026</v>
      </c>
      <c r="D87" s="183" t="s">
        <v>1517</v>
      </c>
      <c r="E87" s="183">
        <v>42026</v>
      </c>
      <c r="F87" s="188" t="s">
        <v>436</v>
      </c>
      <c r="G87" s="654" t="s">
        <v>437</v>
      </c>
      <c r="H87" s="7" t="s">
        <v>438</v>
      </c>
      <c r="I87" s="750">
        <v>120</v>
      </c>
      <c r="J87" s="255">
        <v>7200</v>
      </c>
      <c r="K87" s="593">
        <f>ROUND(I87*J87,0)</f>
        <v>864000</v>
      </c>
      <c r="L87" s="594" t="s">
        <v>259</v>
      </c>
      <c r="M87" s="594" t="s">
        <v>174</v>
      </c>
      <c r="N87" s="52" t="str">
        <f>IF(AND('331-CT'!$E$7=TH!H87,OR(L87="331",M87="331")),"331",IF(AND(OR(L87="131",M87="131"),H87='131-CT'!$E$7),"131",""))</f>
        <v/>
      </c>
      <c r="O87" s="86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99"/>
    </row>
    <row r="88" spans="1:28" s="585" customFormat="1" ht="15.75" customHeight="1">
      <c r="A88" s="203" t="str">
        <f>IF(B88&lt;&gt;"",IF(AND(B88&gt;=_TM1,B88&lt;=_TM2,OR(TH!L88="1111",TH!M88="1111")),TH!D88,""),"")</f>
        <v/>
      </c>
      <c r="B88" s="36">
        <f>IF(C88&lt;&gt;"",MONTH(C88),"")</f>
        <v>1</v>
      </c>
      <c r="C88" s="183">
        <f>E88</f>
        <v>42026</v>
      </c>
      <c r="D88" s="183" t="s">
        <v>1517</v>
      </c>
      <c r="E88" s="183">
        <v>42026</v>
      </c>
      <c r="F88" s="188" t="s">
        <v>439</v>
      </c>
      <c r="G88" s="654" t="s">
        <v>437</v>
      </c>
      <c r="H88" s="7" t="s">
        <v>438</v>
      </c>
      <c r="I88" s="255">
        <v>499</v>
      </c>
      <c r="J88" s="255">
        <v>5300</v>
      </c>
      <c r="K88" s="593">
        <f>ROUND(I88*J88,0)</f>
        <v>2644700</v>
      </c>
      <c r="L88" s="594" t="s">
        <v>259</v>
      </c>
      <c r="M88" s="594" t="s">
        <v>174</v>
      </c>
      <c r="N88" s="52" t="str">
        <f>IF(AND('331-CT'!$E$7=TH!H88,OR(L88="331",M88="331")),"331",IF(AND(OR(L88="131",M88="131"),H88='131-CT'!$E$7),"131",""))</f>
        <v/>
      </c>
      <c r="O88" s="86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99"/>
    </row>
    <row r="89" spans="1:28" s="585" customFormat="1" ht="15.75" customHeight="1">
      <c r="A89" s="203" t="str">
        <f>IF(B89&lt;&gt;"",IF(AND(B89&gt;=_TM1,B89&lt;=_TM2,OR(TH!L89="1111",TH!M89="1111")),TH!D89,""),"")</f>
        <v/>
      </c>
      <c r="B89" s="36">
        <f>IF(C89&lt;&gt;"",MONTH(C89),"")</f>
        <v>1</v>
      </c>
      <c r="C89" s="183">
        <f>E89</f>
        <v>42026</v>
      </c>
      <c r="D89" s="183" t="s">
        <v>1517</v>
      </c>
      <c r="E89" s="183">
        <v>42026</v>
      </c>
      <c r="F89" s="188" t="s">
        <v>440</v>
      </c>
      <c r="G89" s="595" t="s">
        <v>437</v>
      </c>
      <c r="H89" s="44" t="s">
        <v>438</v>
      </c>
      <c r="I89" s="255">
        <v>295</v>
      </c>
      <c r="J89" s="255">
        <v>4200</v>
      </c>
      <c r="K89" s="593">
        <f>ROUND(I89*J89,0)</f>
        <v>1239000</v>
      </c>
      <c r="L89" s="594" t="s">
        <v>259</v>
      </c>
      <c r="M89" s="594" t="s">
        <v>174</v>
      </c>
      <c r="N89" s="52" t="str">
        <f>IF(AND('331-CT'!$E$7=TH!H89,OR(L89="331",M89="331")),"331",IF(AND(OR(L89="131",M89="131"),H89='131-CT'!$E$7),"131",""))</f>
        <v/>
      </c>
      <c r="O89" s="86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99"/>
    </row>
    <row r="90" spans="1:28" s="585" customFormat="1" ht="15.75" customHeight="1">
      <c r="A90" s="203" t="str">
        <f>IF(B90&lt;&gt;"",IF(AND(B90&gt;=_TM1,B90&lt;=_TM2,OR(TH!L90="1111",TH!M90="1111")),TH!D90,""),"")</f>
        <v/>
      </c>
      <c r="B90" s="36">
        <f>IF(C90&lt;&gt;"",MONTH(C90),"")</f>
        <v>1</v>
      </c>
      <c r="C90" s="183">
        <f>E90</f>
        <v>42026</v>
      </c>
      <c r="D90" s="183" t="s">
        <v>1517</v>
      </c>
      <c r="E90" s="183">
        <v>42026</v>
      </c>
      <c r="F90" s="188" t="s">
        <v>441</v>
      </c>
      <c r="G90" s="654" t="s">
        <v>437</v>
      </c>
      <c r="H90" s="7" t="s">
        <v>438</v>
      </c>
      <c r="I90" s="255">
        <v>1506</v>
      </c>
      <c r="J90" s="255">
        <v>4400</v>
      </c>
      <c r="K90" s="593">
        <f>ROUND(I90*J90,0)</f>
        <v>6626400</v>
      </c>
      <c r="L90" s="594" t="s">
        <v>259</v>
      </c>
      <c r="M90" s="594" t="s">
        <v>174</v>
      </c>
      <c r="N90" s="52" t="str">
        <f>IF(AND('331-CT'!$E$7=TH!H90,OR(L90="331",M90="331")),"331",IF(AND(OR(L90="131",M90="131"),H90='131-CT'!$E$7),"131",""))</f>
        <v/>
      </c>
      <c r="O90" s="86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99"/>
    </row>
    <row r="91" spans="1:28" s="585" customFormat="1" ht="15.75" customHeight="1">
      <c r="A91" s="203" t="str">
        <f>IF(B91&lt;&gt;"",IF(AND(B91&gt;=_TM1,B91&lt;=_TM2,OR(TH!L91="1111",TH!M91="1111")),TH!D91,""),"")</f>
        <v/>
      </c>
      <c r="B91" s="36">
        <f>IF(C91&lt;&gt;"",MONTH(C91),"")</f>
        <v>1</v>
      </c>
      <c r="C91" s="183">
        <f>E91</f>
        <v>42026</v>
      </c>
      <c r="D91" s="183" t="s">
        <v>1517</v>
      </c>
      <c r="E91" s="183">
        <v>42026</v>
      </c>
      <c r="F91" s="188" t="s">
        <v>402</v>
      </c>
      <c r="G91" s="654" t="s">
        <v>437</v>
      </c>
      <c r="H91" s="7" t="s">
        <v>438</v>
      </c>
      <c r="I91" s="255"/>
      <c r="J91" s="255"/>
      <c r="K91" s="593">
        <v>1137410</v>
      </c>
      <c r="L91" s="594" t="s">
        <v>259</v>
      </c>
      <c r="M91" s="594" t="s">
        <v>371</v>
      </c>
      <c r="N91" s="52" t="str">
        <f>IF(AND('331-CT'!$E$7=TH!H91,OR(L91="331",M91="331")),"331",IF(AND(OR(L91="131",M91="131"),H91='131-CT'!$E$7),"131",""))</f>
        <v/>
      </c>
      <c r="O91" s="86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99"/>
    </row>
    <row r="92" spans="1:28" s="585" customFormat="1" ht="15.75" customHeight="1">
      <c r="A92" s="203" t="str">
        <f>IF(B92&lt;&gt;"",IF(AND(B92&gt;=_TM1,B92&lt;=_TM2,OR(TH!L92="1111",TH!M92="1111")),TH!D92,""),"")</f>
        <v/>
      </c>
      <c r="B92" s="36">
        <f>IF(C92&lt;&gt;"",MONTH(C92),"")</f>
        <v>1</v>
      </c>
      <c r="C92" s="183">
        <f>E92</f>
        <v>42026</v>
      </c>
      <c r="D92" s="183" t="s">
        <v>1518</v>
      </c>
      <c r="E92" s="183">
        <v>42026</v>
      </c>
      <c r="F92" s="188" t="s">
        <v>442</v>
      </c>
      <c r="G92" s="654" t="s">
        <v>443</v>
      </c>
      <c r="H92" s="7" t="s">
        <v>444</v>
      </c>
      <c r="I92" s="255">
        <v>504</v>
      </c>
      <c r="J92" s="255">
        <v>12650</v>
      </c>
      <c r="K92" s="593">
        <f>ROUND(I92*J92,0)</f>
        <v>6375600</v>
      </c>
      <c r="L92" s="594" t="s">
        <v>259</v>
      </c>
      <c r="M92" s="594" t="s">
        <v>174</v>
      </c>
      <c r="N92" s="52" t="str">
        <f>IF(AND('331-CT'!$E$7=TH!H92,OR(L92="331",M92="331")),"331",IF(AND(OR(L92="131",M92="131"),H92='131-CT'!$E$7),"131",""))</f>
        <v/>
      </c>
      <c r="O92" s="86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99"/>
    </row>
    <row r="93" spans="1:28" s="585" customFormat="1" ht="15.75" customHeight="1">
      <c r="A93" s="203" t="str">
        <f>IF(B93&lt;&gt;"",IF(AND(B93&gt;=_TM1,B93&lt;=_TM2,OR(TH!L93="1111",TH!M93="1111")),TH!D93,""),"")</f>
        <v/>
      </c>
      <c r="B93" s="36">
        <f>IF(C93&lt;&gt;"",MONTH(C93),"")</f>
        <v>1</v>
      </c>
      <c r="C93" s="183">
        <f>E93</f>
        <v>42026</v>
      </c>
      <c r="D93" s="183" t="s">
        <v>1518</v>
      </c>
      <c r="E93" s="183">
        <v>42026</v>
      </c>
      <c r="F93" s="188" t="s">
        <v>402</v>
      </c>
      <c r="G93" s="654" t="s">
        <v>443</v>
      </c>
      <c r="H93" s="7" t="s">
        <v>444</v>
      </c>
      <c r="I93" s="255"/>
      <c r="J93" s="255"/>
      <c r="K93" s="593">
        <v>637560</v>
      </c>
      <c r="L93" s="594" t="s">
        <v>259</v>
      </c>
      <c r="M93" s="594" t="s">
        <v>371</v>
      </c>
      <c r="N93" s="52" t="str">
        <f>IF(AND('331-CT'!$E$7=TH!H93,OR(L93="331",M93="331")),"331",IF(AND(OR(L93="131",M93="131"),H93='131-CT'!$E$7),"131",""))</f>
        <v/>
      </c>
      <c r="O93" s="86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99"/>
    </row>
    <row r="94" spans="1:28" s="585" customFormat="1" ht="15.75" customHeight="1">
      <c r="A94" s="203" t="str">
        <f>IF(B94&lt;&gt;"",IF(AND(B94&gt;=_TM1,B94&lt;=_TM2,OR(TH!L94="1111",TH!M94="1111")),TH!D94,""),"")</f>
        <v/>
      </c>
      <c r="B94" s="36">
        <f>IF(C94&lt;&gt;"",MONTH(C94),"")</f>
        <v>1</v>
      </c>
      <c r="C94" s="183">
        <f>E94</f>
        <v>42026</v>
      </c>
      <c r="D94" s="190" t="s">
        <v>1319</v>
      </c>
      <c r="E94" s="190">
        <v>42026</v>
      </c>
      <c r="F94" s="191" t="s">
        <v>1320</v>
      </c>
      <c r="G94" s="482" t="s">
        <v>332</v>
      </c>
      <c r="H94" s="7" t="s">
        <v>872</v>
      </c>
      <c r="I94" s="255"/>
      <c r="J94" s="255"/>
      <c r="K94" s="593">
        <v>35582685</v>
      </c>
      <c r="L94" s="193" t="s">
        <v>24</v>
      </c>
      <c r="M94" s="193" t="s">
        <v>259</v>
      </c>
      <c r="N94" s="52" t="str">
        <f>IF(AND('331-CT'!$E$7=TH!H94,OR(L94="331",M94="331")),"331",IF(AND(OR(L94="131",M94="131"),H94='131-CT'!$E$7),"131",""))</f>
        <v/>
      </c>
      <c r="O94" s="86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>x</v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99"/>
      <c r="AB94" s="210"/>
    </row>
    <row r="95" spans="1:28" s="585" customFormat="1" ht="15.75" customHeight="1">
      <c r="A95" s="203" t="str">
        <f>IF(B95&lt;&gt;"",IF(AND(B95&gt;=_TM1,B95&lt;=_TM2,OR(TH!L95="1111",TH!M95="1111")),TH!D95,""),"")</f>
        <v/>
      </c>
      <c r="B95" s="36">
        <f>IF(C95&lt;&gt;"",MONTH(C95),"")</f>
        <v>1</v>
      </c>
      <c r="C95" s="183">
        <f>E95</f>
        <v>42027</v>
      </c>
      <c r="D95" s="183" t="s">
        <v>1324</v>
      </c>
      <c r="E95" s="190">
        <v>42027</v>
      </c>
      <c r="F95" s="188" t="s">
        <v>1325</v>
      </c>
      <c r="G95" s="482" t="s">
        <v>332</v>
      </c>
      <c r="H95" s="7" t="s">
        <v>1322</v>
      </c>
      <c r="I95" s="255"/>
      <c r="J95" s="255"/>
      <c r="K95" s="593">
        <v>35700000</v>
      </c>
      <c r="L95" s="594" t="s">
        <v>47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6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>x</v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>x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99"/>
      <c r="AB95" s="210"/>
    </row>
    <row r="96" spans="1:28" s="585" customFormat="1" ht="15.75" customHeight="1">
      <c r="A96" s="203" t="str">
        <f>IF(B96&lt;&gt;"",IF(AND(B96&gt;=_TM1,B96&lt;=_TM2,OR(TH!L96="1111",TH!M96="1111")),TH!D96,""),"")</f>
        <v/>
      </c>
      <c r="B96" s="36">
        <f>IF(C96&lt;&gt;"",MONTH(C96),"")</f>
        <v>1</v>
      </c>
      <c r="C96" s="183">
        <f>E96</f>
        <v>42027</v>
      </c>
      <c r="D96" s="183"/>
      <c r="E96" s="190">
        <v>42027</v>
      </c>
      <c r="F96" s="188" t="s">
        <v>374</v>
      </c>
      <c r="G96" s="482" t="s">
        <v>973</v>
      </c>
      <c r="H96" s="7" t="s">
        <v>1365</v>
      </c>
      <c r="I96" s="255"/>
      <c r="J96" s="255"/>
      <c r="K96" s="593">
        <v>4700000</v>
      </c>
      <c r="L96" s="594" t="s">
        <v>165</v>
      </c>
      <c r="M96" s="594" t="s">
        <v>47</v>
      </c>
      <c r="N96" s="52" t="str">
        <f>IF(AND('331-CT'!$E$7=TH!H96,OR(L96="331",M96="331")),"331",IF(AND(OR(L96="131",M96="131"),H96='131-CT'!$E$7),"131",""))</f>
        <v/>
      </c>
      <c r="O96" s="86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>x</v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99"/>
      <c r="AB96" s="210"/>
    </row>
    <row r="97" spans="1:28" s="585" customFormat="1" ht="15.75" customHeight="1">
      <c r="A97" s="203" t="str">
        <f>IF(B97&lt;&gt;"",IF(AND(B97&gt;=_TM1,B97&lt;=_TM2,OR(TH!L97="1111",TH!M97="1111")),TH!D97,""),"")</f>
        <v/>
      </c>
      <c r="B97" s="36">
        <f>IF(C97&lt;&gt;"",MONTH(C97),"")</f>
        <v>1</v>
      </c>
      <c r="C97" s="183">
        <f>E97</f>
        <v>42027</v>
      </c>
      <c r="D97" s="183"/>
      <c r="E97" s="190">
        <v>42027</v>
      </c>
      <c r="F97" s="188" t="s">
        <v>1364</v>
      </c>
      <c r="G97" s="482" t="s">
        <v>973</v>
      </c>
      <c r="H97" s="7" t="s">
        <v>1365</v>
      </c>
      <c r="I97" s="255"/>
      <c r="J97" s="255"/>
      <c r="K97" s="593">
        <v>470000</v>
      </c>
      <c r="L97" s="594" t="s">
        <v>9</v>
      </c>
      <c r="M97" s="594" t="s">
        <v>47</v>
      </c>
      <c r="N97" s="52" t="str">
        <f>IF(AND('331-CT'!$E$7=TH!H97,OR(L97="331",M97="331")),"331",IF(AND(OR(L97="131",M97="131"),H97='131-CT'!$E$7),"131",""))</f>
        <v/>
      </c>
      <c r="O97" s="86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99"/>
      <c r="AB97" s="210"/>
    </row>
    <row r="98" spans="1:28" s="585" customFormat="1" ht="15.75" customHeight="1">
      <c r="A98" s="203" t="str">
        <f>IF(B98&lt;&gt;"",IF(AND(B98&gt;=_TM1,B98&lt;=_TM2,OR(TH!L98="1111",TH!M98="1111")),TH!D98,""),"")</f>
        <v/>
      </c>
      <c r="B98" s="36">
        <f>IF(C98&lt;&gt;"",MONTH(C98),"")</f>
        <v>1</v>
      </c>
      <c r="C98" s="183">
        <f>E98</f>
        <v>42028</v>
      </c>
      <c r="D98" s="183" t="s">
        <v>1519</v>
      </c>
      <c r="E98" s="183">
        <v>42028</v>
      </c>
      <c r="F98" s="188" t="s">
        <v>398</v>
      </c>
      <c r="G98" s="654" t="s">
        <v>445</v>
      </c>
      <c r="H98" s="7" t="s">
        <v>400</v>
      </c>
      <c r="I98" s="255">
        <v>1045</v>
      </c>
      <c r="J98" s="255">
        <v>5150</v>
      </c>
      <c r="K98" s="593">
        <f>ROUND(I98*J98,0)</f>
        <v>5381750</v>
      </c>
      <c r="L98" s="594" t="s">
        <v>259</v>
      </c>
      <c r="M98" s="594" t="s">
        <v>174</v>
      </c>
      <c r="N98" s="52" t="str">
        <f>IF(AND('331-CT'!$E$7=TH!H98,OR(L98="331",M98="331")),"331",IF(AND(OR(L98="131",M98="131"),H98='131-CT'!$E$7),"131",""))</f>
        <v/>
      </c>
      <c r="O98" s="86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99"/>
    </row>
    <row r="99" spans="1:28" s="585" customFormat="1" ht="15.75" customHeight="1">
      <c r="A99" s="203" t="str">
        <f>IF(B99&lt;&gt;"",IF(AND(B99&gt;=_TM1,B99&lt;=_TM2,OR(TH!L99="1111",TH!M99="1111")),TH!D99,""),"")</f>
        <v/>
      </c>
      <c r="B99" s="36">
        <f>IF(C99&lt;&gt;"",MONTH(C99),"")</f>
        <v>1</v>
      </c>
      <c r="C99" s="183">
        <f>E99</f>
        <v>42028</v>
      </c>
      <c r="D99" s="183" t="s">
        <v>1519</v>
      </c>
      <c r="E99" s="183">
        <v>42028</v>
      </c>
      <c r="F99" s="188" t="s">
        <v>446</v>
      </c>
      <c r="G99" s="654" t="s">
        <v>445</v>
      </c>
      <c r="H99" s="7" t="s">
        <v>400</v>
      </c>
      <c r="I99" s="255">
        <v>318</v>
      </c>
      <c r="J99" s="255">
        <v>5700</v>
      </c>
      <c r="K99" s="593">
        <f>ROUND(I99*J99,0)</f>
        <v>1812600</v>
      </c>
      <c r="L99" s="594" t="s">
        <v>259</v>
      </c>
      <c r="M99" s="594" t="s">
        <v>174</v>
      </c>
      <c r="N99" s="52" t="str">
        <f>IF(AND('331-CT'!$E$7=TH!H99,OR(L99="331",M99="331")),"331",IF(AND(OR(L99="131",M99="131"),H99='131-CT'!$E$7),"131",""))</f>
        <v/>
      </c>
      <c r="O99" s="86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99"/>
    </row>
    <row r="100" spans="1:28" s="585" customFormat="1" ht="15.75" customHeight="1">
      <c r="A100" s="203" t="str">
        <f>IF(B100&lt;&gt;"",IF(AND(B100&gt;=_TM1,B100&lt;=_TM2,OR(TH!L100="1111",TH!M100="1111")),TH!D100,""),"")</f>
        <v/>
      </c>
      <c r="B100" s="36">
        <f>IF(C100&lt;&gt;"",MONTH(C100),"")</f>
        <v>1</v>
      </c>
      <c r="C100" s="183">
        <f>E100</f>
        <v>42028</v>
      </c>
      <c r="D100" s="183" t="s">
        <v>1519</v>
      </c>
      <c r="E100" s="183">
        <v>42028</v>
      </c>
      <c r="F100" s="188" t="s">
        <v>402</v>
      </c>
      <c r="G100" s="654" t="s">
        <v>445</v>
      </c>
      <c r="H100" s="7" t="s">
        <v>400</v>
      </c>
      <c r="I100" s="255"/>
      <c r="J100" s="255"/>
      <c r="K100" s="593">
        <v>719435</v>
      </c>
      <c r="L100" s="594" t="s">
        <v>259</v>
      </c>
      <c r="M100" s="594" t="s">
        <v>371</v>
      </c>
      <c r="N100" s="52" t="str">
        <f>IF(AND('331-CT'!$E$7=TH!H100,OR(L100="331",M100="331")),"331",IF(AND(OR(L100="131",M100="131"),H100='131-CT'!$E$7),"131",""))</f>
        <v/>
      </c>
      <c r="O100" s="86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99"/>
    </row>
    <row r="101" spans="1:28" s="585" customFormat="1" ht="15.75" customHeight="1">
      <c r="A101" s="203" t="str">
        <f>IF(B101&lt;&gt;"",IF(AND(B101&gt;=_TM1,B101&lt;=_TM2,OR(TH!L101="1111",TH!M101="1111")),TH!D101,""),"")</f>
        <v/>
      </c>
      <c r="B101" s="36">
        <f>IF(C101&lt;&gt;"",MONTH(C101),"")</f>
        <v>1</v>
      </c>
      <c r="C101" s="183">
        <f>E101</f>
        <v>42028</v>
      </c>
      <c r="D101" s="183" t="s">
        <v>1520</v>
      </c>
      <c r="E101" s="183">
        <v>42028</v>
      </c>
      <c r="F101" s="188" t="s">
        <v>447</v>
      </c>
      <c r="G101" s="654" t="s">
        <v>448</v>
      </c>
      <c r="H101" s="7" t="s">
        <v>416</v>
      </c>
      <c r="I101" s="255">
        <v>858</v>
      </c>
      <c r="J101" s="255">
        <v>18600</v>
      </c>
      <c r="K101" s="593">
        <f>ROUND(I101*J101,0)</f>
        <v>15958800</v>
      </c>
      <c r="L101" s="594" t="s">
        <v>259</v>
      </c>
      <c r="M101" s="594" t="s">
        <v>174</v>
      </c>
      <c r="N101" s="52" t="str">
        <f>IF(AND('331-CT'!$E$7=TH!H101,OR(L101="331",M101="331")),"331",IF(AND(OR(L101="131",M101="131"),H101='131-CT'!$E$7),"131",""))</f>
        <v/>
      </c>
      <c r="O101" s="86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99"/>
    </row>
    <row r="102" spans="1:28" s="585" customFormat="1" ht="15.75" customHeight="1">
      <c r="A102" s="203" t="str">
        <f>IF(B102&lt;&gt;"",IF(AND(B102&gt;=_TM1,B102&lt;=_TM2,OR(TH!L102="1111",TH!M102="1111")),TH!D102,""),"")</f>
        <v/>
      </c>
      <c r="B102" s="36">
        <f>IF(C102&lt;&gt;"",MONTH(C102),"")</f>
        <v>1</v>
      </c>
      <c r="C102" s="183">
        <f>E102</f>
        <v>42028</v>
      </c>
      <c r="D102" s="183" t="s">
        <v>1520</v>
      </c>
      <c r="E102" s="183">
        <v>42028</v>
      </c>
      <c r="F102" s="188" t="s">
        <v>1655</v>
      </c>
      <c r="G102" s="654" t="s">
        <v>448</v>
      </c>
      <c r="H102" s="7" t="s">
        <v>416</v>
      </c>
      <c r="I102" s="255">
        <v>1716</v>
      </c>
      <c r="J102" s="255">
        <v>700</v>
      </c>
      <c r="K102" s="593">
        <f>ROUND(I102*J102,0)</f>
        <v>1201200</v>
      </c>
      <c r="L102" s="594" t="s">
        <v>259</v>
      </c>
      <c r="M102" s="594" t="s">
        <v>174</v>
      </c>
      <c r="N102" s="52" t="str">
        <f>IF(AND('331-CT'!$E$7=TH!H102,OR(L102="331",M102="331")),"331",IF(AND(OR(L102="131",M102="131"),H102='131-CT'!$E$7),"131",""))</f>
        <v/>
      </c>
      <c r="O102" s="86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99"/>
    </row>
    <row r="103" spans="1:28" s="585" customFormat="1" ht="15.75" customHeight="1">
      <c r="A103" s="203" t="str">
        <f>IF(B103&lt;&gt;"",IF(AND(B103&gt;=_TM1,B103&lt;=_TM2,OR(TH!L103="1111",TH!M103="1111")),TH!D103,""),"")</f>
        <v/>
      </c>
      <c r="B103" s="36">
        <f>IF(C103&lt;&gt;"",MONTH(C103),"")</f>
        <v>1</v>
      </c>
      <c r="C103" s="183">
        <f>E103</f>
        <v>42028</v>
      </c>
      <c r="D103" s="183" t="s">
        <v>1520</v>
      </c>
      <c r="E103" s="37">
        <v>42028</v>
      </c>
      <c r="F103" s="40" t="s">
        <v>449</v>
      </c>
      <c r="G103" s="479" t="s">
        <v>448</v>
      </c>
      <c r="H103" s="45" t="s">
        <v>416</v>
      </c>
      <c r="I103" s="255">
        <v>3</v>
      </c>
      <c r="J103" s="255">
        <v>21400</v>
      </c>
      <c r="K103" s="593">
        <f>ROUND(I103*J103,0)</f>
        <v>64200</v>
      </c>
      <c r="L103" s="594" t="s">
        <v>259</v>
      </c>
      <c r="M103" s="594" t="s">
        <v>174</v>
      </c>
      <c r="N103" s="52" t="str">
        <f>IF(AND('331-CT'!$E$7=TH!H103,OR(L103="331",M103="331")),"331",IF(AND(OR(L103="131",M103="131"),H103='131-CT'!$E$7),"131",""))</f>
        <v/>
      </c>
      <c r="O103" s="86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99"/>
    </row>
    <row r="104" spans="1:28" s="585" customFormat="1" ht="15.75" customHeight="1">
      <c r="A104" s="203" t="str">
        <f>IF(B104&lt;&gt;"",IF(AND(B104&gt;=_TM1,B104&lt;=_TM2,OR(TH!L104="1111",TH!M104="1111")),TH!D104,""),"")</f>
        <v/>
      </c>
      <c r="B104" s="36">
        <f>IF(C104&lt;&gt;"",MONTH(C104),"")</f>
        <v>1</v>
      </c>
      <c r="C104" s="183">
        <f>E104</f>
        <v>42028</v>
      </c>
      <c r="D104" s="183" t="s">
        <v>1520</v>
      </c>
      <c r="E104" s="37">
        <v>42028</v>
      </c>
      <c r="F104" s="40" t="s">
        <v>1656</v>
      </c>
      <c r="G104" s="479" t="s">
        <v>448</v>
      </c>
      <c r="H104" s="45" t="s">
        <v>416</v>
      </c>
      <c r="I104" s="255">
        <v>6</v>
      </c>
      <c r="J104" s="255">
        <v>1380</v>
      </c>
      <c r="K104" s="593">
        <f>ROUND(I104*J104,0)</f>
        <v>8280</v>
      </c>
      <c r="L104" s="594" t="s">
        <v>259</v>
      </c>
      <c r="M104" s="594" t="s">
        <v>174</v>
      </c>
      <c r="N104" s="52" t="str">
        <f>IF(AND('331-CT'!$E$7=TH!H104,OR(L104="331",M104="331")),"331",IF(AND(OR(L104="131",M104="131"),H104='131-CT'!$E$7),"131",""))</f>
        <v/>
      </c>
      <c r="O104" s="86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99"/>
    </row>
    <row r="105" spans="1:28" s="585" customFormat="1" ht="15.75" customHeight="1">
      <c r="A105" s="203" t="str">
        <f>IF(B105&lt;&gt;"",IF(AND(B105&gt;=_TM1,B105&lt;=_TM2,OR(TH!L105="1111",TH!M105="1111")),TH!D105,""),"")</f>
        <v/>
      </c>
      <c r="B105" s="36">
        <f>IF(C105&lt;&gt;"",MONTH(C105),"")</f>
        <v>1</v>
      </c>
      <c r="C105" s="183">
        <f>E105</f>
        <v>42028</v>
      </c>
      <c r="D105" s="183" t="s">
        <v>1520</v>
      </c>
      <c r="E105" s="183">
        <v>42028</v>
      </c>
      <c r="F105" s="188" t="s">
        <v>450</v>
      </c>
      <c r="G105" s="595" t="s">
        <v>448</v>
      </c>
      <c r="H105" s="44" t="s">
        <v>416</v>
      </c>
      <c r="I105" s="255">
        <v>63</v>
      </c>
      <c r="J105" s="255">
        <v>23500</v>
      </c>
      <c r="K105" s="593">
        <f>ROUND(I105*J105,0)</f>
        <v>1480500</v>
      </c>
      <c r="L105" s="594" t="s">
        <v>259</v>
      </c>
      <c r="M105" s="594" t="s">
        <v>174</v>
      </c>
      <c r="N105" s="52" t="str">
        <f>IF(AND('331-CT'!$E$7=TH!H105,OR(L105="331",M105="331")),"331",IF(AND(OR(L105="131",M105="131"),H105='131-CT'!$E$7),"131",""))</f>
        <v/>
      </c>
      <c r="O105" s="86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99"/>
    </row>
    <row r="106" spans="1:28" s="585" customFormat="1" ht="15.75" customHeight="1">
      <c r="A106" s="203" t="str">
        <f>IF(B106&lt;&gt;"",IF(AND(B106&gt;=_TM1,B106&lt;=_TM2,OR(TH!L106="1111",TH!M106="1111")),TH!D106,""),"")</f>
        <v/>
      </c>
      <c r="B106" s="36">
        <f>IF(C106&lt;&gt;"",MONTH(C106),"")</f>
        <v>1</v>
      </c>
      <c r="C106" s="183">
        <f>E106</f>
        <v>42028</v>
      </c>
      <c r="D106" s="183" t="s">
        <v>1520</v>
      </c>
      <c r="E106" s="183">
        <v>42028</v>
      </c>
      <c r="F106" s="188" t="s">
        <v>1657</v>
      </c>
      <c r="G106" s="654" t="s">
        <v>448</v>
      </c>
      <c r="H106" s="7" t="s">
        <v>416</v>
      </c>
      <c r="I106" s="255">
        <v>126</v>
      </c>
      <c r="J106" s="255">
        <v>1100</v>
      </c>
      <c r="K106" s="593">
        <f>ROUND(I106*J106,0)</f>
        <v>138600</v>
      </c>
      <c r="L106" s="594" t="s">
        <v>259</v>
      </c>
      <c r="M106" s="594" t="s">
        <v>174</v>
      </c>
      <c r="N106" s="52" t="str">
        <f>IF(AND('331-CT'!$E$7=TH!H106,OR(L106="331",M106="331")),"331",IF(AND(OR(L106="131",M106="131"),H106='131-CT'!$E$7),"131",""))</f>
        <v/>
      </c>
      <c r="O106" s="86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99"/>
    </row>
    <row r="107" spans="1:28" s="585" customFormat="1" ht="15.75" customHeight="1">
      <c r="A107" s="203" t="str">
        <f>IF(B107&lt;&gt;"",IF(AND(B107&gt;=_TM1,B107&lt;=_TM2,OR(TH!L107="1111",TH!M107="1111")),TH!D107,""),"")</f>
        <v/>
      </c>
      <c r="B107" s="36">
        <f>IF(C107&lt;&gt;"",MONTH(C107),"")</f>
        <v>1</v>
      </c>
      <c r="C107" s="183">
        <f>E107</f>
        <v>42028</v>
      </c>
      <c r="D107" s="183" t="s">
        <v>1520</v>
      </c>
      <c r="E107" s="183">
        <v>42028</v>
      </c>
      <c r="F107" s="188" t="s">
        <v>1658</v>
      </c>
      <c r="G107" s="654" t="s">
        <v>448</v>
      </c>
      <c r="H107" s="7" t="s">
        <v>416</v>
      </c>
      <c r="I107" s="255">
        <v>126</v>
      </c>
      <c r="J107" s="255">
        <v>2040</v>
      </c>
      <c r="K107" s="593">
        <f>ROUND(I107*J107,0)</f>
        <v>257040</v>
      </c>
      <c r="L107" s="594" t="s">
        <v>259</v>
      </c>
      <c r="M107" s="594" t="s">
        <v>174</v>
      </c>
      <c r="N107" s="52" t="str">
        <f>IF(AND('331-CT'!$E$7=TH!H107,OR(L107="331",M107="331")),"331",IF(AND(OR(L107="131",M107="131"),H107='131-CT'!$E$7),"131",""))</f>
        <v/>
      </c>
      <c r="O107" s="86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99"/>
    </row>
    <row r="108" spans="1:28" s="585" customFormat="1" ht="15.75" customHeight="1">
      <c r="A108" s="203" t="str">
        <f>IF(B108&lt;&gt;"",IF(AND(B108&gt;=_TM1,B108&lt;=_TM2,OR(TH!L108="1111",TH!M108="1111")),TH!D108,""),"")</f>
        <v/>
      </c>
      <c r="B108" s="36">
        <f>IF(C108&lt;&gt;"",MONTH(C108),"")</f>
        <v>1</v>
      </c>
      <c r="C108" s="183">
        <f>E108</f>
        <v>42028</v>
      </c>
      <c r="D108" s="183" t="s">
        <v>1520</v>
      </c>
      <c r="E108" s="183">
        <v>42028</v>
      </c>
      <c r="F108" s="188" t="s">
        <v>402</v>
      </c>
      <c r="G108" s="595" t="s">
        <v>448</v>
      </c>
      <c r="H108" s="44" t="s">
        <v>416</v>
      </c>
      <c r="I108" s="255"/>
      <c r="J108" s="255"/>
      <c r="K108" s="593">
        <v>1910862</v>
      </c>
      <c r="L108" s="594" t="s">
        <v>259</v>
      </c>
      <c r="M108" s="594" t="s">
        <v>371</v>
      </c>
      <c r="N108" s="52" t="str">
        <f>IF(AND('331-CT'!$E$7=TH!H108,OR(L108="331",M108="331")),"331",IF(AND(OR(L108="131",M108="131"),H108='131-CT'!$E$7),"131",""))</f>
        <v/>
      </c>
      <c r="O108" s="86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99"/>
    </row>
    <row r="109" spans="1:28" s="585" customFormat="1" ht="15.75" customHeight="1">
      <c r="A109" s="203" t="str">
        <f>IF(B109&lt;&gt;"",IF(AND(B109&gt;=_TM1,B109&lt;=_TM2,OR(TH!L109="1111",TH!M109="1111")),TH!D109,""),"")</f>
        <v/>
      </c>
      <c r="B109" s="36">
        <f>IF(C109&lt;&gt;"",MONTH(C109),"")</f>
        <v>1</v>
      </c>
      <c r="C109" s="183">
        <f>E109</f>
        <v>42028</v>
      </c>
      <c r="D109" s="190" t="s">
        <v>1319</v>
      </c>
      <c r="E109" s="190">
        <v>42028</v>
      </c>
      <c r="F109" s="191" t="s">
        <v>1321</v>
      </c>
      <c r="G109" s="482" t="s">
        <v>332</v>
      </c>
      <c r="H109" s="748"/>
      <c r="I109" s="255"/>
      <c r="J109" s="255"/>
      <c r="K109" s="593">
        <v>10497</v>
      </c>
      <c r="L109" s="193" t="s">
        <v>24</v>
      </c>
      <c r="M109" s="193" t="s">
        <v>40</v>
      </c>
      <c r="N109" s="52" t="str">
        <f>IF(AND('331-CT'!$E$7=TH!H109,OR(L109="331",M109="331")),"331",IF(AND(OR(L109="131",M109="131"),H109='131-CT'!$E$7),"131",""))</f>
        <v/>
      </c>
      <c r="O109" s="86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>x</v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99"/>
      <c r="AB109" s="210"/>
    </row>
    <row r="110" spans="1:28" s="585" customFormat="1" ht="15.75" customHeight="1">
      <c r="A110" s="203" t="str">
        <f>IF(B110&lt;&gt;"",IF(AND(B110&gt;=_TM1,B110&lt;=_TM2,OR(TH!L110="1111",TH!M110="1111")),TH!D110,""),"")</f>
        <v/>
      </c>
      <c r="B110" s="36">
        <f>IF(C110&lt;&gt;"",MONTH(C110),"")</f>
        <v>1</v>
      </c>
      <c r="C110" s="183">
        <f>E110</f>
        <v>42028</v>
      </c>
      <c r="D110" s="190"/>
      <c r="E110" s="727">
        <v>42028</v>
      </c>
      <c r="F110" s="188" t="s">
        <v>1382</v>
      </c>
      <c r="G110" s="482" t="s">
        <v>1388</v>
      </c>
      <c r="H110" s="7" t="s">
        <v>1383</v>
      </c>
      <c r="I110" s="255"/>
      <c r="J110" s="255"/>
      <c r="K110" s="593">
        <v>1117340</v>
      </c>
      <c r="L110" s="193" t="s">
        <v>83</v>
      </c>
      <c r="M110" s="193" t="s">
        <v>47</v>
      </c>
      <c r="N110" s="52" t="str">
        <f>IF(AND('331-CT'!$E$7=TH!H110,OR(L110="331",M110="331")),"331",IF(AND(OR(L110="131",M110="131"),H110='131-CT'!$E$7),"131",""))</f>
        <v/>
      </c>
      <c r="O110" s="86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>x</v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>x</v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99"/>
      <c r="AB110" s="210"/>
    </row>
    <row r="111" spans="1:28" s="585" customFormat="1" ht="15.75" customHeight="1">
      <c r="A111" s="203" t="str">
        <f>IF(B111&lt;&gt;"",IF(AND(B111&gt;=_TM1,B111&lt;=_TM2,OR(TH!L111="1111",TH!M111="1111")),TH!D111,""),"")</f>
        <v/>
      </c>
      <c r="B111" s="36">
        <f>IF(C111&lt;&gt;"",MONTH(C111),"")</f>
        <v>1</v>
      </c>
      <c r="C111" s="183">
        <f>E111</f>
        <v>42028</v>
      </c>
      <c r="D111" s="190"/>
      <c r="E111" s="727">
        <v>42028</v>
      </c>
      <c r="F111" s="188" t="s">
        <v>1384</v>
      </c>
      <c r="G111" s="482" t="s">
        <v>1388</v>
      </c>
      <c r="H111" s="7" t="s">
        <v>1383</v>
      </c>
      <c r="I111" s="255"/>
      <c r="J111" s="255"/>
      <c r="K111" s="593">
        <v>111734</v>
      </c>
      <c r="L111" s="193" t="s">
        <v>9</v>
      </c>
      <c r="M111" s="193" t="s">
        <v>47</v>
      </c>
      <c r="N111" s="52" t="str">
        <f>IF(AND('331-CT'!$E$7=TH!H111,OR(L111="331",M111="331")),"331",IF(AND(OR(L111="131",M111="131"),H111='131-CT'!$E$7),"131",""))</f>
        <v/>
      </c>
      <c r="O111" s="86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>x</v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99"/>
      <c r="AB111" s="210"/>
    </row>
    <row r="112" spans="1:28" s="585" customFormat="1" ht="15.75" customHeight="1">
      <c r="A112" s="203" t="str">
        <f>IF(B112&lt;&gt;"",IF(AND(B112&gt;=_TM1,B112&lt;=_TM2,OR(TH!L112="1111",TH!M112="1111")),TH!D112,""),"")</f>
        <v/>
      </c>
      <c r="B112" s="36">
        <f>IF(C112&lt;&gt;"",MONTH(C112),"")</f>
        <v>1</v>
      </c>
      <c r="C112" s="183">
        <f>E112</f>
        <v>42031</v>
      </c>
      <c r="D112" s="183" t="s">
        <v>1521</v>
      </c>
      <c r="E112" s="37">
        <v>42031</v>
      </c>
      <c r="F112" s="188" t="s">
        <v>451</v>
      </c>
      <c r="G112" s="479" t="s">
        <v>452</v>
      </c>
      <c r="H112" s="7" t="s">
        <v>453</v>
      </c>
      <c r="I112" s="257">
        <v>303</v>
      </c>
      <c r="J112" s="255">
        <v>12900</v>
      </c>
      <c r="K112" s="593">
        <f>ROUND(I112*J112,0)</f>
        <v>3908700</v>
      </c>
      <c r="L112" s="594" t="s">
        <v>259</v>
      </c>
      <c r="M112" s="594" t="s">
        <v>174</v>
      </c>
      <c r="N112" s="52" t="str">
        <f>IF(AND('331-CT'!$E$7=TH!H112,OR(L112="331",M112="331")),"331",IF(AND(OR(L112="131",M112="131"),H112='131-CT'!$E$7),"131",""))</f>
        <v/>
      </c>
      <c r="O112" s="86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99"/>
    </row>
    <row r="113" spans="1:28" s="585" customFormat="1" ht="15.75" customHeight="1">
      <c r="A113" s="203" t="str">
        <f>IF(B113&lt;&gt;"",IF(AND(B113&gt;=_TM1,B113&lt;=_TM2,OR(TH!L113="1111",TH!M113="1111")),TH!D113,""),"")</f>
        <v/>
      </c>
      <c r="B113" s="36">
        <f>IF(C113&lt;&gt;"",MONTH(C113),"")</f>
        <v>1</v>
      </c>
      <c r="C113" s="183">
        <f>E113</f>
        <v>42031</v>
      </c>
      <c r="D113" s="183" t="s">
        <v>1521</v>
      </c>
      <c r="E113" s="37">
        <v>42031</v>
      </c>
      <c r="F113" s="188" t="s">
        <v>402</v>
      </c>
      <c r="G113" s="479" t="s">
        <v>452</v>
      </c>
      <c r="H113" s="7" t="s">
        <v>453</v>
      </c>
      <c r="I113" s="255"/>
      <c r="J113" s="257"/>
      <c r="K113" s="593">
        <v>390870</v>
      </c>
      <c r="L113" s="594" t="s">
        <v>259</v>
      </c>
      <c r="M113" s="594" t="s">
        <v>371</v>
      </c>
      <c r="N113" s="52" t="str">
        <f>IF(AND('331-CT'!$E$7=TH!H113,OR(L113="331",M113="331")),"331",IF(AND(OR(L113="131",M113="131"),H113='131-CT'!$E$7),"131",""))</f>
        <v/>
      </c>
      <c r="O113" s="86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99"/>
    </row>
    <row r="114" spans="1:28" s="585" customFormat="1" ht="15.75" customHeight="1">
      <c r="A114" s="203" t="str">
        <f>IF(B114&lt;&gt;"",IF(AND(B114&gt;=_TM1,B114&lt;=_TM2,OR(TH!L114="1111",TH!M114="1111")),TH!D114,""),"")</f>
        <v/>
      </c>
      <c r="B114" s="36">
        <f>IF(C114&lt;&gt;"",MONTH(C114),"")</f>
        <v>1</v>
      </c>
      <c r="C114" s="183">
        <f>E114</f>
        <v>42031</v>
      </c>
      <c r="D114" s="183" t="s">
        <v>1522</v>
      </c>
      <c r="E114" s="37">
        <v>42031</v>
      </c>
      <c r="F114" s="188" t="s">
        <v>454</v>
      </c>
      <c r="G114" s="479" t="s">
        <v>455</v>
      </c>
      <c r="H114" s="7" t="s">
        <v>733</v>
      </c>
      <c r="I114" s="255">
        <v>380</v>
      </c>
      <c r="J114" s="257">
        <v>47449</v>
      </c>
      <c r="K114" s="593">
        <f>ROUND(I114*J114,0)</f>
        <v>18030620</v>
      </c>
      <c r="L114" s="594" t="s">
        <v>259</v>
      </c>
      <c r="M114" s="594" t="s">
        <v>174</v>
      </c>
      <c r="N114" s="52" t="str">
        <f>IF(AND('331-CT'!$E$7=TH!H114,OR(L114="331",M114="331")),"331",IF(AND(OR(L114="131",M114="131"),H114='131-CT'!$E$7),"131",""))</f>
        <v/>
      </c>
      <c r="O114" s="86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99"/>
    </row>
    <row r="115" spans="1:28" s="585" customFormat="1" ht="15.75" customHeight="1">
      <c r="A115" s="203" t="str">
        <f>IF(B115&lt;&gt;"",IF(AND(B115&gt;=_TM1,B115&lt;=_TM2,OR(TH!L115="1111",TH!M115="1111")),TH!D115,""),"")</f>
        <v/>
      </c>
      <c r="B115" s="36">
        <f>IF(C115&lt;&gt;"",MONTH(C115),"")</f>
        <v>1</v>
      </c>
      <c r="C115" s="183">
        <f>E115</f>
        <v>42031</v>
      </c>
      <c r="D115" s="183" t="s">
        <v>1522</v>
      </c>
      <c r="E115" s="37">
        <v>42031</v>
      </c>
      <c r="F115" s="188" t="s">
        <v>402</v>
      </c>
      <c r="G115" s="479" t="s">
        <v>455</v>
      </c>
      <c r="H115" s="7" t="s">
        <v>733</v>
      </c>
      <c r="I115" s="255"/>
      <c r="J115" s="257"/>
      <c r="K115" s="593">
        <v>1803062</v>
      </c>
      <c r="L115" s="594" t="s">
        <v>259</v>
      </c>
      <c r="M115" s="594" t="s">
        <v>371</v>
      </c>
      <c r="N115" s="52" t="str">
        <f>IF(AND('331-CT'!$E$7=TH!H115,OR(L115="331",M115="331")),"331",IF(AND(OR(L115="131",M115="131"),H115='131-CT'!$E$7),"131",""))</f>
        <v/>
      </c>
      <c r="O115" s="86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99"/>
    </row>
    <row r="116" spans="1:28" s="585" customFormat="1" ht="15.75" customHeight="1">
      <c r="A116" s="203" t="str">
        <f>IF(B116&lt;&gt;"",IF(AND(B116&gt;=_TM1,B116&lt;=_TM2,OR(TH!L116="1111",TH!M116="1111")),TH!D116,""),"")</f>
        <v/>
      </c>
      <c r="B116" s="36">
        <f>IF(C116&lt;&gt;"",MONTH(C116),"")</f>
        <v>1</v>
      </c>
      <c r="C116" s="183">
        <f>E116</f>
        <v>42031</v>
      </c>
      <c r="D116" s="190" t="s">
        <v>1319</v>
      </c>
      <c r="E116" s="37">
        <v>42031</v>
      </c>
      <c r="F116" s="191" t="s">
        <v>2025</v>
      </c>
      <c r="G116" s="482" t="s">
        <v>332</v>
      </c>
      <c r="H116" s="7" t="s">
        <v>762</v>
      </c>
      <c r="I116" s="255"/>
      <c r="J116" s="255"/>
      <c r="K116" s="593">
        <v>10000000</v>
      </c>
      <c r="L116" s="193" t="s">
        <v>24</v>
      </c>
      <c r="M116" s="193" t="s">
        <v>56</v>
      </c>
      <c r="N116" s="52" t="str">
        <f>IF(AND('331-CT'!$E$7=TH!H116,OR(L116="331",M116="331")),"331",IF(AND(OR(L116="131",M116="131"),H116='131-CT'!$E$7),"131",""))</f>
        <v/>
      </c>
      <c r="O116" s="86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>x</v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99"/>
      <c r="AB116" s="210"/>
    </row>
    <row r="117" spans="1:28" s="585" customFormat="1" ht="15.75" customHeight="1">
      <c r="A117" s="203" t="str">
        <f>IF(B117&lt;&gt;"",IF(AND(B117&gt;=_TM1,B117&lt;=_TM2,OR(TH!L117="1111",TH!M117="1111")),TH!D117,""),"")</f>
        <v/>
      </c>
      <c r="B117" s="36">
        <f>IF(C117&lt;&gt;"",MONTH(C117),"")</f>
        <v>1</v>
      </c>
      <c r="C117" s="183">
        <f>E117</f>
        <v>42032</v>
      </c>
      <c r="D117" s="183" t="s">
        <v>1523</v>
      </c>
      <c r="E117" s="37">
        <v>42032</v>
      </c>
      <c r="F117" s="188" t="s">
        <v>456</v>
      </c>
      <c r="G117" s="479" t="s">
        <v>457</v>
      </c>
      <c r="H117" s="192" t="s">
        <v>793</v>
      </c>
      <c r="I117" s="255">
        <v>50</v>
      </c>
      <c r="J117" s="257">
        <v>18200</v>
      </c>
      <c r="K117" s="593">
        <f>ROUND(I117*J117,0)</f>
        <v>910000</v>
      </c>
      <c r="L117" s="594" t="s">
        <v>259</v>
      </c>
      <c r="M117" s="594" t="s">
        <v>174</v>
      </c>
      <c r="N117" s="52" t="str">
        <f>IF(AND('331-CT'!$E$7=TH!H117,OR(L117="331",M117="331")),"331",IF(AND(OR(L117="131",M117="131"),H117='131-CT'!$E$7),"131",""))</f>
        <v/>
      </c>
      <c r="O117" s="86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99"/>
    </row>
    <row r="118" spans="1:28" s="585" customFormat="1" ht="15.75" customHeight="1">
      <c r="A118" s="203" t="str">
        <f>IF(B118&lt;&gt;"",IF(AND(B118&gt;=_TM1,B118&lt;=_TM2,OR(TH!L118="1111",TH!M118="1111")),TH!D118,""),"")</f>
        <v/>
      </c>
      <c r="B118" s="36">
        <f>IF(C118&lt;&gt;"",MONTH(C118),"")</f>
        <v>1</v>
      </c>
      <c r="C118" s="183">
        <f>E118</f>
        <v>42032</v>
      </c>
      <c r="D118" s="183" t="s">
        <v>1523</v>
      </c>
      <c r="E118" s="37">
        <v>42032</v>
      </c>
      <c r="F118" s="188" t="s">
        <v>1659</v>
      </c>
      <c r="G118" s="479" t="s">
        <v>457</v>
      </c>
      <c r="H118" s="192" t="s">
        <v>793</v>
      </c>
      <c r="I118" s="255">
        <v>100</v>
      </c>
      <c r="J118" s="257">
        <v>1500</v>
      </c>
      <c r="K118" s="593">
        <f>ROUND(I118*J118,0)</f>
        <v>150000</v>
      </c>
      <c r="L118" s="594" t="s">
        <v>259</v>
      </c>
      <c r="M118" s="594" t="s">
        <v>174</v>
      </c>
      <c r="N118" s="52" t="str">
        <f>IF(AND('331-CT'!$E$7=TH!H118,OR(L118="331",M118="331")),"331",IF(AND(OR(L118="131",M118="131"),H118='131-CT'!$E$7),"131",""))</f>
        <v/>
      </c>
      <c r="O118" s="86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99"/>
    </row>
    <row r="119" spans="1:28" s="585" customFormat="1" ht="15.75" customHeight="1">
      <c r="A119" s="203" t="str">
        <f>IF(B119&lt;&gt;"",IF(AND(B119&gt;=_TM1,B119&lt;=_TM2,OR(TH!L119="1111",TH!M119="1111")),TH!D119,""),"")</f>
        <v/>
      </c>
      <c r="B119" s="36">
        <f>IF(C119&lt;&gt;"",MONTH(C119),"")</f>
        <v>1</v>
      </c>
      <c r="C119" s="183">
        <f>E119</f>
        <v>42032</v>
      </c>
      <c r="D119" s="183" t="s">
        <v>1523</v>
      </c>
      <c r="E119" s="37">
        <v>42032</v>
      </c>
      <c r="F119" s="188" t="s">
        <v>402</v>
      </c>
      <c r="G119" s="479" t="s">
        <v>457</v>
      </c>
      <c r="H119" s="192" t="s">
        <v>793</v>
      </c>
      <c r="I119" s="255"/>
      <c r="J119" s="257"/>
      <c r="K119" s="38">
        <v>106000</v>
      </c>
      <c r="L119" s="594" t="s">
        <v>259</v>
      </c>
      <c r="M119" s="594" t="s">
        <v>371</v>
      </c>
      <c r="N119" s="52" t="str">
        <f>IF(AND('331-CT'!$E$7=TH!H119,OR(L119="331",M119="331")),"331",IF(AND(OR(L119="131",M119="131"),H119='131-CT'!$E$7),"131",""))</f>
        <v/>
      </c>
      <c r="O119" s="86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99"/>
    </row>
    <row r="120" spans="1:28" s="585" customFormat="1" ht="15.75" customHeight="1">
      <c r="A120" s="203" t="str">
        <f>IF(B120&lt;&gt;"",IF(AND(B120&gt;=_TM1,B120&lt;=_TM2,OR(TH!L120="1111",TH!M120="1111")),TH!D120,""),"")</f>
        <v/>
      </c>
      <c r="B120" s="36">
        <f>IF(C120&lt;&gt;"",MONTH(C120),"")</f>
        <v>1</v>
      </c>
      <c r="C120" s="183">
        <f>E120</f>
        <v>42032</v>
      </c>
      <c r="D120" s="183" t="s">
        <v>1524</v>
      </c>
      <c r="E120" s="727">
        <v>42032</v>
      </c>
      <c r="F120" s="444" t="s">
        <v>458</v>
      </c>
      <c r="G120" s="40" t="s">
        <v>459</v>
      </c>
      <c r="H120" s="7" t="s">
        <v>416</v>
      </c>
      <c r="I120" s="255">
        <v>63</v>
      </c>
      <c r="J120" s="255">
        <v>36000</v>
      </c>
      <c r="K120" s="593">
        <f>ROUND(I120*J120,0)</f>
        <v>2268000</v>
      </c>
      <c r="L120" s="594" t="s">
        <v>259</v>
      </c>
      <c r="M120" s="594" t="s">
        <v>174</v>
      </c>
      <c r="N120" s="52" t="str">
        <f>IF(AND('331-CT'!$E$7=TH!H120,OR(L120="331",M120="331")),"331",IF(AND(OR(L120="131",M120="131"),H120='131-CT'!$E$7),"131",""))</f>
        <v/>
      </c>
      <c r="O120" s="86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99"/>
    </row>
    <row r="121" spans="1:28" s="585" customFormat="1" ht="15.75" customHeight="1">
      <c r="A121" s="203" t="str">
        <f>IF(B121&lt;&gt;"",IF(AND(B121&gt;=_TM1,B121&lt;=_TM2,OR(TH!L121="1111",TH!M121="1111")),TH!D121,""),"")</f>
        <v/>
      </c>
      <c r="B121" s="36">
        <f>IF(C121&lt;&gt;"",MONTH(C121),"")</f>
        <v>1</v>
      </c>
      <c r="C121" s="183">
        <f>E121</f>
        <v>42032</v>
      </c>
      <c r="D121" s="183" t="s">
        <v>1524</v>
      </c>
      <c r="E121" s="37">
        <v>42032</v>
      </c>
      <c r="F121" s="188" t="s">
        <v>1654</v>
      </c>
      <c r="G121" s="479" t="s">
        <v>459</v>
      </c>
      <c r="H121" s="7" t="s">
        <v>416</v>
      </c>
      <c r="I121" s="255">
        <v>126</v>
      </c>
      <c r="J121" s="257">
        <v>1000</v>
      </c>
      <c r="K121" s="593">
        <f>ROUND(I121*J121,0)</f>
        <v>126000</v>
      </c>
      <c r="L121" s="594" t="s">
        <v>259</v>
      </c>
      <c r="M121" s="594" t="s">
        <v>174</v>
      </c>
      <c r="N121" s="52" t="str">
        <f>IF(AND('331-CT'!$E$7=TH!H121,OR(L121="331",M121="331")),"331",IF(AND(OR(L121="131",M121="131"),H121='131-CT'!$E$7),"131",""))</f>
        <v/>
      </c>
      <c r="O121" s="86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99"/>
    </row>
    <row r="122" spans="1:28" s="585" customFormat="1" ht="15.75" customHeight="1">
      <c r="A122" s="203" t="str">
        <f>IF(B122&lt;&gt;"",IF(AND(B122&gt;=_TM1,B122&lt;=_TM2,OR(TH!L122="1111",TH!M122="1111")),TH!D122,""),"")</f>
        <v/>
      </c>
      <c r="B122" s="36">
        <f>IF(C122&lt;&gt;"",MONTH(C122),"")</f>
        <v>1</v>
      </c>
      <c r="C122" s="183">
        <f>E122</f>
        <v>42032</v>
      </c>
      <c r="D122" s="183" t="s">
        <v>1524</v>
      </c>
      <c r="E122" s="37">
        <v>42032</v>
      </c>
      <c r="F122" s="188" t="s">
        <v>414</v>
      </c>
      <c r="G122" s="479" t="s">
        <v>459</v>
      </c>
      <c r="H122" s="7" t="s">
        <v>416</v>
      </c>
      <c r="I122" s="255">
        <v>50</v>
      </c>
      <c r="J122" s="257">
        <v>45550</v>
      </c>
      <c r="K122" s="593">
        <f>ROUND(I122*J122,0)</f>
        <v>2277500</v>
      </c>
      <c r="L122" s="594" t="s">
        <v>259</v>
      </c>
      <c r="M122" s="594" t="s">
        <v>174</v>
      </c>
      <c r="N122" s="52" t="str">
        <f>IF(AND('331-CT'!$E$7=TH!H122,OR(L122="331",M122="331")),"331",IF(AND(OR(L122="131",M122="131"),H122='131-CT'!$E$7),"131",""))</f>
        <v/>
      </c>
      <c r="O122" s="86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99"/>
    </row>
    <row r="123" spans="1:28" s="585" customFormat="1" ht="15.75" customHeight="1">
      <c r="A123" s="203" t="str">
        <f>IF(B123&lt;&gt;"",IF(AND(B123&gt;=_TM1,B123&lt;=_TM2,OR(TH!L123="1111",TH!M123="1111")),TH!D123,""),"")</f>
        <v/>
      </c>
      <c r="B123" s="36">
        <f>IF(C123&lt;&gt;"",MONTH(C123),"")</f>
        <v>1</v>
      </c>
      <c r="C123" s="183">
        <f>E123</f>
        <v>42032</v>
      </c>
      <c r="D123" s="183" t="s">
        <v>1524</v>
      </c>
      <c r="E123" s="37">
        <v>42032</v>
      </c>
      <c r="F123" s="188" t="s">
        <v>1660</v>
      </c>
      <c r="G123" s="479" t="s">
        <v>459</v>
      </c>
      <c r="H123" s="7" t="s">
        <v>416</v>
      </c>
      <c r="I123" s="255">
        <v>100</v>
      </c>
      <c r="J123" s="257">
        <v>1600</v>
      </c>
      <c r="K123" s="593">
        <f>ROUND(I123*J123,0)</f>
        <v>160000</v>
      </c>
      <c r="L123" s="594" t="s">
        <v>259</v>
      </c>
      <c r="M123" s="594" t="s">
        <v>174</v>
      </c>
      <c r="N123" s="52" t="str">
        <f>IF(AND('331-CT'!$E$7=TH!H123,OR(L123="331",M123="331")),"331",IF(AND(OR(L123="131",M123="131"),H123='131-CT'!$E$7),"131",""))</f>
        <v/>
      </c>
      <c r="O123" s="86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99"/>
      <c r="AB123" s="210"/>
    </row>
    <row r="124" spans="1:28" s="585" customFormat="1" ht="15.75" customHeight="1">
      <c r="A124" s="203" t="str">
        <f>IF(B124&lt;&gt;"",IF(AND(B124&gt;=_TM1,B124&lt;=_TM2,OR(TH!L124="1111",TH!M124="1111")),TH!D124,""),"")</f>
        <v/>
      </c>
      <c r="B124" s="36">
        <f>IF(C124&lt;&gt;"",MONTH(C124),"")</f>
        <v>1</v>
      </c>
      <c r="C124" s="183">
        <f>E124</f>
        <v>42032</v>
      </c>
      <c r="D124" s="183" t="s">
        <v>1524</v>
      </c>
      <c r="E124" s="37">
        <v>42032</v>
      </c>
      <c r="F124" s="188" t="s">
        <v>402</v>
      </c>
      <c r="G124" s="479" t="s">
        <v>459</v>
      </c>
      <c r="H124" s="7" t="s">
        <v>416</v>
      </c>
      <c r="I124" s="255"/>
      <c r="J124" s="257"/>
      <c r="K124" s="593">
        <v>483150</v>
      </c>
      <c r="L124" s="594" t="s">
        <v>259</v>
      </c>
      <c r="M124" s="594" t="s">
        <v>371</v>
      </c>
      <c r="N124" s="52" t="str">
        <f>IF(AND('331-CT'!$E$7=TH!H124,OR(L124="331",M124="331")),"331",IF(AND(OR(L124="131",M124="131"),H124='131-CT'!$E$7),"131",""))</f>
        <v/>
      </c>
      <c r="O124" s="86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99"/>
      <c r="AB124" s="210"/>
    </row>
    <row r="125" spans="1:28" s="585" customFormat="1" ht="15.75" customHeight="1">
      <c r="A125" s="203" t="str">
        <f>IF(B125&lt;&gt;"",IF(AND(B125&gt;=_TM1,B125&lt;=_TM2,OR(TH!L125="1111",TH!M125="1111")),TH!D125,""),"")</f>
        <v/>
      </c>
      <c r="B125" s="36">
        <f>IF(C125&lt;&gt;"",MONTH(C125),"")</f>
        <v>1</v>
      </c>
      <c r="C125" s="183">
        <f>E125</f>
        <v>42032</v>
      </c>
      <c r="D125" s="37" t="s">
        <v>1961</v>
      </c>
      <c r="E125" s="727">
        <v>42032</v>
      </c>
      <c r="F125" s="188" t="s">
        <v>337</v>
      </c>
      <c r="G125" s="482" t="s">
        <v>1367</v>
      </c>
      <c r="H125" s="7" t="s">
        <v>357</v>
      </c>
      <c r="I125" s="255">
        <v>24</v>
      </c>
      <c r="J125" s="255">
        <v>43000</v>
      </c>
      <c r="K125" s="593">
        <f>ROUND(I125*J125,0)</f>
        <v>1032000</v>
      </c>
      <c r="L125" s="193" t="s">
        <v>161</v>
      </c>
      <c r="M125" s="193" t="s">
        <v>8</v>
      </c>
      <c r="N125" s="52" t="str">
        <f>IF(AND('331-CT'!$E$7=TH!H125,OR(L125="331",M125="331")),"331",IF(AND(OR(L125="131",M125="131"),H125='131-CT'!$E$7),"131",""))</f>
        <v/>
      </c>
      <c r="O125" s="86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99"/>
      <c r="AB125" s="210"/>
    </row>
    <row r="126" spans="1:28" s="585" customFormat="1" ht="15.75" customHeight="1">
      <c r="A126" s="203" t="str">
        <f>IF(B126&lt;&gt;"",IF(AND(B126&gt;=_TM1,B126&lt;=_TM2,OR(TH!L126="1111",TH!M126="1111")),TH!D126,""),"")</f>
        <v/>
      </c>
      <c r="B126" s="36">
        <f>IF(C126&lt;&gt;"",MONTH(C126),"")</f>
        <v>1</v>
      </c>
      <c r="C126" s="183">
        <f>E126</f>
        <v>42032</v>
      </c>
      <c r="D126" s="37" t="s">
        <v>1961</v>
      </c>
      <c r="E126" s="727">
        <v>42032</v>
      </c>
      <c r="F126" s="188" t="s">
        <v>1366</v>
      </c>
      <c r="G126" s="482" t="s">
        <v>1367</v>
      </c>
      <c r="H126" s="7" t="s">
        <v>357</v>
      </c>
      <c r="I126" s="255"/>
      <c r="J126" s="255"/>
      <c r="K126" s="593">
        <v>103200</v>
      </c>
      <c r="L126" s="193" t="s">
        <v>9</v>
      </c>
      <c r="M126" s="193" t="s">
        <v>8</v>
      </c>
      <c r="N126" s="52" t="str">
        <f>IF(AND('331-CT'!$E$7=TH!H126,OR(L126="331",M126="331")),"331",IF(AND(OR(L126="131",M126="131"),H126='131-CT'!$E$7),"131",""))</f>
        <v/>
      </c>
      <c r="O126" s="86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99"/>
      <c r="AB126" s="210"/>
    </row>
    <row r="127" spans="1:28" s="585" customFormat="1" ht="15.75" customHeight="1">
      <c r="A127" s="203" t="str">
        <f>IF(B127&lt;&gt;"",IF(AND(B127&gt;=_TM1,B127&lt;=_TM2,OR(TH!L127="1111",TH!M127="1111")),TH!D127,""),"")</f>
        <v/>
      </c>
      <c r="B127" s="36">
        <f>IF(C127&lt;&gt;"",MONTH(C127),"")</f>
        <v>1</v>
      </c>
      <c r="C127" s="183">
        <f>E127</f>
        <v>42032</v>
      </c>
      <c r="D127" s="37" t="s">
        <v>1961</v>
      </c>
      <c r="E127" s="727">
        <v>42032</v>
      </c>
      <c r="F127" s="296" t="s">
        <v>1326</v>
      </c>
      <c r="G127" s="482" t="s">
        <v>1367</v>
      </c>
      <c r="H127" s="7" t="s">
        <v>357</v>
      </c>
      <c r="I127" s="255"/>
      <c r="J127" s="255"/>
      <c r="K127" s="593">
        <v>1135200</v>
      </c>
      <c r="L127" s="193" t="s">
        <v>8</v>
      </c>
      <c r="M127" s="193" t="s">
        <v>47</v>
      </c>
      <c r="N127" s="52" t="str">
        <f>IF(AND('331-CT'!$E$7=TH!H127,OR(L127="331",M127="331")),"331",IF(AND(OR(L127="131",M127="131"),H127='131-CT'!$E$7),"131",""))</f>
        <v/>
      </c>
      <c r="O127" s="86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99"/>
      <c r="AB127" s="210"/>
    </row>
    <row r="128" spans="1:28" s="585" customFormat="1" ht="15.75" customHeight="1">
      <c r="A128" s="203" t="str">
        <f>IF(B128&lt;&gt;"",IF(AND(B128&gt;=_TM1,B128&lt;=_TM2,OR(TH!L128="1111",TH!M128="1111")),TH!D128,""),"")</f>
        <v/>
      </c>
      <c r="B128" s="36">
        <f>IF(C128&lt;&gt;"",MONTH(C128),"")</f>
        <v>1</v>
      </c>
      <c r="C128" s="183">
        <f>E128</f>
        <v>42032</v>
      </c>
      <c r="D128" s="183" t="s">
        <v>1319</v>
      </c>
      <c r="E128" s="190">
        <v>42032</v>
      </c>
      <c r="F128" s="191" t="s">
        <v>1896</v>
      </c>
      <c r="G128" s="191" t="s">
        <v>1893</v>
      </c>
      <c r="H128" s="7" t="s">
        <v>1333</v>
      </c>
      <c r="I128" s="255"/>
      <c r="J128" s="255"/>
      <c r="K128" s="593">
        <v>13800000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86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>x</v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99"/>
      <c r="AB128" s="210"/>
    </row>
    <row r="129" spans="1:28" s="210" customFormat="1" ht="15.75" customHeight="1">
      <c r="A129" s="203" t="str">
        <f>IF(B129&lt;&gt;"",IF(AND(B129&gt;=_TM1,B129&lt;=_TM2,OR(TH!L129="1111",TH!M129="1111")),TH!D129,""),"")</f>
        <v/>
      </c>
      <c r="B129" s="36">
        <f>IF(C129&lt;&gt;"",MONTH(C129),"")</f>
        <v>1</v>
      </c>
      <c r="C129" s="183">
        <f>E129</f>
        <v>42032</v>
      </c>
      <c r="D129" s="190" t="s">
        <v>1324</v>
      </c>
      <c r="E129" s="190">
        <v>42032</v>
      </c>
      <c r="F129" s="191" t="s">
        <v>1897</v>
      </c>
      <c r="G129" s="191" t="s">
        <v>1893</v>
      </c>
      <c r="H129" s="7" t="s">
        <v>1877</v>
      </c>
      <c r="I129" s="256"/>
      <c r="J129" s="256"/>
      <c r="K129" s="593">
        <v>871150</v>
      </c>
      <c r="L129" s="193" t="s">
        <v>81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86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99"/>
    </row>
    <row r="130" spans="1:28" s="210" customFormat="1" ht="15.75" customHeight="1">
      <c r="A130" s="203" t="str">
        <f>IF(B130&lt;&gt;"",IF(AND(B130&gt;=_TM1,B130&lt;=_TM2,OR(TH!L130="1111",TH!M130="1111")),TH!D130,""),"")</f>
        <v/>
      </c>
      <c r="B130" s="36">
        <f>IF(C130&lt;&gt;"",MONTH(C130),"")</f>
        <v>1</v>
      </c>
      <c r="C130" s="183">
        <f>E130</f>
        <v>42032</v>
      </c>
      <c r="D130" s="190" t="s">
        <v>1324</v>
      </c>
      <c r="E130" s="190">
        <v>42032</v>
      </c>
      <c r="F130" s="191" t="s">
        <v>1897</v>
      </c>
      <c r="G130" s="191" t="s">
        <v>1893</v>
      </c>
      <c r="H130" s="7" t="s">
        <v>1898</v>
      </c>
      <c r="I130" s="255"/>
      <c r="J130" s="255"/>
      <c r="K130" s="593">
        <v>985921</v>
      </c>
      <c r="L130" s="193" t="s">
        <v>81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86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99"/>
    </row>
    <row r="131" spans="1:28" s="210" customFormat="1" ht="15.75" customHeight="1">
      <c r="A131" s="203" t="str">
        <f>IF(B131&lt;&gt;"",IF(AND(B131&gt;=_TM1,B131&lt;=_TM2,OR(TH!L131="1111",TH!M131="1111")),TH!D131,""),"")</f>
        <v/>
      </c>
      <c r="B131" s="36">
        <f>IF(C131&lt;&gt;"",MONTH(C131),"")</f>
        <v>1</v>
      </c>
      <c r="C131" s="183">
        <f>E131</f>
        <v>42032</v>
      </c>
      <c r="D131" s="190" t="s">
        <v>1324</v>
      </c>
      <c r="E131" s="190">
        <v>42032</v>
      </c>
      <c r="F131" s="191" t="s">
        <v>1897</v>
      </c>
      <c r="G131" s="191" t="s">
        <v>1893</v>
      </c>
      <c r="H131" s="7" t="s">
        <v>1875</v>
      </c>
      <c r="I131" s="256"/>
      <c r="J131" s="256"/>
      <c r="K131" s="593">
        <v>10763889</v>
      </c>
      <c r="L131" s="193" t="s">
        <v>81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86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99"/>
    </row>
    <row r="132" spans="1:28" s="210" customFormat="1" ht="15.75" customHeight="1">
      <c r="A132" s="203" t="str">
        <f>IF(B132&lt;&gt;"",IF(AND(B132&gt;=_TM1,B132&lt;=_TM2,OR(TH!L132="1111",TH!M132="1111")),TH!D132,""),"")</f>
        <v/>
      </c>
      <c r="B132" s="36">
        <f>IF(C132&lt;&gt;"",MONTH(C132),"")</f>
        <v>1</v>
      </c>
      <c r="C132" s="183">
        <f>E132</f>
        <v>42032</v>
      </c>
      <c r="D132" s="190" t="s">
        <v>1324</v>
      </c>
      <c r="E132" s="190">
        <v>42032</v>
      </c>
      <c r="F132" s="191" t="s">
        <v>1897</v>
      </c>
      <c r="G132" s="482" t="s">
        <v>1893</v>
      </c>
      <c r="H132" s="7" t="s">
        <v>1878</v>
      </c>
      <c r="I132" s="255"/>
      <c r="J132" s="255"/>
      <c r="K132" s="593">
        <v>638843</v>
      </c>
      <c r="L132" s="193" t="s">
        <v>81</v>
      </c>
      <c r="M132" s="193" t="s">
        <v>24</v>
      </c>
      <c r="N132" s="52" t="str">
        <f>IF(AND('331-CT'!$E$7=TH!H132,OR(L132="331",M132="331")),"331",IF(AND(OR(L132="131",M132="131"),H132='131-CT'!$E$7),"131",""))</f>
        <v/>
      </c>
      <c r="O132" s="86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99"/>
    </row>
    <row r="133" spans="1:28" s="585" customFormat="1" ht="15.75" customHeight="1">
      <c r="A133" s="203" t="str">
        <f>IF(B133&lt;&gt;"",IF(AND(B133&gt;=_TM1,B133&lt;=_TM2,OR(TH!L133="1111",TH!M133="1111")),TH!D133,""),"")</f>
        <v/>
      </c>
      <c r="B133" s="36">
        <f>IF(C133&lt;&gt;"",MONTH(C133),"")</f>
        <v>1</v>
      </c>
      <c r="C133" s="183">
        <f>E133</f>
        <v>42032</v>
      </c>
      <c r="D133" s="190" t="s">
        <v>1324</v>
      </c>
      <c r="E133" s="190">
        <v>42032</v>
      </c>
      <c r="F133" s="191" t="s">
        <v>1897</v>
      </c>
      <c r="G133" s="482" t="s">
        <v>1893</v>
      </c>
      <c r="H133" s="7" t="s">
        <v>1879</v>
      </c>
      <c r="I133" s="255"/>
      <c r="J133" s="255"/>
      <c r="K133" s="593">
        <v>533011</v>
      </c>
      <c r="L133" s="193" t="s">
        <v>81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86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99"/>
      <c r="AB133" s="210"/>
    </row>
    <row r="134" spans="1:28" s="585" customFormat="1" ht="15.75" customHeight="1">
      <c r="A134" s="203" t="str">
        <f>IF(B134&lt;&gt;"",IF(AND(B134&gt;=_TM1,B134&lt;=_TM2,OR(TH!L134="1111",TH!M134="1111")),TH!D134,""),"")</f>
        <v/>
      </c>
      <c r="B134" s="36">
        <f>IF(C134&lt;&gt;"",MONTH(C134),"")</f>
        <v>1</v>
      </c>
      <c r="C134" s="183">
        <f>E134</f>
        <v>42033</v>
      </c>
      <c r="D134" s="190" t="s">
        <v>1319</v>
      </c>
      <c r="E134" s="37">
        <v>42033</v>
      </c>
      <c r="F134" s="191" t="s">
        <v>1320</v>
      </c>
      <c r="G134" s="482" t="s">
        <v>332</v>
      </c>
      <c r="H134" s="7" t="s">
        <v>400</v>
      </c>
      <c r="I134" s="255"/>
      <c r="J134" s="255"/>
      <c r="K134" s="593">
        <v>7913785</v>
      </c>
      <c r="L134" s="193" t="s">
        <v>24</v>
      </c>
      <c r="M134" s="193" t="s">
        <v>259</v>
      </c>
      <c r="N134" s="52" t="str">
        <f>IF(AND('331-CT'!$E$7=TH!H134,OR(L134="331",M134="331")),"331",IF(AND(OR(L134="131",M134="131"),H134='131-CT'!$E$7),"131",""))</f>
        <v/>
      </c>
      <c r="O134" s="86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>x</v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99"/>
      <c r="AB134" s="210"/>
    </row>
    <row r="135" spans="1:28" s="585" customFormat="1" ht="15.75" customHeight="1">
      <c r="A135" s="203" t="str">
        <f>IF(B135&lt;&gt;"",IF(AND(B135&gt;=_TM1,B135&lt;=_TM2,OR(TH!L135="1111",TH!M135="1111")),TH!D135,""),"")</f>
        <v/>
      </c>
      <c r="B135" s="36">
        <f>IF(C135&lt;&gt;"",MONTH(C135),"")</f>
        <v>1</v>
      </c>
      <c r="C135" s="183">
        <f>E135</f>
        <v>42034</v>
      </c>
      <c r="D135" s="183" t="s">
        <v>1525</v>
      </c>
      <c r="E135" s="37">
        <v>42034</v>
      </c>
      <c r="F135" s="188" t="s">
        <v>460</v>
      </c>
      <c r="G135" s="479" t="s">
        <v>461</v>
      </c>
      <c r="H135" s="192" t="s">
        <v>793</v>
      </c>
      <c r="I135" s="255">
        <v>207</v>
      </c>
      <c r="J135" s="257">
        <v>12500</v>
      </c>
      <c r="K135" s="593">
        <f>ROUND(I135*J135,0)</f>
        <v>2587500</v>
      </c>
      <c r="L135" s="594" t="s">
        <v>259</v>
      </c>
      <c r="M135" s="594" t="s">
        <v>174</v>
      </c>
      <c r="N135" s="52" t="str">
        <f>IF(AND('331-CT'!$E$7=TH!H135,OR(L135="331",M135="331")),"331",IF(AND(OR(L135="131",M135="131"),H135='131-CT'!$E$7),"131",""))</f>
        <v/>
      </c>
      <c r="O135" s="86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99"/>
      <c r="AB135" s="210"/>
    </row>
    <row r="136" spans="1:28" s="585" customFormat="1" ht="15.75" customHeight="1">
      <c r="A136" s="203" t="str">
        <f>IF(B136&lt;&gt;"",IF(AND(B136&gt;=_TM1,B136&lt;=_TM2,OR(TH!L136="1111",TH!M136="1111")),TH!D136,""),"")</f>
        <v/>
      </c>
      <c r="B136" s="36">
        <f>IF(C136&lt;&gt;"",MONTH(C136),"")</f>
        <v>1</v>
      </c>
      <c r="C136" s="183">
        <f>E136</f>
        <v>42034</v>
      </c>
      <c r="D136" s="183" t="s">
        <v>1525</v>
      </c>
      <c r="E136" s="37">
        <v>42034</v>
      </c>
      <c r="F136" s="188" t="s">
        <v>402</v>
      </c>
      <c r="G136" s="479" t="s">
        <v>461</v>
      </c>
      <c r="H136" s="192" t="s">
        <v>793</v>
      </c>
      <c r="I136" s="256"/>
      <c r="J136" s="257"/>
      <c r="K136" s="593">
        <v>258750</v>
      </c>
      <c r="L136" s="594" t="s">
        <v>259</v>
      </c>
      <c r="M136" s="594" t="s">
        <v>371</v>
      </c>
      <c r="N136" s="52" t="str">
        <f>IF(AND('331-CT'!$E$7=TH!H136,OR(L136="331",M136="331")),"331",IF(AND(OR(L136="131",M136="131"),H136='131-CT'!$E$7),"131",""))</f>
        <v/>
      </c>
      <c r="O136" s="86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99"/>
      <c r="AB136" s="210"/>
    </row>
    <row r="137" spans="1:28" s="585" customFormat="1" ht="15.75" customHeight="1">
      <c r="A137" s="203" t="str">
        <f>IF(B137&lt;&gt;"",IF(AND(B137&gt;=_TM1,B137&lt;=_TM2,OR(TH!L137="1111",TH!M137="1111")),TH!D137,""),"")</f>
        <v/>
      </c>
      <c r="B137" s="36">
        <f>IF(C137&lt;&gt;"",MONTH(C137),"")</f>
        <v>1</v>
      </c>
      <c r="C137" s="183">
        <f>E137</f>
        <v>42034</v>
      </c>
      <c r="D137" s="183" t="s">
        <v>1526</v>
      </c>
      <c r="E137" s="37">
        <v>42034</v>
      </c>
      <c r="F137" s="188" t="s">
        <v>538</v>
      </c>
      <c r="G137" s="479" t="s">
        <v>462</v>
      </c>
      <c r="H137" s="7" t="s">
        <v>453</v>
      </c>
      <c r="I137" s="255">
        <v>250</v>
      </c>
      <c r="J137" s="257">
        <v>9300</v>
      </c>
      <c r="K137" s="593">
        <f>ROUND(I137*J137,0)</f>
        <v>2325000</v>
      </c>
      <c r="L137" s="594" t="s">
        <v>259</v>
      </c>
      <c r="M137" s="594" t="s">
        <v>174</v>
      </c>
      <c r="N137" s="52" t="str">
        <f>IF(AND('331-CT'!$E$7=TH!H137,OR(L137="331",M137="331")),"331",IF(AND(OR(L137="131",M137="131"),H137='131-CT'!$E$7),"131",""))</f>
        <v/>
      </c>
      <c r="O137" s="86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99"/>
    </row>
    <row r="138" spans="1:28" s="585" customFormat="1" ht="15.75" customHeight="1">
      <c r="A138" s="203" t="str">
        <f>IF(B138&lt;&gt;"",IF(AND(B138&gt;=_TM1,B138&lt;=_TM2,OR(TH!L138="1111",TH!M138="1111")),TH!D138,""),"")</f>
        <v/>
      </c>
      <c r="B138" s="36">
        <f>IF(C138&lt;&gt;"",MONTH(C138),"")</f>
        <v>1</v>
      </c>
      <c r="C138" s="183">
        <f>E138</f>
        <v>42034</v>
      </c>
      <c r="D138" s="183" t="s">
        <v>1526</v>
      </c>
      <c r="E138" s="37">
        <v>42034</v>
      </c>
      <c r="F138" s="191" t="s">
        <v>595</v>
      </c>
      <c r="G138" s="479" t="s">
        <v>462</v>
      </c>
      <c r="H138" s="7" t="s">
        <v>453</v>
      </c>
      <c r="I138" s="257">
        <v>217</v>
      </c>
      <c r="J138" s="257">
        <v>6400</v>
      </c>
      <c r="K138" s="593">
        <f>ROUND(I138*J138,0)</f>
        <v>1388800</v>
      </c>
      <c r="L138" s="594" t="s">
        <v>259</v>
      </c>
      <c r="M138" s="594" t="s">
        <v>174</v>
      </c>
      <c r="N138" s="52" t="str">
        <f>IF(AND('331-CT'!$E$7=TH!H138,OR(L138="331",M138="331")),"331",IF(AND(OR(L138="131",M138="131"),H138='131-CT'!$E$7),"131",""))</f>
        <v/>
      </c>
      <c r="O138" s="86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99"/>
    </row>
    <row r="139" spans="1:28" s="585" customFormat="1" ht="15.75" customHeight="1">
      <c r="A139" s="203" t="str">
        <f>IF(B139&lt;&gt;"",IF(AND(B139&gt;=_TM1,B139&lt;=_TM2,OR(TH!L139="1111",TH!M139="1111")),TH!D139,""),"")</f>
        <v/>
      </c>
      <c r="B139" s="36">
        <f>IF(C139&lt;&gt;"",MONTH(C139),"")</f>
        <v>1</v>
      </c>
      <c r="C139" s="183">
        <f>E139</f>
        <v>42034</v>
      </c>
      <c r="D139" s="183" t="s">
        <v>1526</v>
      </c>
      <c r="E139" s="37">
        <v>42034</v>
      </c>
      <c r="F139" s="188" t="s">
        <v>402</v>
      </c>
      <c r="G139" s="595" t="s">
        <v>462</v>
      </c>
      <c r="H139" s="7" t="s">
        <v>453</v>
      </c>
      <c r="I139" s="255"/>
      <c r="J139" s="255"/>
      <c r="K139" s="593">
        <v>371380</v>
      </c>
      <c r="L139" s="594" t="s">
        <v>259</v>
      </c>
      <c r="M139" s="594" t="s">
        <v>371</v>
      </c>
      <c r="N139" s="52" t="str">
        <f>IF(AND('331-CT'!$E$7=TH!H139,OR(L139="331",M139="331")),"331",IF(AND(OR(L139="131",M139="131"),H139='131-CT'!$E$7),"131",""))</f>
        <v/>
      </c>
      <c r="O139" s="86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99"/>
    </row>
    <row r="140" spans="1:28" s="585" customFormat="1" ht="15.75" customHeight="1">
      <c r="A140" s="203" t="str">
        <f>IF(B140&lt;&gt;"",IF(AND(B140&gt;=_TM1,B140&lt;=_TM2,OR(TH!L140="1111",TH!M140="1111")),TH!D140,""),"")</f>
        <v/>
      </c>
      <c r="B140" s="36">
        <f>IF(C140&lt;&gt;"",MONTH(C140),"")</f>
        <v>1</v>
      </c>
      <c r="C140" s="183">
        <f>E140</f>
        <v>42034</v>
      </c>
      <c r="D140" s="183" t="s">
        <v>1527</v>
      </c>
      <c r="E140" s="37">
        <v>42034</v>
      </c>
      <c r="F140" s="188" t="s">
        <v>1688</v>
      </c>
      <c r="G140" s="595" t="s">
        <v>463</v>
      </c>
      <c r="H140" s="7" t="s">
        <v>464</v>
      </c>
      <c r="I140" s="255">
        <v>400</v>
      </c>
      <c r="J140" s="255">
        <v>1260</v>
      </c>
      <c r="K140" s="593">
        <f>ROUND(I140*J140,0)</f>
        <v>504000</v>
      </c>
      <c r="L140" s="594" t="s">
        <v>259</v>
      </c>
      <c r="M140" s="594" t="s">
        <v>174</v>
      </c>
      <c r="N140" s="52" t="str">
        <f>IF(AND('331-CT'!$E$7=TH!H140,OR(L140="331",M140="331")),"331",IF(AND(OR(L140="131",M140="131"),H140='131-CT'!$E$7),"131",""))</f>
        <v/>
      </c>
      <c r="O140" s="86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99"/>
    </row>
    <row r="141" spans="1:28" s="585" customFormat="1" ht="15.75" customHeight="1">
      <c r="A141" s="203" t="str">
        <f>IF(B141&lt;&gt;"",IF(AND(B141&gt;=_TM1,B141&lt;=_TM2,OR(TH!L141="1111",TH!M141="1111")),TH!D141,""),"")</f>
        <v/>
      </c>
      <c r="B141" s="36">
        <f>IF(C141&lt;&gt;"",MONTH(C141),"")</f>
        <v>1</v>
      </c>
      <c r="C141" s="183">
        <f>E141</f>
        <v>42034</v>
      </c>
      <c r="D141" s="183" t="s">
        <v>1527</v>
      </c>
      <c r="E141" s="37">
        <v>42034</v>
      </c>
      <c r="F141" s="40" t="s">
        <v>1689</v>
      </c>
      <c r="G141" s="479" t="s">
        <v>463</v>
      </c>
      <c r="H141" s="45" t="s">
        <v>464</v>
      </c>
      <c r="I141" s="255">
        <v>600</v>
      </c>
      <c r="J141" s="255">
        <v>1300</v>
      </c>
      <c r="K141" s="593">
        <f>ROUND(I141*J141,0)</f>
        <v>780000</v>
      </c>
      <c r="L141" s="594" t="s">
        <v>259</v>
      </c>
      <c r="M141" s="594" t="s">
        <v>174</v>
      </c>
      <c r="N141" s="52" t="str">
        <f>IF(AND('331-CT'!$E$7=TH!H141,OR(L141="331",M141="331")),"331",IF(AND(OR(L141="131",M141="131"),H141='131-CT'!$E$7),"131",""))</f>
        <v/>
      </c>
      <c r="O141" s="86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99"/>
    </row>
    <row r="142" spans="1:28" s="585" customFormat="1" ht="15.75" customHeight="1">
      <c r="A142" s="203" t="str">
        <f>IF(B142&lt;&gt;"",IF(AND(B142&gt;=_TM1,B142&lt;=_TM2,OR(TH!L142="1111",TH!M142="1111")),TH!D142,""),"")</f>
        <v/>
      </c>
      <c r="B142" s="36">
        <f>IF(C142&lt;&gt;"",MONTH(C142),"")</f>
        <v>1</v>
      </c>
      <c r="C142" s="183">
        <f>E142</f>
        <v>42034</v>
      </c>
      <c r="D142" s="183" t="s">
        <v>1527</v>
      </c>
      <c r="E142" s="37">
        <v>42034</v>
      </c>
      <c r="F142" s="40" t="s">
        <v>1690</v>
      </c>
      <c r="G142" s="479" t="s">
        <v>463</v>
      </c>
      <c r="H142" s="45" t="s">
        <v>464</v>
      </c>
      <c r="I142" s="255">
        <v>200</v>
      </c>
      <c r="J142" s="255">
        <v>2000</v>
      </c>
      <c r="K142" s="593">
        <f>ROUND(I142*J142,0)</f>
        <v>400000</v>
      </c>
      <c r="L142" s="594" t="s">
        <v>259</v>
      </c>
      <c r="M142" s="594" t="s">
        <v>174</v>
      </c>
      <c r="N142" s="52" t="str">
        <f>IF(AND('331-CT'!$E$7=TH!H142,OR(L142="331",M142="331")),"331",IF(AND(OR(L142="131",M142="131"),H142='131-CT'!$E$7),"131",""))</f>
        <v/>
      </c>
      <c r="O142" s="86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99"/>
    </row>
    <row r="143" spans="1:28" s="585" customFormat="1" ht="15.75" customHeight="1">
      <c r="A143" s="203" t="str">
        <f>IF(B143&lt;&gt;"",IF(AND(B143&gt;=_TM1,B143&lt;=_TM2,OR(TH!L143="1111",TH!M143="1111")),TH!D143,""),"")</f>
        <v/>
      </c>
      <c r="B143" s="36">
        <f>IF(C143&lt;&gt;"",MONTH(C143),"")</f>
        <v>1</v>
      </c>
      <c r="C143" s="183">
        <f>E143</f>
        <v>42034</v>
      </c>
      <c r="D143" s="183" t="s">
        <v>1527</v>
      </c>
      <c r="E143" s="37">
        <v>42034</v>
      </c>
      <c r="F143" s="40" t="s">
        <v>465</v>
      </c>
      <c r="G143" s="479" t="s">
        <v>463</v>
      </c>
      <c r="H143" s="45" t="s">
        <v>464</v>
      </c>
      <c r="I143" s="255"/>
      <c r="J143" s="255"/>
      <c r="K143" s="38">
        <v>168400</v>
      </c>
      <c r="L143" s="594" t="s">
        <v>259</v>
      </c>
      <c r="M143" s="594" t="s">
        <v>371</v>
      </c>
      <c r="N143" s="52" t="str">
        <f>IF(AND('331-CT'!$E$7=TH!H143,OR(L143="331",M143="331")),"331",IF(AND(OR(L143="131",M143="131"),H143='131-CT'!$E$7),"131",""))</f>
        <v/>
      </c>
      <c r="O143" s="86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99"/>
    </row>
    <row r="144" spans="1:28" s="585" customFormat="1" ht="15.75" customHeight="1">
      <c r="A144" s="203" t="str">
        <f>IF(B144&lt;&gt;"",IF(AND(B144&gt;=_TM1,B144&lt;=_TM2,OR(TH!L144="1111",TH!M144="1111")),TH!D144,""),"")</f>
        <v/>
      </c>
      <c r="B144" s="897">
        <f>IF(C144&lt;&gt;"",MONTH(C144),"")</f>
        <v>1</v>
      </c>
      <c r="C144" s="888">
        <f>E144</f>
        <v>42035</v>
      </c>
      <c r="D144" s="888" t="s">
        <v>334</v>
      </c>
      <c r="E144" s="888">
        <v>42035</v>
      </c>
      <c r="F144" s="889" t="s">
        <v>1939</v>
      </c>
      <c r="G144" s="890"/>
      <c r="H144" s="891"/>
      <c r="I144" s="892"/>
      <c r="J144" s="892"/>
      <c r="K144" s="893">
        <v>16670000</v>
      </c>
      <c r="L144" s="894" t="s">
        <v>83</v>
      </c>
      <c r="M144" s="894" t="s">
        <v>262</v>
      </c>
      <c r="N144" s="52" t="str">
        <f>IF(AND('331-CT'!$E$7=TH!H144,OR(L144="331",M144="331")),"331",IF(AND(OR(L144="131",M144="131"),H144='131-CT'!$E$7),"131",""))</f>
        <v/>
      </c>
      <c r="O144" s="86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5"/>
      <c r="AB144" s="895"/>
    </row>
    <row r="145" spans="1:28" s="585" customFormat="1" ht="15.75" customHeight="1">
      <c r="A145" s="203" t="str">
        <f>IF(B145&lt;&gt;"",IF(AND(B145&gt;=_TM1,B145&lt;=_TM2,OR(TH!L145="1111",TH!M145="1111")),TH!D145,""),"")</f>
        <v/>
      </c>
      <c r="B145" s="897">
        <f>IF(C145&lt;&gt;"",MONTH(C145),"")</f>
        <v>1</v>
      </c>
      <c r="C145" s="888">
        <f>E145</f>
        <v>42035</v>
      </c>
      <c r="D145" s="888" t="s">
        <v>334</v>
      </c>
      <c r="E145" s="888">
        <v>42035</v>
      </c>
      <c r="F145" s="889" t="s">
        <v>1940</v>
      </c>
      <c r="G145" s="890"/>
      <c r="H145" s="891"/>
      <c r="I145" s="892"/>
      <c r="J145" s="892"/>
      <c r="K145" s="893">
        <v>34530000</v>
      </c>
      <c r="L145" s="894" t="s">
        <v>165</v>
      </c>
      <c r="M145" s="894" t="s">
        <v>262</v>
      </c>
      <c r="N145" s="52" t="str">
        <f>IF(AND('331-CT'!$E$7=TH!H145,OR(L145="331",M145="331")),"331",IF(AND(OR(L145="131",M145="131"),H145='131-CT'!$E$7),"131",""))</f>
        <v/>
      </c>
      <c r="O145" s="86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5"/>
      <c r="AB145" s="895"/>
    </row>
    <row r="146" spans="1:28" s="585" customFormat="1" ht="15.75" customHeight="1">
      <c r="A146" s="203" t="str">
        <f>IF(B146&lt;&gt;"",IF(AND(B146&gt;=_TM1,B146&lt;=_TM2,OR(TH!L146="1111",TH!M146="1111")),TH!D146,""),"")</f>
        <v/>
      </c>
      <c r="B146" s="897">
        <f>IF(C146&lt;&gt;"",MONTH(C146),"")</f>
        <v>1</v>
      </c>
      <c r="C146" s="888">
        <f>E146</f>
        <v>42035</v>
      </c>
      <c r="D146" s="888" t="s">
        <v>334</v>
      </c>
      <c r="E146" s="888">
        <v>42035</v>
      </c>
      <c r="F146" s="889" t="str">
        <f>"Thanh toán tiền lương tháng "&amp;MONTH(E146)&amp;"/"&amp;YEAR(E146)</f>
        <v>Thanh toán tiền lương tháng 1/2015</v>
      </c>
      <c r="G146" s="890"/>
      <c r="H146" s="891"/>
      <c r="I146" s="892"/>
      <c r="J146" s="892"/>
      <c r="K146" s="893">
        <f>K144+K145</f>
        <v>51200000</v>
      </c>
      <c r="L146" s="894" t="s">
        <v>262</v>
      </c>
      <c r="M146" s="894" t="s">
        <v>47</v>
      </c>
      <c r="N146" s="52" t="str">
        <f>IF(AND('331-CT'!$E$7=TH!H146,OR(L146="331",M146="331")),"331",IF(AND(OR(L146="131",M146="131"),H146='131-CT'!$E$7),"131",""))</f>
        <v/>
      </c>
      <c r="O146" s="86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>x</v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5"/>
      <c r="AB146" s="895"/>
    </row>
    <row r="147" spans="1:28" s="585" customFormat="1" ht="15.75" customHeight="1">
      <c r="A147" s="203" t="str">
        <f>IF(B147&lt;&gt;"",IF(AND(B147&gt;=_TM1,B147&lt;=_TM2,OR(TH!L147="1111",TH!M147="1111")),TH!D147,""),"")</f>
        <v/>
      </c>
      <c r="B147" s="36">
        <f>IF(C147&lt;&gt;"",MONTH(C147),"")</f>
        <v>1</v>
      </c>
      <c r="C147" s="183">
        <f>E147</f>
        <v>42035</v>
      </c>
      <c r="D147" s="183" t="s">
        <v>1319</v>
      </c>
      <c r="E147" s="190">
        <v>42035</v>
      </c>
      <c r="F147" s="191" t="s">
        <v>1321</v>
      </c>
      <c r="G147" s="191" t="s">
        <v>1893</v>
      </c>
      <c r="H147" s="7"/>
      <c r="I147" s="255"/>
      <c r="J147" s="255"/>
      <c r="K147" s="593">
        <v>800</v>
      </c>
      <c r="L147" s="193" t="s">
        <v>24</v>
      </c>
      <c r="M147" s="193" t="s">
        <v>40</v>
      </c>
      <c r="N147" s="52" t="str">
        <f>IF(AND('331-CT'!$E$7=TH!H147,OR(L147="331",M147="331")),"331",IF(AND(OR(L147="131",M147="131"),H147='131-CT'!$E$7),"131",""))</f>
        <v/>
      </c>
      <c r="O147" s="86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99"/>
      <c r="AB147" s="210"/>
    </row>
    <row r="148" spans="1:28" s="585" customFormat="1" ht="15.75" customHeight="1">
      <c r="A148" s="203" t="str">
        <f>IF(B148&lt;&gt;"",IF(AND(B148&gt;=_TM1,B148&lt;=_TM2,OR(TH!L148="1111",TH!M148="1111")),TH!D148,""),"")</f>
        <v/>
      </c>
      <c r="B148" s="36">
        <f>IF(C148&lt;&gt;"",MONTH(C148),"")</f>
        <v>2</v>
      </c>
      <c r="C148" s="183">
        <f>E148</f>
        <v>42037</v>
      </c>
      <c r="D148" s="183" t="s">
        <v>1528</v>
      </c>
      <c r="E148" s="190">
        <v>42037</v>
      </c>
      <c r="F148" s="188" t="s">
        <v>466</v>
      </c>
      <c r="G148" s="595" t="s">
        <v>467</v>
      </c>
      <c r="H148" s="7" t="s">
        <v>468</v>
      </c>
      <c r="I148" s="255">
        <v>247</v>
      </c>
      <c r="J148" s="255">
        <v>9000</v>
      </c>
      <c r="K148" s="593">
        <f>ROUND(I148*J148,0)</f>
        <v>2223000</v>
      </c>
      <c r="L148" s="594" t="s">
        <v>259</v>
      </c>
      <c r="M148" s="594" t="s">
        <v>174</v>
      </c>
      <c r="N148" s="52" t="str">
        <f>IF(AND('331-CT'!$E$7=TH!H148,OR(L148="331",M148="331")),"331",IF(AND(OR(L148="131",M148="131"),H148='131-CT'!$E$7),"131",""))</f>
        <v/>
      </c>
      <c r="O148" s="86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99"/>
    </row>
    <row r="149" spans="1:28" s="585" customFormat="1" ht="15.75" customHeight="1">
      <c r="A149" s="203" t="str">
        <f>IF(B149&lt;&gt;"",IF(AND(B149&gt;=_TM1,B149&lt;=_TM2,OR(TH!L149="1111",TH!M149="1111")),TH!D149,""),"")</f>
        <v/>
      </c>
      <c r="B149" s="36">
        <f>IF(C149&lt;&gt;"",MONTH(C149),"")</f>
        <v>2</v>
      </c>
      <c r="C149" s="183">
        <f>E149</f>
        <v>42037</v>
      </c>
      <c r="D149" s="183" t="s">
        <v>1528</v>
      </c>
      <c r="E149" s="190">
        <v>42037</v>
      </c>
      <c r="F149" s="188" t="s">
        <v>469</v>
      </c>
      <c r="G149" s="595" t="s">
        <v>467</v>
      </c>
      <c r="H149" s="7" t="s">
        <v>468</v>
      </c>
      <c r="I149" s="255">
        <v>109</v>
      </c>
      <c r="J149" s="255">
        <v>6400</v>
      </c>
      <c r="K149" s="593">
        <f>ROUND(I149*J149,0)</f>
        <v>697600</v>
      </c>
      <c r="L149" s="594" t="s">
        <v>259</v>
      </c>
      <c r="M149" s="594" t="s">
        <v>174</v>
      </c>
      <c r="N149" s="52" t="str">
        <f>IF(AND('331-CT'!$E$7=TH!H149,OR(L149="331",M149="331")),"331",IF(AND(OR(L149="131",M149="131"),H149='131-CT'!$E$7),"131",""))</f>
        <v/>
      </c>
      <c r="O149" s="86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99"/>
    </row>
    <row r="150" spans="1:28" s="210" customFormat="1" ht="15.75" customHeight="1">
      <c r="A150" s="203" t="str">
        <f>IF(B150&lt;&gt;"",IF(AND(B150&gt;=_TM1,B150&lt;=_TM2,OR(TH!L150="1111",TH!M150="1111")),TH!D150,""),"")</f>
        <v/>
      </c>
      <c r="B150" s="36">
        <f>IF(C150&lt;&gt;"",MONTH(C150),"")</f>
        <v>2</v>
      </c>
      <c r="C150" s="183">
        <f>E150</f>
        <v>42037</v>
      </c>
      <c r="D150" s="183" t="s">
        <v>1528</v>
      </c>
      <c r="E150" s="190">
        <v>42037</v>
      </c>
      <c r="F150" s="296" t="s">
        <v>402</v>
      </c>
      <c r="G150" s="595" t="s">
        <v>467</v>
      </c>
      <c r="H150" s="7" t="s">
        <v>468</v>
      </c>
      <c r="I150" s="255"/>
      <c r="J150" s="255"/>
      <c r="K150" s="593">
        <v>292060</v>
      </c>
      <c r="L150" s="594" t="s">
        <v>259</v>
      </c>
      <c r="M150" s="594" t="s">
        <v>371</v>
      </c>
      <c r="N150" s="52" t="str">
        <f>IF(AND('331-CT'!$E$7=TH!H150,OR(L150="331",M150="331")),"331",IF(AND(OR(L150="131",M150="131"),H150='131-CT'!$E$7),"131",""))</f>
        <v/>
      </c>
      <c r="O150" s="86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99"/>
      <c r="AB150" s="585"/>
    </row>
    <row r="151" spans="1:28" s="210" customFormat="1" ht="15.75" customHeight="1">
      <c r="A151" s="203" t="str">
        <f>IF(B151&lt;&gt;"",IF(AND(B151&gt;=_TM1,B151&lt;=_TM2,OR(TH!L151="1111",TH!M151="1111")),TH!D151,""),"")</f>
        <v/>
      </c>
      <c r="B151" s="36">
        <f>IF(C151&lt;&gt;"",MONTH(C151),"")</f>
        <v>2</v>
      </c>
      <c r="C151" s="183">
        <f>E151</f>
        <v>42037</v>
      </c>
      <c r="D151" s="183" t="s">
        <v>1528</v>
      </c>
      <c r="E151" s="190">
        <v>42037</v>
      </c>
      <c r="F151" s="191" t="s">
        <v>1320</v>
      </c>
      <c r="G151" s="595" t="s">
        <v>467</v>
      </c>
      <c r="H151" s="7" t="s">
        <v>468</v>
      </c>
      <c r="I151" s="255"/>
      <c r="J151" s="255"/>
      <c r="K151" s="593">
        <v>3212660</v>
      </c>
      <c r="L151" s="594" t="s">
        <v>47</v>
      </c>
      <c r="M151" s="594" t="s">
        <v>259</v>
      </c>
      <c r="N151" s="52" t="str">
        <f>IF(AND('331-CT'!$E$7=TH!H151,OR(L151="331",M151="331")),"331",IF(AND(OR(L151="131",M151="131"),H151='131-CT'!$E$7),"131",""))</f>
        <v/>
      </c>
      <c r="O151" s="86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>x</v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99"/>
      <c r="AB151" s="585"/>
    </row>
    <row r="152" spans="1:28" s="210" customFormat="1" ht="15.75" customHeight="1">
      <c r="A152" s="203" t="str">
        <f>IF(B152&lt;&gt;"",IF(AND(B152&gt;=_TM1,B152&lt;=_TM2,OR(TH!L152="1111",TH!M152="1111")),TH!D152,""),"")</f>
        <v/>
      </c>
      <c r="B152" s="36">
        <f>IF(C152&lt;&gt;"",MONTH(C152),"")</f>
        <v>2</v>
      </c>
      <c r="C152" s="183">
        <f>E152</f>
        <v>42037</v>
      </c>
      <c r="D152" s="190" t="s">
        <v>1319</v>
      </c>
      <c r="E152" s="37">
        <v>42037</v>
      </c>
      <c r="F152" s="191" t="s">
        <v>1320</v>
      </c>
      <c r="G152" s="482" t="s">
        <v>332</v>
      </c>
      <c r="H152" s="7" t="s">
        <v>1932</v>
      </c>
      <c r="I152" s="255"/>
      <c r="J152" s="255"/>
      <c r="K152" s="593">
        <v>19045098</v>
      </c>
      <c r="L152" s="193" t="s">
        <v>24</v>
      </c>
      <c r="M152" s="193" t="s">
        <v>259</v>
      </c>
      <c r="N152" s="52" t="str">
        <f>IF(AND('331-CT'!$E$7=TH!H152,OR(L152="331",M152="331")),"331",IF(AND(OR(L152="131",M152="131"),H152='131-CT'!$E$7),"131",""))</f>
        <v/>
      </c>
      <c r="O152" s="86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>x</v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99"/>
    </row>
    <row r="153" spans="1:28" s="210" customFormat="1" ht="15.75" customHeight="1">
      <c r="A153" s="203" t="str">
        <f>IF(B153&lt;&gt;"",IF(AND(B153&gt;=_TM1,B153&lt;=_TM2,OR(TH!L153="1111",TH!M153="1111")),TH!D153,""),"")</f>
        <v/>
      </c>
      <c r="B153" s="36">
        <f>IF(C153&lt;&gt;"",MONTH(C153),"")</f>
        <v>2</v>
      </c>
      <c r="C153" s="183">
        <f>E153</f>
        <v>42037</v>
      </c>
      <c r="D153" s="190" t="s">
        <v>1319</v>
      </c>
      <c r="E153" s="37">
        <v>42037</v>
      </c>
      <c r="F153" s="191" t="s">
        <v>1933</v>
      </c>
      <c r="G153" s="482" t="s">
        <v>332</v>
      </c>
      <c r="H153" s="7" t="s">
        <v>1932</v>
      </c>
      <c r="I153" s="255"/>
      <c r="J153" s="255"/>
      <c r="K153" s="593">
        <v>11000</v>
      </c>
      <c r="L153" s="193" t="s">
        <v>83</v>
      </c>
      <c r="M153" s="193" t="s">
        <v>259</v>
      </c>
      <c r="N153" s="52" t="str">
        <f>IF(AND('331-CT'!$E$7=TH!H153,OR(L153="331",M153="331")),"331",IF(AND(OR(L153="131",M153="131"),H153='131-CT'!$E$7),"131",""))</f>
        <v/>
      </c>
      <c r="O153" s="86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99"/>
    </row>
    <row r="154" spans="1:28" s="210" customFormat="1" ht="15.75" customHeight="1">
      <c r="A154" s="203" t="str">
        <f>IF(B154&lt;&gt;"",IF(AND(B154&gt;=_TM1,B154&lt;=_TM2,OR(TH!L154="1111",TH!M154="1111")),TH!D154,""),"")</f>
        <v/>
      </c>
      <c r="B154" s="36">
        <f>IF(C154&lt;&gt;"",MONTH(C154),"")</f>
        <v>2</v>
      </c>
      <c r="C154" s="183">
        <f>E154</f>
        <v>42037</v>
      </c>
      <c r="D154" s="183"/>
      <c r="E154" s="190">
        <v>42037</v>
      </c>
      <c r="F154" s="188" t="s">
        <v>1345</v>
      </c>
      <c r="G154" s="482"/>
      <c r="H154" s="45" t="s">
        <v>1344</v>
      </c>
      <c r="I154" s="255"/>
      <c r="J154" s="255"/>
      <c r="K154" s="593">
        <v>3000000</v>
      </c>
      <c r="L154" s="594" t="s">
        <v>17</v>
      </c>
      <c r="M154" s="594" t="s">
        <v>47</v>
      </c>
      <c r="N154" s="52" t="str">
        <f>IF(AND('331-CT'!$E$7=TH!H154,OR(L154="331",M154="331")),"331",IF(AND(OR(L154="131",M154="131"),H154='131-CT'!$E$7),"131",""))</f>
        <v/>
      </c>
      <c r="O154" s="86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>x</v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99"/>
    </row>
    <row r="155" spans="1:28" s="210" customFormat="1" ht="15.75" customHeight="1">
      <c r="A155" s="203" t="str">
        <f>IF(B155&lt;&gt;"",IF(AND(B155&gt;=_TM1,B155&lt;=_TM2,OR(TH!L155="1111",TH!M155="1111")),TH!D155,""),"")</f>
        <v/>
      </c>
      <c r="B155" s="36">
        <f>IF(C155&lt;&gt;"",MONTH(C155),"")</f>
        <v>2</v>
      </c>
      <c r="C155" s="183">
        <f>E155</f>
        <v>42037</v>
      </c>
      <c r="D155" s="183"/>
      <c r="E155" s="190">
        <v>42037</v>
      </c>
      <c r="F155" s="191" t="s">
        <v>1346</v>
      </c>
      <c r="G155" s="479"/>
      <c r="H155" s="45" t="s">
        <v>1344</v>
      </c>
      <c r="I155" s="256"/>
      <c r="J155" s="255"/>
      <c r="K155" s="38">
        <v>1000000</v>
      </c>
      <c r="L155" s="193" t="s">
        <v>63</v>
      </c>
      <c r="M155" s="594" t="s">
        <v>47</v>
      </c>
      <c r="N155" s="52" t="str">
        <f>IF(AND('331-CT'!$E$7=TH!H155,OR(L155="331",M155="331")),"331",IF(AND(OR(L155="131",M155="131"),H155='131-CT'!$E$7),"131",""))</f>
        <v/>
      </c>
      <c r="O155" s="86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>x</v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99"/>
    </row>
    <row r="156" spans="1:28" s="210" customFormat="1" ht="15.75" customHeight="1">
      <c r="A156" s="203" t="str">
        <f>IF(B156&lt;&gt;"",IF(AND(B156&gt;=_TM1,B156&lt;=_TM2,OR(TH!L156="1111",TH!M156="1111")),TH!D156,""),"")</f>
        <v/>
      </c>
      <c r="B156" s="36">
        <f>IF(C156&lt;&gt;"",MONTH(C156),"")</f>
        <v>2</v>
      </c>
      <c r="C156" s="183">
        <f>E156</f>
        <v>42037</v>
      </c>
      <c r="D156" s="183"/>
      <c r="E156" s="190">
        <v>42037</v>
      </c>
      <c r="F156" s="191" t="s">
        <v>1347</v>
      </c>
      <c r="G156" s="479"/>
      <c r="H156" s="45" t="s">
        <v>1344</v>
      </c>
      <c r="I156" s="256"/>
      <c r="J156" s="255"/>
      <c r="K156" s="38">
        <v>1000000</v>
      </c>
      <c r="L156" s="193" t="s">
        <v>83</v>
      </c>
      <c r="M156" s="594" t="s">
        <v>63</v>
      </c>
      <c r="N156" s="52" t="str">
        <f>IF(AND('331-CT'!$E$7=TH!H156,OR(L156="331",M156="331")),"331",IF(AND(OR(L156="131",M156="131"),H156='131-CT'!$E$7),"131",""))</f>
        <v/>
      </c>
      <c r="O156" s="86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>x</v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99"/>
    </row>
    <row r="157" spans="1:28" s="210" customFormat="1" ht="15.75" customHeight="1">
      <c r="A157" s="203" t="str">
        <f>IF(B157&lt;&gt;"",IF(AND(B157&gt;=_TM1,B157&lt;=_TM2,OR(TH!L157="1111",TH!M157="1111")),TH!D157,""),"")</f>
        <v/>
      </c>
      <c r="B157" s="36">
        <f>IF(C157&lt;&gt;"",MONTH(C157),"")</f>
        <v>2</v>
      </c>
      <c r="C157" s="183">
        <f>E157</f>
        <v>42039</v>
      </c>
      <c r="D157" s="183" t="s">
        <v>1529</v>
      </c>
      <c r="E157" s="190">
        <v>42039</v>
      </c>
      <c r="F157" s="188" t="s">
        <v>424</v>
      </c>
      <c r="G157" s="595" t="s">
        <v>470</v>
      </c>
      <c r="H157" s="7" t="s">
        <v>407</v>
      </c>
      <c r="I157" s="704">
        <v>1312</v>
      </c>
      <c r="J157" s="255">
        <v>8200</v>
      </c>
      <c r="K157" s="593">
        <f>ROUND(I157*J157,0)</f>
        <v>10758400</v>
      </c>
      <c r="L157" s="594" t="s">
        <v>259</v>
      </c>
      <c r="M157" s="594" t="s">
        <v>174</v>
      </c>
      <c r="N157" s="52" t="str">
        <f>IF(AND('331-CT'!$E$7=TH!H157,OR(L157="331",M157="331")),"331",IF(AND(OR(L157="131",M157="131"),H157='131-CT'!$E$7),"131",""))</f>
        <v/>
      </c>
      <c r="O157" s="86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99"/>
      <c r="AB157" s="585"/>
    </row>
    <row r="158" spans="1:28" s="210" customFormat="1" ht="15.75" customHeight="1">
      <c r="A158" s="203" t="str">
        <f>IF(B158&lt;&gt;"",IF(AND(B158&gt;=_TM1,B158&lt;=_TM2,OR(TH!L158="1111",TH!M158="1111")),TH!D158,""),"")</f>
        <v/>
      </c>
      <c r="B158" s="36">
        <f>IF(C158&lt;&gt;"",MONTH(C158),"")</f>
        <v>2</v>
      </c>
      <c r="C158" s="183">
        <f>E158</f>
        <v>42039</v>
      </c>
      <c r="D158" s="183" t="s">
        <v>1529</v>
      </c>
      <c r="E158" s="190">
        <v>42039</v>
      </c>
      <c r="F158" s="188" t="s">
        <v>405</v>
      </c>
      <c r="G158" s="595" t="s">
        <v>470</v>
      </c>
      <c r="H158" s="7" t="s">
        <v>407</v>
      </c>
      <c r="I158" s="704">
        <v>202</v>
      </c>
      <c r="J158" s="704">
        <v>9400</v>
      </c>
      <c r="K158" s="593">
        <f>ROUND(I158*J158,0)</f>
        <v>1898800</v>
      </c>
      <c r="L158" s="594" t="s">
        <v>259</v>
      </c>
      <c r="M158" s="594" t="s">
        <v>174</v>
      </c>
      <c r="N158" s="52" t="str">
        <f>IF(AND('331-CT'!$E$7=TH!H158,OR(L158="331",M158="331")),"331",IF(AND(OR(L158="131",M158="131"),H158='131-CT'!$E$7),"131",""))</f>
        <v/>
      </c>
      <c r="O158" s="86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99"/>
      <c r="AB158" s="585"/>
    </row>
    <row r="159" spans="1:28" s="210" customFormat="1" ht="15.75" customHeight="1">
      <c r="A159" s="203" t="str">
        <f>IF(B159&lt;&gt;"",IF(AND(B159&gt;=_TM1,B159&lt;=_TM2,OR(TH!L159="1111",TH!M159="1111")),TH!D159,""),"")</f>
        <v/>
      </c>
      <c r="B159" s="36">
        <f>IF(C159&lt;&gt;"",MONTH(C159),"")</f>
        <v>2</v>
      </c>
      <c r="C159" s="183">
        <f>E159</f>
        <v>42039</v>
      </c>
      <c r="D159" s="183" t="s">
        <v>1529</v>
      </c>
      <c r="E159" s="190">
        <v>42039</v>
      </c>
      <c r="F159" s="188" t="s">
        <v>471</v>
      </c>
      <c r="G159" s="595" t="s">
        <v>470</v>
      </c>
      <c r="H159" s="7" t="s">
        <v>407</v>
      </c>
      <c r="I159" s="704">
        <v>22</v>
      </c>
      <c r="J159" s="255">
        <v>7900</v>
      </c>
      <c r="K159" s="593">
        <f>ROUND(I159*J159,0)</f>
        <v>173800</v>
      </c>
      <c r="L159" s="594" t="s">
        <v>259</v>
      </c>
      <c r="M159" s="594" t="s">
        <v>174</v>
      </c>
      <c r="N159" s="52" t="str">
        <f>IF(AND('331-CT'!$E$7=TH!H159,OR(L159="331",M159="331")),"331",IF(AND(OR(L159="131",M159="131"),H159='131-CT'!$E$7),"131",""))</f>
        <v/>
      </c>
      <c r="O159" s="86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99"/>
      <c r="AB159" s="585"/>
    </row>
    <row r="160" spans="1:28" s="210" customFormat="1" ht="15.75" customHeight="1">
      <c r="A160" s="203" t="str">
        <f>IF(B160&lt;&gt;"",IF(AND(B160&gt;=_TM1,B160&lt;=_TM2,OR(TH!L160="1111",TH!M160="1111")),TH!D160,""),"")</f>
        <v/>
      </c>
      <c r="B160" s="36">
        <f>IF(C160&lt;&gt;"",MONTH(C160),"")</f>
        <v>2</v>
      </c>
      <c r="C160" s="183">
        <f>E160</f>
        <v>42039</v>
      </c>
      <c r="D160" s="183" t="s">
        <v>1529</v>
      </c>
      <c r="E160" s="190">
        <v>42039</v>
      </c>
      <c r="F160" s="188" t="s">
        <v>402</v>
      </c>
      <c r="G160" s="595" t="s">
        <v>470</v>
      </c>
      <c r="H160" s="7" t="s">
        <v>407</v>
      </c>
      <c r="I160" s="704"/>
      <c r="J160" s="255"/>
      <c r="K160" s="593">
        <v>1283100</v>
      </c>
      <c r="L160" s="594" t="s">
        <v>259</v>
      </c>
      <c r="M160" s="594" t="s">
        <v>371</v>
      </c>
      <c r="N160" s="52" t="str">
        <f>IF(AND('331-CT'!$E$7=TH!H160,OR(L160="331",M160="331")),"331",IF(AND(OR(L160="131",M160="131"),H160='131-CT'!$E$7),"131",""))</f>
        <v/>
      </c>
      <c r="O160" s="86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99"/>
      <c r="AB160" s="585"/>
    </row>
    <row r="161" spans="1:28" s="210" customFormat="1" ht="15.75" customHeight="1">
      <c r="A161" s="203" t="str">
        <f>IF(B161&lt;&gt;"",IF(AND(B161&gt;=_TM1,B161&lt;=_TM2,OR(TH!L161="1111",TH!M161="1111")),TH!D161,""),"")</f>
        <v/>
      </c>
      <c r="B161" s="36">
        <f>IF(C161&lt;&gt;"",MONTH(C161),"")</f>
        <v>2</v>
      </c>
      <c r="C161" s="183">
        <f>E161</f>
        <v>42039</v>
      </c>
      <c r="D161" s="190" t="s">
        <v>1319</v>
      </c>
      <c r="E161" s="37">
        <v>42039</v>
      </c>
      <c r="F161" s="191" t="s">
        <v>1320</v>
      </c>
      <c r="G161" s="482" t="s">
        <v>332</v>
      </c>
      <c r="H161" s="7" t="s">
        <v>407</v>
      </c>
      <c r="I161" s="704"/>
      <c r="J161" s="255"/>
      <c r="K161" s="593">
        <v>48844862</v>
      </c>
      <c r="L161" s="193" t="s">
        <v>24</v>
      </c>
      <c r="M161" s="193" t="s">
        <v>259</v>
      </c>
      <c r="N161" s="52" t="str">
        <f>IF(AND('331-CT'!$E$7=TH!H161,OR(L161="331",M161="331")),"331",IF(AND(OR(L161="131",M161="131"),H161='131-CT'!$E$7),"131",""))</f>
        <v/>
      </c>
      <c r="O161" s="86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>x</v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99"/>
    </row>
    <row r="162" spans="1:28" s="210" customFormat="1" ht="15.75" customHeight="1">
      <c r="A162" s="203" t="str">
        <f>IF(B162&lt;&gt;"",IF(AND(B162&gt;=_TM1,B162&lt;=_TM2,OR(TH!L162="1111",TH!M162="1111")),TH!D162,""),"")</f>
        <v/>
      </c>
      <c r="B162" s="36">
        <f>IF(C162&lt;&gt;"",MONTH(C162),"")</f>
        <v>2</v>
      </c>
      <c r="C162" s="183">
        <f>E162</f>
        <v>42039</v>
      </c>
      <c r="D162" s="190" t="s">
        <v>1319</v>
      </c>
      <c r="E162" s="37">
        <v>42039</v>
      </c>
      <c r="F162" s="191" t="s">
        <v>1320</v>
      </c>
      <c r="G162" s="482" t="s">
        <v>332</v>
      </c>
      <c r="H162" s="45" t="s">
        <v>416</v>
      </c>
      <c r="I162" s="704"/>
      <c r="J162" s="255"/>
      <c r="K162" s="593">
        <v>23558163</v>
      </c>
      <c r="L162" s="193" t="s">
        <v>24</v>
      </c>
      <c r="M162" s="193" t="s">
        <v>259</v>
      </c>
      <c r="N162" s="52" t="str">
        <f>IF(AND('331-CT'!$E$7=TH!H162,OR(L162="331",M162="331")),"331",IF(AND(OR(L162="131",M162="131"),H162='131-CT'!$E$7),"131",""))</f>
        <v/>
      </c>
      <c r="O162" s="86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>x</v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99"/>
    </row>
    <row r="163" spans="1:28" s="210" customFormat="1" ht="15.75" customHeight="1">
      <c r="A163" s="203" t="str">
        <f>IF(B163&lt;&gt;"",IF(AND(B163&gt;=_TM1,B163&lt;=_TM2,OR(TH!L163="1111",TH!M163="1111")),TH!D163,""),"")</f>
        <v/>
      </c>
      <c r="B163" s="36">
        <f>IF(C163&lt;&gt;"",MONTH(C163),"")</f>
        <v>2</v>
      </c>
      <c r="C163" s="183">
        <f>E163</f>
        <v>42040</v>
      </c>
      <c r="D163" s="183" t="s">
        <v>1530</v>
      </c>
      <c r="E163" s="190">
        <v>42040</v>
      </c>
      <c r="F163" s="188" t="s">
        <v>1140</v>
      </c>
      <c r="G163" s="595" t="s">
        <v>472</v>
      </c>
      <c r="H163" s="7" t="s">
        <v>473</v>
      </c>
      <c r="I163" s="704">
        <v>819</v>
      </c>
      <c r="J163" s="255">
        <v>14300</v>
      </c>
      <c r="K163" s="593">
        <f>ROUND(I163*J163,0)</f>
        <v>11711700</v>
      </c>
      <c r="L163" s="594" t="s">
        <v>259</v>
      </c>
      <c r="M163" s="594" t="s">
        <v>174</v>
      </c>
      <c r="N163" s="52" t="str">
        <f>IF(AND('331-CT'!$E$7=TH!H163,OR(L163="331",M163="331")),"331",IF(AND(OR(L163="131",M163="131"),H163='131-CT'!$E$7),"131",""))</f>
        <v/>
      </c>
      <c r="O163" s="86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99"/>
      <c r="AB163" s="585"/>
    </row>
    <row r="164" spans="1:28" s="210" customFormat="1" ht="15.75" customHeight="1">
      <c r="A164" s="203" t="str">
        <f>IF(B164&lt;&gt;"",IF(AND(B164&gt;=_TM1,B164&lt;=_TM2,OR(TH!L164="1111",TH!M164="1111")),TH!D164,""),"")</f>
        <v/>
      </c>
      <c r="B164" s="36">
        <f>IF(C164&lt;&gt;"",MONTH(C164),"")</f>
        <v>2</v>
      </c>
      <c r="C164" s="183">
        <f>E164</f>
        <v>42040</v>
      </c>
      <c r="D164" s="183" t="s">
        <v>1530</v>
      </c>
      <c r="E164" s="190">
        <v>42040</v>
      </c>
      <c r="F164" s="191" t="s">
        <v>1654</v>
      </c>
      <c r="G164" s="595" t="s">
        <v>472</v>
      </c>
      <c r="H164" s="7" t="s">
        <v>473</v>
      </c>
      <c r="I164" s="255">
        <v>1638</v>
      </c>
      <c r="J164" s="255">
        <v>1500</v>
      </c>
      <c r="K164" s="593">
        <f>ROUND(I164*J164,0)</f>
        <v>2457000</v>
      </c>
      <c r="L164" s="594" t="s">
        <v>259</v>
      </c>
      <c r="M164" s="594" t="s">
        <v>174</v>
      </c>
      <c r="N164" s="52" t="str">
        <f>IF(AND('331-CT'!$E$7=TH!H164,OR(L164="331",M164="331")),"331",IF(AND(OR(L164="131",M164="131"),H164='131-CT'!$E$7),"131",""))</f>
        <v/>
      </c>
      <c r="O164" s="86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99"/>
      <c r="AB164" s="585"/>
    </row>
    <row r="165" spans="1:28" s="210" customFormat="1" ht="15.75" customHeight="1">
      <c r="A165" s="203" t="str">
        <f>IF(B165&lt;&gt;"",IF(AND(B165&gt;=_TM1,B165&lt;=_TM2,OR(TH!L165="1111",TH!M165="1111")),TH!D165,""),"")</f>
        <v/>
      </c>
      <c r="B165" s="36">
        <f>IF(C165&lt;&gt;"",MONTH(C165),"")</f>
        <v>2</v>
      </c>
      <c r="C165" s="183">
        <f>E165</f>
        <v>42040</v>
      </c>
      <c r="D165" s="183" t="s">
        <v>1530</v>
      </c>
      <c r="E165" s="183">
        <v>42040</v>
      </c>
      <c r="F165" s="188" t="s">
        <v>402</v>
      </c>
      <c r="G165" s="595" t="s">
        <v>472</v>
      </c>
      <c r="H165" s="44" t="s">
        <v>473</v>
      </c>
      <c r="I165" s="255"/>
      <c r="J165" s="255"/>
      <c r="K165" s="593">
        <v>1416870</v>
      </c>
      <c r="L165" s="594" t="s">
        <v>259</v>
      </c>
      <c r="M165" s="594" t="s">
        <v>371</v>
      </c>
      <c r="N165" s="52" t="str">
        <f>IF(AND('331-CT'!$E$7=TH!H165,OR(L165="331",M165="331")),"331",IF(AND(OR(L165="131",M165="131"),H165='131-CT'!$E$7),"131",""))</f>
        <v/>
      </c>
      <c r="O165" s="86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99"/>
    </row>
    <row r="166" spans="1:28" s="210" customFormat="1" ht="15.75" customHeight="1">
      <c r="A166" s="203" t="str">
        <f>IF(B166&lt;&gt;"",IF(AND(B166&gt;=_TM1,B166&lt;=_TM2,OR(TH!L166="1111",TH!M166="1111")),TH!D166,""),"")</f>
        <v/>
      </c>
      <c r="B166" s="36">
        <f>IF(C166&lt;&gt;"",MONTH(C166),"")</f>
        <v>2</v>
      </c>
      <c r="C166" s="183">
        <f>E166</f>
        <v>42040</v>
      </c>
      <c r="D166" s="183" t="s">
        <v>1531</v>
      </c>
      <c r="E166" s="183">
        <v>42040</v>
      </c>
      <c r="F166" s="188" t="s">
        <v>474</v>
      </c>
      <c r="G166" s="595" t="s">
        <v>475</v>
      </c>
      <c r="H166" s="192" t="s">
        <v>872</v>
      </c>
      <c r="I166" s="255">
        <v>780</v>
      </c>
      <c r="J166" s="255">
        <v>13500</v>
      </c>
      <c r="K166" s="593">
        <f>ROUND(I166*J166,0)</f>
        <v>10530000</v>
      </c>
      <c r="L166" s="594" t="s">
        <v>259</v>
      </c>
      <c r="M166" s="594" t="s">
        <v>174</v>
      </c>
      <c r="N166" s="52" t="str">
        <f>IF(AND('331-CT'!$E$7=TH!H166,OR(L166="331",M166="331")),"331",IF(AND(OR(L166="131",M166="131"),H166='131-CT'!$E$7),"131",""))</f>
        <v/>
      </c>
      <c r="O166" s="86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99"/>
    </row>
    <row r="167" spans="1:28" s="210" customFormat="1" ht="15.75" customHeight="1">
      <c r="A167" s="203" t="str">
        <f>IF(B167&lt;&gt;"",IF(AND(B167&gt;=_TM1,B167&lt;=_TM2,OR(TH!L167="1111",TH!M167="1111")),TH!D167,""),"")</f>
        <v/>
      </c>
      <c r="B167" s="36">
        <f>IF(C167&lt;&gt;"",MONTH(C167),"")</f>
        <v>2</v>
      </c>
      <c r="C167" s="183">
        <f>E167</f>
        <v>42040</v>
      </c>
      <c r="D167" s="183" t="s">
        <v>1531</v>
      </c>
      <c r="E167" s="190">
        <v>42040</v>
      </c>
      <c r="F167" s="188" t="s">
        <v>402</v>
      </c>
      <c r="G167" s="595" t="s">
        <v>475</v>
      </c>
      <c r="H167" s="192" t="s">
        <v>872</v>
      </c>
      <c r="I167" s="750"/>
      <c r="J167" s="255"/>
      <c r="K167" s="593">
        <v>1053000</v>
      </c>
      <c r="L167" s="594" t="s">
        <v>259</v>
      </c>
      <c r="M167" s="594" t="s">
        <v>371</v>
      </c>
      <c r="N167" s="52" t="str">
        <f>IF(AND('331-CT'!$E$7=TH!H167,OR(L167="331",M167="331")),"331",IF(AND(OR(L167="131",M167="131"),H167='131-CT'!$E$7),"131",""))</f>
        <v/>
      </c>
      <c r="O167" s="86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99"/>
    </row>
    <row r="168" spans="1:28" s="210" customFormat="1" ht="15.75" customHeight="1">
      <c r="A168" s="203" t="str">
        <f>IF(B168&lt;&gt;"",IF(AND(B168&gt;=_TM1,B168&lt;=_TM2,OR(TH!L168="1111",TH!M168="1111")),TH!D168,""),"")</f>
        <v/>
      </c>
      <c r="B168" s="36">
        <f>IF(C168&lt;&gt;"",MONTH(C168),"")</f>
        <v>2</v>
      </c>
      <c r="C168" s="183">
        <f>E168</f>
        <v>42041</v>
      </c>
      <c r="D168" s="183" t="s">
        <v>1532</v>
      </c>
      <c r="E168" s="190">
        <v>42041</v>
      </c>
      <c r="F168" s="296" t="s">
        <v>476</v>
      </c>
      <c r="G168" s="482" t="s">
        <v>477</v>
      </c>
      <c r="H168" s="7" t="s">
        <v>478</v>
      </c>
      <c r="I168" s="255">
        <v>202</v>
      </c>
      <c r="J168" s="255">
        <v>15500</v>
      </c>
      <c r="K168" s="593">
        <f>ROUND(I168*J168,0)</f>
        <v>3131000</v>
      </c>
      <c r="L168" s="594" t="s">
        <v>259</v>
      </c>
      <c r="M168" s="594" t="s">
        <v>174</v>
      </c>
      <c r="N168" s="52" t="str">
        <f>IF(AND('331-CT'!$E$7=TH!H168,OR(L168="331",M168="331")),"331",IF(AND(OR(L168="131",M168="131"),H168='131-CT'!$E$7),"131",""))</f>
        <v/>
      </c>
      <c r="O168" s="86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99"/>
    </row>
    <row r="169" spans="1:28" s="210" customFormat="1" ht="15.75" customHeight="1">
      <c r="A169" s="203" t="str">
        <f>IF(B169&lt;&gt;"",IF(AND(B169&gt;=_TM1,B169&lt;=_TM2,OR(TH!L169="1111",TH!M169="1111")),TH!D169,""),"")</f>
        <v/>
      </c>
      <c r="B169" s="36">
        <f>IF(C169&lt;&gt;"",MONTH(C169),"")</f>
        <v>2</v>
      </c>
      <c r="C169" s="183">
        <f>E169</f>
        <v>42041</v>
      </c>
      <c r="D169" s="183" t="s">
        <v>1532</v>
      </c>
      <c r="E169" s="190">
        <v>42041</v>
      </c>
      <c r="F169" s="296" t="s">
        <v>402</v>
      </c>
      <c r="G169" s="482" t="s">
        <v>477</v>
      </c>
      <c r="H169" s="7" t="s">
        <v>478</v>
      </c>
      <c r="I169" s="255"/>
      <c r="J169" s="255"/>
      <c r="K169" s="593">
        <v>313100</v>
      </c>
      <c r="L169" s="594" t="s">
        <v>259</v>
      </c>
      <c r="M169" s="594" t="s">
        <v>371</v>
      </c>
      <c r="N169" s="52" t="str">
        <f>IF(AND('331-CT'!$E$7=TH!H169,OR(L169="331",M169="331")),"331",IF(AND(OR(L169="131",M169="131"),H169='131-CT'!$E$7),"131",""))</f>
        <v/>
      </c>
      <c r="O169" s="86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99"/>
    </row>
    <row r="170" spans="1:28" s="210" customFormat="1" ht="15.75" customHeight="1">
      <c r="A170" s="203" t="str">
        <f>IF(B170&lt;&gt;"",IF(AND(B170&gt;=_TM1,B170&lt;=_TM2,OR(TH!L170="1111",TH!M170="1111")),TH!D170,""),"")</f>
        <v/>
      </c>
      <c r="B170" s="36">
        <f>IF(C170&lt;&gt;"",MONTH(C170),"")</f>
        <v>2</v>
      </c>
      <c r="C170" s="183">
        <f>E170</f>
        <v>42041</v>
      </c>
      <c r="D170" s="183" t="s">
        <v>1532</v>
      </c>
      <c r="E170" s="190">
        <v>42041</v>
      </c>
      <c r="F170" s="191" t="s">
        <v>1320</v>
      </c>
      <c r="G170" s="482" t="s">
        <v>477</v>
      </c>
      <c r="H170" s="7" t="s">
        <v>478</v>
      </c>
      <c r="I170" s="255"/>
      <c r="J170" s="255"/>
      <c r="K170" s="593">
        <v>3444100</v>
      </c>
      <c r="L170" s="594" t="s">
        <v>47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6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99"/>
    </row>
    <row r="171" spans="1:28" s="210" customFormat="1" ht="15.75" customHeight="1">
      <c r="A171" s="203" t="str">
        <f>IF(B171&lt;&gt;"",IF(AND(B171&gt;=_TM1,B171&lt;=_TM2,OR(TH!L171="1111",TH!M171="1111")),TH!D171,""),"")</f>
        <v/>
      </c>
      <c r="B171" s="36">
        <f>IF(C171&lt;&gt;"",MONTH(C171),"")</f>
        <v>2</v>
      </c>
      <c r="C171" s="183">
        <f>E171</f>
        <v>42041</v>
      </c>
      <c r="D171" s="183" t="s">
        <v>1533</v>
      </c>
      <c r="E171" s="190">
        <v>42041</v>
      </c>
      <c r="F171" s="188" t="s">
        <v>479</v>
      </c>
      <c r="G171" s="595" t="s">
        <v>480</v>
      </c>
      <c r="H171" s="7" t="s">
        <v>416</v>
      </c>
      <c r="I171" s="255">
        <v>69</v>
      </c>
      <c r="J171" s="255">
        <v>15834</v>
      </c>
      <c r="K171" s="593">
        <f>ROUND(I171*J171,0)</f>
        <v>1092546</v>
      </c>
      <c r="L171" s="594" t="s">
        <v>259</v>
      </c>
      <c r="M171" s="594" t="s">
        <v>174</v>
      </c>
      <c r="N171" s="52" t="str">
        <f>IF(AND('331-CT'!$E$7=TH!H171,OR(L171="331",M171="331")),"331",IF(AND(OR(L171="131",M171="131"),H171='131-CT'!$E$7),"131",""))</f>
        <v/>
      </c>
      <c r="O171" s="86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>x</v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99"/>
    </row>
    <row r="172" spans="1:28" s="210" customFormat="1" ht="15.75" customHeight="1">
      <c r="A172" s="203" t="str">
        <f>IF(B172&lt;&gt;"",IF(AND(B172&gt;=_TM1,B172&lt;=_TM2,OR(TH!L172="1111",TH!M172="1111")),TH!D172,""),"")</f>
        <v/>
      </c>
      <c r="B172" s="36">
        <f>IF(C172&lt;&gt;"",MONTH(C172),"")</f>
        <v>2</v>
      </c>
      <c r="C172" s="183">
        <f>E172</f>
        <v>42041</v>
      </c>
      <c r="D172" s="183" t="s">
        <v>1533</v>
      </c>
      <c r="E172" s="190">
        <v>42041</v>
      </c>
      <c r="F172" s="296" t="s">
        <v>481</v>
      </c>
      <c r="G172" s="595" t="s">
        <v>480</v>
      </c>
      <c r="H172" s="7" t="s">
        <v>416</v>
      </c>
      <c r="I172" s="255">
        <v>87</v>
      </c>
      <c r="J172" s="255">
        <v>12317</v>
      </c>
      <c r="K172" s="593">
        <f>ROUND(I172*J172,0)</f>
        <v>1071579</v>
      </c>
      <c r="L172" s="594" t="s">
        <v>259</v>
      </c>
      <c r="M172" s="594" t="s">
        <v>174</v>
      </c>
      <c r="N172" s="52" t="str">
        <f>IF(AND('331-CT'!$E$7=TH!H172,OR(L172="331",M172="331")),"331",IF(AND(OR(L172="131",M172="131"),H172='131-CT'!$E$7),"131",""))</f>
        <v/>
      </c>
      <c r="O172" s="86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>x</v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99"/>
    </row>
    <row r="173" spans="1:28" s="210" customFormat="1" ht="15.75" customHeight="1">
      <c r="A173" s="203" t="str">
        <f>IF(B173&lt;&gt;"",IF(AND(B173&gt;=_TM1,B173&lt;=_TM2,OR(TH!L173="1111",TH!M173="1111")),TH!D173,""),"")</f>
        <v/>
      </c>
      <c r="B173" s="36">
        <f>IF(C173&lt;&gt;"",MONTH(C173),"")</f>
        <v>2</v>
      </c>
      <c r="C173" s="183">
        <f>E173</f>
        <v>42041</v>
      </c>
      <c r="D173" s="183" t="s">
        <v>1533</v>
      </c>
      <c r="E173" s="190">
        <v>42041</v>
      </c>
      <c r="F173" s="188" t="s">
        <v>482</v>
      </c>
      <c r="G173" s="595" t="s">
        <v>480</v>
      </c>
      <c r="H173" s="7" t="s">
        <v>416</v>
      </c>
      <c r="I173" s="750">
        <v>4</v>
      </c>
      <c r="J173" s="255">
        <v>10796</v>
      </c>
      <c r="K173" s="593">
        <f>ROUND(I173*J173,0)</f>
        <v>43184</v>
      </c>
      <c r="L173" s="594" t="s">
        <v>259</v>
      </c>
      <c r="M173" s="594" t="s">
        <v>174</v>
      </c>
      <c r="N173" s="52" t="str">
        <f>IF(AND('331-CT'!$E$7=TH!H173,OR(L173="331",M173="331")),"331",IF(AND(OR(L173="131",M173="131"),H173='131-CT'!$E$7),"131",""))</f>
        <v/>
      </c>
      <c r="O173" s="86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>x</v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99"/>
    </row>
    <row r="174" spans="1:28" s="210" customFormat="1" ht="15.75" customHeight="1">
      <c r="A174" s="203" t="str">
        <f>IF(B174&lt;&gt;"",IF(AND(B174&gt;=_TM1,B174&lt;=_TM2,OR(TH!L174="1111",TH!M174="1111")),TH!D174,""),"")</f>
        <v/>
      </c>
      <c r="B174" s="36">
        <f>IF(C174&lt;&gt;"",MONTH(C174),"")</f>
        <v>2</v>
      </c>
      <c r="C174" s="183">
        <f>E174</f>
        <v>42041</v>
      </c>
      <c r="D174" s="183" t="s">
        <v>1533</v>
      </c>
      <c r="E174" s="190">
        <v>42041</v>
      </c>
      <c r="F174" s="188" t="s">
        <v>483</v>
      </c>
      <c r="G174" s="595" t="s">
        <v>480</v>
      </c>
      <c r="H174" s="7" t="s">
        <v>416</v>
      </c>
      <c r="I174" s="255">
        <v>4</v>
      </c>
      <c r="J174" s="255">
        <v>15338</v>
      </c>
      <c r="K174" s="593">
        <f>ROUND(I174*J174,0)</f>
        <v>61352</v>
      </c>
      <c r="L174" s="594" t="s">
        <v>259</v>
      </c>
      <c r="M174" s="594" t="s">
        <v>174</v>
      </c>
      <c r="N174" s="52" t="str">
        <f>IF(AND('331-CT'!$E$7=TH!H174,OR(L174="331",M174="331")),"331",IF(AND(OR(L174="131",M174="131"),H174='131-CT'!$E$7),"131",""))</f>
        <v/>
      </c>
      <c r="O174" s="86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>x</v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99"/>
    </row>
    <row r="175" spans="1:28" s="210" customFormat="1" ht="15.75" customHeight="1">
      <c r="A175" s="203" t="str">
        <f>IF(B175&lt;&gt;"",IF(AND(B175&gt;=_TM1,B175&lt;=_TM2,OR(TH!L175="1111",TH!M175="1111")),TH!D175,""),"")</f>
        <v/>
      </c>
      <c r="B175" s="36">
        <f>IF(C175&lt;&gt;"",MONTH(C175),"")</f>
        <v>2</v>
      </c>
      <c r="C175" s="183">
        <f>E175</f>
        <v>42041</v>
      </c>
      <c r="D175" s="183" t="s">
        <v>1533</v>
      </c>
      <c r="E175" s="190">
        <v>42041</v>
      </c>
      <c r="F175" s="188" t="s">
        <v>484</v>
      </c>
      <c r="G175" s="595" t="s">
        <v>480</v>
      </c>
      <c r="H175" s="7" t="s">
        <v>416</v>
      </c>
      <c r="I175" s="255">
        <v>13</v>
      </c>
      <c r="J175" s="255">
        <v>17900</v>
      </c>
      <c r="K175" s="593">
        <f>ROUND(I175*J175,0)</f>
        <v>232700</v>
      </c>
      <c r="L175" s="594" t="s">
        <v>259</v>
      </c>
      <c r="M175" s="594" t="s">
        <v>174</v>
      </c>
      <c r="N175" s="52" t="str">
        <f>IF(AND('331-CT'!$E$7=TH!H175,OR(L175="331",M175="331")),"331",IF(AND(OR(L175="131",M175="131"),H175='131-CT'!$E$7),"131",""))</f>
        <v/>
      </c>
      <c r="O175" s="86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>x</v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99"/>
    </row>
    <row r="176" spans="1:28" s="210" customFormat="1" ht="15.75" customHeight="1">
      <c r="A176" s="203" t="str">
        <f>IF(B176&lt;&gt;"",IF(AND(B176&gt;=_TM1,B176&lt;=_TM2,OR(TH!L176="1111",TH!M176="1111")),TH!D176,""),"")</f>
        <v/>
      </c>
      <c r="B176" s="36">
        <f>IF(C176&lt;&gt;"",MONTH(C176),"")</f>
        <v>2</v>
      </c>
      <c r="C176" s="183">
        <f>E176</f>
        <v>42041</v>
      </c>
      <c r="D176" s="183" t="s">
        <v>1533</v>
      </c>
      <c r="E176" s="37">
        <v>42041</v>
      </c>
      <c r="F176" s="188" t="s">
        <v>485</v>
      </c>
      <c r="G176" s="481" t="s">
        <v>480</v>
      </c>
      <c r="H176" s="7" t="s">
        <v>416</v>
      </c>
      <c r="I176" s="257">
        <v>68</v>
      </c>
      <c r="J176" s="257">
        <v>20250</v>
      </c>
      <c r="K176" s="593">
        <f>ROUND(I176*J176,0)</f>
        <v>1377000</v>
      </c>
      <c r="L176" s="594" t="s">
        <v>259</v>
      </c>
      <c r="M176" s="594" t="s">
        <v>174</v>
      </c>
      <c r="N176" s="52" t="str">
        <f>IF(AND('331-CT'!$E$7=TH!H176,OR(L176="331",M176="331")),"331",IF(AND(OR(L176="131",M176="131"),H176='131-CT'!$E$7),"131",""))</f>
        <v/>
      </c>
      <c r="O176" s="86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>x</v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99"/>
    </row>
    <row r="177" spans="1:27" s="210" customFormat="1" ht="15.75" customHeight="1">
      <c r="A177" s="203" t="str">
        <f>IF(B177&lt;&gt;"",IF(AND(B177&gt;=_TM1,B177&lt;=_TM2,OR(TH!L177="1111",TH!M177="1111")),TH!D177,""),"")</f>
        <v/>
      </c>
      <c r="B177" s="36">
        <f>IF(C177&lt;&gt;"",MONTH(C177),"")</f>
        <v>2</v>
      </c>
      <c r="C177" s="183">
        <f>E177</f>
        <v>42041</v>
      </c>
      <c r="D177" s="183" t="s">
        <v>1533</v>
      </c>
      <c r="E177" s="37">
        <v>42041</v>
      </c>
      <c r="F177" s="40" t="s">
        <v>1661</v>
      </c>
      <c r="G177" s="481" t="s">
        <v>480</v>
      </c>
      <c r="H177" s="7" t="s">
        <v>416</v>
      </c>
      <c r="I177" s="255">
        <v>490</v>
      </c>
      <c r="J177" s="257">
        <v>1600</v>
      </c>
      <c r="K177" s="593">
        <f>ROUND(I177*J177,0)</f>
        <v>784000</v>
      </c>
      <c r="L177" s="594" t="s">
        <v>259</v>
      </c>
      <c r="M177" s="594" t="s">
        <v>174</v>
      </c>
      <c r="N177" s="52" t="str">
        <f>IF(AND('331-CT'!$E$7=TH!H177,OR(L177="331",M177="331")),"331",IF(AND(OR(L177="131",M177="131"),H177='131-CT'!$E$7),"131",""))</f>
        <v/>
      </c>
      <c r="O177" s="86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>x</v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99"/>
    </row>
    <row r="178" spans="1:27" s="210" customFormat="1" ht="15.75" customHeight="1">
      <c r="A178" s="203" t="str">
        <f>IF(B178&lt;&gt;"",IF(AND(B178&gt;=_TM1,B178&lt;=_TM2,OR(TH!L178="1111",TH!M178="1111")),TH!D178,""),"")</f>
        <v/>
      </c>
      <c r="B178" s="36">
        <f>IF(C178&lt;&gt;"",MONTH(C178),"")</f>
        <v>2</v>
      </c>
      <c r="C178" s="183">
        <f>E178</f>
        <v>42041</v>
      </c>
      <c r="D178" s="183" t="s">
        <v>1533</v>
      </c>
      <c r="E178" s="37">
        <v>42041</v>
      </c>
      <c r="F178" s="40" t="s">
        <v>450</v>
      </c>
      <c r="G178" s="481" t="s">
        <v>480</v>
      </c>
      <c r="H178" s="7" t="s">
        <v>416</v>
      </c>
      <c r="I178" s="255">
        <v>42</v>
      </c>
      <c r="J178" s="257">
        <v>24450</v>
      </c>
      <c r="K178" s="593">
        <f>ROUND(I178*J178,0)</f>
        <v>1026900</v>
      </c>
      <c r="L178" s="594" t="s">
        <v>259</v>
      </c>
      <c r="M178" s="594" t="s">
        <v>174</v>
      </c>
      <c r="N178" s="52" t="str">
        <f>IF(AND('331-CT'!$E$7=TH!H178,OR(L178="331",M178="331")),"331",IF(AND(OR(L178="131",M178="131"),H178='131-CT'!$E$7),"131",""))</f>
        <v/>
      </c>
      <c r="O178" s="86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>x</v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99"/>
    </row>
    <row r="179" spans="1:27" s="210" customFormat="1" ht="15.75" customHeight="1">
      <c r="A179" s="203" t="str">
        <f>IF(B179&lt;&gt;"",IF(AND(B179&gt;=_TM1,B179&lt;=_TM2,OR(TH!L179="1111",TH!M179="1111")),TH!D179,""),"")</f>
        <v/>
      </c>
      <c r="B179" s="36">
        <f>IF(C179&lt;&gt;"",MONTH(C179),"")</f>
        <v>2</v>
      </c>
      <c r="C179" s="183">
        <f>E179</f>
        <v>42041</v>
      </c>
      <c r="D179" s="183" t="s">
        <v>1533</v>
      </c>
      <c r="E179" s="183">
        <v>42041</v>
      </c>
      <c r="F179" s="188" t="s">
        <v>1654</v>
      </c>
      <c r="G179" s="595" t="s">
        <v>480</v>
      </c>
      <c r="H179" s="7" t="s">
        <v>416</v>
      </c>
      <c r="I179" s="255">
        <v>84</v>
      </c>
      <c r="J179" s="255">
        <v>1000</v>
      </c>
      <c r="K179" s="593">
        <f>ROUND(I179*J179,0)</f>
        <v>84000</v>
      </c>
      <c r="L179" s="594" t="s">
        <v>259</v>
      </c>
      <c r="M179" s="594" t="s">
        <v>174</v>
      </c>
      <c r="N179" s="52" t="str">
        <f>IF(AND('331-CT'!$E$7=TH!H179,OR(L179="331",M179="331")),"331",IF(AND(OR(L179="131",M179="131"),H179='131-CT'!$E$7),"131",""))</f>
        <v/>
      </c>
      <c r="O179" s="86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>x</v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99"/>
    </row>
    <row r="180" spans="1:27" s="210" customFormat="1" ht="15.75" customHeight="1">
      <c r="A180" s="203" t="str">
        <f>IF(B180&lt;&gt;"",IF(AND(B180&gt;=_TM1,B180&lt;=_TM2,OR(TH!L180="1111",TH!M180="1111")),TH!D180,""),"")</f>
        <v/>
      </c>
      <c r="B180" s="36">
        <f>IF(C180&lt;&gt;"",MONTH(C180),"")</f>
        <v>2</v>
      </c>
      <c r="C180" s="183">
        <f>E180</f>
        <v>42041</v>
      </c>
      <c r="D180" s="183" t="s">
        <v>1533</v>
      </c>
      <c r="E180" s="183">
        <v>42041</v>
      </c>
      <c r="F180" s="188" t="s">
        <v>402</v>
      </c>
      <c r="G180" s="595" t="s">
        <v>480</v>
      </c>
      <c r="H180" s="7" t="s">
        <v>416</v>
      </c>
      <c r="I180" s="255"/>
      <c r="J180" s="255"/>
      <c r="K180" s="593">
        <v>577326</v>
      </c>
      <c r="L180" s="594" t="s">
        <v>259</v>
      </c>
      <c r="M180" s="594" t="s">
        <v>371</v>
      </c>
      <c r="N180" s="52" t="str">
        <f>IF(AND('331-CT'!$E$7=TH!H180,OR(L180="331",M180="331")),"331",IF(AND(OR(L180="131",M180="131"),H180='131-CT'!$E$7),"131",""))</f>
        <v/>
      </c>
      <c r="O180" s="86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99"/>
    </row>
    <row r="181" spans="1:27" s="210" customFormat="1" ht="15.75" customHeight="1">
      <c r="A181" s="203" t="str">
        <f>IF(B181&lt;&gt;"",IF(AND(B181&gt;=_TM1,B181&lt;=_TM2,OR(TH!L181="1111",TH!M181="1111")),TH!D181,""),"")</f>
        <v/>
      </c>
      <c r="B181" s="36">
        <f>IF(C181&lt;&gt;"",MONTH(C181),"")</f>
        <v>2</v>
      </c>
      <c r="C181" s="183">
        <f>E181</f>
        <v>42042</v>
      </c>
      <c r="D181" s="183" t="s">
        <v>1534</v>
      </c>
      <c r="E181" s="37">
        <v>42042</v>
      </c>
      <c r="F181" s="188" t="s">
        <v>413</v>
      </c>
      <c r="G181" s="481" t="s">
        <v>486</v>
      </c>
      <c r="H181" s="7" t="s">
        <v>412</v>
      </c>
      <c r="I181" s="255">
        <v>1025</v>
      </c>
      <c r="J181" s="257">
        <v>10500</v>
      </c>
      <c r="K181" s="593">
        <f>ROUND(I181*J181,0)</f>
        <v>10762500</v>
      </c>
      <c r="L181" s="594" t="s">
        <v>259</v>
      </c>
      <c r="M181" s="594" t="s">
        <v>174</v>
      </c>
      <c r="N181" s="52" t="str">
        <f>IF(AND('331-CT'!$E$7=TH!H181,OR(L181="331",M181="331")),"331",IF(AND(OR(L181="131",M181="131"),H181='131-CT'!$E$7),"131",""))</f>
        <v/>
      </c>
      <c r="O181" s="86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99"/>
    </row>
    <row r="182" spans="1:27" s="210" customFormat="1" ht="15.75" customHeight="1">
      <c r="A182" s="203" t="str">
        <f>IF(B182&lt;&gt;"",IF(AND(B182&gt;=_TM1,B182&lt;=_TM2,OR(TH!L182="1111",TH!M182="1111")),TH!D182,""),"")</f>
        <v/>
      </c>
      <c r="B182" s="36">
        <f>IF(C182&lt;&gt;"",MONTH(C182),"")</f>
        <v>2</v>
      </c>
      <c r="C182" s="183">
        <f>E182</f>
        <v>42042</v>
      </c>
      <c r="D182" s="183" t="s">
        <v>1534</v>
      </c>
      <c r="E182" s="37">
        <v>42042</v>
      </c>
      <c r="F182" s="188" t="s">
        <v>402</v>
      </c>
      <c r="G182" s="481" t="s">
        <v>486</v>
      </c>
      <c r="H182" s="7" t="s">
        <v>412</v>
      </c>
      <c r="I182" s="255"/>
      <c r="J182" s="257"/>
      <c r="K182" s="593">
        <v>1076250</v>
      </c>
      <c r="L182" s="594" t="s">
        <v>259</v>
      </c>
      <c r="M182" s="594" t="s">
        <v>371</v>
      </c>
      <c r="N182" s="52" t="str">
        <f>IF(AND('331-CT'!$E$7=TH!H182,OR(L182="331",M182="331")),"331",IF(AND(OR(L182="131",M182="131"),H182='131-CT'!$E$7),"131",""))</f>
        <v/>
      </c>
      <c r="O182" s="86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99"/>
    </row>
    <row r="183" spans="1:27" s="210" customFormat="1" ht="15.75" customHeight="1">
      <c r="A183" s="203" t="str">
        <f>IF(B183&lt;&gt;"",IF(AND(B183&gt;=_TM1,B183&lt;=_TM2,OR(TH!L183="1111",TH!M183="1111")),TH!D183,""),"")</f>
        <v/>
      </c>
      <c r="B183" s="36">
        <f>IF(C183&lt;&gt;"",MONTH(C183),"")</f>
        <v>2</v>
      </c>
      <c r="C183" s="183">
        <f>E183</f>
        <v>42042</v>
      </c>
      <c r="D183" s="183" t="s">
        <v>1534</v>
      </c>
      <c r="E183" s="37">
        <v>42042</v>
      </c>
      <c r="F183" s="191" t="s">
        <v>1320</v>
      </c>
      <c r="G183" s="481" t="s">
        <v>2039</v>
      </c>
      <c r="H183" s="7" t="s">
        <v>412</v>
      </c>
      <c r="I183" s="255"/>
      <c r="J183" s="257"/>
      <c r="K183" s="593">
        <f>11573100+11838750</f>
        <v>23411850</v>
      </c>
      <c r="L183" s="594" t="s">
        <v>47</v>
      </c>
      <c r="M183" s="594" t="s">
        <v>259</v>
      </c>
      <c r="N183" s="52" t="str">
        <f>IF(AND('331-CT'!$E$7=TH!H183,OR(L183="331",M183="331")),"331",IF(AND(OR(L183="131",M183="131"),H183='131-CT'!$E$7),"131",""))</f>
        <v/>
      </c>
      <c r="O183" s="86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>x</v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99"/>
    </row>
    <row r="184" spans="1:27" s="210" customFormat="1" ht="15.75" customHeight="1">
      <c r="A184" s="203" t="str">
        <f>IF(B184&lt;&gt;"",IF(AND(B184&gt;=_TM1,B184&lt;=_TM2,OR(TH!L184="1111",TH!M184="1111")),TH!D184,""),"")</f>
        <v/>
      </c>
      <c r="B184" s="36">
        <f>IF(C184&lt;&gt;"",MONTH(C184),"")</f>
        <v>2</v>
      </c>
      <c r="C184" s="183">
        <f>E184</f>
        <v>42042</v>
      </c>
      <c r="D184" s="183" t="s">
        <v>1324</v>
      </c>
      <c r="E184" s="190">
        <v>42042</v>
      </c>
      <c r="F184" s="188" t="s">
        <v>1325</v>
      </c>
      <c r="G184" s="482" t="s">
        <v>332</v>
      </c>
      <c r="H184" s="7" t="s">
        <v>1322</v>
      </c>
      <c r="I184" s="255"/>
      <c r="J184" s="255"/>
      <c r="K184" s="593">
        <v>94300000</v>
      </c>
      <c r="L184" s="594" t="s">
        <v>47</v>
      </c>
      <c r="M184" s="594" t="s">
        <v>24</v>
      </c>
      <c r="N184" s="52" t="str">
        <f>IF(AND('331-CT'!$E$7=TH!H184,OR(L184="331",M184="331")),"331",IF(AND(OR(L184="131",M184="131"),H184='131-CT'!$E$7),"131",""))</f>
        <v/>
      </c>
      <c r="O184" s="86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>x</v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>x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99"/>
    </row>
    <row r="185" spans="1:27" s="210" customFormat="1" ht="15.75" customHeight="1">
      <c r="A185" s="203" t="str">
        <f>IF(B185&lt;&gt;"",IF(AND(B185&gt;=_TM1,B185&lt;=_TM2,OR(TH!L185="1111",TH!M185="1111")),TH!D185,""),"")</f>
        <v/>
      </c>
      <c r="B185" s="36">
        <f>IF(C185&lt;&gt;"",MONTH(C185),"")</f>
        <v>2</v>
      </c>
      <c r="C185" s="183">
        <f>E185</f>
        <v>42042</v>
      </c>
      <c r="D185" s="183"/>
      <c r="E185" s="190">
        <v>42042</v>
      </c>
      <c r="F185" s="188" t="s">
        <v>1351</v>
      </c>
      <c r="G185" s="482" t="s">
        <v>1354</v>
      </c>
      <c r="H185" s="7" t="s">
        <v>1350</v>
      </c>
      <c r="I185" s="255"/>
      <c r="J185" s="255"/>
      <c r="K185" s="593">
        <f>205000+382236+524834+524834+173294</f>
        <v>1810198</v>
      </c>
      <c r="L185" s="594" t="s">
        <v>83</v>
      </c>
      <c r="M185" s="594" t="s">
        <v>47</v>
      </c>
      <c r="N185" s="52" t="str">
        <f>IF(AND('331-CT'!$E$7=TH!H185,OR(L185="331",M185="331")),"331",IF(AND(OR(L185="131",M185="131"),H185='131-CT'!$E$7),"131",""))</f>
        <v/>
      </c>
      <c r="O185" s="86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>x</v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99"/>
    </row>
    <row r="186" spans="1:27" s="210" customFormat="1" ht="15.75" customHeight="1">
      <c r="A186" s="203" t="str">
        <f>IF(B186&lt;&gt;"",IF(AND(B186&gt;=_TM1,B186&lt;=_TM2,OR(TH!L186="1111",TH!M186="1111")),TH!D186,""),"")</f>
        <v/>
      </c>
      <c r="B186" s="36">
        <f>IF(C186&lt;&gt;"",MONTH(C186),"")</f>
        <v>2</v>
      </c>
      <c r="C186" s="183">
        <f>E186</f>
        <v>42042</v>
      </c>
      <c r="D186" s="183"/>
      <c r="E186" s="190">
        <v>42042</v>
      </c>
      <c r="F186" s="188" t="s">
        <v>1352</v>
      </c>
      <c r="G186" s="482" t="s">
        <v>1354</v>
      </c>
      <c r="H186" s="7" t="s">
        <v>1350</v>
      </c>
      <c r="I186" s="255"/>
      <c r="J186" s="255"/>
      <c r="K186" s="593">
        <f>20500+38223+52483+52483+17330</f>
        <v>181019</v>
      </c>
      <c r="L186" s="594" t="s">
        <v>9</v>
      </c>
      <c r="M186" s="594" t="s">
        <v>47</v>
      </c>
      <c r="N186" s="52" t="str">
        <f>IF(AND('331-CT'!$E$7=TH!H186,OR(L186="331",M186="331")),"331",IF(AND(OR(L186="131",M186="131"),H186='131-CT'!$E$7),"131",""))</f>
        <v/>
      </c>
      <c r="O186" s="86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>x</v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99"/>
    </row>
    <row r="187" spans="1:27" s="210" customFormat="1" ht="15.75" customHeight="1">
      <c r="A187" s="203" t="str">
        <f>IF(B187&lt;&gt;"",IF(AND(B187&gt;=_TM1,B187&lt;=_TM2,OR(TH!L187="1111",TH!M187="1111")),TH!D187,""),"")</f>
        <v/>
      </c>
      <c r="B187" s="36">
        <f>IF(C187&lt;&gt;"",MONTH(C187),"")</f>
        <v>2</v>
      </c>
      <c r="C187" s="183">
        <f>E187</f>
        <v>42043</v>
      </c>
      <c r="D187" s="37"/>
      <c r="E187" s="727">
        <v>42043</v>
      </c>
      <c r="F187" s="40" t="s">
        <v>1370</v>
      </c>
      <c r="G187" s="481" t="s">
        <v>1369</v>
      </c>
      <c r="H187" s="7" t="s">
        <v>1368</v>
      </c>
      <c r="I187" s="255"/>
      <c r="J187" s="255"/>
      <c r="K187" s="593">
        <v>776050</v>
      </c>
      <c r="L187" s="594" t="s">
        <v>83</v>
      </c>
      <c r="M187" s="594" t="s">
        <v>47</v>
      </c>
      <c r="N187" s="52" t="str">
        <f>IF(AND('331-CT'!$E$7=TH!H187,OR(L187="331",M187="331")),"331",IF(AND(OR(L187="131",M187="131"),H187='131-CT'!$E$7),"131",""))</f>
        <v/>
      </c>
      <c r="O187" s="86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>x</v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99"/>
    </row>
    <row r="188" spans="1:27" s="210" customFormat="1" ht="15.75" customHeight="1">
      <c r="A188" s="203" t="str">
        <f>IF(B188&lt;&gt;"",IF(AND(B188&gt;=_TM1,B188&lt;=_TM2,OR(TH!L188="1111",TH!M188="1111")),TH!D188,""),"")</f>
        <v/>
      </c>
      <c r="B188" s="36">
        <f>IF(C188&lt;&gt;"",MONTH(C188),"")</f>
        <v>2</v>
      </c>
      <c r="C188" s="183">
        <f>E188</f>
        <v>42043</v>
      </c>
      <c r="D188" s="37"/>
      <c r="E188" s="727">
        <v>42043</v>
      </c>
      <c r="F188" s="40" t="s">
        <v>1371</v>
      </c>
      <c r="G188" s="481" t="s">
        <v>1369</v>
      </c>
      <c r="H188" s="7" t="s">
        <v>1368</v>
      </c>
      <c r="I188" s="255"/>
      <c r="J188" s="255"/>
      <c r="K188" s="593">
        <v>77605</v>
      </c>
      <c r="L188" s="594" t="s">
        <v>9</v>
      </c>
      <c r="M188" s="594" t="s">
        <v>47</v>
      </c>
      <c r="N188" s="52" t="str">
        <f>IF(AND('331-CT'!$E$7=TH!H188,OR(L188="331",M188="331")),"331",IF(AND(OR(L188="131",M188="131"),H188='131-CT'!$E$7),"131",""))</f>
        <v/>
      </c>
      <c r="O188" s="86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>x</v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99"/>
    </row>
    <row r="189" spans="1:27" s="210" customFormat="1" ht="15.75" customHeight="1">
      <c r="A189" s="203" t="str">
        <f>IF(B189&lt;&gt;"",IF(AND(B189&gt;=_TM1,B189&lt;=_TM2,OR(TH!L189="1111",TH!M189="1111")),TH!D189,""),"")</f>
        <v/>
      </c>
      <c r="B189" s="36">
        <f>IF(C189&lt;&gt;"",MONTH(C189),"")</f>
        <v>2</v>
      </c>
      <c r="C189" s="183">
        <f>E189</f>
        <v>42044</v>
      </c>
      <c r="D189" s="183" t="s">
        <v>1535</v>
      </c>
      <c r="E189" s="37">
        <v>42044</v>
      </c>
      <c r="F189" s="188" t="s">
        <v>487</v>
      </c>
      <c r="G189" s="481" t="s">
        <v>488</v>
      </c>
      <c r="H189" s="7" t="s">
        <v>489</v>
      </c>
      <c r="I189" s="255">
        <v>992</v>
      </c>
      <c r="J189" s="257">
        <v>8740</v>
      </c>
      <c r="K189" s="593">
        <f>ROUND(I189*J189,0)</f>
        <v>8670080</v>
      </c>
      <c r="L189" s="594" t="s">
        <v>259</v>
      </c>
      <c r="M189" s="594" t="s">
        <v>174</v>
      </c>
      <c r="N189" s="52" t="str">
        <f>IF(AND('331-CT'!$E$7=TH!H189,OR(L189="331",M189="331")),"331",IF(AND(OR(L189="131",M189="131"),H189='131-CT'!$E$7),"131",""))</f>
        <v/>
      </c>
      <c r="O189" s="86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99"/>
    </row>
    <row r="190" spans="1:27" s="210" customFormat="1" ht="15.75" customHeight="1">
      <c r="A190" s="203" t="str">
        <f>IF(B190&lt;&gt;"",IF(AND(B190&gt;=_TM1,B190&lt;=_TM2,OR(TH!L190="1111",TH!M190="1111")),TH!D190,""),"")</f>
        <v/>
      </c>
      <c r="B190" s="36">
        <f>IF(C190&lt;&gt;"",MONTH(C190),"")</f>
        <v>2</v>
      </c>
      <c r="C190" s="183">
        <f>E190</f>
        <v>42044</v>
      </c>
      <c r="D190" s="183" t="s">
        <v>1535</v>
      </c>
      <c r="E190" s="37">
        <v>42044</v>
      </c>
      <c r="F190" s="188" t="s">
        <v>402</v>
      </c>
      <c r="G190" s="481" t="s">
        <v>488</v>
      </c>
      <c r="H190" s="7" t="s">
        <v>489</v>
      </c>
      <c r="I190" s="255"/>
      <c r="J190" s="257"/>
      <c r="K190" s="593">
        <v>867008</v>
      </c>
      <c r="L190" s="594" t="s">
        <v>259</v>
      </c>
      <c r="M190" s="594" t="s">
        <v>371</v>
      </c>
      <c r="N190" s="52" t="str">
        <f>IF(AND('331-CT'!$E$7=TH!H190,OR(L190="331",M190="331")),"331",IF(AND(OR(L190="131",M190="131"),H190='131-CT'!$E$7),"131",""))</f>
        <v/>
      </c>
      <c r="O190" s="86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99"/>
    </row>
    <row r="191" spans="1:27" s="210" customFormat="1" ht="15.75" customHeight="1">
      <c r="A191" s="203" t="str">
        <f>IF(B191&lt;&gt;"",IF(AND(B191&gt;=_TM1,B191&lt;=_TM2,OR(TH!L191="1111",TH!M191="1111")),TH!D191,""),"")</f>
        <v/>
      </c>
      <c r="B191" s="36">
        <f>IF(C191&lt;&gt;"",MONTH(C191),"")</f>
        <v>2</v>
      </c>
      <c r="C191" s="183">
        <f>E191</f>
        <v>42044</v>
      </c>
      <c r="D191" s="183" t="s">
        <v>1535</v>
      </c>
      <c r="E191" s="37">
        <v>42044</v>
      </c>
      <c r="F191" s="191" t="s">
        <v>1320</v>
      </c>
      <c r="G191" s="481" t="s">
        <v>488</v>
      </c>
      <c r="H191" s="7" t="s">
        <v>489</v>
      </c>
      <c r="I191" s="255"/>
      <c r="J191" s="257"/>
      <c r="K191" s="593">
        <v>9537088</v>
      </c>
      <c r="L191" s="594" t="s">
        <v>47</v>
      </c>
      <c r="M191" s="594" t="s">
        <v>259</v>
      </c>
      <c r="N191" s="52" t="str">
        <f>IF(AND('331-CT'!$E$7=TH!H191,OR(L191="331",M191="331")),"331",IF(AND(OR(L191="131",M191="131"),H191='131-CT'!$E$7),"131",""))</f>
        <v/>
      </c>
      <c r="O191" s="86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>x</v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99"/>
    </row>
    <row r="192" spans="1:27" s="210" customFormat="1" ht="15.75" customHeight="1">
      <c r="A192" s="203" t="str">
        <f>IF(B192&lt;&gt;"",IF(AND(B192&gt;=_TM1,B192&lt;=_TM2,OR(TH!L192="1111",TH!M192="1111")),TH!D192,""),"")</f>
        <v/>
      </c>
      <c r="B192" s="36">
        <f>IF(C192&lt;&gt;"",MONTH(C192),"")</f>
        <v>2</v>
      </c>
      <c r="C192" s="183">
        <f>E192</f>
        <v>42044</v>
      </c>
      <c r="D192" s="183" t="s">
        <v>1536</v>
      </c>
      <c r="E192" s="37">
        <v>42044</v>
      </c>
      <c r="F192" s="188" t="s">
        <v>405</v>
      </c>
      <c r="G192" s="481" t="s">
        <v>490</v>
      </c>
      <c r="H192" s="7" t="s">
        <v>407</v>
      </c>
      <c r="I192" s="255">
        <v>1980</v>
      </c>
      <c r="J192" s="257">
        <v>9400</v>
      </c>
      <c r="K192" s="593">
        <f>ROUND(I192*J192,0)</f>
        <v>18612000</v>
      </c>
      <c r="L192" s="594" t="s">
        <v>259</v>
      </c>
      <c r="M192" s="594" t="s">
        <v>174</v>
      </c>
      <c r="N192" s="52" t="str">
        <f>IF(AND('331-CT'!$E$7=TH!H192,OR(L192="331",M192="331")),"331",IF(AND(OR(L192="131",M192="131"),H192='131-CT'!$E$7),"131",""))</f>
        <v/>
      </c>
      <c r="O192" s="86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99"/>
    </row>
    <row r="193" spans="1:27" s="210" customFormat="1" ht="15.75" customHeight="1">
      <c r="A193" s="203" t="str">
        <f>IF(B193&lt;&gt;"",IF(AND(B193&gt;=_TM1,B193&lt;=_TM2,OR(TH!L193="1111",TH!M193="1111")),TH!D193,""),"")</f>
        <v/>
      </c>
      <c r="B193" s="36">
        <f>IF(C193&lt;&gt;"",MONTH(C193),"")</f>
        <v>2</v>
      </c>
      <c r="C193" s="183">
        <f>E193</f>
        <v>42044</v>
      </c>
      <c r="D193" s="183" t="s">
        <v>1536</v>
      </c>
      <c r="E193" s="37">
        <v>42044</v>
      </c>
      <c r="F193" s="188" t="s">
        <v>424</v>
      </c>
      <c r="G193" s="481" t="s">
        <v>490</v>
      </c>
      <c r="H193" s="7" t="s">
        <v>407</v>
      </c>
      <c r="I193" s="255">
        <v>200</v>
      </c>
      <c r="J193" s="257">
        <v>8200</v>
      </c>
      <c r="K193" s="593">
        <f>ROUND(I193*J193,0)</f>
        <v>1640000</v>
      </c>
      <c r="L193" s="594" t="s">
        <v>259</v>
      </c>
      <c r="M193" s="594" t="s">
        <v>174</v>
      </c>
      <c r="N193" s="52" t="str">
        <f>IF(AND('331-CT'!$E$7=TH!H193,OR(L193="331",M193="331")),"331",IF(AND(OR(L193="131",M193="131"),H193='131-CT'!$E$7),"131",""))</f>
        <v/>
      </c>
      <c r="O193" s="86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99"/>
    </row>
    <row r="194" spans="1:27" s="210" customFormat="1" ht="15.75" customHeight="1">
      <c r="A194" s="203" t="str">
        <f>IF(B194&lt;&gt;"",IF(AND(B194&gt;=_TM1,B194&lt;=_TM2,OR(TH!L194="1111",TH!M194="1111")),TH!D194,""),"")</f>
        <v/>
      </c>
      <c r="B194" s="36">
        <f>IF(C194&lt;&gt;"",MONTH(C194),"")</f>
        <v>2</v>
      </c>
      <c r="C194" s="183">
        <f>E194</f>
        <v>42044</v>
      </c>
      <c r="D194" s="183" t="s">
        <v>1536</v>
      </c>
      <c r="E194" s="37">
        <v>42044</v>
      </c>
      <c r="F194" s="188" t="s">
        <v>491</v>
      </c>
      <c r="G194" s="481" t="s">
        <v>490</v>
      </c>
      <c r="H194" s="7" t="s">
        <v>407</v>
      </c>
      <c r="I194" s="256">
        <v>555</v>
      </c>
      <c r="J194" s="257">
        <v>9000</v>
      </c>
      <c r="K194" s="593">
        <f>ROUND(I194*J194,0)</f>
        <v>4995000</v>
      </c>
      <c r="L194" s="594" t="s">
        <v>259</v>
      </c>
      <c r="M194" s="594" t="s">
        <v>174</v>
      </c>
      <c r="N194" s="52" t="str">
        <f>IF(AND('331-CT'!$E$7=TH!H194,OR(L194="331",M194="331")),"331",IF(AND(OR(L194="131",M194="131"),H194='131-CT'!$E$7),"131",""))</f>
        <v/>
      </c>
      <c r="O194" s="86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99"/>
    </row>
    <row r="195" spans="1:27" s="210" customFormat="1" ht="15.75" customHeight="1">
      <c r="A195" s="203" t="str">
        <f>IF(B195&lt;&gt;"",IF(AND(B195&gt;=_TM1,B195&lt;=_TM2,OR(TH!L195="1111",TH!M195="1111")),TH!D195,""),"")</f>
        <v/>
      </c>
      <c r="B195" s="36">
        <f>IF(C195&lt;&gt;"",MONTH(C195),"")</f>
        <v>2</v>
      </c>
      <c r="C195" s="183">
        <f>E195</f>
        <v>42044</v>
      </c>
      <c r="D195" s="183" t="s">
        <v>1536</v>
      </c>
      <c r="E195" s="37">
        <v>42044</v>
      </c>
      <c r="F195" s="188" t="s">
        <v>402</v>
      </c>
      <c r="G195" s="481" t="s">
        <v>490</v>
      </c>
      <c r="H195" s="7" t="s">
        <v>407</v>
      </c>
      <c r="I195" s="256"/>
      <c r="J195" s="257"/>
      <c r="K195" s="593">
        <v>2524700</v>
      </c>
      <c r="L195" s="594" t="s">
        <v>259</v>
      </c>
      <c r="M195" s="594" t="s">
        <v>371</v>
      </c>
      <c r="N195" s="52" t="str">
        <f>IF(AND('331-CT'!$E$7=TH!H195,OR(L195="331",M195="331")),"331",IF(AND(OR(L195="131",M195="131"),H195='131-CT'!$E$7),"131",""))</f>
        <v/>
      </c>
      <c r="O195" s="86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99"/>
    </row>
    <row r="196" spans="1:27" s="210" customFormat="1" ht="15.75" customHeight="1">
      <c r="A196" s="203" t="str">
        <f>IF(B196&lt;&gt;"",IF(AND(B196&gt;=_TM1,B196&lt;=_TM2,OR(TH!L196="1111",TH!M196="1111")),TH!D196,""),"")</f>
        <v/>
      </c>
      <c r="B196" s="36">
        <f>IF(C196&lt;&gt;"",MONTH(C196),"")</f>
        <v>2</v>
      </c>
      <c r="C196" s="183">
        <f>E196</f>
        <v>42044</v>
      </c>
      <c r="D196" s="190" t="s">
        <v>1319</v>
      </c>
      <c r="E196" s="37">
        <v>42044</v>
      </c>
      <c r="F196" s="191" t="s">
        <v>1320</v>
      </c>
      <c r="G196" s="482" t="s">
        <v>332</v>
      </c>
      <c r="H196" s="7" t="s">
        <v>645</v>
      </c>
      <c r="I196" s="255"/>
      <c r="J196" s="255"/>
      <c r="K196" s="593">
        <v>11224400</v>
      </c>
      <c r="L196" s="193" t="s">
        <v>24</v>
      </c>
      <c r="M196" s="193" t="s">
        <v>259</v>
      </c>
      <c r="N196" s="52" t="str">
        <f>IF(AND('331-CT'!$E$7=TH!H196,OR(L196="331",M196="331")),"331",IF(AND(OR(L196="131",M196="131"),H196='131-CT'!$E$7),"131",""))</f>
        <v/>
      </c>
      <c r="O196" s="86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>x</v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99"/>
    </row>
    <row r="197" spans="1:27" s="210" customFormat="1" ht="15.75" customHeight="1">
      <c r="A197" s="203" t="str">
        <f>IF(B197&lt;&gt;"",IF(AND(B197&gt;=_TM1,B197&lt;=_TM2,OR(TH!L197="1111",TH!M197="1111")),TH!D197,""),"")</f>
        <v/>
      </c>
      <c r="B197" s="36">
        <f>IF(C197&lt;&gt;"",MONTH(C197),"")</f>
        <v>2</v>
      </c>
      <c r="C197" s="183">
        <f>E197</f>
        <v>42045</v>
      </c>
      <c r="D197" s="37" t="s">
        <v>1962</v>
      </c>
      <c r="E197" s="727">
        <v>42045</v>
      </c>
      <c r="F197" s="191" t="s">
        <v>1372</v>
      </c>
      <c r="G197" s="482" t="s">
        <v>1278</v>
      </c>
      <c r="H197" s="192" t="s">
        <v>1374</v>
      </c>
      <c r="I197" s="255">
        <v>60</v>
      </c>
      <c r="J197" s="255">
        <v>17500</v>
      </c>
      <c r="K197" s="593">
        <f>ROUND(I197*J197,0)</f>
        <v>1050000</v>
      </c>
      <c r="L197" s="594" t="s">
        <v>161</v>
      </c>
      <c r="M197" s="594" t="s">
        <v>8</v>
      </c>
      <c r="N197" s="52" t="str">
        <f>IF(AND('331-CT'!$E$7=TH!H197,OR(L197="331",M197="331")),"331",IF(AND(OR(L197="131",M197="131"),H197='131-CT'!$E$7),"131",""))</f>
        <v/>
      </c>
      <c r="O197" s="86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99"/>
    </row>
    <row r="198" spans="1:27" s="210" customFormat="1" ht="15.75" customHeight="1">
      <c r="A198" s="203" t="str">
        <f>IF(B198&lt;&gt;"",IF(AND(B198&gt;=_TM1,B198&lt;=_TM2,OR(TH!L198="1111",TH!M198="1111")),TH!D198,""),"")</f>
        <v/>
      </c>
      <c r="B198" s="36">
        <f>IF(C198&lt;&gt;"",MONTH(C198),"")</f>
        <v>2</v>
      </c>
      <c r="C198" s="183">
        <f>E198</f>
        <v>42045</v>
      </c>
      <c r="D198" s="37" t="s">
        <v>1962</v>
      </c>
      <c r="E198" s="727">
        <v>42045</v>
      </c>
      <c r="F198" s="191" t="s">
        <v>1373</v>
      </c>
      <c r="G198" s="482" t="s">
        <v>1278</v>
      </c>
      <c r="H198" s="192" t="s">
        <v>1374</v>
      </c>
      <c r="I198" s="255"/>
      <c r="J198" s="255"/>
      <c r="K198" s="593">
        <v>105000</v>
      </c>
      <c r="L198" s="594" t="s">
        <v>9</v>
      </c>
      <c r="M198" s="594" t="s">
        <v>8</v>
      </c>
      <c r="N198" s="52" t="str">
        <f>IF(AND('331-CT'!$E$7=TH!H198,OR(L198="331",M198="331")),"331",IF(AND(OR(L198="131",M198="131"),H198='131-CT'!$E$7),"131",""))</f>
        <v/>
      </c>
      <c r="O198" s="86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99"/>
    </row>
    <row r="199" spans="1:27" s="210" customFormat="1" ht="15.75" customHeight="1">
      <c r="A199" s="203" t="str">
        <f>IF(B199&lt;&gt;"",IF(AND(B199&gt;=_TM1,B199&lt;=_TM2,OR(TH!L199="1111",TH!M199="1111")),TH!D199,""),"")</f>
        <v/>
      </c>
      <c r="B199" s="36">
        <f>IF(C199&lt;&gt;"",MONTH(C199),"")</f>
        <v>2</v>
      </c>
      <c r="C199" s="183">
        <f>E199</f>
        <v>42045</v>
      </c>
      <c r="D199" s="37" t="s">
        <v>1962</v>
      </c>
      <c r="E199" s="727">
        <v>42045</v>
      </c>
      <c r="F199" s="296" t="s">
        <v>1326</v>
      </c>
      <c r="G199" s="482" t="s">
        <v>1278</v>
      </c>
      <c r="H199" s="192" t="s">
        <v>1374</v>
      </c>
      <c r="I199" s="255"/>
      <c r="J199" s="255"/>
      <c r="K199" s="593">
        <v>1155000</v>
      </c>
      <c r="L199" s="594" t="s">
        <v>8</v>
      </c>
      <c r="M199" s="594" t="s">
        <v>47</v>
      </c>
      <c r="N199" s="52" t="str">
        <f>IF(AND('331-CT'!$E$7=TH!H199,OR(L199="331",M199="331")),"331",IF(AND(OR(L199="131",M199="131"),H199='131-CT'!$E$7),"131",""))</f>
        <v/>
      </c>
      <c r="O199" s="86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>x</v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99"/>
    </row>
    <row r="200" spans="1:27" s="210" customFormat="1" ht="15.75" customHeight="1">
      <c r="A200" s="203" t="str">
        <f>IF(B200&lt;&gt;"",IF(AND(B200&gt;=_TM1,B200&lt;=_TM2,OR(TH!L200="1111",TH!M200="1111")),TH!D200,""),"")</f>
        <v/>
      </c>
      <c r="B200" s="36">
        <f>IF(C200&lt;&gt;"",MONTH(C200),"")</f>
        <v>2</v>
      </c>
      <c r="C200" s="183">
        <f>E200</f>
        <v>42047</v>
      </c>
      <c r="D200" s="183" t="s">
        <v>1537</v>
      </c>
      <c r="E200" s="37">
        <v>42047</v>
      </c>
      <c r="F200" s="188" t="s">
        <v>405</v>
      </c>
      <c r="G200" s="481" t="s">
        <v>492</v>
      </c>
      <c r="H200" s="7" t="s">
        <v>407</v>
      </c>
      <c r="I200" s="255">
        <v>351</v>
      </c>
      <c r="J200" s="257">
        <v>9200</v>
      </c>
      <c r="K200" s="593">
        <f>ROUND(I200*J200,0)</f>
        <v>3229200</v>
      </c>
      <c r="L200" s="594" t="s">
        <v>259</v>
      </c>
      <c r="M200" s="594" t="s">
        <v>174</v>
      </c>
      <c r="N200" s="52" t="str">
        <f>IF(AND('331-CT'!$E$7=TH!H200,OR(L200="331",M200="331")),"331",IF(AND(OR(L200="131",M200="131"),H200='131-CT'!$E$7),"131",""))</f>
        <v/>
      </c>
      <c r="O200" s="86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99"/>
    </row>
    <row r="201" spans="1:27" s="210" customFormat="1" ht="15.75" customHeight="1">
      <c r="A201" s="203" t="str">
        <f>IF(B201&lt;&gt;"",IF(AND(B201&gt;=_TM1,B201&lt;=_TM2,OR(TH!L201="1111",TH!M201="1111")),TH!D201,""),"")</f>
        <v/>
      </c>
      <c r="B201" s="36">
        <f>IF(C201&lt;&gt;"",MONTH(C201),"")</f>
        <v>2</v>
      </c>
      <c r="C201" s="183">
        <f>E201</f>
        <v>42047</v>
      </c>
      <c r="D201" s="183" t="s">
        <v>1537</v>
      </c>
      <c r="E201" s="37">
        <v>42047</v>
      </c>
      <c r="F201" s="188" t="s">
        <v>402</v>
      </c>
      <c r="G201" s="481" t="s">
        <v>492</v>
      </c>
      <c r="H201" s="7" t="s">
        <v>407</v>
      </c>
      <c r="I201" s="257"/>
      <c r="J201" s="257"/>
      <c r="K201" s="38">
        <v>322920</v>
      </c>
      <c r="L201" s="594" t="s">
        <v>259</v>
      </c>
      <c r="M201" s="594" t="s">
        <v>371</v>
      </c>
      <c r="N201" s="52" t="str">
        <f>IF(AND('331-CT'!$E$7=TH!H201,OR(L201="331",M201="331")),"331",IF(AND(OR(L201="131",M201="131"),H201='131-CT'!$E$7),"131",""))</f>
        <v/>
      </c>
      <c r="O201" s="86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99"/>
    </row>
    <row r="202" spans="1:27" s="210" customFormat="1" ht="15.75" customHeight="1">
      <c r="A202" s="203" t="str">
        <f>IF(B202&lt;&gt;"",IF(AND(B202&gt;=_TM1,B202&lt;=_TM2,OR(TH!L202="1111",TH!M202="1111")),TH!D202,""),"")</f>
        <v/>
      </c>
      <c r="B202" s="36">
        <f>IF(C202&lt;&gt;"",MONTH(C202),"")</f>
        <v>2</v>
      </c>
      <c r="C202" s="183">
        <f>E202</f>
        <v>42047</v>
      </c>
      <c r="D202" s="183" t="s">
        <v>1538</v>
      </c>
      <c r="E202" s="37">
        <v>42047</v>
      </c>
      <c r="F202" s="40" t="s">
        <v>1691</v>
      </c>
      <c r="G202" s="479" t="s">
        <v>493</v>
      </c>
      <c r="H202" s="45" t="s">
        <v>464</v>
      </c>
      <c r="I202" s="255">
        <v>500</v>
      </c>
      <c r="J202" s="255">
        <v>460</v>
      </c>
      <c r="K202" s="593">
        <f>ROUND(I202*J202,0)</f>
        <v>230000</v>
      </c>
      <c r="L202" s="594" t="s">
        <v>259</v>
      </c>
      <c r="M202" s="594" t="s">
        <v>174</v>
      </c>
      <c r="N202" s="52" t="str">
        <f>IF(AND('331-CT'!$E$7=TH!H202,OR(L202="331",M202="331")),"331",IF(AND(OR(L202="131",M202="131"),H202='131-CT'!$E$7),"131",""))</f>
        <v/>
      </c>
      <c r="O202" s="86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99"/>
    </row>
    <row r="203" spans="1:27" s="210" customFormat="1" ht="15.75" customHeight="1">
      <c r="A203" s="203" t="str">
        <f>IF(B203&lt;&gt;"",IF(AND(B203&gt;=_TM1,B203&lt;=_TM2,OR(TH!L203="1111",TH!M203="1111")),TH!D203,""),"")</f>
        <v/>
      </c>
      <c r="B203" s="36">
        <f>IF(C203&lt;&gt;"",MONTH(C203),"")</f>
        <v>2</v>
      </c>
      <c r="C203" s="183">
        <f>E203</f>
        <v>42047</v>
      </c>
      <c r="D203" s="183" t="s">
        <v>1538</v>
      </c>
      <c r="E203" s="37">
        <v>42047</v>
      </c>
      <c r="F203" s="40" t="s">
        <v>1692</v>
      </c>
      <c r="G203" s="479" t="s">
        <v>493</v>
      </c>
      <c r="H203" s="45" t="s">
        <v>464</v>
      </c>
      <c r="I203" s="255">
        <v>1000</v>
      </c>
      <c r="J203" s="255">
        <v>760</v>
      </c>
      <c r="K203" s="593">
        <f>ROUND(I203*J203,0)</f>
        <v>760000</v>
      </c>
      <c r="L203" s="594" t="s">
        <v>259</v>
      </c>
      <c r="M203" s="594" t="s">
        <v>174</v>
      </c>
      <c r="N203" s="52" t="str">
        <f>IF(AND('331-CT'!$E$7=TH!H203,OR(L203="331",M203="331")),"331",IF(AND(OR(L203="131",M203="131"),H203='131-CT'!$E$7),"131",""))</f>
        <v/>
      </c>
      <c r="O203" s="86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99"/>
    </row>
    <row r="204" spans="1:27" s="210" customFormat="1" ht="15.75" customHeight="1">
      <c r="A204" s="203" t="str">
        <f>IF(B204&lt;&gt;"",IF(AND(B204&gt;=_TM1,B204&lt;=_TM2,OR(TH!L204="1111",TH!M204="1111")),TH!D204,""),"")</f>
        <v/>
      </c>
      <c r="B204" s="36">
        <f>IF(C204&lt;&gt;"",MONTH(C204),"")</f>
        <v>2</v>
      </c>
      <c r="C204" s="183">
        <f>E204</f>
        <v>42047</v>
      </c>
      <c r="D204" s="183" t="s">
        <v>1538</v>
      </c>
      <c r="E204" s="183">
        <v>42047</v>
      </c>
      <c r="F204" s="188" t="s">
        <v>465</v>
      </c>
      <c r="G204" s="595" t="s">
        <v>493</v>
      </c>
      <c r="H204" s="7" t="s">
        <v>464</v>
      </c>
      <c r="I204" s="255"/>
      <c r="J204" s="255"/>
      <c r="K204" s="593">
        <v>99000</v>
      </c>
      <c r="L204" s="594" t="s">
        <v>259</v>
      </c>
      <c r="M204" s="594" t="s">
        <v>371</v>
      </c>
      <c r="N204" s="52" t="str">
        <f>IF(AND('331-CT'!$E$7=TH!H204,OR(L204="331",M204="331")),"331",IF(AND(OR(L204="131",M204="131"),H204='131-CT'!$E$7),"131",""))</f>
        <v/>
      </c>
      <c r="O204" s="86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99"/>
    </row>
    <row r="205" spans="1:27" s="210" customFormat="1" ht="15.75" customHeight="1">
      <c r="A205" s="203" t="str">
        <f>IF(B205&lt;&gt;"",IF(AND(B205&gt;=_TM1,B205&lt;=_TM2,OR(TH!L205="1111",TH!M205="1111")),TH!D205,""),"")</f>
        <v/>
      </c>
      <c r="B205" s="36">
        <f>IF(C205&lt;&gt;"",MONTH(C205),"")</f>
        <v>2</v>
      </c>
      <c r="C205" s="183">
        <f>E205</f>
        <v>42047</v>
      </c>
      <c r="D205" s="183" t="s">
        <v>1539</v>
      </c>
      <c r="E205" s="183">
        <v>42047</v>
      </c>
      <c r="F205" s="188" t="s">
        <v>494</v>
      </c>
      <c r="G205" s="595" t="s">
        <v>495</v>
      </c>
      <c r="H205" s="7" t="s">
        <v>834</v>
      </c>
      <c r="I205" s="255">
        <v>1018</v>
      </c>
      <c r="J205" s="255">
        <v>5400</v>
      </c>
      <c r="K205" s="593">
        <f>ROUND(I205*J205,0)</f>
        <v>5497200</v>
      </c>
      <c r="L205" s="594" t="s">
        <v>259</v>
      </c>
      <c r="M205" s="594" t="s">
        <v>174</v>
      </c>
      <c r="N205" s="52" t="str">
        <f>IF(AND('331-CT'!$E$7=TH!H205,OR(L205="331",M205="331")),"331",IF(AND(OR(L205="131",M205="131"),H205='131-CT'!$E$7),"131",""))</f>
        <v/>
      </c>
      <c r="O205" s="86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99"/>
    </row>
    <row r="206" spans="1:27" s="210" customFormat="1" ht="15.75" customHeight="1">
      <c r="A206" s="203" t="str">
        <f>IF(B206&lt;&gt;"",IF(AND(B206&gt;=_TM1,B206&lt;=_TM2,OR(TH!L206="1111",TH!M206="1111")),TH!D206,""),"")</f>
        <v/>
      </c>
      <c r="B206" s="36">
        <f>IF(C206&lt;&gt;"",MONTH(C206),"")</f>
        <v>2</v>
      </c>
      <c r="C206" s="183">
        <f>E206</f>
        <v>42047</v>
      </c>
      <c r="D206" s="183" t="s">
        <v>1539</v>
      </c>
      <c r="E206" s="183">
        <v>42047</v>
      </c>
      <c r="F206" s="188" t="s">
        <v>496</v>
      </c>
      <c r="G206" s="482" t="s">
        <v>495</v>
      </c>
      <c r="H206" s="7" t="s">
        <v>834</v>
      </c>
      <c r="I206" s="257">
        <v>317</v>
      </c>
      <c r="J206" s="257">
        <v>4500</v>
      </c>
      <c r="K206" s="593">
        <f>ROUND(I206*J206,0)</f>
        <v>1426500</v>
      </c>
      <c r="L206" s="594" t="s">
        <v>259</v>
      </c>
      <c r="M206" s="594" t="s">
        <v>174</v>
      </c>
      <c r="N206" s="52" t="str">
        <f>IF(AND('331-CT'!$E$7=TH!H206,OR(L206="331",M206="331")),"331",IF(AND(OR(L206="131",M206="131"),H206='131-CT'!$E$7),"131",""))</f>
        <v/>
      </c>
      <c r="O206" s="86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99"/>
    </row>
    <row r="207" spans="1:27" s="210" customFormat="1" ht="15.75" customHeight="1">
      <c r="A207" s="203" t="str">
        <f>IF(B207&lt;&gt;"",IF(AND(B207&gt;=_TM1,B207&lt;=_TM2,OR(TH!L207="1111",TH!M207="1111")),TH!D207,""),"")</f>
        <v/>
      </c>
      <c r="B207" s="36">
        <f>IF(C207&lt;&gt;"",MONTH(C207),"")</f>
        <v>2</v>
      </c>
      <c r="C207" s="183">
        <f>E207</f>
        <v>42047</v>
      </c>
      <c r="D207" s="183" t="s">
        <v>1539</v>
      </c>
      <c r="E207" s="183">
        <v>42047</v>
      </c>
      <c r="F207" s="296" t="s">
        <v>402</v>
      </c>
      <c r="G207" s="482" t="s">
        <v>495</v>
      </c>
      <c r="H207" s="7" t="s">
        <v>834</v>
      </c>
      <c r="I207" s="760"/>
      <c r="J207" s="255"/>
      <c r="K207" s="593">
        <v>692370</v>
      </c>
      <c r="L207" s="594" t="s">
        <v>259</v>
      </c>
      <c r="M207" s="594" t="s">
        <v>371</v>
      </c>
      <c r="N207" s="52" t="str">
        <f>IF(AND('331-CT'!$E$7=TH!H207,OR(L207="331",M207="331")),"331",IF(AND(OR(L207="131",M207="131"),H207='131-CT'!$E$7),"131",""))</f>
        <v/>
      </c>
      <c r="O207" s="86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99"/>
    </row>
    <row r="208" spans="1:27" s="210" customFormat="1" ht="15.75" customHeight="1">
      <c r="A208" s="203" t="str">
        <f>IF(B208&lt;&gt;"",IF(AND(B208&gt;=_TM1,B208&lt;=_TM2,OR(TH!L208="1111",TH!M208="1111")),TH!D208,""),"")</f>
        <v/>
      </c>
      <c r="B208" s="36">
        <f>IF(C208&lt;&gt;"",MONTH(C208),"")</f>
        <v>2</v>
      </c>
      <c r="C208" s="183">
        <f>E208</f>
        <v>42047</v>
      </c>
      <c r="D208" s="183" t="s">
        <v>1540</v>
      </c>
      <c r="E208" s="183">
        <v>42047</v>
      </c>
      <c r="F208" s="188" t="s">
        <v>497</v>
      </c>
      <c r="G208" s="595" t="s">
        <v>498</v>
      </c>
      <c r="H208" s="7" t="s">
        <v>453</v>
      </c>
      <c r="I208" s="750">
        <v>203</v>
      </c>
      <c r="J208" s="255">
        <v>7000</v>
      </c>
      <c r="K208" s="593">
        <f>ROUND(I208*J208,0)</f>
        <v>1421000</v>
      </c>
      <c r="L208" s="594" t="s">
        <v>259</v>
      </c>
      <c r="M208" s="594" t="s">
        <v>174</v>
      </c>
      <c r="N208" s="52" t="str">
        <f>IF(AND('331-CT'!$E$7=TH!H208,OR(L208="331",M208="331")),"331",IF(AND(OR(L208="131",M208="131"),H208='131-CT'!$E$7),"131",""))</f>
        <v/>
      </c>
      <c r="O208" s="86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99"/>
    </row>
    <row r="209" spans="1:28" s="210" customFormat="1" ht="15.75" customHeight="1">
      <c r="A209" s="203" t="str">
        <f>IF(B209&lt;&gt;"",IF(AND(B209&gt;=_TM1,B209&lt;=_TM2,OR(TH!L209="1111",TH!M209="1111")),TH!D209,""),"")</f>
        <v/>
      </c>
      <c r="B209" s="36">
        <f>IF(C209&lt;&gt;"",MONTH(C209),"")</f>
        <v>2</v>
      </c>
      <c r="C209" s="183">
        <f>E209</f>
        <v>42047</v>
      </c>
      <c r="D209" s="183" t="s">
        <v>1540</v>
      </c>
      <c r="E209" s="183">
        <v>42047</v>
      </c>
      <c r="F209" s="188" t="s">
        <v>499</v>
      </c>
      <c r="G209" s="595" t="s">
        <v>498</v>
      </c>
      <c r="H209" s="7" t="s">
        <v>453</v>
      </c>
      <c r="I209" s="255">
        <v>203</v>
      </c>
      <c r="J209" s="255">
        <v>8300</v>
      </c>
      <c r="K209" s="593">
        <f>ROUND(I209*J209,0)</f>
        <v>1684900</v>
      </c>
      <c r="L209" s="594" t="s">
        <v>259</v>
      </c>
      <c r="M209" s="594" t="s">
        <v>174</v>
      </c>
      <c r="N209" s="52" t="str">
        <f>IF(AND('331-CT'!$E$7=TH!H209,OR(L209="331",M209="331")),"331",IF(AND(OR(L209="131",M209="131"),H209='131-CT'!$E$7),"131",""))</f>
        <v/>
      </c>
      <c r="O209" s="86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99"/>
    </row>
    <row r="210" spans="1:28" s="210" customFormat="1" ht="15.75" customHeight="1">
      <c r="A210" s="203" t="str">
        <f>IF(B210&lt;&gt;"",IF(AND(B210&gt;=_TM1,B210&lt;=_TM2,OR(TH!L210="1111",TH!M210="1111")),TH!D210,""),"")</f>
        <v/>
      </c>
      <c r="B210" s="36">
        <f>IF(C210&lt;&gt;"",MONTH(C210),"")</f>
        <v>2</v>
      </c>
      <c r="C210" s="183">
        <f>E210</f>
        <v>42047</v>
      </c>
      <c r="D210" s="183" t="s">
        <v>1540</v>
      </c>
      <c r="E210" s="183">
        <v>42047</v>
      </c>
      <c r="F210" s="188" t="s">
        <v>402</v>
      </c>
      <c r="G210" s="595" t="s">
        <v>498</v>
      </c>
      <c r="H210" s="7" t="s">
        <v>453</v>
      </c>
      <c r="I210" s="255"/>
      <c r="J210" s="255"/>
      <c r="K210" s="593">
        <v>310590</v>
      </c>
      <c r="L210" s="594" t="s">
        <v>259</v>
      </c>
      <c r="M210" s="594" t="s">
        <v>371</v>
      </c>
      <c r="N210" s="52" t="str">
        <f>IF(AND('331-CT'!$E$7=TH!H210,OR(L210="331",M210="331")),"331",IF(AND(OR(L210="131",M210="131"),H210='131-CT'!$E$7),"131",""))</f>
        <v/>
      </c>
      <c r="O210" s="86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99"/>
    </row>
    <row r="211" spans="1:28" s="210" customFormat="1" ht="15.75" customHeight="1">
      <c r="A211" s="203" t="str">
        <f>IF(B211&lt;&gt;"",IF(AND(B211&gt;=_TM1,B211&lt;=_TM2,OR(TH!L211="1111",TH!M211="1111")),TH!D211,""),"")</f>
        <v/>
      </c>
      <c r="B211" s="36">
        <f>IF(C211&lt;&gt;"",MONTH(C211),"")</f>
        <v>2</v>
      </c>
      <c r="C211" s="183">
        <f>E211</f>
        <v>42047</v>
      </c>
      <c r="D211" s="190" t="s">
        <v>1319</v>
      </c>
      <c r="E211" s="37">
        <v>42047</v>
      </c>
      <c r="F211" s="191" t="s">
        <v>1320</v>
      </c>
      <c r="G211" s="482" t="s">
        <v>332</v>
      </c>
      <c r="H211" s="7" t="s">
        <v>473</v>
      </c>
      <c r="I211" s="255"/>
      <c r="J211" s="255"/>
      <c r="K211" s="593">
        <v>15585570</v>
      </c>
      <c r="L211" s="193" t="s">
        <v>24</v>
      </c>
      <c r="M211" s="193" t="s">
        <v>259</v>
      </c>
      <c r="N211" s="52" t="str">
        <f>IF(AND('331-CT'!$E$7=TH!H211,OR(L211="331",M211="331")),"331",IF(AND(OR(L211="131",M211="131"),H211='131-CT'!$E$7),"131",""))</f>
        <v/>
      </c>
      <c r="O211" s="86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>x</v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99"/>
    </row>
    <row r="212" spans="1:28" s="210" customFormat="1" ht="15.75" customHeight="1">
      <c r="A212" s="203" t="str">
        <f>IF(B212&lt;&gt;"",IF(AND(B212&gt;=_TM1,B212&lt;=_TM2,OR(TH!L212="1111",TH!M212="1111")),TH!D212,""),"")</f>
        <v/>
      </c>
      <c r="B212" s="36">
        <f>IF(C212&lt;&gt;"",MONTH(C212),"")</f>
        <v>2</v>
      </c>
      <c r="C212" s="183">
        <f>E212</f>
        <v>42048</v>
      </c>
      <c r="D212" s="190" t="s">
        <v>1319</v>
      </c>
      <c r="E212" s="37">
        <v>42048</v>
      </c>
      <c r="F212" s="191" t="s">
        <v>1320</v>
      </c>
      <c r="G212" s="482" t="s">
        <v>332</v>
      </c>
      <c r="H212" s="7" t="s">
        <v>453</v>
      </c>
      <c r="I212" s="255"/>
      <c r="J212" s="255"/>
      <c r="K212" s="593">
        <v>9976120</v>
      </c>
      <c r="L212" s="193" t="s">
        <v>24</v>
      </c>
      <c r="M212" s="193" t="s">
        <v>259</v>
      </c>
      <c r="N212" s="52" t="str">
        <f>IF(AND('331-CT'!$E$7=TH!H212,OR(L212="331",M212="331")),"331",IF(AND(OR(L212="131",M212="131"),H212='131-CT'!$E$7),"131",""))</f>
        <v/>
      </c>
      <c r="O212" s="86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>x</v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99"/>
    </row>
    <row r="213" spans="1:28" s="210" customFormat="1" ht="15.75" customHeight="1">
      <c r="A213" s="203" t="str">
        <f>IF(B213&lt;&gt;"",IF(AND(B213&gt;=_TM1,B213&lt;=_TM2,OR(TH!L213="1111",TH!M213="1111")),TH!D213,""),"")</f>
        <v/>
      </c>
      <c r="B213" s="36">
        <f>IF(C213&lt;&gt;"",MONTH(C213),"")</f>
        <v>2</v>
      </c>
      <c r="C213" s="183">
        <f>E213</f>
        <v>42048</v>
      </c>
      <c r="D213" s="190" t="s">
        <v>1319</v>
      </c>
      <c r="E213" s="37">
        <v>42048</v>
      </c>
      <c r="F213" s="191" t="s">
        <v>1320</v>
      </c>
      <c r="G213" s="482" t="s">
        <v>332</v>
      </c>
      <c r="H213" s="7" t="s">
        <v>837</v>
      </c>
      <c r="I213" s="255"/>
      <c r="J213" s="255"/>
      <c r="K213" s="593">
        <v>18608000</v>
      </c>
      <c r="L213" s="193" t="s">
        <v>24</v>
      </c>
      <c r="M213" s="193" t="s">
        <v>259</v>
      </c>
      <c r="N213" s="52" t="str">
        <f>IF(AND('331-CT'!$E$7=TH!H213,OR(L213="331",M213="331")),"331",IF(AND(OR(L213="131",M213="131"),H213='131-CT'!$E$7),"131",""))</f>
        <v/>
      </c>
      <c r="O213" s="86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>x</v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99"/>
    </row>
    <row r="214" spans="1:28" s="210" customFormat="1" ht="15.75" customHeight="1">
      <c r="A214" s="203" t="str">
        <f>IF(B214&lt;&gt;"",IF(AND(B214&gt;=_TM1,B214&lt;=_TM2,OR(TH!L214="1111",TH!M214="1111")),TH!D214,""),"")</f>
        <v/>
      </c>
      <c r="B214" s="36">
        <f>IF(C214&lt;&gt;"",MONTH(C214),"")</f>
        <v>2</v>
      </c>
      <c r="C214" s="183">
        <f>E214</f>
        <v>42049</v>
      </c>
      <c r="D214" s="190" t="s">
        <v>1319</v>
      </c>
      <c r="E214" s="37">
        <v>42049</v>
      </c>
      <c r="F214" s="191" t="s">
        <v>1320</v>
      </c>
      <c r="G214" s="482" t="s">
        <v>332</v>
      </c>
      <c r="H214" s="7" t="s">
        <v>438</v>
      </c>
      <c r="I214" s="255"/>
      <c r="J214" s="255"/>
      <c r="K214" s="593">
        <v>2907630</v>
      </c>
      <c r="L214" s="193" t="s">
        <v>24</v>
      </c>
      <c r="M214" s="193" t="s">
        <v>259</v>
      </c>
      <c r="N214" s="52" t="str">
        <f>IF(AND('331-CT'!$E$7=TH!H214,OR(L214="331",M214="331")),"331",IF(AND(OR(L214="131",M214="131"),H214='131-CT'!$E$7),"131",""))</f>
        <v/>
      </c>
      <c r="O214" s="86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>x</v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99"/>
    </row>
    <row r="215" spans="1:28" s="210" customFormat="1" ht="15.75" customHeight="1">
      <c r="A215" s="203" t="str">
        <f>IF(B215&lt;&gt;"",IF(AND(B215&gt;=_TM1,B215&lt;=_TM2,OR(TH!L215="1111",TH!M215="1111")),TH!D215,""),"")</f>
        <v/>
      </c>
      <c r="B215" s="36">
        <f>IF(C215&lt;&gt;"",MONTH(C215),"")</f>
        <v>2</v>
      </c>
      <c r="C215" s="183">
        <f>E215</f>
        <v>42049</v>
      </c>
      <c r="D215" s="190" t="s">
        <v>1319</v>
      </c>
      <c r="E215" s="37">
        <v>42049</v>
      </c>
      <c r="F215" s="191" t="s">
        <v>1320</v>
      </c>
      <c r="G215" s="482" t="s">
        <v>332</v>
      </c>
      <c r="H215" s="7" t="s">
        <v>438</v>
      </c>
      <c r="I215" s="255"/>
      <c r="J215" s="255"/>
      <c r="K215" s="593">
        <v>4462770</v>
      </c>
      <c r="L215" s="193" t="s">
        <v>24</v>
      </c>
      <c r="M215" s="193" t="s">
        <v>259</v>
      </c>
      <c r="N215" s="52" t="str">
        <f>IF(AND('331-CT'!$E$7=TH!H215,OR(L215="331",M215="331")),"331",IF(AND(OR(L215="131",M215="131"),H215='131-CT'!$E$7),"131",""))</f>
        <v/>
      </c>
      <c r="O215" s="86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>x</v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99"/>
    </row>
    <row r="216" spans="1:28" s="210" customFormat="1" ht="15.75" customHeight="1">
      <c r="A216" s="203" t="str">
        <f>IF(B216&lt;&gt;"",IF(AND(B216&gt;=_TM1,B216&lt;=_TM2,OR(TH!L216="1111",TH!M216="1111")),TH!D216,""),"")</f>
        <v/>
      </c>
      <c r="B216" s="36">
        <f>IF(C216&lt;&gt;"",MONTH(C216),"")</f>
        <v>2</v>
      </c>
      <c r="C216" s="183">
        <f>E216</f>
        <v>42049</v>
      </c>
      <c r="D216" s="190" t="s">
        <v>1319</v>
      </c>
      <c r="E216" s="37">
        <v>42049</v>
      </c>
      <c r="F216" s="191" t="s">
        <v>1320</v>
      </c>
      <c r="G216" s="482" t="s">
        <v>332</v>
      </c>
      <c r="H216" s="7" t="s">
        <v>438</v>
      </c>
      <c r="I216" s="255"/>
      <c r="J216" s="255"/>
      <c r="K216" s="593">
        <v>12177550</v>
      </c>
      <c r="L216" s="193" t="s">
        <v>24</v>
      </c>
      <c r="M216" s="193" t="s">
        <v>259</v>
      </c>
      <c r="N216" s="52" t="str">
        <f>IF(AND('331-CT'!$E$7=TH!H216,OR(L216="331",M216="331")),"331",IF(AND(OR(L216="131",M216="131"),H216='131-CT'!$E$7),"131",""))</f>
        <v/>
      </c>
      <c r="O216" s="86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>x</v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99"/>
    </row>
    <row r="217" spans="1:28" s="210" customFormat="1" ht="15.75" customHeight="1">
      <c r="A217" s="203" t="str">
        <f>IF(B217&lt;&gt;"",IF(AND(B217&gt;=_TM1,B217&lt;=_TM2,OR(TH!L217="1111",TH!M217="1111")),TH!D217,""),"")</f>
        <v/>
      </c>
      <c r="B217" s="36">
        <f>IF(C217&lt;&gt;"",MONTH(C217),"")</f>
        <v>2</v>
      </c>
      <c r="C217" s="183">
        <f>E217</f>
        <v>42049</v>
      </c>
      <c r="D217" s="190" t="s">
        <v>1319</v>
      </c>
      <c r="E217" s="37">
        <v>42049</v>
      </c>
      <c r="F217" s="191" t="s">
        <v>1320</v>
      </c>
      <c r="G217" s="482" t="s">
        <v>332</v>
      </c>
      <c r="H217" s="7" t="s">
        <v>435</v>
      </c>
      <c r="I217" s="255"/>
      <c r="J217" s="255"/>
      <c r="K217" s="593">
        <v>13321000</v>
      </c>
      <c r="L217" s="193" t="s">
        <v>24</v>
      </c>
      <c r="M217" s="193" t="s">
        <v>259</v>
      </c>
      <c r="N217" s="52" t="str">
        <f>IF(AND('331-CT'!$E$7=TH!H217,OR(L217="331",M217="331")),"331",IF(AND(OR(L217="131",M217="131"),H217='131-CT'!$E$7),"131",""))</f>
        <v/>
      </c>
      <c r="O217" s="86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>x</v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99"/>
    </row>
    <row r="218" spans="1:28" s="210" customFormat="1" ht="15.75" customHeight="1">
      <c r="A218" s="203" t="str">
        <f>IF(B218&lt;&gt;"",IF(AND(B218&gt;=_TM1,B218&lt;=_TM2,OR(TH!L218="1111",TH!M218="1111")),TH!D218,""),"")</f>
        <v/>
      </c>
      <c r="B218" s="36">
        <f>IF(C218&lt;&gt;"",MONTH(C218),"")</f>
        <v>2</v>
      </c>
      <c r="C218" s="183">
        <f>E218</f>
        <v>42049</v>
      </c>
      <c r="D218" s="183" t="s">
        <v>1324</v>
      </c>
      <c r="E218" s="190">
        <v>42049</v>
      </c>
      <c r="F218" s="188" t="s">
        <v>1325</v>
      </c>
      <c r="G218" s="482" t="s">
        <v>332</v>
      </c>
      <c r="H218" s="7" t="s">
        <v>1322</v>
      </c>
      <c r="I218" s="255"/>
      <c r="J218" s="255"/>
      <c r="K218" s="593">
        <v>60000000</v>
      </c>
      <c r="L218" s="594" t="s">
        <v>47</v>
      </c>
      <c r="M218" s="594" t="s">
        <v>24</v>
      </c>
      <c r="N218" s="52" t="str">
        <f>IF(AND('331-CT'!$E$7=TH!H218,OR(L218="331",M218="331")),"331",IF(AND(OR(L218="131",M218="131"),H218='131-CT'!$E$7),"131",""))</f>
        <v/>
      </c>
      <c r="O218" s="86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>x</v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>x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99"/>
    </row>
    <row r="219" spans="1:28" s="210" customFormat="1" ht="15.75" customHeight="1">
      <c r="A219" s="203" t="str">
        <f>IF(B219&lt;&gt;"",IF(AND(B219&gt;=_TM1,B219&lt;=_TM2,OR(TH!L219="1111",TH!M219="1111")),TH!D219,""),"")</f>
        <v/>
      </c>
      <c r="B219" s="36">
        <f>IF(C219&lt;&gt;"",MONTH(C219),"")</f>
        <v>2</v>
      </c>
      <c r="C219" s="183">
        <f>E219</f>
        <v>42049</v>
      </c>
      <c r="D219" s="183" t="s">
        <v>1324</v>
      </c>
      <c r="E219" s="190">
        <v>42049</v>
      </c>
      <c r="F219" s="296" t="s">
        <v>1326</v>
      </c>
      <c r="G219" s="482" t="s">
        <v>332</v>
      </c>
      <c r="H219" s="831" t="s">
        <v>1930</v>
      </c>
      <c r="I219" s="255"/>
      <c r="J219" s="255"/>
      <c r="K219" s="593">
        <v>15000000</v>
      </c>
      <c r="L219" s="594" t="s">
        <v>8</v>
      </c>
      <c r="M219" s="594" t="s">
        <v>24</v>
      </c>
      <c r="N219" s="52" t="str">
        <f>IF(AND('331-CT'!$E$7=TH!H219,OR(L219="331",M219="331")),"331",IF(AND(OR(L219="131",M219="131"),H219='131-CT'!$E$7),"131",""))</f>
        <v/>
      </c>
      <c r="O219" s="86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>x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99"/>
    </row>
    <row r="220" spans="1:28" s="210" customFormat="1" ht="15.75" customHeight="1">
      <c r="A220" s="203" t="str">
        <f>IF(B220&lt;&gt;"",IF(AND(B220&gt;=_TM1,B220&lt;=_TM2,OR(TH!L220="1111",TH!M220="1111")),TH!D220,""),"")</f>
        <v/>
      </c>
      <c r="B220" s="36">
        <f>IF(C220&lt;&gt;"",MONTH(C220),"")</f>
        <v>2</v>
      </c>
      <c r="C220" s="183">
        <f>E220</f>
        <v>42049</v>
      </c>
      <c r="D220" s="183" t="s">
        <v>1324</v>
      </c>
      <c r="E220" s="190">
        <v>42049</v>
      </c>
      <c r="F220" s="188" t="s">
        <v>1327</v>
      </c>
      <c r="G220" s="482" t="s">
        <v>332</v>
      </c>
      <c r="H220" s="7"/>
      <c r="I220" s="255"/>
      <c r="J220" s="255"/>
      <c r="K220" s="593">
        <v>20000</v>
      </c>
      <c r="L220" s="594" t="s">
        <v>83</v>
      </c>
      <c r="M220" s="594" t="s">
        <v>24</v>
      </c>
      <c r="N220" s="52" t="str">
        <f>IF(AND('331-CT'!$E$7=TH!H220,OR(L220="331",M220="331")),"331",IF(AND(OR(L220="131",M220="131"),H220='131-CT'!$E$7),"131",""))</f>
        <v/>
      </c>
      <c r="O220" s="86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>x</v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99"/>
    </row>
    <row r="221" spans="1:28" s="210" customFormat="1" ht="15.75" customHeight="1">
      <c r="A221" s="203" t="str">
        <f>IF(B221&lt;&gt;"",IF(AND(B221&gt;=_TM1,B221&lt;=_TM2,OR(TH!L221="1111",TH!M221="1111")),TH!D221,""),"")</f>
        <v/>
      </c>
      <c r="B221" s="36">
        <f>IF(C221&lt;&gt;"",MONTH(C221),"")</f>
        <v>2</v>
      </c>
      <c r="C221" s="183">
        <f>E221</f>
        <v>42059</v>
      </c>
      <c r="D221" s="37"/>
      <c r="E221" s="727">
        <v>42059</v>
      </c>
      <c r="F221" s="188" t="s">
        <v>1382</v>
      </c>
      <c r="G221" s="482" t="s">
        <v>1385</v>
      </c>
      <c r="H221" s="7" t="s">
        <v>1383</v>
      </c>
      <c r="I221" s="255"/>
      <c r="J221" s="255"/>
      <c r="K221" s="593">
        <v>871664</v>
      </c>
      <c r="L221" s="193" t="s">
        <v>83</v>
      </c>
      <c r="M221" s="193" t="s">
        <v>47</v>
      </c>
      <c r="N221" s="52" t="str">
        <f>IF(AND('331-CT'!$E$7=TH!H221,OR(L221="331",M221="331")),"331",IF(AND(OR(L221="131",M221="131"),H221='131-CT'!$E$7),"131",""))</f>
        <v/>
      </c>
      <c r="O221" s="86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>x</v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99"/>
    </row>
    <row r="222" spans="1:28" s="210" customFormat="1" ht="15.75" customHeight="1">
      <c r="A222" s="203" t="str">
        <f>IF(B222&lt;&gt;"",IF(AND(B222&gt;=_TM1,B222&lt;=_TM2,OR(TH!L222="1111",TH!M222="1111")),TH!D222,""),"")</f>
        <v/>
      </c>
      <c r="B222" s="36">
        <f>IF(C222&lt;&gt;"",MONTH(C222),"")</f>
        <v>2</v>
      </c>
      <c r="C222" s="183">
        <f>E222</f>
        <v>42059</v>
      </c>
      <c r="D222" s="37"/>
      <c r="E222" s="727">
        <v>42059</v>
      </c>
      <c r="F222" s="188" t="s">
        <v>1384</v>
      </c>
      <c r="G222" s="482" t="s">
        <v>1385</v>
      </c>
      <c r="H222" s="7" t="s">
        <v>1383</v>
      </c>
      <c r="I222" s="255"/>
      <c r="J222" s="255"/>
      <c r="K222" s="593">
        <v>87166</v>
      </c>
      <c r="L222" s="193" t="s">
        <v>9</v>
      </c>
      <c r="M222" s="193" t="s">
        <v>47</v>
      </c>
      <c r="N222" s="52" t="str">
        <f>IF(AND('331-CT'!$E$7=TH!H222,OR(L222="331",M222="331")),"331",IF(AND(OR(L222="131",M222="131"),H222='131-CT'!$E$7),"131",""))</f>
        <v/>
      </c>
      <c r="O222" s="86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>x</v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99"/>
    </row>
    <row r="223" spans="1:28" s="210" customFormat="1" ht="15.75" customHeight="1">
      <c r="A223" s="203" t="str">
        <f>IF(B223&lt;&gt;"",IF(AND(B223&gt;=_TM1,B223&lt;=_TM2,OR(TH!L223="1111",TH!M223="1111")),TH!D223,""),"")</f>
        <v/>
      </c>
      <c r="B223" s="36">
        <f>IF(C223&lt;&gt;"",MONTH(C223),"")</f>
        <v>2</v>
      </c>
      <c r="C223" s="183">
        <f>E223</f>
        <v>42060</v>
      </c>
      <c r="D223" s="190" t="s">
        <v>1319</v>
      </c>
      <c r="E223" s="37">
        <v>42060</v>
      </c>
      <c r="F223" s="191" t="s">
        <v>1321</v>
      </c>
      <c r="G223" s="482" t="s">
        <v>332</v>
      </c>
      <c r="H223" s="7"/>
      <c r="I223" s="255"/>
      <c r="J223" s="255"/>
      <c r="K223" s="593">
        <v>19322</v>
      </c>
      <c r="L223" s="193" t="s">
        <v>24</v>
      </c>
      <c r="M223" s="193" t="s">
        <v>40</v>
      </c>
      <c r="N223" s="52" t="str">
        <f>IF(AND('331-CT'!$E$7=TH!H223,OR(L223="331",M223="331")),"331",IF(AND(OR(L223="131",M223="131"),H223='131-CT'!$E$7),"131",""))</f>
        <v/>
      </c>
      <c r="O223" s="86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>x</v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99"/>
    </row>
    <row r="224" spans="1:28" s="210" customFormat="1" ht="15.75" customHeight="1">
      <c r="A224" s="203" t="str">
        <f>IF(B224&lt;&gt;"",IF(AND(B224&gt;=_TM1,B224&lt;=_TM2,OR(TH!L224="1111",TH!M224="1111")),TH!D224,""),"")</f>
        <v/>
      </c>
      <c r="B224" s="36">
        <f>IF(C224&lt;&gt;"",MONTH(C224),"")</f>
        <v>2</v>
      </c>
      <c r="C224" s="888">
        <f>E224</f>
        <v>42063</v>
      </c>
      <c r="D224" s="888" t="s">
        <v>334</v>
      </c>
      <c r="E224" s="888">
        <v>42063</v>
      </c>
      <c r="F224" s="889" t="s">
        <v>1939</v>
      </c>
      <c r="G224" s="890"/>
      <c r="H224" s="891"/>
      <c r="I224" s="892"/>
      <c r="J224" s="892"/>
      <c r="K224" s="893">
        <v>16355000</v>
      </c>
      <c r="L224" s="894" t="s">
        <v>83</v>
      </c>
      <c r="M224" s="894" t="s">
        <v>262</v>
      </c>
      <c r="N224" s="52" t="str">
        <f>IF(AND('331-CT'!$E$7=TH!H224,OR(L224="331",M224="331")),"331",IF(AND(OR(L224="131",M224="131"),H224='131-CT'!$E$7),"131",""))</f>
        <v/>
      </c>
      <c r="O224" s="86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197"/>
      <c r="AB224" s="197"/>
    </row>
    <row r="225" spans="1:28" s="210" customFormat="1" ht="15.75" customHeight="1">
      <c r="A225" s="203" t="str">
        <f>IF(B225&lt;&gt;"",IF(AND(B225&gt;=_TM1,B225&lt;=_TM2,OR(TH!L225="1111",TH!M225="1111")),TH!D225,""),"")</f>
        <v/>
      </c>
      <c r="B225" s="36">
        <f>IF(C225&lt;&gt;"",MONTH(C225),"")</f>
        <v>2</v>
      </c>
      <c r="C225" s="888">
        <f>E225</f>
        <v>42063</v>
      </c>
      <c r="D225" s="888" t="s">
        <v>334</v>
      </c>
      <c r="E225" s="888">
        <v>42063</v>
      </c>
      <c r="F225" s="889" t="s">
        <v>1940</v>
      </c>
      <c r="G225" s="890"/>
      <c r="H225" s="891"/>
      <c r="I225" s="892"/>
      <c r="J225" s="892"/>
      <c r="K225" s="893">
        <v>33795000</v>
      </c>
      <c r="L225" s="894" t="s">
        <v>165</v>
      </c>
      <c r="M225" s="894" t="s">
        <v>262</v>
      </c>
      <c r="N225" s="52" t="str">
        <f>IF(AND('331-CT'!$E$7=TH!H225,OR(L225="331",M225="331")),"331",IF(AND(OR(L225="131",M225="131"),H225='131-CT'!$E$7),"131",""))</f>
        <v/>
      </c>
      <c r="O225" s="86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197"/>
      <c r="AB225" s="197"/>
    </row>
    <row r="226" spans="1:28" s="210" customFormat="1" ht="15.75" customHeight="1">
      <c r="A226" s="203" t="str">
        <f>IF(B226&lt;&gt;"",IF(AND(B226&gt;=_TM1,B226&lt;=_TM2,OR(TH!L226="1111",TH!M226="1111")),TH!D226,""),"")</f>
        <v/>
      </c>
      <c r="B226" s="36">
        <f>IF(C226&lt;&gt;"",MONTH(C226),"")</f>
        <v>2</v>
      </c>
      <c r="C226" s="888">
        <f>E226</f>
        <v>42063</v>
      </c>
      <c r="D226" s="888" t="s">
        <v>334</v>
      </c>
      <c r="E226" s="888">
        <v>42063</v>
      </c>
      <c r="F226" s="889" t="str">
        <f>"Thanh toán tiền lương tháng "&amp;MONTH(E226)&amp;"/"&amp;YEAR(E226)</f>
        <v>Thanh toán tiền lương tháng 2/2015</v>
      </c>
      <c r="G226" s="890"/>
      <c r="H226" s="891"/>
      <c r="I226" s="892"/>
      <c r="J226" s="892"/>
      <c r="K226" s="893">
        <f>K224+K225</f>
        <v>50150000</v>
      </c>
      <c r="L226" s="894" t="s">
        <v>262</v>
      </c>
      <c r="M226" s="894" t="s">
        <v>47</v>
      </c>
      <c r="N226" s="52" t="str">
        <f>IF(AND('331-CT'!$E$7=TH!H226,OR(L226="331",M226="331")),"331",IF(AND(OR(L226="131",M226="131"),H226='131-CT'!$E$7),"131",""))</f>
        <v/>
      </c>
      <c r="O226" s="86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197"/>
      <c r="AB226" s="197"/>
    </row>
    <row r="227" spans="1:28" s="210" customFormat="1" ht="15.75" customHeight="1">
      <c r="A227" s="203" t="str">
        <f>IF(B227&lt;&gt;"",IF(AND(B227&gt;=_TM1,B227&lt;=_TM2,OR(TH!L227="1111",TH!M227="1111")),TH!D227,""),"")</f>
        <v/>
      </c>
      <c r="B227" s="36">
        <f>IF(C227&lt;&gt;"",MONTH(C227),"")</f>
        <v>2</v>
      </c>
      <c r="C227" s="183">
        <f>E227</f>
        <v>42063</v>
      </c>
      <c r="D227" s="183" t="s">
        <v>1541</v>
      </c>
      <c r="E227" s="183">
        <v>42063</v>
      </c>
      <c r="F227" s="188" t="s">
        <v>398</v>
      </c>
      <c r="G227" s="482" t="s">
        <v>500</v>
      </c>
      <c r="H227" s="7" t="s">
        <v>400</v>
      </c>
      <c r="I227" s="255">
        <v>907</v>
      </c>
      <c r="J227" s="255">
        <v>5150</v>
      </c>
      <c r="K227" s="593">
        <f>ROUND(I227*J227,0)</f>
        <v>4671050</v>
      </c>
      <c r="L227" s="594" t="s">
        <v>259</v>
      </c>
      <c r="M227" s="594" t="s">
        <v>174</v>
      </c>
      <c r="N227" s="52" t="str">
        <f>IF(AND('331-CT'!$E$7=TH!H227,OR(L227="331",M227="331")),"331",IF(AND(OR(L227="131",M227="131"),H227='131-CT'!$E$7),"131",""))</f>
        <v/>
      </c>
      <c r="O227" s="86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99"/>
    </row>
    <row r="228" spans="1:28" s="210" customFormat="1" ht="15.75" customHeight="1">
      <c r="A228" s="203" t="str">
        <f>IF(B228&lt;&gt;"",IF(AND(B228&gt;=_TM1,B228&lt;=_TM2,OR(TH!L228="1111",TH!M228="1111")),TH!D228,""),"")</f>
        <v/>
      </c>
      <c r="B228" s="36">
        <f>IF(C228&lt;&gt;"",MONTH(C228),"")</f>
        <v>2</v>
      </c>
      <c r="C228" s="183">
        <f>E228</f>
        <v>42063</v>
      </c>
      <c r="D228" s="183" t="s">
        <v>1541</v>
      </c>
      <c r="E228" s="183">
        <v>42063</v>
      </c>
      <c r="F228" s="188" t="s">
        <v>446</v>
      </c>
      <c r="G228" s="482" t="s">
        <v>500</v>
      </c>
      <c r="H228" s="7" t="s">
        <v>400</v>
      </c>
      <c r="I228" s="255">
        <v>300</v>
      </c>
      <c r="J228" s="255">
        <v>5700</v>
      </c>
      <c r="K228" s="593">
        <f>ROUND(I228*J228,0)</f>
        <v>1710000</v>
      </c>
      <c r="L228" s="594" t="s">
        <v>259</v>
      </c>
      <c r="M228" s="594" t="s">
        <v>174</v>
      </c>
      <c r="N228" s="52" t="str">
        <f>IF(AND('331-CT'!$E$7=TH!H228,OR(L228="331",M228="331")),"331",IF(AND(OR(L228="131",M228="131"),H228='131-CT'!$E$7),"131",""))</f>
        <v/>
      </c>
      <c r="O228" s="86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99"/>
    </row>
    <row r="229" spans="1:28" s="210" customFormat="1" ht="15.75" customHeight="1">
      <c r="A229" s="203" t="str">
        <f>IF(B229&lt;&gt;"",IF(AND(B229&gt;=_TM1,B229&lt;=_TM2,OR(TH!L229="1111",TH!M229="1111")),TH!D229,""),"")</f>
        <v/>
      </c>
      <c r="B229" s="36">
        <f>IF(C229&lt;&gt;"",MONTH(C229),"")</f>
        <v>2</v>
      </c>
      <c r="C229" s="183">
        <f>E229</f>
        <v>42063</v>
      </c>
      <c r="D229" s="183" t="s">
        <v>1541</v>
      </c>
      <c r="E229" s="37">
        <v>42063</v>
      </c>
      <c r="F229" s="40" t="s">
        <v>401</v>
      </c>
      <c r="G229" s="479" t="s">
        <v>500</v>
      </c>
      <c r="H229" s="45" t="s">
        <v>400</v>
      </c>
      <c r="I229" s="255">
        <v>317</v>
      </c>
      <c r="J229" s="255">
        <v>6400</v>
      </c>
      <c r="K229" s="593">
        <f>ROUND(I229*J229,0)</f>
        <v>2028800</v>
      </c>
      <c r="L229" s="594" t="s">
        <v>259</v>
      </c>
      <c r="M229" s="594" t="s">
        <v>174</v>
      </c>
      <c r="N229" s="52" t="str">
        <f>IF(AND('331-CT'!$E$7=TH!H229,OR(L229="331",M229="331")),"331",IF(AND(OR(L229="131",M229="131"),H229='131-CT'!$E$7),"131",""))</f>
        <v/>
      </c>
      <c r="O229" s="86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799"/>
    </row>
    <row r="230" spans="1:28" s="210" customFormat="1" ht="15.75" customHeight="1">
      <c r="A230" s="203" t="str">
        <f>IF(B230&lt;&gt;"",IF(AND(B230&gt;=_TM1,B230&lt;=_TM2,OR(TH!L230="1111",TH!M230="1111")),TH!D230,""),"")</f>
        <v/>
      </c>
      <c r="B230" s="36">
        <f>IF(C230&lt;&gt;"",MONTH(C230),"")</f>
        <v>2</v>
      </c>
      <c r="C230" s="183">
        <f>E230</f>
        <v>42063</v>
      </c>
      <c r="D230" s="183" t="s">
        <v>1541</v>
      </c>
      <c r="E230" s="37">
        <v>42063</v>
      </c>
      <c r="F230" s="40" t="s">
        <v>501</v>
      </c>
      <c r="G230" s="479" t="s">
        <v>500</v>
      </c>
      <c r="H230" s="45" t="s">
        <v>400</v>
      </c>
      <c r="I230" s="255">
        <v>314</v>
      </c>
      <c r="J230" s="255">
        <v>9900</v>
      </c>
      <c r="K230" s="593">
        <f>ROUND(I230*J230,0)</f>
        <v>3108600</v>
      </c>
      <c r="L230" s="594" t="s">
        <v>259</v>
      </c>
      <c r="M230" s="594" t="s">
        <v>174</v>
      </c>
      <c r="N230" s="52" t="str">
        <f>IF(AND('331-CT'!$E$7=TH!H230,OR(L230="331",M230="331")),"331",IF(AND(OR(L230="131",M230="131"),H230='131-CT'!$E$7),"131",""))</f>
        <v/>
      </c>
      <c r="O230" s="86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99"/>
    </row>
    <row r="231" spans="1:28" s="210" customFormat="1" ht="15.75" customHeight="1">
      <c r="A231" s="203" t="str">
        <f>IF(B231&lt;&gt;"",IF(AND(B231&gt;=_TM1,B231&lt;=_TM2,OR(TH!L231="1111",TH!M231="1111")),TH!D231,""),"")</f>
        <v/>
      </c>
      <c r="B231" s="36">
        <f>IF(C231&lt;&gt;"",MONTH(C231),"")</f>
        <v>2</v>
      </c>
      <c r="C231" s="183">
        <f>E231</f>
        <v>42063</v>
      </c>
      <c r="D231" s="183" t="s">
        <v>1541</v>
      </c>
      <c r="E231" s="37">
        <v>42063</v>
      </c>
      <c r="F231" s="40" t="s">
        <v>402</v>
      </c>
      <c r="G231" s="479" t="s">
        <v>500</v>
      </c>
      <c r="H231" s="45" t="s">
        <v>400</v>
      </c>
      <c r="I231" s="255"/>
      <c r="J231" s="255"/>
      <c r="K231" s="38">
        <v>1151845</v>
      </c>
      <c r="L231" s="594" t="s">
        <v>259</v>
      </c>
      <c r="M231" s="594" t="s">
        <v>371</v>
      </c>
      <c r="N231" s="52" t="str">
        <f>IF(AND('331-CT'!$E$7=TH!H231,OR(L231="331",M231="331")),"331",IF(AND(OR(L231="131",M231="131"),H231='131-CT'!$E$7),"131",""))</f>
        <v/>
      </c>
      <c r="O231" s="86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99"/>
    </row>
    <row r="232" spans="1:28" s="210" customFormat="1" ht="15.75" customHeight="1">
      <c r="A232" s="203" t="str">
        <f>IF(B232&lt;&gt;"",IF(AND(B232&gt;=_TM1,B232&lt;=_TM2,OR(TH!L232="1111",TH!M232="1111")),TH!D232,""),"")</f>
        <v/>
      </c>
      <c r="B232" s="36">
        <f>IF(C232&lt;&gt;"",MONTH(C232),"")</f>
        <v>2</v>
      </c>
      <c r="C232" s="183">
        <f>E232</f>
        <v>42063</v>
      </c>
      <c r="D232" s="183" t="s">
        <v>1319</v>
      </c>
      <c r="E232" s="190">
        <v>42063</v>
      </c>
      <c r="F232" s="191" t="s">
        <v>1321</v>
      </c>
      <c r="G232" s="191" t="s">
        <v>1893</v>
      </c>
      <c r="H232" s="7"/>
      <c r="I232" s="255"/>
      <c r="J232" s="255"/>
      <c r="K232" s="593">
        <v>700</v>
      </c>
      <c r="L232" s="193" t="s">
        <v>24</v>
      </c>
      <c r="M232" s="193" t="s">
        <v>40</v>
      </c>
      <c r="N232" s="52" t="str">
        <f>IF(AND('331-CT'!$E$7=TH!H232,OR(L232="331",M232="331")),"331",IF(AND(OR(L232="131",M232="131"),H232='131-CT'!$E$7),"131",""))</f>
        <v/>
      </c>
      <c r="O232" s="86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99"/>
    </row>
    <row r="233" spans="1:28" s="210" customFormat="1" ht="15.75" customHeight="1">
      <c r="A233" s="203" t="str">
        <f>IF(B233&lt;&gt;"",IF(AND(B233&gt;=_TM1,B233&lt;=_TM2,OR(TH!L233="1111",TH!M233="1111")),TH!D233,""),"")</f>
        <v/>
      </c>
      <c r="B233" s="36">
        <f>IF(C233&lt;&gt;"",MONTH(C233),"")</f>
        <v>3</v>
      </c>
      <c r="C233" s="183">
        <f>E233</f>
        <v>42066</v>
      </c>
      <c r="D233" s="183" t="s">
        <v>1542</v>
      </c>
      <c r="E233" s="740">
        <v>42066</v>
      </c>
      <c r="F233" s="188" t="s">
        <v>413</v>
      </c>
      <c r="G233" s="482" t="s">
        <v>502</v>
      </c>
      <c r="H233" s="7" t="s">
        <v>412</v>
      </c>
      <c r="I233" s="255">
        <v>618</v>
      </c>
      <c r="J233" s="255">
        <v>10500</v>
      </c>
      <c r="K233" s="593">
        <f>ROUND(I233*J233,0)</f>
        <v>6489000</v>
      </c>
      <c r="L233" s="594" t="s">
        <v>259</v>
      </c>
      <c r="M233" s="594" t="s">
        <v>174</v>
      </c>
      <c r="N233" s="52" t="str">
        <f>IF(AND('331-CT'!$E$7=TH!H233,OR(L233="331",M233="331")),"331",IF(AND(OR(L233="131",M233="131"),H233='131-CT'!$E$7),"131",""))</f>
        <v/>
      </c>
      <c r="O233" s="86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99"/>
    </row>
    <row r="234" spans="1:28" s="210" customFormat="1" ht="15.75" customHeight="1">
      <c r="A234" s="203" t="str">
        <f>IF(B234&lt;&gt;"",IF(AND(B234&gt;=_TM1,B234&lt;=_TM2,OR(TH!L234="1111",TH!M234="1111")),TH!D234,""),"")</f>
        <v/>
      </c>
      <c r="B234" s="36">
        <f>IF(C234&lt;&gt;"",MONTH(C234),"")</f>
        <v>3</v>
      </c>
      <c r="C234" s="183">
        <f>E234</f>
        <v>42066</v>
      </c>
      <c r="D234" s="183" t="s">
        <v>1542</v>
      </c>
      <c r="E234" s="740">
        <v>42066</v>
      </c>
      <c r="F234" s="188" t="s">
        <v>402</v>
      </c>
      <c r="G234" s="482" t="s">
        <v>502</v>
      </c>
      <c r="H234" s="7" t="s">
        <v>412</v>
      </c>
      <c r="I234" s="255"/>
      <c r="J234" s="255"/>
      <c r="K234" s="593">
        <v>648900</v>
      </c>
      <c r="L234" s="594" t="s">
        <v>259</v>
      </c>
      <c r="M234" s="594" t="s">
        <v>371</v>
      </c>
      <c r="N234" s="52" t="str">
        <f>IF(AND('331-CT'!$E$7=TH!H234,OR(L234="331",M234="331")),"331",IF(AND(OR(L234="131",M234="131"),H234='131-CT'!$E$7),"131",""))</f>
        <v/>
      </c>
      <c r="O234" s="86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99"/>
    </row>
    <row r="235" spans="1:28" s="210" customFormat="1" ht="15.75" customHeight="1">
      <c r="A235" s="203" t="str">
        <f>IF(B235&lt;&gt;"",IF(AND(B235&gt;=_TM1,B235&lt;=_TM2,OR(TH!L235="1111",TH!M235="1111")),TH!D235,""),"")</f>
        <v/>
      </c>
      <c r="B235" s="36">
        <f>IF(C235&lt;&gt;"",MONTH(C235),"")</f>
        <v>3</v>
      </c>
      <c r="C235" s="183">
        <f>E235</f>
        <v>42066</v>
      </c>
      <c r="D235" s="183" t="s">
        <v>1543</v>
      </c>
      <c r="E235" s="740">
        <v>42066</v>
      </c>
      <c r="F235" s="296" t="s">
        <v>503</v>
      </c>
      <c r="G235" s="482" t="s">
        <v>504</v>
      </c>
      <c r="H235" s="192" t="s">
        <v>872</v>
      </c>
      <c r="I235" s="256">
        <v>380</v>
      </c>
      <c r="J235" s="256">
        <v>25500</v>
      </c>
      <c r="K235" s="593">
        <f>ROUND(I235*J235,0)</f>
        <v>9690000</v>
      </c>
      <c r="L235" s="594" t="s">
        <v>259</v>
      </c>
      <c r="M235" s="594" t="s">
        <v>174</v>
      </c>
      <c r="N235" s="52" t="str">
        <f>IF(AND('331-CT'!$E$7=TH!H235,OR(L235="331",M235="331")),"331",IF(AND(OR(L235="131",M235="131"),H235='131-CT'!$E$7),"131",""))</f>
        <v/>
      </c>
      <c r="O235" s="86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99"/>
    </row>
    <row r="236" spans="1:28" s="210" customFormat="1" ht="15.75" customHeight="1">
      <c r="A236" s="203" t="str">
        <f>IF(B236&lt;&gt;"",IF(AND(B236&gt;=_TM1,B236&lt;=_TM2,OR(TH!L236="1111",TH!M236="1111")),TH!D236,""),"")</f>
        <v/>
      </c>
      <c r="B236" s="36">
        <f>IF(C236&lt;&gt;"",MONTH(C236),"")</f>
        <v>3</v>
      </c>
      <c r="C236" s="183">
        <f>E236</f>
        <v>42066</v>
      </c>
      <c r="D236" s="183" t="s">
        <v>1543</v>
      </c>
      <c r="E236" s="740">
        <v>42066</v>
      </c>
      <c r="F236" s="296" t="s">
        <v>402</v>
      </c>
      <c r="G236" s="482" t="s">
        <v>504</v>
      </c>
      <c r="H236" s="192" t="s">
        <v>872</v>
      </c>
      <c r="I236" s="255"/>
      <c r="J236" s="255"/>
      <c r="K236" s="593">
        <v>969000</v>
      </c>
      <c r="L236" s="594" t="s">
        <v>259</v>
      </c>
      <c r="M236" s="594" t="s">
        <v>371</v>
      </c>
      <c r="N236" s="52" t="str">
        <f>IF(AND('331-CT'!$E$7=TH!H236,OR(L236="331",M236="331")),"331",IF(AND(OR(L236="131",M236="131"),H236='131-CT'!$E$7),"131",""))</f>
        <v/>
      </c>
      <c r="O236" s="86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99"/>
    </row>
    <row r="237" spans="1:28" s="210" customFormat="1" ht="15.75" customHeight="1">
      <c r="A237" s="203" t="str">
        <f>IF(B237&lt;&gt;"",IF(AND(B237&gt;=_TM1,B237&lt;=_TM2,OR(TH!L237="1111",TH!M237="1111")),TH!D237,""),"")</f>
        <v/>
      </c>
      <c r="B237" s="36">
        <f>IF(C237&lt;&gt;"",MONTH(C237),"")</f>
        <v>3</v>
      </c>
      <c r="C237" s="183">
        <f>E237</f>
        <v>42066</v>
      </c>
      <c r="D237" s="183" t="s">
        <v>1544</v>
      </c>
      <c r="E237" s="183">
        <v>42066</v>
      </c>
      <c r="F237" s="188" t="s">
        <v>505</v>
      </c>
      <c r="G237" s="595" t="s">
        <v>506</v>
      </c>
      <c r="H237" s="7" t="s">
        <v>507</v>
      </c>
      <c r="I237" s="255">
        <v>200</v>
      </c>
      <c r="J237" s="255">
        <v>19000</v>
      </c>
      <c r="K237" s="593">
        <f>ROUND(I237*J237,0)</f>
        <v>3800000</v>
      </c>
      <c r="L237" s="594" t="s">
        <v>259</v>
      </c>
      <c r="M237" s="594" t="s">
        <v>174</v>
      </c>
      <c r="N237" s="52" t="str">
        <f>IF(AND('331-CT'!$E$7=TH!H237,OR(L237="331",M237="331")),"331",IF(AND(OR(L237="131",M237="131"),H237='131-CT'!$E$7),"131",""))</f>
        <v/>
      </c>
      <c r="O237" s="86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99"/>
    </row>
    <row r="238" spans="1:28" s="210" customFormat="1" ht="15.75" customHeight="1">
      <c r="A238" s="203" t="str">
        <f>IF(B238&lt;&gt;"",IF(AND(B238&gt;=_TM1,B238&lt;=_TM2,OR(TH!L238="1111",TH!M238="1111")),TH!D238,""),"")</f>
        <v/>
      </c>
      <c r="B238" s="36">
        <f>IF(C238&lt;&gt;"",MONTH(C238),"")</f>
        <v>3</v>
      </c>
      <c r="C238" s="183">
        <f>E238</f>
        <v>42066</v>
      </c>
      <c r="D238" s="183" t="s">
        <v>1544</v>
      </c>
      <c r="E238" s="183">
        <v>42066</v>
      </c>
      <c r="F238" s="188" t="s">
        <v>402</v>
      </c>
      <c r="G238" s="595" t="s">
        <v>506</v>
      </c>
      <c r="H238" s="7" t="s">
        <v>507</v>
      </c>
      <c r="I238" s="255"/>
      <c r="J238" s="255"/>
      <c r="K238" s="593">
        <v>380000</v>
      </c>
      <c r="L238" s="594" t="s">
        <v>259</v>
      </c>
      <c r="M238" s="594" t="s">
        <v>371</v>
      </c>
      <c r="N238" s="52" t="str">
        <f>IF(AND('331-CT'!$E$7=TH!H238,OR(L238="331",M238="331")),"331",IF(AND(OR(L238="131",M238="131"),H238='131-CT'!$E$7),"131",""))</f>
        <v/>
      </c>
      <c r="O238" s="86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99"/>
    </row>
    <row r="239" spans="1:28" s="210" customFormat="1" ht="15.75" customHeight="1">
      <c r="A239" s="203" t="str">
        <f>IF(B239&lt;&gt;"",IF(AND(B239&gt;=_TM1,B239&lt;=_TM2,OR(TH!L239="1111",TH!M239="1111")),TH!D239,""),"")</f>
        <v/>
      </c>
      <c r="B239" s="36">
        <f>IF(C239&lt;&gt;"",MONTH(C239),"")</f>
        <v>3</v>
      </c>
      <c r="C239" s="183">
        <f>E239</f>
        <v>42066</v>
      </c>
      <c r="D239" s="183" t="s">
        <v>1544</v>
      </c>
      <c r="E239" s="183">
        <v>42066</v>
      </c>
      <c r="F239" s="191" t="s">
        <v>1320</v>
      </c>
      <c r="G239" s="595" t="s">
        <v>506</v>
      </c>
      <c r="H239" s="7" t="s">
        <v>507</v>
      </c>
      <c r="I239" s="255"/>
      <c r="J239" s="255"/>
      <c r="K239" s="593">
        <v>4180000</v>
      </c>
      <c r="L239" s="594" t="s">
        <v>47</v>
      </c>
      <c r="M239" s="594" t="s">
        <v>259</v>
      </c>
      <c r="N239" s="52" t="str">
        <f>IF(AND('331-CT'!$E$7=TH!H239,OR(L239="331",M239="331")),"331",IF(AND(OR(L239="131",M239="131"),H239='131-CT'!$E$7),"131",""))</f>
        <v/>
      </c>
      <c r="O239" s="86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>x</v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99"/>
    </row>
    <row r="240" spans="1:28" s="210" customFormat="1" ht="15.75" customHeight="1">
      <c r="A240" s="203" t="str">
        <f>IF(B240&lt;&gt;"",IF(AND(B240&gt;=_TM1,B240&lt;=_TM2,OR(TH!L240="1111",TH!M240="1111")),TH!D240,""),"")</f>
        <v/>
      </c>
      <c r="B240" s="36">
        <f>IF(C240&lt;&gt;"",MONTH(C240),"")</f>
        <v>3</v>
      </c>
      <c r="C240" s="183">
        <f>E240</f>
        <v>42066</v>
      </c>
      <c r="D240" s="183" t="s">
        <v>1545</v>
      </c>
      <c r="E240" s="37">
        <v>42066</v>
      </c>
      <c r="F240" s="188" t="s">
        <v>508</v>
      </c>
      <c r="G240" s="481" t="s">
        <v>509</v>
      </c>
      <c r="H240" s="7" t="s">
        <v>435</v>
      </c>
      <c r="I240" s="256">
        <v>617</v>
      </c>
      <c r="J240" s="257">
        <v>4650</v>
      </c>
      <c r="K240" s="593">
        <f>ROUND(I240*J240,0)</f>
        <v>2869050</v>
      </c>
      <c r="L240" s="594" t="s">
        <v>259</v>
      </c>
      <c r="M240" s="594" t="s">
        <v>174</v>
      </c>
      <c r="N240" s="52" t="str">
        <f>IF(AND('331-CT'!$E$7=TH!H240,OR(L240="331",M240="331")),"331",IF(AND(OR(L240="131",M240="131"),H240='131-CT'!$E$7),"131",""))</f>
        <v/>
      </c>
      <c r="O240" s="86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99"/>
    </row>
    <row r="241" spans="1:27" s="210" customFormat="1" ht="15.75" customHeight="1">
      <c r="A241" s="203" t="str">
        <f>IF(B241&lt;&gt;"",IF(AND(B241&gt;=_TM1,B241&lt;=_TM2,OR(TH!L241="1111",TH!M241="1111")),TH!D241,""),"")</f>
        <v/>
      </c>
      <c r="B241" s="36">
        <f>IF(C241&lt;&gt;"",MONTH(C241),"")</f>
        <v>3</v>
      </c>
      <c r="C241" s="183">
        <f>E241</f>
        <v>42066</v>
      </c>
      <c r="D241" s="183" t="s">
        <v>1545</v>
      </c>
      <c r="E241" s="37">
        <v>42066</v>
      </c>
      <c r="F241" s="188" t="s">
        <v>402</v>
      </c>
      <c r="G241" s="481" t="s">
        <v>509</v>
      </c>
      <c r="H241" s="7" t="s">
        <v>435</v>
      </c>
      <c r="I241" s="255"/>
      <c r="J241" s="257"/>
      <c r="K241" s="593">
        <v>286905</v>
      </c>
      <c r="L241" s="594" t="s">
        <v>259</v>
      </c>
      <c r="M241" s="594" t="s">
        <v>371</v>
      </c>
      <c r="N241" s="52" t="str">
        <f>IF(AND('331-CT'!$E$7=TH!H241,OR(L241="331",M241="331")),"331",IF(AND(OR(L241="131",M241="131"),H241='131-CT'!$E$7),"131",""))</f>
        <v/>
      </c>
      <c r="O241" s="86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99"/>
    </row>
    <row r="242" spans="1:27" s="210" customFormat="1" ht="15.75" customHeight="1">
      <c r="A242" s="203" t="str">
        <f>IF(B242&lt;&gt;"",IF(AND(B242&gt;=_TM1,B242&lt;=_TM2,OR(TH!L242="1111",TH!M242="1111")),TH!D242,""),"")</f>
        <v/>
      </c>
      <c r="B242" s="36">
        <f>IF(C242&lt;&gt;"",MONTH(C242),"")</f>
        <v>3</v>
      </c>
      <c r="C242" s="183">
        <f>E242</f>
        <v>42066</v>
      </c>
      <c r="D242" s="183" t="s">
        <v>1546</v>
      </c>
      <c r="E242" s="37">
        <v>42066</v>
      </c>
      <c r="F242" s="188" t="s">
        <v>510</v>
      </c>
      <c r="G242" s="481" t="s">
        <v>511</v>
      </c>
      <c r="H242" s="7" t="s">
        <v>869</v>
      </c>
      <c r="I242" s="256">
        <v>24</v>
      </c>
      <c r="J242" s="257">
        <v>11540</v>
      </c>
      <c r="K242" s="593">
        <f>ROUND(I242*J242,0)</f>
        <v>276960</v>
      </c>
      <c r="L242" s="594" t="s">
        <v>259</v>
      </c>
      <c r="M242" s="594" t="s">
        <v>174</v>
      </c>
      <c r="N242" s="52" t="str">
        <f>IF(AND('331-CT'!$E$7=TH!H242,OR(L242="331",M242="331")),"331",IF(AND(OR(L242="131",M242="131"),H242='131-CT'!$E$7),"131",""))</f>
        <v/>
      </c>
      <c r="O242" s="86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99"/>
    </row>
    <row r="243" spans="1:27" s="210" customFormat="1" ht="15.75" customHeight="1">
      <c r="A243" s="203" t="str">
        <f>IF(B243&lt;&gt;"",IF(AND(B243&gt;=_TM1,B243&lt;=_TM2,OR(TH!L243="1111",TH!M243="1111")),TH!D243,""),"")</f>
        <v/>
      </c>
      <c r="B243" s="36">
        <f>IF(C243&lt;&gt;"",MONTH(C243),"")</f>
        <v>3</v>
      </c>
      <c r="C243" s="183">
        <f>E243</f>
        <v>42066</v>
      </c>
      <c r="D243" s="183" t="s">
        <v>1546</v>
      </c>
      <c r="E243" s="37">
        <v>42066</v>
      </c>
      <c r="F243" s="188" t="s">
        <v>512</v>
      </c>
      <c r="G243" s="481" t="s">
        <v>511</v>
      </c>
      <c r="H243" s="7" t="s">
        <v>869</v>
      </c>
      <c r="I243" s="255">
        <v>30</v>
      </c>
      <c r="J243" s="257">
        <v>11780</v>
      </c>
      <c r="K243" s="593">
        <f>ROUND(I243*J243,0)</f>
        <v>353400</v>
      </c>
      <c r="L243" s="594" t="s">
        <v>259</v>
      </c>
      <c r="M243" s="594" t="s">
        <v>174</v>
      </c>
      <c r="N243" s="52" t="str">
        <f>IF(AND('331-CT'!$E$7=TH!H243,OR(L243="331",M243="331")),"331",IF(AND(OR(L243="131",M243="131"),H243='131-CT'!$E$7),"131",""))</f>
        <v/>
      </c>
      <c r="O243" s="86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99"/>
    </row>
    <row r="244" spans="1:27" s="210" customFormat="1" ht="15.75" customHeight="1">
      <c r="A244" s="203" t="str">
        <f>IF(B244&lt;&gt;"",IF(AND(B244&gt;=_TM1,B244&lt;=_TM2,OR(TH!L244="1111",TH!M244="1111")),TH!D244,""),"")</f>
        <v/>
      </c>
      <c r="B244" s="36">
        <f>IF(C244&lt;&gt;"",MONTH(C244),"")</f>
        <v>3</v>
      </c>
      <c r="C244" s="183">
        <f>E244</f>
        <v>42066</v>
      </c>
      <c r="D244" s="183" t="s">
        <v>1546</v>
      </c>
      <c r="E244" s="37">
        <v>42066</v>
      </c>
      <c r="F244" s="188" t="s">
        <v>513</v>
      </c>
      <c r="G244" s="481" t="s">
        <v>511</v>
      </c>
      <c r="H244" s="7" t="s">
        <v>869</v>
      </c>
      <c r="I244" s="256">
        <v>53</v>
      </c>
      <c r="J244" s="257">
        <v>12040</v>
      </c>
      <c r="K244" s="593">
        <f>ROUND(I244*J244,0)</f>
        <v>638120</v>
      </c>
      <c r="L244" s="594" t="s">
        <v>259</v>
      </c>
      <c r="M244" s="594" t="s">
        <v>174</v>
      </c>
      <c r="N244" s="52" t="str">
        <f>IF(AND('331-CT'!$E$7=TH!H244,OR(L244="331",M244="331")),"331",IF(AND(OR(L244="131",M244="131"),H244='131-CT'!$E$7),"131",""))</f>
        <v/>
      </c>
      <c r="O244" s="86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99"/>
    </row>
    <row r="245" spans="1:27" s="210" customFormat="1" ht="15.75" customHeight="1">
      <c r="A245" s="203" t="str">
        <f>IF(B245&lt;&gt;"",IF(AND(B245&gt;=_TM1,B245&lt;=_TM2,OR(TH!L245="1111",TH!M245="1111")),TH!D245,""),"")</f>
        <v/>
      </c>
      <c r="B245" s="36">
        <f>IF(C245&lt;&gt;"",MONTH(C245),"")</f>
        <v>3</v>
      </c>
      <c r="C245" s="183">
        <f>E245</f>
        <v>42066</v>
      </c>
      <c r="D245" s="183" t="s">
        <v>1546</v>
      </c>
      <c r="E245" s="190">
        <v>42066</v>
      </c>
      <c r="F245" s="188" t="s">
        <v>514</v>
      </c>
      <c r="G245" s="482" t="s">
        <v>511</v>
      </c>
      <c r="H245" s="7" t="s">
        <v>869</v>
      </c>
      <c r="I245" s="255">
        <v>1</v>
      </c>
      <c r="J245" s="255">
        <v>10023</v>
      </c>
      <c r="K245" s="593">
        <f>ROUND(I245*J245,0)</f>
        <v>10023</v>
      </c>
      <c r="L245" s="594" t="s">
        <v>259</v>
      </c>
      <c r="M245" s="594" t="s">
        <v>174</v>
      </c>
      <c r="N245" s="52" t="str">
        <f>IF(AND('331-CT'!$E$7=TH!H245,OR(L245="331",M245="331")),"331",IF(AND(OR(L245="131",M245="131"),H245='131-CT'!$E$7),"131",""))</f>
        <v/>
      </c>
      <c r="O245" s="86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99"/>
    </row>
    <row r="246" spans="1:27" s="210" customFormat="1" ht="15.75" customHeight="1">
      <c r="A246" s="203" t="str">
        <f>IF(B246&lt;&gt;"",IF(AND(B246&gt;=_TM1,B246&lt;=_TM2,OR(TH!L246="1111",TH!M246="1111")),TH!D246,""),"")</f>
        <v/>
      </c>
      <c r="B246" s="36">
        <f>IF(C246&lt;&gt;"",MONTH(C246),"")</f>
        <v>3</v>
      </c>
      <c r="C246" s="183">
        <f>E246</f>
        <v>42066</v>
      </c>
      <c r="D246" s="183" t="s">
        <v>1546</v>
      </c>
      <c r="E246" s="190">
        <v>42066</v>
      </c>
      <c r="F246" s="188" t="s">
        <v>402</v>
      </c>
      <c r="G246" s="482" t="s">
        <v>511</v>
      </c>
      <c r="H246" s="7" t="s">
        <v>869</v>
      </c>
      <c r="I246" s="750"/>
      <c r="J246" s="255"/>
      <c r="K246" s="593">
        <v>127850</v>
      </c>
      <c r="L246" s="594" t="s">
        <v>259</v>
      </c>
      <c r="M246" s="594" t="s">
        <v>371</v>
      </c>
      <c r="N246" s="52" t="str">
        <f>IF(AND('331-CT'!$E$7=TH!H246,OR(L246="331",M246="331")),"331",IF(AND(OR(L246="131",M246="131"),H246='131-CT'!$E$7),"131",""))</f>
        <v/>
      </c>
      <c r="O246" s="86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99"/>
    </row>
    <row r="247" spans="1:27" s="210" customFormat="1" ht="15.75" customHeight="1">
      <c r="A247" s="203" t="str">
        <f>IF(B247&lt;&gt;"",IF(AND(B247&gt;=_TM1,B247&lt;=_TM2,OR(TH!L247="1111",TH!M247="1111")),TH!D247,""),"")</f>
        <v/>
      </c>
      <c r="B247" s="36">
        <f>IF(C247&lt;&gt;"",MONTH(C247),"")</f>
        <v>3</v>
      </c>
      <c r="C247" s="183">
        <f>E247</f>
        <v>42068</v>
      </c>
      <c r="D247" s="183" t="s">
        <v>1324</v>
      </c>
      <c r="E247" s="190">
        <v>42068</v>
      </c>
      <c r="F247" s="188" t="s">
        <v>1325</v>
      </c>
      <c r="G247" s="482" t="s">
        <v>332</v>
      </c>
      <c r="H247" s="7" t="s">
        <v>1322</v>
      </c>
      <c r="I247" s="255"/>
      <c r="J247" s="255"/>
      <c r="K247" s="593">
        <v>13300000</v>
      </c>
      <c r="L247" s="594" t="s">
        <v>47</v>
      </c>
      <c r="M247" s="594" t="s">
        <v>24</v>
      </c>
      <c r="N247" s="52" t="str">
        <f>IF(AND('331-CT'!$E$7=TH!H247,OR(L247="331",M247="331")),"331",IF(AND(OR(L247="131",M247="131"),H247='131-CT'!$E$7),"131",""))</f>
        <v/>
      </c>
      <c r="O247" s="86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>x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99"/>
    </row>
    <row r="248" spans="1:27" s="210" customFormat="1" ht="15.75" customHeight="1">
      <c r="A248" s="203" t="str">
        <f>IF(B248&lt;&gt;"",IF(AND(B248&gt;=_TM1,B248&lt;=_TM2,OR(TH!L248="1111",TH!M248="1111")),TH!D248,""),"")</f>
        <v/>
      </c>
      <c r="B248" s="36">
        <f>IF(C248&lt;&gt;"",MONTH(C248),"")</f>
        <v>3</v>
      </c>
      <c r="C248" s="183">
        <f>E248</f>
        <v>42068</v>
      </c>
      <c r="D248" s="183" t="s">
        <v>1319</v>
      </c>
      <c r="E248" s="190">
        <v>42068</v>
      </c>
      <c r="F248" s="191" t="s">
        <v>1896</v>
      </c>
      <c r="G248" s="191" t="s">
        <v>1893</v>
      </c>
      <c r="H248" s="7" t="s">
        <v>1333</v>
      </c>
      <c r="I248" s="255"/>
      <c r="J248" s="255"/>
      <c r="K248" s="593">
        <v>13540000</v>
      </c>
      <c r="L248" s="193" t="s">
        <v>24</v>
      </c>
      <c r="M248" s="193" t="s">
        <v>47</v>
      </c>
      <c r="N248" s="52" t="str">
        <f>IF(AND('331-CT'!$E$7=TH!H248,OR(L248="331",M248="331")),"331",IF(AND(OR(L248="131",M248="131"),H248='131-CT'!$E$7),"131",""))</f>
        <v/>
      </c>
      <c r="O248" s="86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99"/>
    </row>
    <row r="249" spans="1:27" s="210" customFormat="1" ht="15.75" customHeight="1">
      <c r="A249" s="203" t="str">
        <f>IF(B249&lt;&gt;"",IF(AND(B249&gt;=_TM1,B249&lt;=_TM2,OR(TH!L249="1111",TH!M249="1111")),TH!D249,""),"")</f>
        <v/>
      </c>
      <c r="B249" s="36">
        <f>IF(C249&lt;&gt;"",MONTH(C249),"")</f>
        <v>3</v>
      </c>
      <c r="C249" s="183">
        <f>E249</f>
        <v>42069</v>
      </c>
      <c r="D249" s="183" t="s">
        <v>1547</v>
      </c>
      <c r="E249" s="190">
        <v>42069</v>
      </c>
      <c r="F249" s="188" t="s">
        <v>1140</v>
      </c>
      <c r="G249" s="595" t="s">
        <v>515</v>
      </c>
      <c r="H249" s="7" t="s">
        <v>473</v>
      </c>
      <c r="I249" s="255">
        <v>100</v>
      </c>
      <c r="J249" s="255">
        <v>13900</v>
      </c>
      <c r="K249" s="593">
        <f>ROUND(I249*J249,0)</f>
        <v>1390000</v>
      </c>
      <c r="L249" s="594" t="s">
        <v>259</v>
      </c>
      <c r="M249" s="594" t="s">
        <v>174</v>
      </c>
      <c r="N249" s="52" t="str">
        <f>IF(AND('331-CT'!$E$7=TH!H249,OR(L249="331",M249="331")),"331",IF(AND(OR(L249="131",M249="131"),H249='131-CT'!$E$7),"131",""))</f>
        <v/>
      </c>
      <c r="O249" s="86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99"/>
    </row>
    <row r="250" spans="1:27" s="210" customFormat="1" ht="15.75" customHeight="1">
      <c r="A250" s="203" t="str">
        <f>IF(B250&lt;&gt;"",IF(AND(B250&gt;=_TM1,B250&lt;=_TM2,OR(TH!L250="1111",TH!M250="1111")),TH!D250,""),"")</f>
        <v/>
      </c>
      <c r="B250" s="36">
        <f>IF(C250&lt;&gt;"",MONTH(C250),"")</f>
        <v>3</v>
      </c>
      <c r="C250" s="183">
        <f>E250</f>
        <v>42069</v>
      </c>
      <c r="D250" s="183" t="s">
        <v>1547</v>
      </c>
      <c r="E250" s="190">
        <v>42069</v>
      </c>
      <c r="F250" s="191" t="s">
        <v>1654</v>
      </c>
      <c r="G250" s="482" t="s">
        <v>515</v>
      </c>
      <c r="H250" s="7" t="s">
        <v>473</v>
      </c>
      <c r="I250" s="255">
        <v>200</v>
      </c>
      <c r="J250" s="255">
        <v>1500</v>
      </c>
      <c r="K250" s="593">
        <f>ROUND(I250*J250,0)</f>
        <v>300000</v>
      </c>
      <c r="L250" s="594" t="s">
        <v>259</v>
      </c>
      <c r="M250" s="594" t="s">
        <v>174</v>
      </c>
      <c r="N250" s="52" t="str">
        <f>IF(AND('331-CT'!$E$7=TH!H250,OR(L250="331",M250="331")),"331",IF(AND(OR(L250="131",M250="131"),H250='131-CT'!$E$7),"131",""))</f>
        <v/>
      </c>
      <c r="O250" s="86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99"/>
    </row>
    <row r="251" spans="1:27" s="210" customFormat="1" ht="15.75" customHeight="1">
      <c r="A251" s="203" t="str">
        <f>IF(B251&lt;&gt;"",IF(AND(B251&gt;=_TM1,B251&lt;=_TM2,OR(TH!L251="1111",TH!M251="1111")),TH!D251,""),"")</f>
        <v/>
      </c>
      <c r="B251" s="36">
        <f>IF(C251&lt;&gt;"",MONTH(C251),"")</f>
        <v>3</v>
      </c>
      <c r="C251" s="183">
        <f>E251</f>
        <v>42069</v>
      </c>
      <c r="D251" s="183" t="s">
        <v>1547</v>
      </c>
      <c r="E251" s="190">
        <v>42069</v>
      </c>
      <c r="F251" s="188" t="s">
        <v>402</v>
      </c>
      <c r="G251" s="482" t="s">
        <v>515</v>
      </c>
      <c r="H251" s="7" t="s">
        <v>473</v>
      </c>
      <c r="I251" s="255"/>
      <c r="J251" s="255"/>
      <c r="K251" s="593">
        <v>169000</v>
      </c>
      <c r="L251" s="594" t="s">
        <v>259</v>
      </c>
      <c r="M251" s="594" t="s">
        <v>371</v>
      </c>
      <c r="N251" s="52" t="str">
        <f>IF(AND('331-CT'!$E$7=TH!H251,OR(L251="331",M251="331")),"331",IF(AND(OR(L251="131",M251="131"),H251='131-CT'!$E$7),"131",""))</f>
        <v/>
      </c>
      <c r="O251" s="86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99"/>
    </row>
    <row r="252" spans="1:27" s="210" customFormat="1" ht="15.75" customHeight="1">
      <c r="A252" s="203" t="str">
        <f>IF(B252&lt;&gt;"",IF(AND(B252&gt;=_TM1,B252&lt;=_TM2,OR(TH!L252="1111",TH!M252="1111")),TH!D252,""),"")</f>
        <v/>
      </c>
      <c r="B252" s="36">
        <f>IF(C252&lt;&gt;"",MONTH(C252),"")</f>
        <v>3</v>
      </c>
      <c r="C252" s="183">
        <f>E252</f>
        <v>42070</v>
      </c>
      <c r="D252" s="183" t="s">
        <v>1548</v>
      </c>
      <c r="E252" s="190">
        <v>42070</v>
      </c>
      <c r="F252" s="188" t="s">
        <v>516</v>
      </c>
      <c r="G252" s="595" t="s">
        <v>517</v>
      </c>
      <c r="H252" s="7" t="s">
        <v>444</v>
      </c>
      <c r="I252" s="255">
        <v>800</v>
      </c>
      <c r="J252" s="255">
        <v>10000</v>
      </c>
      <c r="K252" s="593">
        <f>ROUND(I252*J252,0)</f>
        <v>8000000</v>
      </c>
      <c r="L252" s="594" t="s">
        <v>259</v>
      </c>
      <c r="M252" s="594" t="s">
        <v>174</v>
      </c>
      <c r="N252" s="52" t="str">
        <f>IF(AND('331-CT'!$E$7=TH!H252,OR(L252="331",M252="331")),"331",IF(AND(OR(L252="131",M252="131"),H252='131-CT'!$E$7),"131",""))</f>
        <v/>
      </c>
      <c r="O252" s="86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99"/>
    </row>
    <row r="253" spans="1:27" s="210" customFormat="1" ht="15.75" customHeight="1">
      <c r="A253" s="203" t="str">
        <f>IF(B253&lt;&gt;"",IF(AND(B253&gt;=_TM1,B253&lt;=_TM2,OR(TH!L253="1111",TH!M253="1111")),TH!D253,""),"")</f>
        <v/>
      </c>
      <c r="B253" s="36">
        <f>IF(C253&lt;&gt;"",MONTH(C253),"")</f>
        <v>3</v>
      </c>
      <c r="C253" s="183">
        <f>E253</f>
        <v>42070</v>
      </c>
      <c r="D253" s="183" t="s">
        <v>1548</v>
      </c>
      <c r="E253" s="190">
        <v>42070</v>
      </c>
      <c r="F253" s="188" t="s">
        <v>518</v>
      </c>
      <c r="G253" s="595" t="s">
        <v>517</v>
      </c>
      <c r="H253" s="7" t="s">
        <v>444</v>
      </c>
      <c r="I253" s="255">
        <v>815</v>
      </c>
      <c r="J253" s="255">
        <v>10700</v>
      </c>
      <c r="K253" s="593">
        <f>ROUND(I253*J253,0)</f>
        <v>8720500</v>
      </c>
      <c r="L253" s="594" t="s">
        <v>259</v>
      </c>
      <c r="M253" s="594" t="s">
        <v>174</v>
      </c>
      <c r="N253" s="52" t="str">
        <f>IF(AND('331-CT'!$E$7=TH!H253,OR(L253="331",M253="331")),"331",IF(AND(OR(L253="131",M253="131"),H253='131-CT'!$E$7),"131",""))</f>
        <v/>
      </c>
      <c r="O253" s="86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99"/>
    </row>
    <row r="254" spans="1:27" s="210" customFormat="1" ht="15.75" customHeight="1">
      <c r="A254" s="203" t="str">
        <f>IF(B254&lt;&gt;"",IF(AND(B254&gt;=_TM1,B254&lt;=_TM2,OR(TH!L254="1111",TH!M254="1111")),TH!D254,""),"")</f>
        <v/>
      </c>
      <c r="B254" s="36">
        <f>IF(C254&lt;&gt;"",MONTH(C254),"")</f>
        <v>3</v>
      </c>
      <c r="C254" s="183">
        <f>E254</f>
        <v>42070</v>
      </c>
      <c r="D254" s="183" t="s">
        <v>1548</v>
      </c>
      <c r="E254" s="190">
        <v>42070</v>
      </c>
      <c r="F254" s="188" t="s">
        <v>519</v>
      </c>
      <c r="G254" s="595" t="s">
        <v>517</v>
      </c>
      <c r="H254" s="7" t="s">
        <v>444</v>
      </c>
      <c r="I254" s="255">
        <v>303</v>
      </c>
      <c r="J254" s="255">
        <v>11500</v>
      </c>
      <c r="K254" s="593">
        <f>ROUND(I254*J254,0)</f>
        <v>3484500</v>
      </c>
      <c r="L254" s="594" t="s">
        <v>259</v>
      </c>
      <c r="M254" s="594" t="s">
        <v>174</v>
      </c>
      <c r="N254" s="52" t="str">
        <f>IF(AND('331-CT'!$E$7=TH!H254,OR(L254="331",M254="331")),"331",IF(AND(OR(L254="131",M254="131"),H254='131-CT'!$E$7),"131",""))</f>
        <v/>
      </c>
      <c r="O254" s="86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99"/>
    </row>
    <row r="255" spans="1:27" s="210" customFormat="1" ht="15.75" customHeight="1">
      <c r="A255" s="203" t="str">
        <f>IF(B255&lt;&gt;"",IF(AND(B255&gt;=_TM1,B255&lt;=_TM2,OR(TH!L255="1111",TH!M255="1111")),TH!D255,""),"")</f>
        <v/>
      </c>
      <c r="B255" s="36">
        <f>IF(C255&lt;&gt;"",MONTH(C255),"")</f>
        <v>3</v>
      </c>
      <c r="C255" s="183">
        <f>E255</f>
        <v>42070</v>
      </c>
      <c r="D255" s="183" t="s">
        <v>1548</v>
      </c>
      <c r="E255" s="190">
        <v>42070</v>
      </c>
      <c r="F255" s="188" t="s">
        <v>1661</v>
      </c>
      <c r="G255" s="595" t="s">
        <v>517</v>
      </c>
      <c r="H255" s="7" t="s">
        <v>444</v>
      </c>
      <c r="I255" s="255">
        <v>1900</v>
      </c>
      <c r="J255" s="255">
        <v>450</v>
      </c>
      <c r="K255" s="593">
        <f>ROUND(I255*J255,0)</f>
        <v>855000</v>
      </c>
      <c r="L255" s="594" t="s">
        <v>259</v>
      </c>
      <c r="M255" s="594" t="s">
        <v>174</v>
      </c>
      <c r="N255" s="52" t="str">
        <f>IF(AND('331-CT'!$E$7=TH!H255,OR(L255="331",M255="331")),"331",IF(AND(OR(L255="131",M255="131"),H255='131-CT'!$E$7),"131",""))</f>
        <v/>
      </c>
      <c r="O255" s="86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99"/>
    </row>
    <row r="256" spans="1:27" s="210" customFormat="1" ht="15.75" customHeight="1">
      <c r="A256" s="203" t="str">
        <f>IF(B256&lt;&gt;"",IF(AND(B256&gt;=_TM1,B256&lt;=_TM2,OR(TH!L256="1111",TH!M256="1111")),TH!D256,""),"")</f>
        <v/>
      </c>
      <c r="B256" s="36">
        <f>IF(C256&lt;&gt;"",MONTH(C256),"")</f>
        <v>3</v>
      </c>
      <c r="C256" s="183">
        <f>E256</f>
        <v>42070</v>
      </c>
      <c r="D256" s="183" t="s">
        <v>1548</v>
      </c>
      <c r="E256" s="37">
        <v>42070</v>
      </c>
      <c r="F256" s="40" t="s">
        <v>402</v>
      </c>
      <c r="G256" s="479" t="s">
        <v>517</v>
      </c>
      <c r="H256" s="45" t="s">
        <v>444</v>
      </c>
      <c r="I256" s="255"/>
      <c r="J256" s="255"/>
      <c r="K256" s="38">
        <v>2106000</v>
      </c>
      <c r="L256" s="594" t="s">
        <v>259</v>
      </c>
      <c r="M256" s="594" t="s">
        <v>371</v>
      </c>
      <c r="N256" s="52" t="str">
        <f>IF(AND('331-CT'!$E$7=TH!H256,OR(L256="331",M256="331")),"331",IF(AND(OR(L256="131",M256="131"),H256='131-CT'!$E$7),"131",""))</f>
        <v/>
      </c>
      <c r="O256" s="86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99"/>
    </row>
    <row r="257" spans="1:27" s="210" customFormat="1" ht="15.75" customHeight="1">
      <c r="A257" s="203" t="str">
        <f>IF(B257&lt;&gt;"",IF(AND(B257&gt;=_TM1,B257&lt;=_TM2,OR(TH!L257="1111",TH!M257="1111")),TH!D257,""),"")</f>
        <v/>
      </c>
      <c r="B257" s="36">
        <f>IF(C257&lt;&gt;"",MONTH(C257),"")</f>
        <v>3</v>
      </c>
      <c r="C257" s="183">
        <f>E257</f>
        <v>42070</v>
      </c>
      <c r="D257" s="190" t="s">
        <v>1324</v>
      </c>
      <c r="E257" s="727">
        <v>42070</v>
      </c>
      <c r="F257" s="191" t="s">
        <v>1897</v>
      </c>
      <c r="G257" s="191" t="s">
        <v>1893</v>
      </c>
      <c r="H257" s="7" t="s">
        <v>1875</v>
      </c>
      <c r="I257" s="256"/>
      <c r="J257" s="256"/>
      <c r="K257" s="593">
        <v>10763889</v>
      </c>
      <c r="L257" s="193" t="s">
        <v>81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86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99"/>
    </row>
    <row r="258" spans="1:27" s="210" customFormat="1" ht="15.75" customHeight="1">
      <c r="A258" s="203" t="str">
        <f>IF(B258&lt;&gt;"",IF(AND(B258&gt;=_TM1,B258&lt;=_TM2,OR(TH!L258="1111",TH!M258="1111")),TH!D258,""),"")</f>
        <v/>
      </c>
      <c r="B258" s="36">
        <f>IF(C258&lt;&gt;"",MONTH(C258),"")</f>
        <v>3</v>
      </c>
      <c r="C258" s="183">
        <f>E258</f>
        <v>42070</v>
      </c>
      <c r="D258" s="190" t="s">
        <v>1324</v>
      </c>
      <c r="E258" s="727">
        <v>42070</v>
      </c>
      <c r="F258" s="191" t="s">
        <v>1897</v>
      </c>
      <c r="G258" s="191" t="s">
        <v>1893</v>
      </c>
      <c r="H258" s="7" t="s">
        <v>1898</v>
      </c>
      <c r="I258" s="255"/>
      <c r="J258" s="255"/>
      <c r="K258" s="593">
        <v>985921</v>
      </c>
      <c r="L258" s="193" t="s">
        <v>81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86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99"/>
    </row>
    <row r="259" spans="1:27" s="210" customFormat="1" ht="15.75" customHeight="1">
      <c r="A259" s="203" t="str">
        <f>IF(B259&lt;&gt;"",IF(AND(B259&gt;=_TM1,B259&lt;=_TM2,OR(TH!L259="1111",TH!M259="1111")),TH!D259,""),"")</f>
        <v/>
      </c>
      <c r="B259" s="36">
        <f>IF(C259&lt;&gt;"",MONTH(C259),"")</f>
        <v>3</v>
      </c>
      <c r="C259" s="183">
        <f>E259</f>
        <v>42070</v>
      </c>
      <c r="D259" s="190" t="s">
        <v>1324</v>
      </c>
      <c r="E259" s="727">
        <v>42070</v>
      </c>
      <c r="F259" s="191" t="s">
        <v>1897</v>
      </c>
      <c r="G259" s="191" t="s">
        <v>1893</v>
      </c>
      <c r="H259" s="7" t="s">
        <v>1877</v>
      </c>
      <c r="I259" s="256"/>
      <c r="J259" s="256"/>
      <c r="K259" s="593">
        <v>600126</v>
      </c>
      <c r="L259" s="193" t="s">
        <v>81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86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99"/>
    </row>
    <row r="260" spans="1:27" s="210" customFormat="1" ht="15.75" customHeight="1">
      <c r="A260" s="203" t="str">
        <f>IF(B260&lt;&gt;"",IF(AND(B260&gt;=_TM1,B260&lt;=_TM2,OR(TH!L260="1111",TH!M260="1111")),TH!D260,""),"")</f>
        <v/>
      </c>
      <c r="B260" s="36">
        <f>IF(C260&lt;&gt;"",MONTH(C260),"")</f>
        <v>3</v>
      </c>
      <c r="C260" s="183">
        <f>E260</f>
        <v>42070</v>
      </c>
      <c r="D260" s="190" t="s">
        <v>1324</v>
      </c>
      <c r="E260" s="727">
        <v>42070</v>
      </c>
      <c r="F260" s="191" t="s">
        <v>1897</v>
      </c>
      <c r="G260" s="482" t="s">
        <v>1893</v>
      </c>
      <c r="H260" s="7" t="s">
        <v>1878</v>
      </c>
      <c r="I260" s="255"/>
      <c r="J260" s="255"/>
      <c r="K260" s="593">
        <v>600126</v>
      </c>
      <c r="L260" s="193" t="s">
        <v>81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86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99"/>
    </row>
    <row r="261" spans="1:27" s="210" customFormat="1" ht="15.75" customHeight="1">
      <c r="A261" s="203" t="str">
        <f>IF(B261&lt;&gt;"",IF(AND(B261&gt;=_TM1,B261&lt;=_TM2,OR(TH!L261="1111",TH!M261="1111")),TH!D261,""),"")</f>
        <v/>
      </c>
      <c r="B261" s="36">
        <f>IF(C261&lt;&gt;"",MONTH(C261),"")</f>
        <v>3</v>
      </c>
      <c r="C261" s="183">
        <f>E261</f>
        <v>42070</v>
      </c>
      <c r="D261" s="190" t="s">
        <v>1324</v>
      </c>
      <c r="E261" s="727">
        <v>42070</v>
      </c>
      <c r="F261" s="191" t="s">
        <v>1897</v>
      </c>
      <c r="G261" s="482" t="s">
        <v>1893</v>
      </c>
      <c r="H261" s="7" t="s">
        <v>1879</v>
      </c>
      <c r="I261" s="255"/>
      <c r="J261" s="255"/>
      <c r="K261" s="593">
        <v>590119</v>
      </c>
      <c r="L261" s="193" t="s">
        <v>81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86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99"/>
    </row>
    <row r="262" spans="1:27" s="210" customFormat="1" ht="15.75" customHeight="1">
      <c r="A262" s="203" t="str">
        <f>IF(B262&lt;&gt;"",IF(AND(B262&gt;=_TM1,B262&lt;=_TM2,OR(TH!L262="1111",TH!M262="1111")),TH!D262,""),"")</f>
        <v/>
      </c>
      <c r="B262" s="36">
        <f>IF(C262&lt;&gt;"",MONTH(C262),"")</f>
        <v>3</v>
      </c>
      <c r="C262" s="183">
        <f>E262</f>
        <v>42072</v>
      </c>
      <c r="D262" s="190" t="s">
        <v>1319</v>
      </c>
      <c r="E262" s="37">
        <v>42072</v>
      </c>
      <c r="F262" s="191" t="s">
        <v>1320</v>
      </c>
      <c r="G262" s="482" t="s">
        <v>332</v>
      </c>
      <c r="H262" s="7" t="s">
        <v>444</v>
      </c>
      <c r="I262" s="255"/>
      <c r="J262" s="255"/>
      <c r="K262" s="593">
        <v>23166000</v>
      </c>
      <c r="L262" s="193" t="s">
        <v>24</v>
      </c>
      <c r="M262" s="193" t="s">
        <v>259</v>
      </c>
      <c r="N262" s="52" t="str">
        <f>IF(AND('331-CT'!$E$7=TH!H262,OR(L262="331",M262="331")),"331",IF(AND(OR(L262="131",M262="131"),H262='131-CT'!$E$7),"131",""))</f>
        <v/>
      </c>
      <c r="O262" s="86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>x</v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99"/>
    </row>
    <row r="263" spans="1:27" s="210" customFormat="1" ht="15.75" customHeight="1">
      <c r="A263" s="203" t="str">
        <f>IF(B263&lt;&gt;"",IF(AND(B263&gt;=_TM1,B263&lt;=_TM2,OR(TH!L263="1111",TH!M263="1111")),TH!D263,""),"")</f>
        <v/>
      </c>
      <c r="B263" s="36">
        <f>IF(C263&lt;&gt;"",MONTH(C263),"")</f>
        <v>3</v>
      </c>
      <c r="C263" s="183">
        <f>E263</f>
        <v>42072</v>
      </c>
      <c r="D263" s="190" t="s">
        <v>1319</v>
      </c>
      <c r="E263" s="37">
        <v>42072</v>
      </c>
      <c r="F263" s="191" t="s">
        <v>1320</v>
      </c>
      <c r="G263" s="482" t="s">
        <v>332</v>
      </c>
      <c r="H263" s="7" t="s">
        <v>407</v>
      </c>
      <c r="I263" s="255"/>
      <c r="J263" s="255"/>
      <c r="K263" s="593">
        <v>14086600</v>
      </c>
      <c r="L263" s="193" t="s">
        <v>24</v>
      </c>
      <c r="M263" s="193" t="s">
        <v>259</v>
      </c>
      <c r="N263" s="52" t="str">
        <f>IF(AND('331-CT'!$E$7=TH!H263,OR(L263="331",M263="331")),"331",IF(AND(OR(L263="131",M263="131"),H263='131-CT'!$E$7),"131",""))</f>
        <v/>
      </c>
      <c r="O263" s="86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>x</v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99"/>
    </row>
    <row r="264" spans="1:27" s="210" customFormat="1" ht="15.75" customHeight="1">
      <c r="A264" s="203" t="str">
        <f>IF(B264&lt;&gt;"",IF(AND(B264&gt;=_TM1,B264&lt;=_TM2,OR(TH!L264="1111",TH!M264="1111")),TH!D264,""),"")</f>
        <v/>
      </c>
      <c r="B264" s="36">
        <f>IF(C264&lt;&gt;"",MONTH(C264),"")</f>
        <v>3</v>
      </c>
      <c r="C264" s="183">
        <f>E264</f>
        <v>42072</v>
      </c>
      <c r="D264" s="183" t="s">
        <v>1324</v>
      </c>
      <c r="E264" s="190">
        <v>42072</v>
      </c>
      <c r="F264" s="188" t="s">
        <v>1325</v>
      </c>
      <c r="G264" s="482" t="s">
        <v>332</v>
      </c>
      <c r="H264" s="7" t="s">
        <v>1322</v>
      </c>
      <c r="I264" s="255"/>
      <c r="J264" s="255"/>
      <c r="K264" s="593">
        <v>23200000</v>
      </c>
      <c r="L264" s="594" t="s">
        <v>47</v>
      </c>
      <c r="M264" s="594" t="s">
        <v>24</v>
      </c>
      <c r="N264" s="52" t="str">
        <f>IF(AND('331-CT'!$E$7=TH!H264,OR(L264="331",M264="331")),"331",IF(AND(OR(L264="131",M264="131"),H264='131-CT'!$E$7),"131",""))</f>
        <v/>
      </c>
      <c r="O264" s="86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>x</v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>x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99"/>
    </row>
    <row r="265" spans="1:27" s="210" customFormat="1" ht="15.75" customHeight="1">
      <c r="A265" s="203" t="str">
        <f>IF(B265&lt;&gt;"",IF(AND(B265&gt;=_TM1,B265&lt;=_TM2,OR(TH!L265="1111",TH!M265="1111")),TH!D265,""),"")</f>
        <v/>
      </c>
      <c r="B265" s="36">
        <f>IF(C265&lt;&gt;"",MONTH(C265),"")</f>
        <v>3</v>
      </c>
      <c r="C265" s="183">
        <f>E265</f>
        <v>42072</v>
      </c>
      <c r="D265" s="183" t="s">
        <v>1319</v>
      </c>
      <c r="E265" s="727">
        <v>42072</v>
      </c>
      <c r="F265" s="191" t="s">
        <v>1896</v>
      </c>
      <c r="G265" s="191" t="s">
        <v>1893</v>
      </c>
      <c r="H265" s="192" t="s">
        <v>1334</v>
      </c>
      <c r="I265" s="255"/>
      <c r="J265" s="255"/>
      <c r="K265" s="593">
        <v>100000000</v>
      </c>
      <c r="L265" s="193" t="s">
        <v>24</v>
      </c>
      <c r="M265" s="193" t="s">
        <v>47</v>
      </c>
      <c r="N265" s="52" t="str">
        <f>IF(AND('331-CT'!$E$7=TH!H265,OR(L265="331",M265="331")),"331",IF(AND(OR(L265="131",M265="131"),H265='131-CT'!$E$7),"131",""))</f>
        <v/>
      </c>
      <c r="O265" s="86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>x</v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99"/>
    </row>
    <row r="266" spans="1:27" s="210" customFormat="1" ht="15.75" customHeight="1">
      <c r="A266" s="203" t="str">
        <f>IF(B266&lt;&gt;"",IF(AND(B266&gt;=_TM1,B266&lt;=_TM2,OR(TH!L266="1111",TH!M266="1111")),TH!D266,""),"")</f>
        <v/>
      </c>
      <c r="B266" s="36">
        <f>IF(C266&lt;&gt;"",MONTH(C266),"")</f>
        <v>3</v>
      </c>
      <c r="C266" s="183">
        <f>E266</f>
        <v>42072</v>
      </c>
      <c r="D266" s="190" t="s">
        <v>1324</v>
      </c>
      <c r="E266" s="727">
        <v>42072</v>
      </c>
      <c r="F266" s="191" t="s">
        <v>1900</v>
      </c>
      <c r="G266" s="191" t="s">
        <v>1893</v>
      </c>
      <c r="H266" s="7" t="s">
        <v>1898</v>
      </c>
      <c r="I266" s="256"/>
      <c r="J266" s="256"/>
      <c r="K266" s="593">
        <v>99560000</v>
      </c>
      <c r="L266" s="193" t="s">
        <v>1911</v>
      </c>
      <c r="M266" s="193" t="s">
        <v>24</v>
      </c>
      <c r="N266" s="52" t="str">
        <f>IF(AND('331-CT'!$E$7=TH!H266,OR(L266="331",M266="331")),"331",IF(AND(OR(L266="131",M266="131"),H266='131-CT'!$E$7),"131",""))</f>
        <v/>
      </c>
      <c r="O266" s="86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99"/>
    </row>
    <row r="267" spans="1:27" s="210" customFormat="1" ht="15.75" customHeight="1">
      <c r="A267" s="203" t="str">
        <f>IF(B267&lt;&gt;"",IF(AND(B267&gt;=_TM1,B267&lt;=_TM2,OR(TH!L267="1111",TH!M267="1111")),TH!D267,""),"")</f>
        <v/>
      </c>
      <c r="B267" s="36">
        <f>IF(C267&lt;&gt;"",MONTH(C267),"")</f>
        <v>3</v>
      </c>
      <c r="C267" s="183">
        <f>E267</f>
        <v>42072</v>
      </c>
      <c r="D267" s="190" t="s">
        <v>1324</v>
      </c>
      <c r="E267" s="727">
        <v>42072</v>
      </c>
      <c r="F267" s="191" t="s">
        <v>1897</v>
      </c>
      <c r="G267" s="191" t="s">
        <v>1893</v>
      </c>
      <c r="H267" s="7" t="s">
        <v>1898</v>
      </c>
      <c r="I267" s="255"/>
      <c r="J267" s="255"/>
      <c r="K267" s="593">
        <v>413451</v>
      </c>
      <c r="L267" s="193" t="s">
        <v>81</v>
      </c>
      <c r="M267" s="193" t="s">
        <v>24</v>
      </c>
      <c r="N267" s="52" t="str">
        <f>IF(AND('331-CT'!$E$7=TH!H267,OR(L267="331",M267="331")),"331",IF(AND(OR(L267="131",M267="131"),H267='131-CT'!$E$7),"131",""))</f>
        <v/>
      </c>
      <c r="O267" s="86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99"/>
    </row>
    <row r="268" spans="1:27" s="210" customFormat="1" ht="15.75" customHeight="1">
      <c r="A268" s="203" t="str">
        <f>IF(B268&lt;&gt;"",IF(AND(B268&gt;=_TM1,B268&lt;=_TM2,OR(TH!L268="1111",TH!M268="1111")),TH!D268,""),"")</f>
        <v/>
      </c>
      <c r="B268" s="36">
        <f>IF(C268&lt;&gt;"",MONTH(C268),"")</f>
        <v>3</v>
      </c>
      <c r="C268" s="183">
        <f>E268</f>
        <v>42073</v>
      </c>
      <c r="D268" s="183" t="s">
        <v>1549</v>
      </c>
      <c r="E268" s="37">
        <v>42073</v>
      </c>
      <c r="F268" s="188" t="s">
        <v>413</v>
      </c>
      <c r="G268" s="479" t="s">
        <v>520</v>
      </c>
      <c r="H268" s="45" t="s">
        <v>412</v>
      </c>
      <c r="I268" s="255">
        <v>569</v>
      </c>
      <c r="J268" s="255">
        <v>10500</v>
      </c>
      <c r="K268" s="593">
        <f>ROUND(I268*J268,0)</f>
        <v>5974500</v>
      </c>
      <c r="L268" s="594" t="s">
        <v>259</v>
      </c>
      <c r="M268" s="594" t="s">
        <v>174</v>
      </c>
      <c r="N268" s="52" t="str">
        <f>IF(AND('331-CT'!$E$7=TH!H268,OR(L268="331",M268="331")),"331",IF(AND(OR(L268="131",M268="131"),H268='131-CT'!$E$7),"131",""))</f>
        <v/>
      </c>
      <c r="O268" s="86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99"/>
    </row>
    <row r="269" spans="1:27" s="210" customFormat="1" ht="15.75" customHeight="1">
      <c r="A269" s="203" t="str">
        <f>IF(B269&lt;&gt;"",IF(AND(B269&gt;=_TM1,B269&lt;=_TM2,OR(TH!L269="1111",TH!M269="1111")),TH!D269,""),"")</f>
        <v/>
      </c>
      <c r="B269" s="36">
        <f>IF(C269&lt;&gt;"",MONTH(C269),"")</f>
        <v>3</v>
      </c>
      <c r="C269" s="183">
        <f>E269</f>
        <v>42073</v>
      </c>
      <c r="D269" s="183" t="s">
        <v>1549</v>
      </c>
      <c r="E269" s="37">
        <v>42073</v>
      </c>
      <c r="F269" s="40" t="s">
        <v>402</v>
      </c>
      <c r="G269" s="481" t="s">
        <v>520</v>
      </c>
      <c r="H269" s="44" t="s">
        <v>412</v>
      </c>
      <c r="I269" s="255"/>
      <c r="J269" s="255"/>
      <c r="K269" s="593">
        <v>597450</v>
      </c>
      <c r="L269" s="594" t="s">
        <v>259</v>
      </c>
      <c r="M269" s="594" t="s">
        <v>371</v>
      </c>
      <c r="N269" s="52" t="str">
        <f>IF(AND('331-CT'!$E$7=TH!H269,OR(L269="331",M269="331")),"331",IF(AND(OR(L269="131",M269="131"),H269='131-CT'!$E$7),"131",""))</f>
        <v/>
      </c>
      <c r="O269" s="86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99"/>
    </row>
    <row r="270" spans="1:27" s="210" customFormat="1" ht="15.75" customHeight="1">
      <c r="A270" s="203" t="str">
        <f>IF(B270&lt;&gt;"",IF(AND(B270&gt;=_TM1,B270&lt;=_TM2,OR(TH!L270="1111",TH!M270="1111")),TH!D270,""),"")</f>
        <v/>
      </c>
      <c r="B270" s="36">
        <f>IF(C270&lt;&gt;"",MONTH(C270),"")</f>
        <v>3</v>
      </c>
      <c r="C270" s="183">
        <f>E270</f>
        <v>42073</v>
      </c>
      <c r="D270" s="183" t="s">
        <v>1324</v>
      </c>
      <c r="E270" s="190">
        <v>42073</v>
      </c>
      <c r="F270" s="188" t="s">
        <v>1325</v>
      </c>
      <c r="G270" s="482" t="s">
        <v>332</v>
      </c>
      <c r="H270" s="7" t="s">
        <v>1322</v>
      </c>
      <c r="I270" s="255"/>
      <c r="J270" s="255"/>
      <c r="K270" s="593">
        <v>14000000</v>
      </c>
      <c r="L270" s="594" t="s">
        <v>47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6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>x</v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>x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99"/>
    </row>
    <row r="271" spans="1:27" s="210" customFormat="1" ht="15.75" customHeight="1">
      <c r="A271" s="203" t="str">
        <f>IF(B271&lt;&gt;"",IF(AND(B271&gt;=_TM1,B271&lt;=_TM2,OR(TH!L271="1111",TH!M271="1111")),TH!D271,""),"")</f>
        <v/>
      </c>
      <c r="B271" s="36">
        <f>IF(C271&lt;&gt;"",MONTH(C271),"")</f>
        <v>3</v>
      </c>
      <c r="C271" s="183">
        <f>E271</f>
        <v>42073</v>
      </c>
      <c r="D271" s="183"/>
      <c r="E271" s="190">
        <v>42073</v>
      </c>
      <c r="F271" s="188" t="s">
        <v>1351</v>
      </c>
      <c r="G271" s="482" t="s">
        <v>1355</v>
      </c>
      <c r="H271" s="7" t="s">
        <v>1350</v>
      </c>
      <c r="I271" s="255"/>
      <c r="J271" s="255"/>
      <c r="K271" s="593">
        <f>205000+209626+97872+315122</f>
        <v>827620</v>
      </c>
      <c r="L271" s="594" t="s">
        <v>83</v>
      </c>
      <c r="M271" s="594" t="s">
        <v>47</v>
      </c>
      <c r="N271" s="52" t="str">
        <f>IF(AND('331-CT'!$E$7=TH!H271,OR(L271="331",M271="331")),"331",IF(AND(OR(L271="131",M271="131"),H271='131-CT'!$E$7),"131",""))</f>
        <v/>
      </c>
      <c r="O271" s="86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>x</v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>x</v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99"/>
    </row>
    <row r="272" spans="1:27" s="210" customFormat="1" ht="15.75" customHeight="1">
      <c r="A272" s="203" t="str">
        <f>IF(B272&lt;&gt;"",IF(AND(B272&gt;=_TM1,B272&lt;=_TM2,OR(TH!L272="1111",TH!M272="1111")),TH!D272,""),"")</f>
        <v/>
      </c>
      <c r="B272" s="36">
        <f>IF(C272&lt;&gt;"",MONTH(C272),"")</f>
        <v>3</v>
      </c>
      <c r="C272" s="183">
        <f>E272</f>
        <v>42073</v>
      </c>
      <c r="D272" s="183"/>
      <c r="E272" s="190">
        <v>42073</v>
      </c>
      <c r="F272" s="188" t="s">
        <v>1352</v>
      </c>
      <c r="G272" s="482" t="s">
        <v>1355</v>
      </c>
      <c r="H272" s="7" t="s">
        <v>1350</v>
      </c>
      <c r="I272" s="255"/>
      <c r="J272" s="255"/>
      <c r="K272" s="593">
        <f>20500+20962+9788+31512</f>
        <v>82762</v>
      </c>
      <c r="L272" s="594" t="s">
        <v>9</v>
      </c>
      <c r="M272" s="594" t="s">
        <v>47</v>
      </c>
      <c r="N272" s="52" t="str">
        <f>IF(AND('331-CT'!$E$7=TH!H272,OR(L272="331",M272="331")),"331",IF(AND(OR(L272="131",M272="131"),H272='131-CT'!$E$7),"131",""))</f>
        <v/>
      </c>
      <c r="O272" s="86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99"/>
    </row>
    <row r="273" spans="1:27" s="210" customFormat="1" ht="15.75" customHeight="1">
      <c r="A273" s="203" t="str">
        <f>IF(B273&lt;&gt;"",IF(AND(B273&gt;=_TM1,B273&lt;=_TM2,OR(TH!L273="1111",TH!M273="1111")),TH!D273,""),"")</f>
        <v/>
      </c>
      <c r="B273" s="36">
        <f>IF(C273&lt;&gt;"",MONTH(C273),"")</f>
        <v>3</v>
      </c>
      <c r="C273" s="183">
        <f>E273</f>
        <v>42074</v>
      </c>
      <c r="D273" s="183" t="s">
        <v>1319</v>
      </c>
      <c r="E273" s="727">
        <v>42074</v>
      </c>
      <c r="F273" s="7" t="s">
        <v>1901</v>
      </c>
      <c r="G273" s="191" t="s">
        <v>1893</v>
      </c>
      <c r="H273" s="7" t="s">
        <v>1902</v>
      </c>
      <c r="I273" s="255"/>
      <c r="J273" s="255"/>
      <c r="K273" s="593">
        <v>99560000</v>
      </c>
      <c r="L273" s="193" t="s">
        <v>24</v>
      </c>
      <c r="M273" s="193" t="s">
        <v>1911</v>
      </c>
      <c r="N273" s="52" t="str">
        <f>IF(AND('331-CT'!$E$7=TH!H273,OR(L273="331",M273="331")),"331",IF(AND(OR(L273="131",M273="131"),H273='131-CT'!$E$7),"131",""))</f>
        <v/>
      </c>
      <c r="O273" s="86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99"/>
    </row>
    <row r="274" spans="1:27" s="210" customFormat="1" ht="15.75" customHeight="1">
      <c r="A274" s="203" t="str">
        <f>IF(B274&lt;&gt;"",IF(AND(B274&gt;=_TM1,B274&lt;=_TM2,OR(TH!L274="1111",TH!M274="1111")),TH!D274,""),"")</f>
        <v/>
      </c>
      <c r="B274" s="36">
        <f>IF(C274&lt;&gt;"",MONTH(C274),"")</f>
        <v>3</v>
      </c>
      <c r="C274" s="183">
        <f>E274</f>
        <v>42074</v>
      </c>
      <c r="D274" s="190" t="s">
        <v>1324</v>
      </c>
      <c r="E274" s="727">
        <v>42074</v>
      </c>
      <c r="F274" s="749" t="s">
        <v>1903</v>
      </c>
      <c r="G274" s="191" t="s">
        <v>1893</v>
      </c>
      <c r="H274" s="192" t="s">
        <v>1334</v>
      </c>
      <c r="I274" s="255"/>
      <c r="J274" s="255"/>
      <c r="K274" s="593">
        <v>100000000</v>
      </c>
      <c r="L274" s="193" t="s">
        <v>47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86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>x</v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99"/>
    </row>
    <row r="275" spans="1:27" s="210" customFormat="1" ht="15.75" customHeight="1">
      <c r="A275" s="203" t="str">
        <f>IF(B275&lt;&gt;"",IF(AND(B275&gt;=_TM1,B275&lt;=_TM2,OR(TH!L275="1111",TH!M275="1111")),TH!D275,""),"")</f>
        <v/>
      </c>
      <c r="B275" s="36">
        <f>IF(C275&lt;&gt;"",MONTH(C275),"")</f>
        <v>3</v>
      </c>
      <c r="C275" s="183">
        <f>E275</f>
        <v>42074</v>
      </c>
      <c r="D275" s="190" t="s">
        <v>1324</v>
      </c>
      <c r="E275" s="727">
        <v>42074</v>
      </c>
      <c r="F275" s="191" t="s">
        <v>1904</v>
      </c>
      <c r="G275" s="191" t="s">
        <v>1893</v>
      </c>
      <c r="H275" s="192"/>
      <c r="I275" s="255"/>
      <c r="J275" s="255"/>
      <c r="K275" s="593">
        <v>11000</v>
      </c>
      <c r="L275" s="193" t="s">
        <v>83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86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>x</v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99"/>
    </row>
    <row r="276" spans="1:27" s="210" customFormat="1" ht="15.75" customHeight="1">
      <c r="A276" s="203" t="str">
        <f>IF(B276&lt;&gt;"",IF(AND(B276&gt;=_TM1,B276&lt;=_TM2,OR(TH!L276="1111",TH!M276="1111")),TH!D276,""),"")</f>
        <v/>
      </c>
      <c r="B276" s="36">
        <f>IF(C276&lt;&gt;"",MONTH(C276),"")</f>
        <v>3</v>
      </c>
      <c r="C276" s="183">
        <f>E276</f>
        <v>42075</v>
      </c>
      <c r="D276" s="183" t="s">
        <v>1550</v>
      </c>
      <c r="E276" s="37">
        <v>42075</v>
      </c>
      <c r="F276" s="188" t="s">
        <v>439</v>
      </c>
      <c r="G276" s="481" t="s">
        <v>521</v>
      </c>
      <c r="H276" s="44" t="s">
        <v>438</v>
      </c>
      <c r="I276" s="256">
        <v>900</v>
      </c>
      <c r="J276" s="257">
        <v>5300</v>
      </c>
      <c r="K276" s="593">
        <f>ROUND(I276*J276,0)</f>
        <v>4770000</v>
      </c>
      <c r="L276" s="594" t="s">
        <v>259</v>
      </c>
      <c r="M276" s="594" t="s">
        <v>174</v>
      </c>
      <c r="N276" s="52" t="str">
        <f>IF(AND('331-CT'!$E$7=TH!H276,OR(L276="331",M276="331")),"331",IF(AND(OR(L276="131",M276="131"),H276='131-CT'!$E$7),"131",""))</f>
        <v/>
      </c>
      <c r="O276" s="86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99"/>
    </row>
    <row r="277" spans="1:27" s="210" customFormat="1" ht="15.75" customHeight="1">
      <c r="A277" s="203" t="str">
        <f>IF(B277&lt;&gt;"",IF(AND(B277&gt;=_TM1,B277&lt;=_TM2,OR(TH!L277="1111",TH!M277="1111")),TH!D277,""),"")</f>
        <v/>
      </c>
      <c r="B277" s="36">
        <f>IF(C277&lt;&gt;"",MONTH(C277),"")</f>
        <v>3</v>
      </c>
      <c r="C277" s="183">
        <f>E277</f>
        <v>42075</v>
      </c>
      <c r="D277" s="183" t="s">
        <v>1550</v>
      </c>
      <c r="E277" s="37">
        <v>42075</v>
      </c>
      <c r="F277" s="40" t="s">
        <v>522</v>
      </c>
      <c r="G277" s="481" t="s">
        <v>521</v>
      </c>
      <c r="H277" s="44" t="s">
        <v>438</v>
      </c>
      <c r="I277" s="256">
        <v>118</v>
      </c>
      <c r="J277" s="256">
        <v>4700</v>
      </c>
      <c r="K277" s="593">
        <f>ROUND(I277*J277,0)</f>
        <v>554600</v>
      </c>
      <c r="L277" s="594" t="s">
        <v>259</v>
      </c>
      <c r="M277" s="594" t="s">
        <v>174</v>
      </c>
      <c r="N277" s="52" t="str">
        <f>IF(AND('331-CT'!$E$7=TH!H277,OR(L277="331",M277="331")),"331",IF(AND(OR(L277="131",M277="131"),H277='131-CT'!$E$7),"131",""))</f>
        <v/>
      </c>
      <c r="O277" s="86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99"/>
    </row>
    <row r="278" spans="1:27" s="210" customFormat="1" ht="15.75" customHeight="1">
      <c r="A278" s="203" t="str">
        <f>IF(B278&lt;&gt;"",IF(AND(B278&gt;=_TM1,B278&lt;=_TM2,OR(TH!L278="1111",TH!M278="1111")),TH!D278,""),"")</f>
        <v/>
      </c>
      <c r="B278" s="36">
        <f>IF(C278&lt;&gt;"",MONTH(C278),"")</f>
        <v>3</v>
      </c>
      <c r="C278" s="183">
        <f>E278</f>
        <v>42075</v>
      </c>
      <c r="D278" s="183" t="s">
        <v>1550</v>
      </c>
      <c r="E278" s="183">
        <v>42075</v>
      </c>
      <c r="F278" s="296" t="s">
        <v>402</v>
      </c>
      <c r="G278" s="595" t="s">
        <v>521</v>
      </c>
      <c r="H278" s="7" t="s">
        <v>438</v>
      </c>
      <c r="I278" s="750"/>
      <c r="J278" s="255"/>
      <c r="K278" s="593">
        <v>532460</v>
      </c>
      <c r="L278" s="594" t="s">
        <v>259</v>
      </c>
      <c r="M278" s="594" t="s">
        <v>371</v>
      </c>
      <c r="N278" s="52" t="str">
        <f>IF(AND('331-CT'!$E$7=TH!H278,OR(L278="331",M278="331")),"331",IF(AND(OR(L278="131",M278="131"),H278='131-CT'!$E$7),"131",""))</f>
        <v/>
      </c>
      <c r="O278" s="86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99"/>
    </row>
    <row r="279" spans="1:27" s="210" customFormat="1" ht="15.75" customHeight="1">
      <c r="A279" s="203" t="str">
        <f>IF(B279&lt;&gt;"",IF(AND(B279&gt;=_TM1,B279&lt;=_TM2,OR(TH!L279="1111",TH!M279="1111")),TH!D279,""),"")</f>
        <v/>
      </c>
      <c r="B279" s="36">
        <f>IF(C279&lt;&gt;"",MONTH(C279),"")</f>
        <v>3</v>
      </c>
      <c r="C279" s="183">
        <f>E279</f>
        <v>42076</v>
      </c>
      <c r="D279" s="190" t="s">
        <v>1319</v>
      </c>
      <c r="E279" s="37">
        <v>42076</v>
      </c>
      <c r="F279" s="191" t="s">
        <v>1320</v>
      </c>
      <c r="G279" s="482" t="s">
        <v>332</v>
      </c>
      <c r="H279" s="7" t="s">
        <v>453</v>
      </c>
      <c r="I279" s="255"/>
      <c r="J279" s="255"/>
      <c r="K279" s="593">
        <v>11801240</v>
      </c>
      <c r="L279" s="193" t="s">
        <v>24</v>
      </c>
      <c r="M279" s="193" t="s">
        <v>259</v>
      </c>
      <c r="N279" s="52" t="str">
        <f>IF(AND('331-CT'!$E$7=TH!H279,OR(L279="331",M279="331")),"331",IF(AND(OR(L279="131",M279="131"),H279='131-CT'!$E$7),"131",""))</f>
        <v/>
      </c>
      <c r="O279" s="86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>x</v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99"/>
    </row>
    <row r="280" spans="1:27" s="210" customFormat="1" ht="15.75" customHeight="1">
      <c r="A280" s="203" t="str">
        <f>IF(B280&lt;&gt;"",IF(AND(B280&gt;=_TM1,B280&lt;=_TM2,OR(TH!L280="1111",TH!M280="1111")),TH!D280,""),"")</f>
        <v/>
      </c>
      <c r="B280" s="36">
        <f>IF(C280&lt;&gt;"",MONTH(C280),"")</f>
        <v>3</v>
      </c>
      <c r="C280" s="183">
        <f>E280</f>
        <v>42077</v>
      </c>
      <c r="D280" s="183" t="s">
        <v>1551</v>
      </c>
      <c r="E280" s="183">
        <v>42077</v>
      </c>
      <c r="F280" s="188" t="s">
        <v>523</v>
      </c>
      <c r="G280" s="482" t="s">
        <v>524</v>
      </c>
      <c r="H280" s="7" t="s">
        <v>407</v>
      </c>
      <c r="I280" s="255">
        <v>55</v>
      </c>
      <c r="J280" s="255">
        <v>13900</v>
      </c>
      <c r="K280" s="593">
        <f>ROUND(I280*J280,0)</f>
        <v>764500</v>
      </c>
      <c r="L280" s="594" t="s">
        <v>259</v>
      </c>
      <c r="M280" s="594" t="s">
        <v>174</v>
      </c>
      <c r="N280" s="52" t="str">
        <f>IF(AND('331-CT'!$E$7=TH!H280,OR(L280="331",M280="331")),"331",IF(AND(OR(L280="131",M280="131"),H280='131-CT'!$E$7),"131",""))</f>
        <v/>
      </c>
      <c r="O280" s="86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99"/>
    </row>
    <row r="281" spans="1:27" s="210" customFormat="1" ht="15.75" customHeight="1">
      <c r="A281" s="203" t="str">
        <f>IF(B281&lt;&gt;"",IF(AND(B281&gt;=_TM1,B281&lt;=_TM2,OR(TH!L281="1111",TH!M281="1111")),TH!D281,""),"")</f>
        <v/>
      </c>
      <c r="B281" s="36">
        <f>IF(C281&lt;&gt;"",MONTH(C281),"")</f>
        <v>3</v>
      </c>
      <c r="C281" s="183">
        <f>E281</f>
        <v>42077</v>
      </c>
      <c r="D281" s="183" t="s">
        <v>1551</v>
      </c>
      <c r="E281" s="183">
        <v>42077</v>
      </c>
      <c r="F281" s="296" t="s">
        <v>525</v>
      </c>
      <c r="G281" s="482" t="s">
        <v>524</v>
      </c>
      <c r="H281" s="7" t="s">
        <v>407</v>
      </c>
      <c r="I281" s="255">
        <v>110</v>
      </c>
      <c r="J281" s="255">
        <v>8200</v>
      </c>
      <c r="K281" s="593">
        <f>ROUND(I281*J281,0)</f>
        <v>902000</v>
      </c>
      <c r="L281" s="594" t="s">
        <v>259</v>
      </c>
      <c r="M281" s="594" t="s">
        <v>174</v>
      </c>
      <c r="N281" s="52" t="str">
        <f>IF(AND('331-CT'!$E$7=TH!H281,OR(L281="331",M281="331")),"331",IF(AND(OR(L281="131",M281="131"),H281='131-CT'!$E$7),"131",""))</f>
        <v/>
      </c>
      <c r="O281" s="86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99"/>
    </row>
    <row r="282" spans="1:27" s="210" customFormat="1" ht="15.75" customHeight="1">
      <c r="A282" s="203" t="str">
        <f>IF(B282&lt;&gt;"",IF(AND(B282&gt;=_TM1,B282&lt;=_TM2,OR(TH!L282="1111",TH!M282="1111")),TH!D282,""),"")</f>
        <v/>
      </c>
      <c r="B282" s="36">
        <f>IF(C282&lt;&gt;"",MONTH(C282),"")</f>
        <v>3</v>
      </c>
      <c r="C282" s="183">
        <f>E282</f>
        <v>42077</v>
      </c>
      <c r="D282" s="183" t="s">
        <v>1551</v>
      </c>
      <c r="E282" s="183">
        <v>42077</v>
      </c>
      <c r="F282" s="1148" t="s">
        <v>526</v>
      </c>
      <c r="G282" s="482" t="s">
        <v>524</v>
      </c>
      <c r="H282" s="7" t="s">
        <v>407</v>
      </c>
      <c r="I282" s="255">
        <v>232</v>
      </c>
      <c r="J282" s="255">
        <v>7400</v>
      </c>
      <c r="K282" s="593">
        <f>ROUND(I282*J282,0)</f>
        <v>1716800</v>
      </c>
      <c r="L282" s="594" t="s">
        <v>259</v>
      </c>
      <c r="M282" s="594" t="s">
        <v>174</v>
      </c>
      <c r="N282" s="52" t="str">
        <f>IF(AND('331-CT'!$E$7=TH!H282,OR(L282="331",M282="331")),"331",IF(AND(OR(L282="131",M282="131"),H282='131-CT'!$E$7),"131",""))</f>
        <v/>
      </c>
      <c r="O282" s="86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99"/>
    </row>
    <row r="283" spans="1:27" s="210" customFormat="1" ht="15.75" customHeight="1">
      <c r="A283" s="203" t="str">
        <f>IF(B283&lt;&gt;"",IF(AND(B283&gt;=_TM1,B283&lt;=_TM2,OR(TH!L283="1111",TH!M283="1111")),TH!D283,""),"")</f>
        <v/>
      </c>
      <c r="B283" s="36">
        <f>IF(C283&lt;&gt;"",MONTH(C283),"")</f>
        <v>3</v>
      </c>
      <c r="C283" s="183">
        <f>E283</f>
        <v>42077</v>
      </c>
      <c r="D283" s="183" t="s">
        <v>1551</v>
      </c>
      <c r="E283" s="183">
        <v>42077</v>
      </c>
      <c r="F283" s="188" t="s">
        <v>405</v>
      </c>
      <c r="G283" s="482" t="s">
        <v>524</v>
      </c>
      <c r="H283" s="7" t="s">
        <v>407</v>
      </c>
      <c r="I283" s="255">
        <v>406</v>
      </c>
      <c r="J283" s="255">
        <v>8960</v>
      </c>
      <c r="K283" s="593">
        <f>ROUND(I283*J283,0)</f>
        <v>3637760</v>
      </c>
      <c r="L283" s="594" t="s">
        <v>259</v>
      </c>
      <c r="M283" s="594" t="s">
        <v>174</v>
      </c>
      <c r="N283" s="52" t="str">
        <f>IF(AND('331-CT'!$E$7=TH!H283,OR(L283="331",M283="331")),"331",IF(AND(OR(L283="131",M283="131"),H283='131-CT'!$E$7),"131",""))</f>
        <v/>
      </c>
      <c r="O283" s="86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99"/>
    </row>
    <row r="284" spans="1:27" s="210" customFormat="1" ht="15.75" customHeight="1">
      <c r="A284" s="203" t="str">
        <f>IF(B284&lt;&gt;"",IF(AND(B284&gt;=_TM1,B284&lt;=_TM2,OR(TH!L284="1111",TH!M284="1111")),TH!D284,""),"")</f>
        <v/>
      </c>
      <c r="B284" s="36">
        <f>IF(C284&lt;&gt;"",MONTH(C284),"")</f>
        <v>3</v>
      </c>
      <c r="C284" s="183">
        <f>E284</f>
        <v>42077</v>
      </c>
      <c r="D284" s="183" t="s">
        <v>1551</v>
      </c>
      <c r="E284" s="183">
        <v>42077</v>
      </c>
      <c r="F284" s="188" t="s">
        <v>402</v>
      </c>
      <c r="G284" s="479" t="s">
        <v>524</v>
      </c>
      <c r="H284" s="7" t="s">
        <v>407</v>
      </c>
      <c r="I284" s="256"/>
      <c r="J284" s="255"/>
      <c r="K284" s="593">
        <v>702106</v>
      </c>
      <c r="L284" s="594" t="s">
        <v>259</v>
      </c>
      <c r="M284" s="594" t="s">
        <v>371</v>
      </c>
      <c r="N284" s="52" t="str">
        <f>IF(AND('331-CT'!$E$7=TH!H284,OR(L284="331",M284="331")),"331",IF(AND(OR(L284="131",M284="131"),H284='131-CT'!$E$7),"131",""))</f>
        <v/>
      </c>
      <c r="O284" s="86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99"/>
    </row>
    <row r="285" spans="1:27" s="210" customFormat="1" ht="15.75" customHeight="1">
      <c r="A285" s="203" t="str">
        <f>IF(B285&lt;&gt;"",IF(AND(B285&gt;=_TM1,B285&lt;=_TM2,OR(TH!L285="1111",TH!M285="1111")),TH!D285,""),"")</f>
        <v/>
      </c>
      <c r="B285" s="36">
        <f>IF(C285&lt;&gt;"",MONTH(C285),"")</f>
        <v>3</v>
      </c>
      <c r="C285" s="183">
        <f>E285</f>
        <v>42077</v>
      </c>
      <c r="D285" s="183" t="s">
        <v>1552</v>
      </c>
      <c r="E285" s="183">
        <v>42077</v>
      </c>
      <c r="F285" s="188" t="s">
        <v>1693</v>
      </c>
      <c r="G285" s="479" t="s">
        <v>527</v>
      </c>
      <c r="H285" s="7" t="s">
        <v>528</v>
      </c>
      <c r="I285" s="256">
        <v>165</v>
      </c>
      <c r="J285" s="255">
        <v>15810</v>
      </c>
      <c r="K285" s="593">
        <f>ROUND(I285*J285,0)</f>
        <v>2608650</v>
      </c>
      <c r="L285" s="594" t="s">
        <v>259</v>
      </c>
      <c r="M285" s="594" t="s">
        <v>174</v>
      </c>
      <c r="N285" s="52" t="str">
        <f>IF(AND('331-CT'!$E$7=TH!H285,OR(L285="331",M285="331")),"331",IF(AND(OR(L285="131",M285="131"),H285='131-CT'!$E$7),"131",""))</f>
        <v/>
      </c>
      <c r="O285" s="86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99"/>
    </row>
    <row r="286" spans="1:27" s="210" customFormat="1" ht="15.75" customHeight="1">
      <c r="A286" s="203" t="str">
        <f>IF(B286&lt;&gt;"",IF(AND(B286&gt;=_TM1,B286&lt;=_TM2,OR(TH!L286="1111",TH!M286="1111")),TH!D286,""),"")</f>
        <v/>
      </c>
      <c r="B286" s="36">
        <f>IF(C286&lt;&gt;"",MONTH(C286),"")</f>
        <v>3</v>
      </c>
      <c r="C286" s="183">
        <f>E286</f>
        <v>42077</v>
      </c>
      <c r="D286" s="183" t="s">
        <v>1552</v>
      </c>
      <c r="E286" s="183">
        <v>42077</v>
      </c>
      <c r="F286" s="188" t="s">
        <v>1694</v>
      </c>
      <c r="G286" s="595" t="s">
        <v>527</v>
      </c>
      <c r="H286" s="7" t="s">
        <v>528</v>
      </c>
      <c r="I286" s="255">
        <v>250</v>
      </c>
      <c r="J286" s="255">
        <v>19375</v>
      </c>
      <c r="K286" s="593">
        <f>ROUND(I286*J286,0)</f>
        <v>4843750</v>
      </c>
      <c r="L286" s="594" t="s">
        <v>259</v>
      </c>
      <c r="M286" s="594" t="s">
        <v>174</v>
      </c>
      <c r="N286" s="52" t="str">
        <f>IF(AND('331-CT'!$E$7=TH!H286,OR(L286="331",M286="331")),"331",IF(AND(OR(L286="131",M286="131"),H286='131-CT'!$E$7),"131",""))</f>
        <v/>
      </c>
      <c r="O286" s="86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99"/>
    </row>
    <row r="287" spans="1:27" s="210" customFormat="1" ht="15.75" customHeight="1">
      <c r="A287" s="203" t="str">
        <f>IF(B287&lt;&gt;"",IF(AND(B287&gt;=_TM1,B287&lt;=_TM2,OR(TH!L287="1111",TH!M287="1111")),TH!D287,""),"")</f>
        <v/>
      </c>
      <c r="B287" s="36">
        <f>IF(C287&lt;&gt;"",MONTH(C287),"")</f>
        <v>3</v>
      </c>
      <c r="C287" s="183">
        <f>E287</f>
        <v>42077</v>
      </c>
      <c r="D287" s="183" t="s">
        <v>1552</v>
      </c>
      <c r="E287" s="183">
        <v>42077</v>
      </c>
      <c r="F287" s="188" t="s">
        <v>1695</v>
      </c>
      <c r="G287" s="595" t="s">
        <v>527</v>
      </c>
      <c r="H287" s="7" t="s">
        <v>528</v>
      </c>
      <c r="I287" s="255">
        <v>20</v>
      </c>
      <c r="J287" s="255">
        <v>16615</v>
      </c>
      <c r="K287" s="593">
        <f>ROUND(I287*J287,0)</f>
        <v>332300</v>
      </c>
      <c r="L287" s="594" t="s">
        <v>259</v>
      </c>
      <c r="M287" s="594" t="s">
        <v>174</v>
      </c>
      <c r="N287" s="52" t="str">
        <f>IF(AND('331-CT'!$E$7=TH!H287,OR(L287="331",M287="331")),"331",IF(AND(OR(L287="131",M287="131"),H287='131-CT'!$E$7),"131",""))</f>
        <v/>
      </c>
      <c r="O287" s="86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99"/>
    </row>
    <row r="288" spans="1:27" s="210" customFormat="1" ht="15.75" customHeight="1">
      <c r="A288" s="203" t="str">
        <f>IF(B288&lt;&gt;"",IF(AND(B288&gt;=_TM1,B288&lt;=_TM2,OR(TH!L288="1111",TH!M288="1111")),TH!D288,""),"")</f>
        <v/>
      </c>
      <c r="B288" s="36">
        <f>IF(C288&lt;&gt;"",MONTH(C288),"")</f>
        <v>3</v>
      </c>
      <c r="C288" s="183">
        <f>E288</f>
        <v>42077</v>
      </c>
      <c r="D288" s="183" t="s">
        <v>1552</v>
      </c>
      <c r="E288" s="37">
        <v>42077</v>
      </c>
      <c r="F288" s="40" t="s">
        <v>1696</v>
      </c>
      <c r="G288" s="479" t="s">
        <v>527</v>
      </c>
      <c r="H288" s="45" t="s">
        <v>528</v>
      </c>
      <c r="I288" s="255">
        <v>20</v>
      </c>
      <c r="J288" s="255">
        <v>15312</v>
      </c>
      <c r="K288" s="593">
        <f>ROUND(I288*J288,0)</f>
        <v>306240</v>
      </c>
      <c r="L288" s="594" t="s">
        <v>259</v>
      </c>
      <c r="M288" s="594" t="s">
        <v>174</v>
      </c>
      <c r="N288" s="52" t="str">
        <f>IF(AND('331-CT'!$E$7=TH!H288,OR(L288="331",M288="331")),"331",IF(AND(OR(L288="131",M288="131"),H288='131-CT'!$E$7),"131",""))</f>
        <v/>
      </c>
      <c r="O288" s="86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99"/>
    </row>
    <row r="289" spans="1:27" s="210" customFormat="1" ht="15.75" customHeight="1">
      <c r="A289" s="203" t="str">
        <f>IF(B289&lt;&gt;"",IF(AND(B289&gt;=_TM1,B289&lt;=_TM2,OR(TH!L289="1111",TH!M289="1111")),TH!D289,""),"")</f>
        <v/>
      </c>
      <c r="B289" s="36">
        <f>IF(C289&lt;&gt;"",MONTH(C289),"")</f>
        <v>3</v>
      </c>
      <c r="C289" s="183">
        <f>E289</f>
        <v>42077</v>
      </c>
      <c r="D289" s="183" t="s">
        <v>1552</v>
      </c>
      <c r="E289" s="37">
        <v>42077</v>
      </c>
      <c r="F289" s="40" t="s">
        <v>465</v>
      </c>
      <c r="G289" s="479" t="s">
        <v>527</v>
      </c>
      <c r="H289" s="45" t="s">
        <v>528</v>
      </c>
      <c r="I289" s="255"/>
      <c r="J289" s="255"/>
      <c r="K289" s="38">
        <v>809094</v>
      </c>
      <c r="L289" s="594" t="s">
        <v>259</v>
      </c>
      <c r="M289" s="594" t="s">
        <v>371</v>
      </c>
      <c r="N289" s="52" t="str">
        <f>IF(AND('331-CT'!$E$7=TH!H289,OR(L289="331",M289="331")),"331",IF(AND(OR(L289="131",M289="131"),H289='131-CT'!$E$7),"131",""))</f>
        <v/>
      </c>
      <c r="O289" s="86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99"/>
    </row>
    <row r="290" spans="1:27" s="210" customFormat="1" ht="15.75" customHeight="1">
      <c r="A290" s="203" t="str">
        <f>IF(B290&lt;&gt;"",IF(AND(B290&gt;=_TM1,B290&lt;=_TM2,OR(TH!L290="1111",TH!M290="1111")),TH!D290,""),"")</f>
        <v/>
      </c>
      <c r="B290" s="36">
        <f>IF(C290&lt;&gt;"",MONTH(C290),"")</f>
        <v>3</v>
      </c>
      <c r="C290" s="183">
        <f>E290</f>
        <v>42077</v>
      </c>
      <c r="D290" s="37" t="s">
        <v>1963</v>
      </c>
      <c r="E290" s="727">
        <v>42077</v>
      </c>
      <c r="F290" s="188" t="s">
        <v>337</v>
      </c>
      <c r="G290" s="482" t="s">
        <v>1375</v>
      </c>
      <c r="H290" s="7" t="s">
        <v>357</v>
      </c>
      <c r="I290" s="255">
        <v>24</v>
      </c>
      <c r="J290" s="255">
        <v>43000</v>
      </c>
      <c r="K290" s="593">
        <f>ROUND(I290*J290,0)</f>
        <v>1032000</v>
      </c>
      <c r="L290" s="193" t="s">
        <v>161</v>
      </c>
      <c r="M290" s="193" t="s">
        <v>8</v>
      </c>
      <c r="N290" s="52" t="str">
        <f>IF(AND('331-CT'!$E$7=TH!H290,OR(L290="331",M290="331")),"331",IF(AND(OR(L290="131",M290="131"),H290='131-CT'!$E$7),"131",""))</f>
        <v/>
      </c>
      <c r="O290" s="86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99"/>
    </row>
    <row r="291" spans="1:27" s="210" customFormat="1" ht="15.75" customHeight="1">
      <c r="A291" s="203" t="str">
        <f>IF(B291&lt;&gt;"",IF(AND(B291&gt;=_TM1,B291&lt;=_TM2,OR(TH!L291="1111",TH!M291="1111")),TH!D291,""),"")</f>
        <v/>
      </c>
      <c r="B291" s="36">
        <f>IF(C291&lt;&gt;"",MONTH(C291),"")</f>
        <v>3</v>
      </c>
      <c r="C291" s="183">
        <f>E291</f>
        <v>42077</v>
      </c>
      <c r="D291" s="37" t="s">
        <v>1963</v>
      </c>
      <c r="E291" s="727">
        <v>42077</v>
      </c>
      <c r="F291" s="188" t="s">
        <v>1366</v>
      </c>
      <c r="G291" s="482" t="s">
        <v>1375</v>
      </c>
      <c r="H291" s="7" t="s">
        <v>357</v>
      </c>
      <c r="I291" s="255"/>
      <c r="J291" s="255"/>
      <c r="K291" s="593">
        <v>103200</v>
      </c>
      <c r="L291" s="193" t="s">
        <v>9</v>
      </c>
      <c r="M291" s="193" t="s">
        <v>8</v>
      </c>
      <c r="N291" s="52" t="str">
        <f>IF(AND('331-CT'!$E$7=TH!H291,OR(L291="331",M291="331")),"331",IF(AND(OR(L291="131",M291="131"),H291='131-CT'!$E$7),"131",""))</f>
        <v/>
      </c>
      <c r="O291" s="86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99"/>
    </row>
    <row r="292" spans="1:27" s="210" customFormat="1" ht="15.75" customHeight="1">
      <c r="A292" s="203" t="str">
        <f>IF(B292&lt;&gt;"",IF(AND(B292&gt;=_TM1,B292&lt;=_TM2,OR(TH!L292="1111",TH!M292="1111")),TH!D292,""),"")</f>
        <v/>
      </c>
      <c r="B292" s="36">
        <f>IF(C292&lt;&gt;"",MONTH(C292),"")</f>
        <v>3</v>
      </c>
      <c r="C292" s="183">
        <f>E292</f>
        <v>42077</v>
      </c>
      <c r="D292" s="37" t="s">
        <v>1963</v>
      </c>
      <c r="E292" s="727">
        <v>42077</v>
      </c>
      <c r="F292" s="296" t="s">
        <v>1326</v>
      </c>
      <c r="G292" s="482" t="s">
        <v>1375</v>
      </c>
      <c r="H292" s="7" t="s">
        <v>357</v>
      </c>
      <c r="I292" s="255"/>
      <c r="J292" s="255"/>
      <c r="K292" s="593">
        <v>1135200</v>
      </c>
      <c r="L292" s="193" t="s">
        <v>8</v>
      </c>
      <c r="M292" s="193" t="s">
        <v>47</v>
      </c>
      <c r="N292" s="52" t="str">
        <f>IF(AND('331-CT'!$E$7=TH!H292,OR(L292="331",M292="331")),"331",IF(AND(OR(L292="131",M292="131"),H292='131-CT'!$E$7),"131",""))</f>
        <v/>
      </c>
      <c r="O292" s="86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>x</v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99"/>
    </row>
    <row r="293" spans="1:27" s="210" customFormat="1" ht="15.75" customHeight="1">
      <c r="A293" s="203" t="str">
        <f>IF(B293&lt;&gt;"",IF(AND(B293&gt;=_TM1,B293&lt;=_TM2,OR(TH!L293="1111",TH!M293="1111")),TH!D293,""),"")</f>
        <v/>
      </c>
      <c r="B293" s="36">
        <f>IF(C293&lt;&gt;"",MONTH(C293),"")</f>
        <v>3</v>
      </c>
      <c r="C293" s="183">
        <f>E293</f>
        <v>42079</v>
      </c>
      <c r="D293" s="183" t="s">
        <v>1553</v>
      </c>
      <c r="E293" s="37">
        <v>42079</v>
      </c>
      <c r="F293" s="40" t="s">
        <v>529</v>
      </c>
      <c r="G293" s="479" t="s">
        <v>530</v>
      </c>
      <c r="H293" s="45" t="s">
        <v>416</v>
      </c>
      <c r="I293" s="256">
        <v>236</v>
      </c>
      <c r="J293" s="255">
        <v>7816</v>
      </c>
      <c r="K293" s="593">
        <f>ROUND(I293*J293,0)</f>
        <v>1844576</v>
      </c>
      <c r="L293" s="594" t="s">
        <v>259</v>
      </c>
      <c r="M293" s="594" t="s">
        <v>174</v>
      </c>
      <c r="N293" s="52" t="str">
        <f>IF(AND('331-CT'!$E$7=TH!H293,OR(L293="331",M293="331")),"331",IF(AND(OR(L293="131",M293="131"),H293='131-CT'!$E$7),"131",""))</f>
        <v/>
      </c>
      <c r="O293" s="86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99"/>
    </row>
    <row r="294" spans="1:27" s="210" customFormat="1" ht="15.75" customHeight="1">
      <c r="A294" s="203" t="str">
        <f>IF(B294&lt;&gt;"",IF(AND(B294&gt;=_TM1,B294&lt;=_TM2,OR(TH!L294="1111",TH!M294="1111")),TH!D294,""),"")</f>
        <v/>
      </c>
      <c r="B294" s="36">
        <f>IF(C294&lt;&gt;"",MONTH(C294),"")</f>
        <v>3</v>
      </c>
      <c r="C294" s="183">
        <f>E294</f>
        <v>42079</v>
      </c>
      <c r="D294" s="183" t="s">
        <v>1553</v>
      </c>
      <c r="E294" s="183">
        <v>42079</v>
      </c>
      <c r="F294" s="188" t="s">
        <v>531</v>
      </c>
      <c r="G294" s="595" t="s">
        <v>530</v>
      </c>
      <c r="H294" s="7" t="s">
        <v>416</v>
      </c>
      <c r="I294" s="255">
        <v>8</v>
      </c>
      <c r="J294" s="255">
        <v>17717</v>
      </c>
      <c r="K294" s="593">
        <f>ROUND(I294*J294,0)</f>
        <v>141736</v>
      </c>
      <c r="L294" s="594" t="s">
        <v>259</v>
      </c>
      <c r="M294" s="594" t="s">
        <v>174</v>
      </c>
      <c r="N294" s="52" t="str">
        <f>IF(AND('331-CT'!$E$7=TH!H294,OR(L294="331",M294="331")),"331",IF(AND(OR(L294="131",M294="131"),H294='131-CT'!$E$7),"131",""))</f>
        <v/>
      </c>
      <c r="O294" s="86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99"/>
    </row>
    <row r="295" spans="1:27" s="210" customFormat="1" ht="15.75" customHeight="1">
      <c r="A295" s="203" t="str">
        <f>IF(B295&lt;&gt;"",IF(AND(B295&gt;=_TM1,B295&lt;=_TM2,OR(TH!L295="1111",TH!M295="1111")),TH!D295,""),"")</f>
        <v/>
      </c>
      <c r="B295" s="36">
        <f>IF(C295&lt;&gt;"",MONTH(C295),"")</f>
        <v>3</v>
      </c>
      <c r="C295" s="183">
        <f>E295</f>
        <v>42079</v>
      </c>
      <c r="D295" s="183" t="s">
        <v>1553</v>
      </c>
      <c r="E295" s="183">
        <v>42079</v>
      </c>
      <c r="F295" s="188" t="s">
        <v>532</v>
      </c>
      <c r="G295" s="482" t="s">
        <v>530</v>
      </c>
      <c r="H295" s="7" t="s">
        <v>416</v>
      </c>
      <c r="I295" s="255">
        <v>21</v>
      </c>
      <c r="J295" s="255">
        <v>19697</v>
      </c>
      <c r="K295" s="593">
        <f>ROUND(I295*J295,0)</f>
        <v>413637</v>
      </c>
      <c r="L295" s="594" t="s">
        <v>259</v>
      </c>
      <c r="M295" s="594" t="s">
        <v>174</v>
      </c>
      <c r="N295" s="52" t="str">
        <f>IF(AND('331-CT'!$E$7=TH!H295,OR(L295="331",M295="331")),"331",IF(AND(OR(L295="131",M295="131"),H295='131-CT'!$E$7),"131",""))</f>
        <v/>
      </c>
      <c r="O295" s="86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99"/>
    </row>
    <row r="296" spans="1:27" s="210" customFormat="1" ht="15.75" customHeight="1">
      <c r="A296" s="203" t="str">
        <f>IF(B296&lt;&gt;"",IF(AND(B296&gt;=_TM1,B296&lt;=_TM2,OR(TH!L296="1111",TH!M296="1111")),TH!D296,""),"")</f>
        <v/>
      </c>
      <c r="B296" s="36">
        <f>IF(C296&lt;&gt;"",MONTH(C296),"")</f>
        <v>3</v>
      </c>
      <c r="C296" s="183">
        <f>E296</f>
        <v>42079</v>
      </c>
      <c r="D296" s="183" t="s">
        <v>1553</v>
      </c>
      <c r="E296" s="183">
        <v>42079</v>
      </c>
      <c r="F296" s="188" t="s">
        <v>533</v>
      </c>
      <c r="G296" s="482" t="s">
        <v>530</v>
      </c>
      <c r="H296" s="7" t="s">
        <v>416</v>
      </c>
      <c r="I296" s="255">
        <v>10</v>
      </c>
      <c r="J296" s="255">
        <v>9780</v>
      </c>
      <c r="K296" s="593">
        <f>ROUND(I296*J296,0)</f>
        <v>97800</v>
      </c>
      <c r="L296" s="594" t="s">
        <v>259</v>
      </c>
      <c r="M296" s="594" t="s">
        <v>174</v>
      </c>
      <c r="N296" s="52" t="str">
        <f>IF(AND('331-CT'!$E$7=TH!H296,OR(L296="331",M296="331")),"331",IF(AND(OR(L296="131",M296="131"),H296='131-CT'!$E$7),"131",""))</f>
        <v/>
      </c>
      <c r="O296" s="86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99"/>
    </row>
    <row r="297" spans="1:27" s="210" customFormat="1" ht="15.75" customHeight="1">
      <c r="A297" s="203" t="str">
        <f>IF(B297&lt;&gt;"",IF(AND(B297&gt;=_TM1,B297&lt;=_TM2,OR(TH!L297="1111",TH!M297="1111")),TH!D297,""),"")</f>
        <v/>
      </c>
      <c r="B297" s="36">
        <f>IF(C297&lt;&gt;"",MONTH(C297),"")</f>
        <v>3</v>
      </c>
      <c r="C297" s="183">
        <f>E297</f>
        <v>42079</v>
      </c>
      <c r="D297" s="183" t="s">
        <v>1553</v>
      </c>
      <c r="E297" s="183">
        <v>42079</v>
      </c>
      <c r="F297" s="188" t="s">
        <v>534</v>
      </c>
      <c r="G297" s="595" t="s">
        <v>530</v>
      </c>
      <c r="H297" s="7" t="s">
        <v>416</v>
      </c>
      <c r="I297" s="255">
        <v>28</v>
      </c>
      <c r="J297" s="255">
        <v>17070</v>
      </c>
      <c r="K297" s="593">
        <f>ROUND(I297*J297,0)</f>
        <v>477960</v>
      </c>
      <c r="L297" s="594" t="s">
        <v>259</v>
      </c>
      <c r="M297" s="594" t="s">
        <v>174</v>
      </c>
      <c r="N297" s="52" t="str">
        <f>IF(AND('331-CT'!$E$7=TH!H297,OR(L297="331",M297="331")),"331",IF(AND(OR(L297="131",M297="131"),H297='131-CT'!$E$7),"131",""))</f>
        <v/>
      </c>
      <c r="O297" s="86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99"/>
    </row>
    <row r="298" spans="1:27" s="210" customFormat="1" ht="15.75" customHeight="1">
      <c r="A298" s="203" t="str">
        <f>IF(B298&lt;&gt;"",IF(AND(B298&gt;=_TM1,B298&lt;=_TM2,OR(TH!L298="1111",TH!M298="1111")),TH!D298,""),"")</f>
        <v/>
      </c>
      <c r="B298" s="36">
        <f>IF(C298&lt;&gt;"",MONTH(C298),"")</f>
        <v>3</v>
      </c>
      <c r="C298" s="183">
        <f>E298</f>
        <v>42079</v>
      </c>
      <c r="D298" s="183" t="s">
        <v>1553</v>
      </c>
      <c r="E298" s="183">
        <v>42079</v>
      </c>
      <c r="F298" s="188" t="s">
        <v>1662</v>
      </c>
      <c r="G298" s="595" t="s">
        <v>530</v>
      </c>
      <c r="H298" s="7" t="s">
        <v>416</v>
      </c>
      <c r="I298" s="255">
        <v>500</v>
      </c>
      <c r="J298" s="255">
        <v>400</v>
      </c>
      <c r="K298" s="593">
        <f>ROUND(I298*J298,0)</f>
        <v>200000</v>
      </c>
      <c r="L298" s="594" t="s">
        <v>259</v>
      </c>
      <c r="M298" s="594" t="s">
        <v>174</v>
      </c>
      <c r="N298" s="52" t="str">
        <f>IF(AND('331-CT'!$E$7=TH!H298,OR(L298="331",M298="331")),"331",IF(AND(OR(L298="131",M298="131"),H298='131-CT'!$E$7),"131",""))</f>
        <v/>
      </c>
      <c r="O298" s="86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99"/>
    </row>
    <row r="299" spans="1:27" s="210" customFormat="1" ht="15.75" customHeight="1">
      <c r="A299" s="203" t="str">
        <f>IF(B299&lt;&gt;"",IF(AND(B299&gt;=_TM1,B299&lt;=_TM2,OR(TH!L299="1111",TH!M299="1111")),TH!D299,""),"")</f>
        <v/>
      </c>
      <c r="B299" s="36">
        <f>IF(C299&lt;&gt;"",MONTH(C299),"")</f>
        <v>3</v>
      </c>
      <c r="C299" s="183">
        <f>E299</f>
        <v>42079</v>
      </c>
      <c r="D299" s="183" t="s">
        <v>1553</v>
      </c>
      <c r="E299" s="183">
        <v>42079</v>
      </c>
      <c r="F299" s="188" t="s">
        <v>402</v>
      </c>
      <c r="G299" s="595" t="s">
        <v>530</v>
      </c>
      <c r="H299" s="7" t="s">
        <v>416</v>
      </c>
      <c r="I299" s="255"/>
      <c r="J299" s="255"/>
      <c r="K299" s="593">
        <v>317571</v>
      </c>
      <c r="L299" s="594" t="s">
        <v>259</v>
      </c>
      <c r="M299" s="594" t="s">
        <v>371</v>
      </c>
      <c r="N299" s="52" t="str">
        <f>IF(AND('331-CT'!$E$7=TH!H299,OR(L299="331",M299="331")),"331",IF(AND(OR(L299="131",M299="131"),H299='131-CT'!$E$7),"131",""))</f>
        <v/>
      </c>
      <c r="O299" s="86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99"/>
    </row>
    <row r="300" spans="1:27" s="210" customFormat="1" ht="15.75" customHeight="1">
      <c r="A300" s="203" t="str">
        <f>IF(B300&lt;&gt;"",IF(AND(B300&gt;=_TM1,B300&lt;=_TM2,OR(TH!L300="1111",TH!M300="1111")),TH!D300,""),"")</f>
        <v/>
      </c>
      <c r="B300" s="36">
        <f>IF(C300&lt;&gt;"",MONTH(C300),"")</f>
        <v>3</v>
      </c>
      <c r="C300" s="183">
        <f>E300</f>
        <v>42079</v>
      </c>
      <c r="D300" s="190" t="s">
        <v>1319</v>
      </c>
      <c r="E300" s="37">
        <v>42079</v>
      </c>
      <c r="F300" s="191" t="s">
        <v>1320</v>
      </c>
      <c r="G300" s="482" t="s">
        <v>332</v>
      </c>
      <c r="H300" s="7" t="s">
        <v>435</v>
      </c>
      <c r="I300" s="255"/>
      <c r="J300" s="255"/>
      <c r="K300" s="593">
        <v>9664600</v>
      </c>
      <c r="L300" s="193" t="s">
        <v>24</v>
      </c>
      <c r="M300" s="193" t="s">
        <v>259</v>
      </c>
      <c r="N300" s="52" t="str">
        <f>IF(AND('331-CT'!$E$7=TH!H300,OR(L300="331",M300="331")),"331",IF(AND(OR(L300="131",M300="131"),H300='131-CT'!$E$7),"131",""))</f>
        <v/>
      </c>
      <c r="O300" s="86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>x</v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99"/>
    </row>
    <row r="301" spans="1:27" s="210" customFormat="1" ht="15.75" customHeight="1">
      <c r="A301" s="203" t="str">
        <f>IF(B301&lt;&gt;"",IF(AND(B301&gt;=_TM1,B301&lt;=_TM2,OR(TH!L301="1111",TH!M301="1111")),TH!D301,""),"")</f>
        <v/>
      </c>
      <c r="B301" s="36">
        <f>IF(C301&lt;&gt;"",MONTH(C301),"")</f>
        <v>3</v>
      </c>
      <c r="C301" s="183">
        <f>E301</f>
        <v>42080</v>
      </c>
      <c r="D301" s="183" t="s">
        <v>1554</v>
      </c>
      <c r="E301" s="183">
        <v>42080</v>
      </c>
      <c r="F301" s="188" t="s">
        <v>398</v>
      </c>
      <c r="G301" s="595" t="s">
        <v>535</v>
      </c>
      <c r="H301" s="7" t="s">
        <v>400</v>
      </c>
      <c r="I301" s="255">
        <v>903</v>
      </c>
      <c r="J301" s="255">
        <v>5150</v>
      </c>
      <c r="K301" s="593">
        <f>ROUND(I301*J301,0)</f>
        <v>4650450</v>
      </c>
      <c r="L301" s="594" t="s">
        <v>259</v>
      </c>
      <c r="M301" s="594" t="s">
        <v>174</v>
      </c>
      <c r="N301" s="52" t="str">
        <f>IF(AND('331-CT'!$E$7=TH!H301,OR(L301="331",M301="331")),"331",IF(AND(OR(L301="131",M301="131"),H301='131-CT'!$E$7),"131",""))</f>
        <v/>
      </c>
      <c r="O301" s="86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99"/>
    </row>
    <row r="302" spans="1:27" s="210" customFormat="1" ht="15.75" customHeight="1">
      <c r="A302" s="203" t="str">
        <f>IF(B302&lt;&gt;"",IF(AND(B302&gt;=_TM1,B302&lt;=_TM2,OR(TH!L302="1111",TH!M302="1111")),TH!D302,""),"")</f>
        <v/>
      </c>
      <c r="B302" s="36">
        <f>IF(C302&lt;&gt;"",MONTH(C302),"")</f>
        <v>3</v>
      </c>
      <c r="C302" s="183">
        <f>E302</f>
        <v>42080</v>
      </c>
      <c r="D302" s="183" t="s">
        <v>1554</v>
      </c>
      <c r="E302" s="183">
        <v>42080</v>
      </c>
      <c r="F302" s="188" t="s">
        <v>446</v>
      </c>
      <c r="G302" s="595" t="s">
        <v>535</v>
      </c>
      <c r="H302" s="7" t="s">
        <v>400</v>
      </c>
      <c r="I302" s="255">
        <v>289</v>
      </c>
      <c r="J302" s="255">
        <v>5700</v>
      </c>
      <c r="K302" s="593">
        <f>ROUND(I302*J302,0)</f>
        <v>1647300</v>
      </c>
      <c r="L302" s="594" t="s">
        <v>259</v>
      </c>
      <c r="M302" s="594" t="s">
        <v>174</v>
      </c>
      <c r="N302" s="52" t="str">
        <f>IF(AND('331-CT'!$E$7=TH!H302,OR(L302="331",M302="331")),"331",IF(AND(OR(L302="131",M302="131"),H302='131-CT'!$E$7),"131",""))</f>
        <v/>
      </c>
      <c r="O302" s="86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99"/>
    </row>
    <row r="303" spans="1:27" s="210" customFormat="1" ht="15.75" customHeight="1">
      <c r="A303" s="203" t="str">
        <f>IF(B303&lt;&gt;"",IF(AND(B303&gt;=_TM1,B303&lt;=_TM2,OR(TH!L303="1111",TH!M303="1111")),TH!D303,""),"")</f>
        <v/>
      </c>
      <c r="B303" s="36">
        <f>IF(C303&lt;&gt;"",MONTH(C303),"")</f>
        <v>3</v>
      </c>
      <c r="C303" s="183">
        <f>E303</f>
        <v>42080</v>
      </c>
      <c r="D303" s="183" t="s">
        <v>1554</v>
      </c>
      <c r="E303" s="183">
        <v>42080</v>
      </c>
      <c r="F303" s="188" t="s">
        <v>536</v>
      </c>
      <c r="G303" s="482" t="s">
        <v>535</v>
      </c>
      <c r="H303" s="7" t="s">
        <v>400</v>
      </c>
      <c r="I303" s="255">
        <v>300</v>
      </c>
      <c r="J303" s="255">
        <v>10670</v>
      </c>
      <c r="K303" s="593">
        <f>ROUND(I303*J303,0)</f>
        <v>3201000</v>
      </c>
      <c r="L303" s="594" t="s">
        <v>259</v>
      </c>
      <c r="M303" s="594" t="s">
        <v>174</v>
      </c>
      <c r="N303" s="52" t="str">
        <f>IF(AND('331-CT'!$E$7=TH!H303,OR(L303="331",M303="331")),"331",IF(AND(OR(L303="131",M303="131"),H303='131-CT'!$E$7),"131",""))</f>
        <v/>
      </c>
      <c r="O303" s="86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99"/>
    </row>
    <row r="304" spans="1:27" s="210" customFormat="1" ht="15.75" customHeight="1">
      <c r="A304" s="203" t="str">
        <f>IF(B304&lt;&gt;"",IF(AND(B304&gt;=_TM1,B304&lt;=_TM2,OR(TH!L304="1111",TH!M304="1111")),TH!D304,""),"")</f>
        <v/>
      </c>
      <c r="B304" s="36">
        <f>IF(C304&lt;&gt;"",MONTH(C304),"")</f>
        <v>3</v>
      </c>
      <c r="C304" s="183">
        <f>E304</f>
        <v>42080</v>
      </c>
      <c r="D304" s="183" t="s">
        <v>1554</v>
      </c>
      <c r="E304" s="183">
        <v>42080</v>
      </c>
      <c r="F304" s="188" t="s">
        <v>501</v>
      </c>
      <c r="G304" s="595" t="s">
        <v>535</v>
      </c>
      <c r="H304" s="44" t="s">
        <v>400</v>
      </c>
      <c r="I304" s="255">
        <v>300</v>
      </c>
      <c r="J304" s="255">
        <v>9900</v>
      </c>
      <c r="K304" s="593">
        <f>ROUND(I304*J304,0)</f>
        <v>2970000</v>
      </c>
      <c r="L304" s="594" t="s">
        <v>259</v>
      </c>
      <c r="M304" s="594" t="s">
        <v>174</v>
      </c>
      <c r="N304" s="52" t="str">
        <f>IF(AND('331-CT'!$E$7=TH!H304,OR(L304="331",M304="331")),"331",IF(AND(OR(L304="131",M304="131"),H304='131-CT'!$E$7),"131",""))</f>
        <v/>
      </c>
      <c r="O304" s="86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99"/>
    </row>
    <row r="305" spans="1:27" s="210" customFormat="1" ht="15.75" customHeight="1">
      <c r="A305" s="203" t="str">
        <f>IF(B305&lt;&gt;"",IF(AND(B305&gt;=_TM1,B305&lt;=_TM2,OR(TH!L305="1111",TH!M305="1111")),TH!D305,""),"")</f>
        <v/>
      </c>
      <c r="B305" s="36">
        <f>IF(C305&lt;&gt;"",MONTH(C305),"")</f>
        <v>3</v>
      </c>
      <c r="C305" s="183">
        <f>E305</f>
        <v>42080</v>
      </c>
      <c r="D305" s="183" t="s">
        <v>1554</v>
      </c>
      <c r="E305" s="37">
        <v>42080</v>
      </c>
      <c r="F305" s="188" t="s">
        <v>402</v>
      </c>
      <c r="G305" s="481" t="s">
        <v>535</v>
      </c>
      <c r="H305" s="7" t="s">
        <v>400</v>
      </c>
      <c r="I305" s="255"/>
      <c r="J305" s="257"/>
      <c r="K305" s="593">
        <v>1246875</v>
      </c>
      <c r="L305" s="594" t="s">
        <v>259</v>
      </c>
      <c r="M305" s="594" t="s">
        <v>371</v>
      </c>
      <c r="N305" s="52" t="str">
        <f>IF(AND('331-CT'!$E$7=TH!H305,OR(L305="331",M305="331")),"331",IF(AND(OR(L305="131",M305="131"),H305='131-CT'!$E$7),"131",""))</f>
        <v/>
      </c>
      <c r="O305" s="86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99"/>
    </row>
    <row r="306" spans="1:27" s="210" customFormat="1" ht="15.75" customHeight="1">
      <c r="A306" s="203" t="str">
        <f>IF(B306&lt;&gt;"",IF(AND(B306&gt;=_TM1,B306&lt;=_TM2,OR(TH!L306="1111",TH!M306="1111")),TH!D306,""),"")</f>
        <v/>
      </c>
      <c r="B306" s="36">
        <f>IF(C306&lt;&gt;"",MONTH(C306),"")</f>
        <v>3</v>
      </c>
      <c r="C306" s="183">
        <f>E306</f>
        <v>42080</v>
      </c>
      <c r="D306" s="183" t="s">
        <v>1555</v>
      </c>
      <c r="E306" s="37">
        <v>42080</v>
      </c>
      <c r="F306" s="188" t="s">
        <v>451</v>
      </c>
      <c r="G306" s="481" t="s">
        <v>537</v>
      </c>
      <c r="H306" s="7" t="s">
        <v>453</v>
      </c>
      <c r="I306" s="255">
        <v>604</v>
      </c>
      <c r="J306" s="255">
        <v>12900</v>
      </c>
      <c r="K306" s="593">
        <f>ROUND(I306*J306,0)</f>
        <v>7791600</v>
      </c>
      <c r="L306" s="594" t="s">
        <v>259</v>
      </c>
      <c r="M306" s="594" t="s">
        <v>174</v>
      </c>
      <c r="N306" s="52" t="str">
        <f>IF(AND('331-CT'!$E$7=TH!H306,OR(L306="331",M306="331")),"331",IF(AND(OR(L306="131",M306="131"),H306='131-CT'!$E$7),"131",""))</f>
        <v/>
      </c>
      <c r="O306" s="86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99"/>
    </row>
    <row r="307" spans="1:27" s="210" customFormat="1" ht="15.75" customHeight="1">
      <c r="A307" s="203" t="str">
        <f>IF(B307&lt;&gt;"",IF(AND(B307&gt;=_TM1,B307&lt;=_TM2,OR(TH!L307="1111",TH!M307="1111")),TH!D307,""),"")</f>
        <v/>
      </c>
      <c r="B307" s="36">
        <f>IF(C307&lt;&gt;"",MONTH(C307),"")</f>
        <v>3</v>
      </c>
      <c r="C307" s="183">
        <f>E307</f>
        <v>42080</v>
      </c>
      <c r="D307" s="183" t="s">
        <v>1555</v>
      </c>
      <c r="E307" s="37">
        <v>42080</v>
      </c>
      <c r="F307" s="188" t="s">
        <v>538</v>
      </c>
      <c r="G307" s="481" t="s">
        <v>537</v>
      </c>
      <c r="H307" s="7" t="s">
        <v>453</v>
      </c>
      <c r="I307" s="255">
        <v>206</v>
      </c>
      <c r="J307" s="255">
        <v>9300</v>
      </c>
      <c r="K307" s="593">
        <f>ROUND(I307*J307,0)</f>
        <v>1915800</v>
      </c>
      <c r="L307" s="594" t="s">
        <v>259</v>
      </c>
      <c r="M307" s="594" t="s">
        <v>174</v>
      </c>
      <c r="N307" s="52" t="str">
        <f>IF(AND('331-CT'!$E$7=TH!H307,OR(L307="331",M307="331")),"331",IF(AND(OR(L307="131",M307="131"),H307='131-CT'!$E$7),"131",""))</f>
        <v/>
      </c>
      <c r="O307" s="86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99"/>
    </row>
    <row r="308" spans="1:27" s="210" customFormat="1" ht="15.75" customHeight="1">
      <c r="A308" s="203" t="str">
        <f>IF(B308&lt;&gt;"",IF(AND(B308&gt;=_TM1,B308&lt;=_TM2,OR(TH!L308="1111",TH!M308="1111")),TH!D308,""),"")</f>
        <v/>
      </c>
      <c r="B308" s="36">
        <f>IF(C308&lt;&gt;"",MONTH(C308),"")</f>
        <v>3</v>
      </c>
      <c r="C308" s="183">
        <f>E308</f>
        <v>42080</v>
      </c>
      <c r="D308" s="183" t="s">
        <v>1555</v>
      </c>
      <c r="E308" s="37">
        <v>42080</v>
      </c>
      <c r="F308" s="188" t="s">
        <v>539</v>
      </c>
      <c r="G308" s="481" t="s">
        <v>537</v>
      </c>
      <c r="H308" s="7" t="s">
        <v>453</v>
      </c>
      <c r="I308" s="255">
        <v>205</v>
      </c>
      <c r="J308" s="255">
        <v>9400</v>
      </c>
      <c r="K308" s="593">
        <f>ROUND(I308*J308,0)</f>
        <v>1927000</v>
      </c>
      <c r="L308" s="594" t="s">
        <v>259</v>
      </c>
      <c r="M308" s="594" t="s">
        <v>174</v>
      </c>
      <c r="N308" s="52" t="str">
        <f>IF(AND('331-CT'!$E$7=TH!H308,OR(L308="331",M308="331")),"331",IF(AND(OR(L308="131",M308="131"),H308='131-CT'!$E$7),"131",""))</f>
        <v/>
      </c>
      <c r="O308" s="86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99"/>
    </row>
    <row r="309" spans="1:27" s="210" customFormat="1" ht="15.75" customHeight="1">
      <c r="A309" s="203" t="str">
        <f>IF(B309&lt;&gt;"",IF(AND(B309&gt;=_TM1,B309&lt;=_TM2,OR(TH!L309="1111",TH!M309="1111")),TH!D309,""),"")</f>
        <v/>
      </c>
      <c r="B309" s="36">
        <f>IF(C309&lt;&gt;"",MONTH(C309),"")</f>
        <v>3</v>
      </c>
      <c r="C309" s="183">
        <f>E309</f>
        <v>42080</v>
      </c>
      <c r="D309" s="183" t="s">
        <v>1555</v>
      </c>
      <c r="E309" s="37">
        <v>42080</v>
      </c>
      <c r="F309" s="188" t="s">
        <v>540</v>
      </c>
      <c r="G309" s="481" t="s">
        <v>537</v>
      </c>
      <c r="H309" s="7" t="s">
        <v>453</v>
      </c>
      <c r="I309" s="255">
        <v>306</v>
      </c>
      <c r="J309" s="255">
        <v>8600</v>
      </c>
      <c r="K309" s="593">
        <f>ROUND(I309*J309,0)</f>
        <v>2631600</v>
      </c>
      <c r="L309" s="594" t="s">
        <v>259</v>
      </c>
      <c r="M309" s="594" t="s">
        <v>174</v>
      </c>
      <c r="N309" s="52" t="str">
        <f>IF(AND('331-CT'!$E$7=TH!H309,OR(L309="331",M309="331")),"331",IF(AND(OR(L309="131",M309="131"),H309='131-CT'!$E$7),"131",""))</f>
        <v/>
      </c>
      <c r="O309" s="86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99"/>
    </row>
    <row r="310" spans="1:27" s="210" customFormat="1" ht="15.75" customHeight="1">
      <c r="A310" s="203" t="str">
        <f>IF(B310&lt;&gt;"",IF(AND(B310&gt;=_TM1,B310&lt;=_TM2,OR(TH!L310="1111",TH!M310="1111")),TH!D310,""),"")</f>
        <v/>
      </c>
      <c r="B310" s="36">
        <f>IF(C310&lt;&gt;"",MONTH(C310),"")</f>
        <v>3</v>
      </c>
      <c r="C310" s="183">
        <f>E310</f>
        <v>42080</v>
      </c>
      <c r="D310" s="183" t="s">
        <v>1555</v>
      </c>
      <c r="E310" s="37">
        <v>42080</v>
      </c>
      <c r="F310" s="188" t="s">
        <v>402</v>
      </c>
      <c r="G310" s="481" t="s">
        <v>537</v>
      </c>
      <c r="H310" s="7" t="s">
        <v>453</v>
      </c>
      <c r="I310" s="255"/>
      <c r="J310" s="255"/>
      <c r="K310" s="593">
        <v>1426600</v>
      </c>
      <c r="L310" s="594" t="s">
        <v>259</v>
      </c>
      <c r="M310" s="594" t="s">
        <v>371</v>
      </c>
      <c r="N310" s="52" t="str">
        <f>IF(AND('331-CT'!$E$7=TH!H310,OR(L310="331",M310="331")),"331",IF(AND(OR(L310="131",M310="131"),H310='131-CT'!$E$7),"131",""))</f>
        <v/>
      </c>
      <c r="O310" s="86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99"/>
    </row>
    <row r="311" spans="1:27" s="210" customFormat="1" ht="15.75" customHeight="1">
      <c r="A311" s="203" t="str">
        <f>IF(B311&lt;&gt;"",IF(AND(B311&gt;=_TM1,B311&lt;=_TM2,OR(TH!L311="1111",TH!M311="1111")),TH!D311,""),"")</f>
        <v/>
      </c>
      <c r="B311" s="36">
        <f>IF(C311&lt;&gt;"",MONTH(C311),"")</f>
        <v>3</v>
      </c>
      <c r="C311" s="183">
        <f>E311</f>
        <v>42080</v>
      </c>
      <c r="D311" s="190" t="s">
        <v>1319</v>
      </c>
      <c r="E311" s="37">
        <v>42080</v>
      </c>
      <c r="F311" s="191" t="s">
        <v>1320</v>
      </c>
      <c r="G311" s="482" t="s">
        <v>332</v>
      </c>
      <c r="H311" s="7" t="s">
        <v>473</v>
      </c>
      <c r="I311" s="255"/>
      <c r="J311" s="255"/>
      <c r="K311" s="593">
        <v>1859000</v>
      </c>
      <c r="L311" s="193" t="s">
        <v>24</v>
      </c>
      <c r="M311" s="193" t="s">
        <v>259</v>
      </c>
      <c r="N311" s="52" t="str">
        <f>IF(AND('331-CT'!$E$7=TH!H311,OR(L311="331",M311="331")),"331",IF(AND(OR(L311="131",M311="131"),H311='131-CT'!$E$7),"131",""))</f>
        <v/>
      </c>
      <c r="O311" s="86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>x</v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99"/>
    </row>
    <row r="312" spans="1:27" s="210" customFormat="1" ht="15.75" customHeight="1">
      <c r="A312" s="203" t="str">
        <f>IF(B312&lt;&gt;"",IF(AND(B312&gt;=_TM1,B312&lt;=_TM2,OR(TH!L312="1111",TH!M312="1111")),TH!D312,""),"")</f>
        <v/>
      </c>
      <c r="B312" s="36">
        <f>IF(C312&lt;&gt;"",MONTH(C312),"")</f>
        <v>3</v>
      </c>
      <c r="C312" s="183">
        <f>E312</f>
        <v>42080</v>
      </c>
      <c r="D312" s="183" t="s">
        <v>1324</v>
      </c>
      <c r="E312" s="190">
        <v>42080</v>
      </c>
      <c r="F312" s="188" t="s">
        <v>1325</v>
      </c>
      <c r="G312" s="482" t="s">
        <v>332</v>
      </c>
      <c r="H312" s="7" t="s">
        <v>1322</v>
      </c>
      <c r="I312" s="255"/>
      <c r="J312" s="255"/>
      <c r="K312" s="593">
        <v>6500000</v>
      </c>
      <c r="L312" s="594" t="s">
        <v>47</v>
      </c>
      <c r="M312" s="594" t="s">
        <v>24</v>
      </c>
      <c r="N312" s="52" t="str">
        <f>IF(AND('331-CT'!$E$7=TH!H312,OR(L312="331",M312="331")),"331",IF(AND(OR(L312="131",M312="131"),H312='131-CT'!$E$7),"131",""))</f>
        <v/>
      </c>
      <c r="O312" s="86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>x</v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>x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99"/>
    </row>
    <row r="313" spans="1:27" s="210" customFormat="1" ht="15.75" customHeight="1">
      <c r="A313" s="203" t="str">
        <f>IF(B313&lt;&gt;"",IF(AND(B313&gt;=_TM1,B313&lt;=_TM2,OR(TH!L313="1111",TH!M313="1111")),TH!D313,""),"")</f>
        <v/>
      </c>
      <c r="B313" s="36">
        <f>IF(C313&lt;&gt;"",MONTH(C313),"")</f>
        <v>3</v>
      </c>
      <c r="C313" s="183">
        <f>E313</f>
        <v>42080</v>
      </c>
      <c r="D313" s="183" t="s">
        <v>1324</v>
      </c>
      <c r="E313" s="190">
        <v>42080</v>
      </c>
      <c r="F313" s="296" t="s">
        <v>1326</v>
      </c>
      <c r="G313" s="482" t="s">
        <v>332</v>
      </c>
      <c r="H313" s="831" t="s">
        <v>1930</v>
      </c>
      <c r="I313" s="255"/>
      <c r="J313" s="255"/>
      <c r="K313" s="593">
        <v>15000000</v>
      </c>
      <c r="L313" s="594" t="s">
        <v>8</v>
      </c>
      <c r="M313" s="594" t="s">
        <v>24</v>
      </c>
      <c r="N313" s="52" t="str">
        <f>IF(AND('331-CT'!$E$7=TH!H313,OR(L313="331",M313="331")),"331",IF(AND(OR(L313="131",M313="131"),H313='131-CT'!$E$7),"131",""))</f>
        <v/>
      </c>
      <c r="O313" s="86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>x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99"/>
    </row>
    <row r="314" spans="1:27" s="210" customFormat="1" ht="15.75" customHeight="1">
      <c r="A314" s="203" t="str">
        <f>IF(B314&lt;&gt;"",IF(AND(B314&gt;=_TM1,B314&lt;=_TM2,OR(TH!L314="1111",TH!M314="1111")),TH!D314,""),"")</f>
        <v/>
      </c>
      <c r="B314" s="36">
        <f>IF(C314&lt;&gt;"",MONTH(C314),"")</f>
        <v>3</v>
      </c>
      <c r="C314" s="183">
        <f>E314</f>
        <v>42080</v>
      </c>
      <c r="D314" s="183" t="s">
        <v>1324</v>
      </c>
      <c r="E314" s="190">
        <v>42080</v>
      </c>
      <c r="F314" s="188" t="s">
        <v>1327</v>
      </c>
      <c r="G314" s="482" t="s">
        <v>332</v>
      </c>
      <c r="H314" s="7"/>
      <c r="I314" s="255"/>
      <c r="J314" s="255"/>
      <c r="K314" s="593">
        <v>15000</v>
      </c>
      <c r="L314" s="594" t="s">
        <v>83</v>
      </c>
      <c r="M314" s="594" t="s">
        <v>24</v>
      </c>
      <c r="N314" s="52" t="str">
        <f>IF(AND('331-CT'!$E$7=TH!H314,OR(L314="331",M314="331")),"331",IF(AND(OR(L314="131",M314="131"),H314='131-CT'!$E$7),"131",""))</f>
        <v/>
      </c>
      <c r="O314" s="86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>x</v>
      </c>
      <c r="V314" s="52" t="str">
        <f>IF(OR(TH!L314=TH!$V$7,M314=TH!$V$7),"x","")</f>
        <v>x</v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99"/>
    </row>
    <row r="315" spans="1:27" s="210" customFormat="1" ht="15.75" customHeight="1">
      <c r="A315" s="203" t="str">
        <f>IF(B315&lt;&gt;"",IF(AND(B315&gt;=_TM1,B315&lt;=_TM2,OR(TH!L315="1111",TH!M315="1111")),TH!D315,""),"")</f>
        <v/>
      </c>
      <c r="B315" s="36">
        <f>IF(C315&lt;&gt;"",MONTH(C315),"")</f>
        <v>3</v>
      </c>
      <c r="C315" s="183">
        <f>E315</f>
        <v>42082</v>
      </c>
      <c r="D315" s="183" t="s">
        <v>1556</v>
      </c>
      <c r="E315" s="37">
        <v>42082</v>
      </c>
      <c r="F315" s="1148" t="s">
        <v>413</v>
      </c>
      <c r="G315" s="481" t="s">
        <v>541</v>
      </c>
      <c r="H315" s="7" t="s">
        <v>412</v>
      </c>
      <c r="I315" s="255">
        <v>490</v>
      </c>
      <c r="J315" s="255">
        <v>10500</v>
      </c>
      <c r="K315" s="593">
        <f>ROUND(I315*J315,0)</f>
        <v>5145000</v>
      </c>
      <c r="L315" s="594" t="s">
        <v>259</v>
      </c>
      <c r="M315" s="594" t="s">
        <v>174</v>
      </c>
      <c r="N315" s="52" t="str">
        <f>IF(AND('331-CT'!$E$7=TH!H315,OR(L315="331",M315="331")),"331",IF(AND(OR(L315="131",M315="131"),H315='131-CT'!$E$7),"131",""))</f>
        <v/>
      </c>
      <c r="O315" s="86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99"/>
    </row>
    <row r="316" spans="1:27" s="210" customFormat="1" ht="15.75" customHeight="1">
      <c r="A316" s="203" t="str">
        <f>IF(B316&lt;&gt;"",IF(AND(B316&gt;=_TM1,B316&lt;=_TM2,OR(TH!L316="1111",TH!M316="1111")),TH!D316,""),"")</f>
        <v/>
      </c>
      <c r="B316" s="36">
        <f>IF(C316&lt;&gt;"",MONTH(C316),"")</f>
        <v>3</v>
      </c>
      <c r="C316" s="183">
        <f>E316</f>
        <v>42082</v>
      </c>
      <c r="D316" s="183" t="s">
        <v>1556</v>
      </c>
      <c r="E316" s="37">
        <v>42082</v>
      </c>
      <c r="F316" s="188" t="s">
        <v>542</v>
      </c>
      <c r="G316" s="481" t="s">
        <v>541</v>
      </c>
      <c r="H316" s="7" t="s">
        <v>412</v>
      </c>
      <c r="I316" s="255">
        <v>215</v>
      </c>
      <c r="J316" s="255">
        <v>10250</v>
      </c>
      <c r="K316" s="593">
        <f>ROUND(I316*J316,0)</f>
        <v>2203750</v>
      </c>
      <c r="L316" s="594" t="s">
        <v>259</v>
      </c>
      <c r="M316" s="594" t="s">
        <v>174</v>
      </c>
      <c r="N316" s="52" t="str">
        <f>IF(AND('331-CT'!$E$7=TH!H316,OR(L316="331",M316="331")),"331",IF(AND(OR(L316="131",M316="131"),H316='131-CT'!$E$7),"131",""))</f>
        <v/>
      </c>
      <c r="O316" s="86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99"/>
    </row>
    <row r="317" spans="1:27" s="210" customFormat="1" ht="15.75" customHeight="1">
      <c r="A317" s="203" t="str">
        <f>IF(B317&lt;&gt;"",IF(AND(B317&gt;=_TM1,B317&lt;=_TM2,OR(TH!L317="1111",TH!M317="1111")),TH!D317,""),"")</f>
        <v/>
      </c>
      <c r="B317" s="36">
        <f>IF(C317&lt;&gt;"",MONTH(C317),"")</f>
        <v>3</v>
      </c>
      <c r="C317" s="183">
        <f>E317</f>
        <v>42082</v>
      </c>
      <c r="D317" s="183" t="s">
        <v>1556</v>
      </c>
      <c r="E317" s="37">
        <v>42082</v>
      </c>
      <c r="F317" s="188" t="s">
        <v>402</v>
      </c>
      <c r="G317" s="481" t="s">
        <v>541</v>
      </c>
      <c r="H317" s="7" t="s">
        <v>412</v>
      </c>
      <c r="I317" s="255"/>
      <c r="J317" s="255"/>
      <c r="K317" s="593">
        <v>734875</v>
      </c>
      <c r="L317" s="594" t="s">
        <v>259</v>
      </c>
      <c r="M317" s="594" t="s">
        <v>371</v>
      </c>
      <c r="N317" s="52" t="str">
        <f>IF(AND('331-CT'!$E$7=TH!H317,OR(L317="331",M317="331")),"331",IF(AND(OR(L317="131",M317="131"),H317='131-CT'!$E$7),"131",""))</f>
        <v/>
      </c>
      <c r="O317" s="86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99"/>
    </row>
    <row r="318" spans="1:27" s="210" customFormat="1" ht="15.75" customHeight="1">
      <c r="A318" s="203" t="str">
        <f>IF(B318&lt;&gt;"",IF(AND(B318&gt;=_TM1,B318&lt;=_TM2,OR(TH!L318="1111",TH!M318="1111")),TH!D318,""),"")</f>
        <v/>
      </c>
      <c r="B318" s="36">
        <f>IF(C318&lt;&gt;"",MONTH(C318),"")</f>
        <v>3</v>
      </c>
      <c r="C318" s="183">
        <f>E318</f>
        <v>42082</v>
      </c>
      <c r="D318" s="183" t="s">
        <v>1557</v>
      </c>
      <c r="E318" s="37">
        <v>42082</v>
      </c>
      <c r="F318" s="188" t="s">
        <v>543</v>
      </c>
      <c r="G318" s="481" t="s">
        <v>544</v>
      </c>
      <c r="H318" s="7" t="s">
        <v>545</v>
      </c>
      <c r="I318" s="256">
        <v>200</v>
      </c>
      <c r="J318" s="256">
        <v>5600</v>
      </c>
      <c r="K318" s="593">
        <f>ROUND(I318*J318,0)</f>
        <v>1120000</v>
      </c>
      <c r="L318" s="594" t="s">
        <v>259</v>
      </c>
      <c r="M318" s="594" t="s">
        <v>174</v>
      </c>
      <c r="N318" s="52" t="str">
        <f>IF(AND('331-CT'!$E$7=TH!H318,OR(L318="331",M318="331")),"331",IF(AND(OR(L318="131",M318="131"),H318='131-CT'!$E$7),"131",""))</f>
        <v/>
      </c>
      <c r="O318" s="86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99"/>
    </row>
    <row r="319" spans="1:27" s="210" customFormat="1" ht="15.75" customHeight="1">
      <c r="A319" s="203" t="str">
        <f>IF(B319&lt;&gt;"",IF(AND(B319&gt;=_TM1,B319&lt;=_TM2,OR(TH!L319="1111",TH!M319="1111")),TH!D319,""),"")</f>
        <v/>
      </c>
      <c r="B319" s="36">
        <f>IF(C319&lt;&gt;"",MONTH(C319),"")</f>
        <v>3</v>
      </c>
      <c r="C319" s="183">
        <f>E319</f>
        <v>42082</v>
      </c>
      <c r="D319" s="183" t="s">
        <v>1557</v>
      </c>
      <c r="E319" s="37">
        <v>42082</v>
      </c>
      <c r="F319" s="188" t="s">
        <v>430</v>
      </c>
      <c r="G319" s="481" t="s">
        <v>544</v>
      </c>
      <c r="H319" s="7" t="s">
        <v>545</v>
      </c>
      <c r="I319" s="256">
        <v>205</v>
      </c>
      <c r="J319" s="256">
        <v>5150</v>
      </c>
      <c r="K319" s="593">
        <f>ROUND(I319*J319,0)</f>
        <v>1055750</v>
      </c>
      <c r="L319" s="594" t="s">
        <v>259</v>
      </c>
      <c r="M319" s="594" t="s">
        <v>174</v>
      </c>
      <c r="N319" s="52" t="str">
        <f>IF(AND('331-CT'!$E$7=TH!H319,OR(L319="331",M319="331")),"331",IF(AND(OR(L319="131",M319="131"),H319='131-CT'!$E$7),"131",""))</f>
        <v/>
      </c>
      <c r="O319" s="86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99"/>
    </row>
    <row r="320" spans="1:27" s="210" customFormat="1" ht="15.75" customHeight="1">
      <c r="A320" s="203" t="str">
        <f>IF(B320&lt;&gt;"",IF(AND(B320&gt;=_TM1,B320&lt;=_TM2,OR(TH!L320="1111",TH!M320="1111")),TH!D320,""),"")</f>
        <v/>
      </c>
      <c r="B320" s="36">
        <f>IF(C320&lt;&gt;"",MONTH(C320),"")</f>
        <v>3</v>
      </c>
      <c r="C320" s="183">
        <f>E320</f>
        <v>42082</v>
      </c>
      <c r="D320" s="183" t="s">
        <v>1557</v>
      </c>
      <c r="E320" s="37">
        <v>42082</v>
      </c>
      <c r="F320" s="188" t="s">
        <v>546</v>
      </c>
      <c r="G320" s="481" t="s">
        <v>544</v>
      </c>
      <c r="H320" s="7" t="s">
        <v>545</v>
      </c>
      <c r="I320" s="255">
        <v>208</v>
      </c>
      <c r="J320" s="255">
        <v>5500</v>
      </c>
      <c r="K320" s="593">
        <f>ROUND(I320*J320,0)</f>
        <v>1144000</v>
      </c>
      <c r="L320" s="594" t="s">
        <v>259</v>
      </c>
      <c r="M320" s="594" t="s">
        <v>174</v>
      </c>
      <c r="N320" s="52" t="str">
        <f>IF(AND('331-CT'!$E$7=TH!H320,OR(L320="331",M320="331")),"331",IF(AND(OR(L320="131",M320="131"),H320='131-CT'!$E$7),"131",""))</f>
        <v/>
      </c>
      <c r="O320" s="86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99"/>
    </row>
    <row r="321" spans="1:27" s="210" customFormat="1" ht="15.75" customHeight="1">
      <c r="A321" s="203" t="str">
        <f>IF(B321&lt;&gt;"",IF(AND(B321&gt;=_TM1,B321&lt;=_TM2,OR(TH!L321="1111",TH!M321="1111")),TH!D321,""),"")</f>
        <v/>
      </c>
      <c r="B321" s="36">
        <f>IF(C321&lt;&gt;"",MONTH(C321),"")</f>
        <v>3</v>
      </c>
      <c r="C321" s="183">
        <f>E321</f>
        <v>42082</v>
      </c>
      <c r="D321" s="183" t="s">
        <v>1557</v>
      </c>
      <c r="E321" s="37">
        <v>42082</v>
      </c>
      <c r="F321" s="188" t="s">
        <v>402</v>
      </c>
      <c r="G321" s="481" t="s">
        <v>544</v>
      </c>
      <c r="H321" s="7" t="s">
        <v>545</v>
      </c>
      <c r="I321" s="255"/>
      <c r="J321" s="255"/>
      <c r="K321" s="38">
        <v>331975</v>
      </c>
      <c r="L321" s="594" t="s">
        <v>259</v>
      </c>
      <c r="M321" s="594" t="s">
        <v>371</v>
      </c>
      <c r="N321" s="52" t="str">
        <f>IF(AND('331-CT'!$E$7=TH!H321,OR(L321="331",M321="331")),"331",IF(AND(OR(L321="131",M321="131"),H321='131-CT'!$E$7),"131",""))</f>
        <v/>
      </c>
      <c r="O321" s="86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99"/>
    </row>
    <row r="322" spans="1:27" s="210" customFormat="1" ht="15.75" customHeight="1">
      <c r="A322" s="203" t="str">
        <f>IF(B322&lt;&gt;"",IF(AND(B322&gt;=_TM1,B322&lt;=_TM2,OR(TH!L322="1111",TH!M322="1111")),TH!D322,""),"")</f>
        <v/>
      </c>
      <c r="B322" s="36">
        <f>IF(C322&lt;&gt;"",MONTH(C322),"")</f>
        <v>3</v>
      </c>
      <c r="C322" s="183">
        <f>E322</f>
        <v>42082</v>
      </c>
      <c r="D322" s="183" t="s">
        <v>1557</v>
      </c>
      <c r="E322" s="37">
        <v>42082</v>
      </c>
      <c r="F322" s="191" t="s">
        <v>1320</v>
      </c>
      <c r="G322" s="481" t="s">
        <v>544</v>
      </c>
      <c r="H322" s="7" t="s">
        <v>545</v>
      </c>
      <c r="I322" s="255"/>
      <c r="J322" s="255"/>
      <c r="K322" s="38">
        <v>3651725</v>
      </c>
      <c r="L322" s="594" t="s">
        <v>47</v>
      </c>
      <c r="M322" s="594" t="s">
        <v>259</v>
      </c>
      <c r="N322" s="52" t="str">
        <f>IF(AND('331-CT'!$E$7=TH!H322,OR(L322="331",M322="331")),"331",IF(AND(OR(L322="131",M322="131"),H322='131-CT'!$E$7),"131",""))</f>
        <v/>
      </c>
      <c r="O322" s="86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>x</v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99"/>
    </row>
    <row r="323" spans="1:27" s="210" customFormat="1" ht="15.75" customHeight="1">
      <c r="A323" s="203" t="str">
        <f>IF(B323&lt;&gt;"",IF(AND(B323&gt;=_TM1,B323&lt;=_TM2,OR(TH!L323="1111",TH!M323="1111")),TH!D323,""),"")</f>
        <v/>
      </c>
      <c r="B323" s="36">
        <f>IF(C323&lt;&gt;"",MONTH(C323),"")</f>
        <v>3</v>
      </c>
      <c r="C323" s="183">
        <f>E323</f>
        <v>42082</v>
      </c>
      <c r="D323" s="190" t="s">
        <v>1319</v>
      </c>
      <c r="E323" s="37">
        <v>42082</v>
      </c>
      <c r="F323" s="191" t="s">
        <v>1320</v>
      </c>
      <c r="G323" s="482" t="s">
        <v>332</v>
      </c>
      <c r="H323" s="7" t="s">
        <v>400</v>
      </c>
      <c r="I323" s="255"/>
      <c r="J323" s="255"/>
      <c r="K323" s="593">
        <v>12511795</v>
      </c>
      <c r="L323" s="193" t="s">
        <v>24</v>
      </c>
      <c r="M323" s="193" t="s">
        <v>259</v>
      </c>
      <c r="N323" s="52" t="str">
        <f>IF(AND('331-CT'!$E$7=TH!H323,OR(L323="331",M323="331")),"331",IF(AND(OR(L323="131",M323="131"),H323='131-CT'!$E$7),"131",""))</f>
        <v/>
      </c>
      <c r="O323" s="86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>x</v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99"/>
    </row>
    <row r="324" spans="1:27" s="210" customFormat="1" ht="15.75" customHeight="1">
      <c r="A324" s="203" t="str">
        <f>IF(B324&lt;&gt;"",IF(AND(B324&gt;=_TM1,B324&lt;=_TM2,OR(TH!L324="1111",TH!M324="1111")),TH!D324,""),"")</f>
        <v/>
      </c>
      <c r="B324" s="36">
        <f>IF(C324&lt;&gt;"",MONTH(C324),"")</f>
        <v>3</v>
      </c>
      <c r="C324" s="183">
        <f>E324</f>
        <v>42084</v>
      </c>
      <c r="D324" s="183" t="s">
        <v>1324</v>
      </c>
      <c r="E324" s="190">
        <v>42084</v>
      </c>
      <c r="F324" s="188" t="s">
        <v>1325</v>
      </c>
      <c r="G324" s="482" t="s">
        <v>332</v>
      </c>
      <c r="H324" s="7" t="s">
        <v>1322</v>
      </c>
      <c r="I324" s="255"/>
      <c r="J324" s="255"/>
      <c r="K324" s="593">
        <v>14400000</v>
      </c>
      <c r="L324" s="594" t="s">
        <v>47</v>
      </c>
      <c r="M324" s="594" t="s">
        <v>24</v>
      </c>
      <c r="N324" s="52" t="str">
        <f>IF(AND('331-CT'!$E$7=TH!H324,OR(L324="331",M324="331")),"331",IF(AND(OR(L324="131",M324="131"),H324='131-CT'!$E$7),"131",""))</f>
        <v/>
      </c>
      <c r="O324" s="86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>x</v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>x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99"/>
    </row>
    <row r="325" spans="1:27" s="210" customFormat="1" ht="15.75" customHeight="1">
      <c r="A325" s="203" t="str">
        <f>IF(B325&lt;&gt;"",IF(AND(B325&gt;=_TM1,B325&lt;=_TM2,OR(TH!L325="1111",TH!M325="1111")),TH!D325,""),"")</f>
        <v/>
      </c>
      <c r="B325" s="36">
        <f>IF(C325&lt;&gt;"",MONTH(C325),"")</f>
        <v>3</v>
      </c>
      <c r="C325" s="183">
        <f>E325</f>
        <v>42084</v>
      </c>
      <c r="D325" s="37" t="s">
        <v>1964</v>
      </c>
      <c r="E325" s="727">
        <v>42084</v>
      </c>
      <c r="F325" s="191" t="s">
        <v>1378</v>
      </c>
      <c r="G325" s="482" t="s">
        <v>1377</v>
      </c>
      <c r="H325" s="192" t="s">
        <v>1376</v>
      </c>
      <c r="I325" s="255">
        <v>1980</v>
      </c>
      <c r="J325" s="255">
        <v>9100</v>
      </c>
      <c r="K325" s="593">
        <f>ROUND(I325*J325,0)</f>
        <v>18018000</v>
      </c>
      <c r="L325" s="594" t="s">
        <v>159</v>
      </c>
      <c r="M325" s="594" t="s">
        <v>8</v>
      </c>
      <c r="N325" s="52" t="str">
        <f>IF(AND('331-CT'!$E$7=TH!H325,OR(L325="331",M325="331")),"331",IF(AND(OR(L325="131",M325="131"),H325='131-CT'!$E$7),"131",""))</f>
        <v/>
      </c>
      <c r="O325" s="86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99"/>
    </row>
    <row r="326" spans="1:27" s="210" customFormat="1" ht="15.75" customHeight="1">
      <c r="A326" s="203" t="str">
        <f>IF(B326&lt;&gt;"",IF(AND(B326&gt;=_TM1,B326&lt;=_TM2,OR(TH!L326="1111",TH!M326="1111")),TH!D326,""),"")</f>
        <v/>
      </c>
      <c r="B326" s="36">
        <f>IF(C326&lt;&gt;"",MONTH(C326),"")</f>
        <v>3</v>
      </c>
      <c r="C326" s="183">
        <f>E326</f>
        <v>42084</v>
      </c>
      <c r="D326" s="37" t="s">
        <v>1964</v>
      </c>
      <c r="E326" s="727">
        <v>42084</v>
      </c>
      <c r="F326" s="191" t="s">
        <v>1379</v>
      </c>
      <c r="G326" s="482" t="s">
        <v>1377</v>
      </c>
      <c r="H326" s="192" t="s">
        <v>1376</v>
      </c>
      <c r="I326" s="255"/>
      <c r="J326" s="255"/>
      <c r="K326" s="593">
        <v>1801800</v>
      </c>
      <c r="L326" s="594" t="s">
        <v>9</v>
      </c>
      <c r="M326" s="594" t="s">
        <v>8</v>
      </c>
      <c r="N326" s="52" t="str">
        <f>IF(AND('331-CT'!$E$7=TH!H326,OR(L326="331",M326="331")),"331",IF(AND(OR(L326="131",M326="131"),H326='131-CT'!$E$7),"131",""))</f>
        <v/>
      </c>
      <c r="O326" s="86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99"/>
    </row>
    <row r="327" spans="1:27" s="210" customFormat="1" ht="15.75" customHeight="1">
      <c r="A327" s="203" t="str">
        <f>IF(B327&lt;&gt;"",IF(AND(B327&gt;=_TM1,B327&lt;=_TM2,OR(TH!L327="1111",TH!M327="1111")),TH!D327,""),"")</f>
        <v/>
      </c>
      <c r="B327" s="36">
        <f>IF(C327&lt;&gt;"",MONTH(C327),"")</f>
        <v>3</v>
      </c>
      <c r="C327" s="183">
        <f>E327</f>
        <v>42084</v>
      </c>
      <c r="D327" s="37" t="s">
        <v>1964</v>
      </c>
      <c r="E327" s="727">
        <v>42084</v>
      </c>
      <c r="F327" s="296" t="s">
        <v>1326</v>
      </c>
      <c r="G327" s="482" t="s">
        <v>1377</v>
      </c>
      <c r="H327" s="192" t="s">
        <v>1376</v>
      </c>
      <c r="I327" s="255"/>
      <c r="J327" s="255"/>
      <c r="K327" s="593">
        <v>19819800</v>
      </c>
      <c r="L327" s="594" t="s">
        <v>8</v>
      </c>
      <c r="M327" s="594" t="s">
        <v>47</v>
      </c>
      <c r="N327" s="52" t="str">
        <f>IF(AND('331-CT'!$E$7=TH!H327,OR(L327="331",M327="331")),"331",IF(AND(OR(L327="131",M327="131"),H327='131-CT'!$E$7),"131",""))</f>
        <v/>
      </c>
      <c r="O327" s="86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>x</v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99"/>
    </row>
    <row r="328" spans="1:27" s="210" customFormat="1" ht="15.75" customHeight="1">
      <c r="A328" s="203" t="str">
        <f>IF(B328&lt;&gt;"",IF(AND(B328&gt;=_TM1,B328&lt;=_TM2,OR(TH!L328="1111",TH!M328="1111")),TH!D328,""),"")</f>
        <v/>
      </c>
      <c r="B328" s="36">
        <f>IF(C328&lt;&gt;"",MONTH(C328),"")</f>
        <v>3</v>
      </c>
      <c r="C328" s="183">
        <f>E328</f>
        <v>42086</v>
      </c>
      <c r="D328" s="190" t="s">
        <v>1319</v>
      </c>
      <c r="E328" s="37">
        <v>42086</v>
      </c>
      <c r="F328" s="191" t="s">
        <v>1320</v>
      </c>
      <c r="G328" s="482" t="s">
        <v>332</v>
      </c>
      <c r="H328" s="7" t="s">
        <v>407</v>
      </c>
      <c r="I328" s="255"/>
      <c r="J328" s="255"/>
      <c r="K328" s="593">
        <v>31296320</v>
      </c>
      <c r="L328" s="193" t="s">
        <v>24</v>
      </c>
      <c r="M328" s="193" t="s">
        <v>259</v>
      </c>
      <c r="N328" s="52" t="str">
        <f>IF(AND('331-CT'!$E$7=TH!H328,OR(L328="331",M328="331")),"331",IF(AND(OR(L328="131",M328="131"),H328='131-CT'!$E$7),"131",""))</f>
        <v/>
      </c>
      <c r="O328" s="86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>x</v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99"/>
    </row>
    <row r="329" spans="1:27" s="210" customFormat="1" ht="15.75" customHeight="1">
      <c r="A329" s="203" t="str">
        <f>IF(B329&lt;&gt;"",IF(AND(B329&gt;=_TM1,B329&lt;=_TM2,OR(TH!L329="1111",TH!M329="1111")),TH!D329,""),"")</f>
        <v/>
      </c>
      <c r="B329" s="36">
        <f>IF(C329&lt;&gt;"",MONTH(C329),"")</f>
        <v>3</v>
      </c>
      <c r="C329" s="183">
        <f>E329</f>
        <v>42087</v>
      </c>
      <c r="D329" s="190" t="s">
        <v>1319</v>
      </c>
      <c r="E329" s="37">
        <v>42087</v>
      </c>
      <c r="F329" s="191" t="s">
        <v>1320</v>
      </c>
      <c r="G329" s="482" t="s">
        <v>332</v>
      </c>
      <c r="H329" s="45" t="s">
        <v>416</v>
      </c>
      <c r="I329" s="255"/>
      <c r="J329" s="255"/>
      <c r="K329" s="593">
        <v>20997482</v>
      </c>
      <c r="L329" s="193" t="s">
        <v>24</v>
      </c>
      <c r="M329" s="193" t="s">
        <v>259</v>
      </c>
      <c r="N329" s="52" t="str">
        <f>IF(AND('331-CT'!$E$7=TH!H329,OR(L329="331",M329="331")),"331",IF(AND(OR(L329="131",M329="131"),H329='131-CT'!$E$7),"131",""))</f>
        <v/>
      </c>
      <c r="O329" s="86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>x</v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99"/>
    </row>
    <row r="330" spans="1:27" s="210" customFormat="1" ht="15.75" customHeight="1">
      <c r="A330" s="203" t="str">
        <f>IF(B330&lt;&gt;"",IF(AND(B330&gt;=_TM1,B330&lt;=_TM2,OR(TH!L330="1111",TH!M330="1111")),TH!D330,""),"")</f>
        <v/>
      </c>
      <c r="B330" s="36">
        <f>IF(C330&lt;&gt;"",MONTH(C330),"")</f>
        <v>3</v>
      </c>
      <c r="C330" s="183">
        <f>E330</f>
        <v>42087</v>
      </c>
      <c r="D330" s="183" t="s">
        <v>1324</v>
      </c>
      <c r="E330" s="190">
        <v>42087</v>
      </c>
      <c r="F330" s="188" t="s">
        <v>1325</v>
      </c>
      <c r="G330" s="482" t="s">
        <v>332</v>
      </c>
      <c r="H330" s="7" t="s">
        <v>1322</v>
      </c>
      <c r="I330" s="255"/>
      <c r="J330" s="255"/>
      <c r="K330" s="593">
        <v>52200000</v>
      </c>
      <c r="L330" s="594" t="s">
        <v>47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6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>x</v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>x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99"/>
    </row>
    <row r="331" spans="1:27" s="210" customFormat="1" ht="15.75" customHeight="1">
      <c r="A331" s="203" t="str">
        <f>IF(B331&lt;&gt;"",IF(AND(B331&gt;=_TM1,B331&lt;=_TM2,OR(TH!L331="1111",TH!M331="1111")),TH!D331,""),"")</f>
        <v/>
      </c>
      <c r="B331" s="36">
        <f>IF(C331&lt;&gt;"",MONTH(C331),"")</f>
        <v>3</v>
      </c>
      <c r="C331" s="183">
        <f>E331</f>
        <v>42087</v>
      </c>
      <c r="D331" s="37"/>
      <c r="E331" s="727">
        <v>42087</v>
      </c>
      <c r="F331" s="188" t="s">
        <v>1382</v>
      </c>
      <c r="G331" s="482" t="s">
        <v>1416</v>
      </c>
      <c r="H331" s="7" t="s">
        <v>1383</v>
      </c>
      <c r="I331" s="255"/>
      <c r="J331" s="255"/>
      <c r="K331" s="593">
        <v>963378</v>
      </c>
      <c r="L331" s="193" t="s">
        <v>83</v>
      </c>
      <c r="M331" s="193" t="s">
        <v>47</v>
      </c>
      <c r="N331" s="52" t="str">
        <f>IF(AND('331-CT'!$E$7=TH!H331,OR(L331="331",M331="331")),"331",IF(AND(OR(L331="131",M331="131"),H331='131-CT'!$E$7),"131",""))</f>
        <v/>
      </c>
      <c r="O331" s="86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>x</v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>x</v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99"/>
    </row>
    <row r="332" spans="1:27" s="210" customFormat="1" ht="15.75" customHeight="1">
      <c r="A332" s="203" t="str">
        <f>IF(B332&lt;&gt;"",IF(AND(B332&gt;=_TM1,B332&lt;=_TM2,OR(TH!L332="1111",TH!M332="1111")),TH!D332,""),"")</f>
        <v/>
      </c>
      <c r="B332" s="36">
        <f>IF(C332&lt;&gt;"",MONTH(C332),"")</f>
        <v>3</v>
      </c>
      <c r="C332" s="183">
        <f>E332</f>
        <v>42087</v>
      </c>
      <c r="D332" s="37"/>
      <c r="E332" s="727">
        <v>42087</v>
      </c>
      <c r="F332" s="188" t="s">
        <v>1384</v>
      </c>
      <c r="G332" s="482" t="s">
        <v>1416</v>
      </c>
      <c r="H332" s="7" t="s">
        <v>1383</v>
      </c>
      <c r="I332" s="255"/>
      <c r="J332" s="255"/>
      <c r="K332" s="593">
        <v>96338</v>
      </c>
      <c r="L332" s="193" t="s">
        <v>9</v>
      </c>
      <c r="M332" s="193" t="s">
        <v>47</v>
      </c>
      <c r="N332" s="52" t="str">
        <f>IF(AND('331-CT'!$E$7=TH!H332,OR(L332="331",M332="331")),"331",IF(AND(OR(L332="131",M332="131"),H332='131-CT'!$E$7),"131",""))</f>
        <v/>
      </c>
      <c r="O332" s="86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>x</v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99"/>
    </row>
    <row r="333" spans="1:27" s="210" customFormat="1" ht="15.75" customHeight="1">
      <c r="A333" s="203" t="str">
        <f>IF(B333&lt;&gt;"",IF(AND(B333&gt;=_TM1,B333&lt;=_TM2,OR(TH!L333="1111",TH!M333="1111")),TH!D333,""),"")</f>
        <v/>
      </c>
      <c r="B333" s="36">
        <f>IF(C333&lt;&gt;"",MONTH(C333),"")</f>
        <v>3</v>
      </c>
      <c r="C333" s="183">
        <f>E333</f>
        <v>42088</v>
      </c>
      <c r="D333" s="183" t="s">
        <v>1558</v>
      </c>
      <c r="E333" s="190">
        <v>42088</v>
      </c>
      <c r="F333" s="296" t="s">
        <v>547</v>
      </c>
      <c r="G333" s="482" t="s">
        <v>548</v>
      </c>
      <c r="H333" s="7" t="s">
        <v>549</v>
      </c>
      <c r="I333" s="750">
        <v>500</v>
      </c>
      <c r="J333" s="255">
        <v>3000</v>
      </c>
      <c r="K333" s="593">
        <f>ROUND(I333*J333,0)</f>
        <v>1500000</v>
      </c>
      <c r="L333" s="594" t="s">
        <v>259</v>
      </c>
      <c r="M333" s="594" t="s">
        <v>174</v>
      </c>
      <c r="N333" s="52" t="str">
        <f>IF(AND('331-CT'!$E$7=TH!H333,OR(L333="331",M333="331")),"331",IF(AND(OR(L333="131",M333="131"),H333='131-CT'!$E$7),"131",""))</f>
        <v/>
      </c>
      <c r="O333" s="86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99"/>
    </row>
    <row r="334" spans="1:27" s="210" customFormat="1" ht="15.75" customHeight="1">
      <c r="A334" s="203" t="str">
        <f>IF(B334&lt;&gt;"",IF(AND(B334&gt;=_TM1,B334&lt;=_TM2,OR(TH!L334="1111",TH!M334="1111")),TH!D334,""),"")</f>
        <v/>
      </c>
      <c r="B334" s="36">
        <f>IF(C334&lt;&gt;"",MONTH(C334),"")</f>
        <v>3</v>
      </c>
      <c r="C334" s="183">
        <f>E334</f>
        <v>42088</v>
      </c>
      <c r="D334" s="183" t="s">
        <v>1558</v>
      </c>
      <c r="E334" s="190">
        <v>42088</v>
      </c>
      <c r="F334" s="188" t="s">
        <v>550</v>
      </c>
      <c r="G334" s="482" t="s">
        <v>548</v>
      </c>
      <c r="H334" s="7" t="s">
        <v>549</v>
      </c>
      <c r="I334" s="750">
        <v>50</v>
      </c>
      <c r="J334" s="255">
        <v>18000</v>
      </c>
      <c r="K334" s="593">
        <f>ROUND(I334*J334,0)</f>
        <v>900000</v>
      </c>
      <c r="L334" s="594" t="s">
        <v>259</v>
      </c>
      <c r="M334" s="594" t="s">
        <v>174</v>
      </c>
      <c r="N334" s="52" t="str">
        <f>IF(AND('331-CT'!$E$7=TH!H334,OR(L334="331",M334="331")),"331",IF(AND(OR(L334="131",M334="131"),H334='131-CT'!$E$7),"131",""))</f>
        <v/>
      </c>
      <c r="O334" s="86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99"/>
    </row>
    <row r="335" spans="1:27" s="210" customFormat="1" ht="15.75" customHeight="1">
      <c r="A335" s="203" t="str">
        <f>IF(B335&lt;&gt;"",IF(AND(B335&gt;=_TM1,B335&lt;=_TM2,OR(TH!L335="1111",TH!M335="1111")),TH!D335,""),"")</f>
        <v/>
      </c>
      <c r="B335" s="36">
        <f>IF(C335&lt;&gt;"",MONTH(C335),"")</f>
        <v>3</v>
      </c>
      <c r="C335" s="183">
        <f>E335</f>
        <v>42088</v>
      </c>
      <c r="D335" s="183" t="s">
        <v>1558</v>
      </c>
      <c r="E335" s="190">
        <v>42088</v>
      </c>
      <c r="F335" s="296" t="s">
        <v>551</v>
      </c>
      <c r="G335" s="482" t="s">
        <v>548</v>
      </c>
      <c r="H335" s="7" t="s">
        <v>549</v>
      </c>
      <c r="I335" s="255">
        <v>12</v>
      </c>
      <c r="J335" s="255">
        <v>20000</v>
      </c>
      <c r="K335" s="593">
        <f>ROUND(I335*J335,0)</f>
        <v>240000</v>
      </c>
      <c r="L335" s="594" t="s">
        <v>259</v>
      </c>
      <c r="M335" s="594" t="s">
        <v>174</v>
      </c>
      <c r="N335" s="52" t="str">
        <f>IF(AND('331-CT'!$E$7=TH!H335,OR(L335="331",M335="331")),"331",IF(AND(OR(L335="131",M335="131"),H335='131-CT'!$E$7),"131",""))</f>
        <v/>
      </c>
      <c r="O335" s="86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99"/>
    </row>
    <row r="336" spans="1:27" s="210" customFormat="1" ht="15.75" customHeight="1">
      <c r="A336" s="203" t="str">
        <f>IF(B336&lt;&gt;"",IF(AND(B336&gt;=_TM1,B336&lt;=_TM2,OR(TH!L336="1111",TH!M336="1111")),TH!D336,""),"")</f>
        <v/>
      </c>
      <c r="B336" s="36">
        <f>IF(C336&lt;&gt;"",MONTH(C336),"")</f>
        <v>3</v>
      </c>
      <c r="C336" s="183">
        <f>E336</f>
        <v>42088</v>
      </c>
      <c r="D336" s="183" t="s">
        <v>1558</v>
      </c>
      <c r="E336" s="190">
        <v>42088</v>
      </c>
      <c r="F336" s="188" t="s">
        <v>402</v>
      </c>
      <c r="G336" s="479" t="s">
        <v>548</v>
      </c>
      <c r="H336" s="7" t="s">
        <v>549</v>
      </c>
      <c r="I336" s="256"/>
      <c r="J336" s="255"/>
      <c r="K336" s="593">
        <v>264000</v>
      </c>
      <c r="L336" s="594" t="s">
        <v>259</v>
      </c>
      <c r="M336" s="594" t="s">
        <v>371</v>
      </c>
      <c r="N336" s="52" t="str">
        <f>IF(AND('331-CT'!$E$7=TH!H336,OR(L336="331",M336="331")),"331",IF(AND(OR(L336="131",M336="131"),H336='131-CT'!$E$7),"131",""))</f>
        <v/>
      </c>
      <c r="O336" s="86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99"/>
    </row>
    <row r="337" spans="1:28" s="210" customFormat="1" ht="15.75" customHeight="1">
      <c r="A337" s="203" t="str">
        <f>IF(B337&lt;&gt;"",IF(AND(B337&gt;=_TM1,B337&lt;=_TM2,OR(TH!L337="1111",TH!M337="1111")),TH!D337,""),"")</f>
        <v/>
      </c>
      <c r="B337" s="36">
        <f>IF(C337&lt;&gt;"",MONTH(C337),"")</f>
        <v>3</v>
      </c>
      <c r="C337" s="183">
        <f>E337</f>
        <v>42088</v>
      </c>
      <c r="D337" s="183" t="s">
        <v>1558</v>
      </c>
      <c r="E337" s="190">
        <v>42088</v>
      </c>
      <c r="F337" s="191" t="s">
        <v>1320</v>
      </c>
      <c r="G337" s="479" t="s">
        <v>548</v>
      </c>
      <c r="H337" s="7" t="s">
        <v>549</v>
      </c>
      <c r="I337" s="256"/>
      <c r="J337" s="255"/>
      <c r="K337" s="593">
        <v>2904000</v>
      </c>
      <c r="L337" s="594" t="s">
        <v>47</v>
      </c>
      <c r="M337" s="594" t="s">
        <v>259</v>
      </c>
      <c r="N337" s="52" t="str">
        <f>IF(AND('331-CT'!$E$7=TH!H337,OR(L337="331",M337="331")),"331",IF(AND(OR(L337="131",M337="131"),H337='131-CT'!$E$7),"131",""))</f>
        <v/>
      </c>
      <c r="O337" s="86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>x</v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99"/>
    </row>
    <row r="338" spans="1:28" s="210" customFormat="1" ht="15.75" customHeight="1">
      <c r="A338" s="203" t="str">
        <f>IF(B338&lt;&gt;"",IF(AND(B338&gt;=_TM1,B338&lt;=_TM2,OR(TH!L338="1111",TH!M338="1111")),TH!D338,""),"")</f>
        <v/>
      </c>
      <c r="B338" s="36">
        <f>IF(C338&lt;&gt;"",MONTH(C338),"")</f>
        <v>3</v>
      </c>
      <c r="C338" s="183">
        <f>E338</f>
        <v>42088</v>
      </c>
      <c r="D338" s="183" t="s">
        <v>1559</v>
      </c>
      <c r="E338" s="190">
        <v>42088</v>
      </c>
      <c r="F338" s="188" t="s">
        <v>494</v>
      </c>
      <c r="G338" s="479" t="s">
        <v>552</v>
      </c>
      <c r="H338" s="7" t="s">
        <v>834</v>
      </c>
      <c r="I338" s="256">
        <v>1490</v>
      </c>
      <c r="J338" s="255">
        <v>5400</v>
      </c>
      <c r="K338" s="593">
        <f>ROUND(I338*J338,0)</f>
        <v>8046000</v>
      </c>
      <c r="L338" s="594" t="s">
        <v>259</v>
      </c>
      <c r="M338" s="594" t="s">
        <v>174</v>
      </c>
      <c r="N338" s="52" t="str">
        <f>IF(AND('331-CT'!$E$7=TH!H338,OR(L338="331",M338="331")),"331",IF(AND(OR(L338="131",M338="131"),H338='131-CT'!$E$7),"131",""))</f>
        <v/>
      </c>
      <c r="O338" s="86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99"/>
    </row>
    <row r="339" spans="1:28" s="210" customFormat="1" ht="15.75" customHeight="1">
      <c r="A339" s="203" t="str">
        <f>IF(B339&lt;&gt;"",IF(AND(B339&gt;=_TM1,B339&lt;=_TM2,OR(TH!L339="1111",TH!M339="1111")),TH!D339,""),"")</f>
        <v/>
      </c>
      <c r="B339" s="36">
        <f>IF(C339&lt;&gt;"",MONTH(C339),"")</f>
        <v>3</v>
      </c>
      <c r="C339" s="183">
        <f>E339</f>
        <v>42088</v>
      </c>
      <c r="D339" s="183" t="s">
        <v>1559</v>
      </c>
      <c r="E339" s="190">
        <v>42088</v>
      </c>
      <c r="F339" s="188" t="s">
        <v>402</v>
      </c>
      <c r="G339" s="482" t="s">
        <v>552</v>
      </c>
      <c r="H339" s="7" t="s">
        <v>834</v>
      </c>
      <c r="I339" s="255"/>
      <c r="J339" s="255"/>
      <c r="K339" s="593">
        <v>804600</v>
      </c>
      <c r="L339" s="594" t="s">
        <v>259</v>
      </c>
      <c r="M339" s="594" t="s">
        <v>371</v>
      </c>
      <c r="N339" s="52" t="str">
        <f>IF(AND('331-CT'!$E$7=TH!H339,OR(L339="331",M339="331")),"331",IF(AND(OR(L339="131",M339="131"),H339='131-CT'!$E$7),"131",""))</f>
        <v/>
      </c>
      <c r="O339" s="86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99"/>
    </row>
    <row r="340" spans="1:28" s="210" customFormat="1" ht="15.75" customHeight="1">
      <c r="A340" s="203" t="str">
        <f>IF(B340&lt;&gt;"",IF(AND(B340&gt;=_TM1,B340&lt;=_TM2,OR(TH!L340="1111",TH!M340="1111")),TH!D340,""),"")</f>
        <v/>
      </c>
      <c r="B340" s="36">
        <f>IF(C340&lt;&gt;"",MONTH(C340),"")</f>
        <v>3</v>
      </c>
      <c r="C340" s="183">
        <f>E340</f>
        <v>42088</v>
      </c>
      <c r="D340" s="183" t="s">
        <v>1560</v>
      </c>
      <c r="E340" s="190">
        <v>42088</v>
      </c>
      <c r="F340" s="296" t="s">
        <v>553</v>
      </c>
      <c r="G340" s="482" t="s">
        <v>554</v>
      </c>
      <c r="H340" s="7" t="s">
        <v>555</v>
      </c>
      <c r="I340" s="750">
        <v>100</v>
      </c>
      <c r="J340" s="255">
        <v>16000</v>
      </c>
      <c r="K340" s="593">
        <f>ROUND(I340*J340,0)</f>
        <v>1600000</v>
      </c>
      <c r="L340" s="594" t="s">
        <v>259</v>
      </c>
      <c r="M340" s="594" t="s">
        <v>174</v>
      </c>
      <c r="N340" s="52" t="str">
        <f>IF(AND('331-CT'!$E$7=TH!H340,OR(L340="331",M340="331")),"331",IF(AND(OR(L340="131",M340="131"),H340='131-CT'!$E$7),"131",""))</f>
        <v/>
      </c>
      <c r="O340" s="86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99"/>
    </row>
    <row r="341" spans="1:28" s="210" customFormat="1" ht="15.75" customHeight="1">
      <c r="A341" s="203" t="str">
        <f>IF(B341&lt;&gt;"",IF(AND(B341&gt;=_TM1,B341&lt;=_TM2,OR(TH!L341="1111",TH!M341="1111")),TH!D341,""),"")</f>
        <v/>
      </c>
      <c r="B341" s="36">
        <f>IF(C341&lt;&gt;"",MONTH(C341),"")</f>
        <v>3</v>
      </c>
      <c r="C341" s="183">
        <f>E341</f>
        <v>42088</v>
      </c>
      <c r="D341" s="183" t="s">
        <v>1560</v>
      </c>
      <c r="E341" s="190">
        <v>42088</v>
      </c>
      <c r="F341" s="188" t="s">
        <v>402</v>
      </c>
      <c r="G341" s="482" t="s">
        <v>554</v>
      </c>
      <c r="H341" s="7" t="s">
        <v>555</v>
      </c>
      <c r="I341" s="761"/>
      <c r="J341" s="255"/>
      <c r="K341" s="593">
        <v>160000</v>
      </c>
      <c r="L341" s="594" t="s">
        <v>259</v>
      </c>
      <c r="M341" s="594" t="s">
        <v>371</v>
      </c>
      <c r="N341" s="52" t="str">
        <f>IF(AND('331-CT'!$E$7=TH!H341,OR(L341="331",M341="331")),"331",IF(AND(OR(L341="131",M341="131"),H341='131-CT'!$E$7),"131",""))</f>
        <v/>
      </c>
      <c r="O341" s="86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99"/>
    </row>
    <row r="342" spans="1:28" s="210" customFormat="1" ht="15.75" customHeight="1">
      <c r="A342" s="203" t="str">
        <f>IF(B342&lt;&gt;"",IF(AND(B342&gt;=_TM1,B342&lt;=_TM2,OR(TH!L342="1111",TH!M342="1111")),TH!D342,""),"")</f>
        <v/>
      </c>
      <c r="B342" s="36">
        <f>IF(C342&lt;&gt;"",MONTH(C342),"")</f>
        <v>3</v>
      </c>
      <c r="C342" s="183">
        <f>E342</f>
        <v>42088</v>
      </c>
      <c r="D342" s="183" t="s">
        <v>1560</v>
      </c>
      <c r="E342" s="190">
        <v>42088</v>
      </c>
      <c r="F342" s="191" t="s">
        <v>1320</v>
      </c>
      <c r="G342" s="482" t="s">
        <v>554</v>
      </c>
      <c r="H342" s="7" t="s">
        <v>555</v>
      </c>
      <c r="I342" s="761"/>
      <c r="J342" s="255"/>
      <c r="K342" s="593">
        <v>1760000</v>
      </c>
      <c r="L342" s="594" t="s">
        <v>47</v>
      </c>
      <c r="M342" s="594" t="s">
        <v>259</v>
      </c>
      <c r="N342" s="52" t="str">
        <f>IF(AND('331-CT'!$E$7=TH!H342,OR(L342="331",M342="331")),"331",IF(AND(OR(L342="131",M342="131"),H342='131-CT'!$E$7),"131",""))</f>
        <v/>
      </c>
      <c r="O342" s="86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>x</v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99"/>
    </row>
    <row r="343" spans="1:28" s="210" customFormat="1" ht="15.75" customHeight="1">
      <c r="A343" s="203" t="str">
        <f>IF(B343&lt;&gt;"",IF(AND(B343&gt;=_TM1,B343&lt;=_TM2,OR(TH!L343="1111",TH!M343="1111")),TH!D343,""),"")</f>
        <v/>
      </c>
      <c r="B343" s="36">
        <f>IF(C343&lt;&gt;"",MONTH(C343),"")</f>
        <v>3</v>
      </c>
      <c r="C343" s="183">
        <f>E343</f>
        <v>42088</v>
      </c>
      <c r="D343" s="183" t="s">
        <v>1561</v>
      </c>
      <c r="E343" s="190">
        <v>42088</v>
      </c>
      <c r="F343" s="188" t="s">
        <v>474</v>
      </c>
      <c r="G343" s="482" t="s">
        <v>556</v>
      </c>
      <c r="H343" s="192" t="s">
        <v>872</v>
      </c>
      <c r="I343" s="750">
        <v>30</v>
      </c>
      <c r="J343" s="255">
        <v>13500</v>
      </c>
      <c r="K343" s="593">
        <f>ROUND(I343*J343,0)</f>
        <v>405000</v>
      </c>
      <c r="L343" s="594" t="s">
        <v>259</v>
      </c>
      <c r="M343" s="594" t="s">
        <v>174</v>
      </c>
      <c r="N343" s="52" t="str">
        <f>IF(AND('331-CT'!$E$7=TH!H343,OR(L343="331",M343="331")),"331",IF(AND(OR(L343="131",M343="131"),H343='131-CT'!$E$7),"131",""))</f>
        <v/>
      </c>
      <c r="O343" s="86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99"/>
    </row>
    <row r="344" spans="1:28" s="210" customFormat="1" ht="15.75" customHeight="1">
      <c r="A344" s="203" t="str">
        <f>IF(B344&lt;&gt;"",IF(AND(B344&gt;=_TM1,B344&lt;=_TM2,OR(TH!L344="1111",TH!M344="1111")),TH!D344,""),"")</f>
        <v/>
      </c>
      <c r="B344" s="36">
        <f>IF(C344&lt;&gt;"",MONTH(C344),"")</f>
        <v>3</v>
      </c>
      <c r="C344" s="183">
        <f>E344</f>
        <v>42088</v>
      </c>
      <c r="D344" s="183" t="s">
        <v>1561</v>
      </c>
      <c r="E344" s="183">
        <v>42088</v>
      </c>
      <c r="F344" s="188" t="s">
        <v>557</v>
      </c>
      <c r="G344" s="595" t="s">
        <v>556</v>
      </c>
      <c r="H344" s="192" t="s">
        <v>872</v>
      </c>
      <c r="I344" s="255">
        <v>347</v>
      </c>
      <c r="J344" s="255">
        <v>19400</v>
      </c>
      <c r="K344" s="593">
        <f>ROUND(I344*J344,0)</f>
        <v>6731800</v>
      </c>
      <c r="L344" s="594" t="s">
        <v>259</v>
      </c>
      <c r="M344" s="594" t="s">
        <v>174</v>
      </c>
      <c r="N344" s="52" t="str">
        <f>IF(AND('331-CT'!$E$7=TH!H344,OR(L344="331",M344="331")),"331",IF(AND(OR(L344="131",M344="131"),H344='131-CT'!$E$7),"131",""))</f>
        <v/>
      </c>
      <c r="O344" s="86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99"/>
    </row>
    <row r="345" spans="1:28" s="210" customFormat="1" ht="15.75" customHeight="1">
      <c r="A345" s="203" t="str">
        <f>IF(B345&lt;&gt;"",IF(AND(B345&gt;=_TM1,B345&lt;=_TM2,OR(TH!L345="1111",TH!M345="1111")),TH!D345,""),"")</f>
        <v/>
      </c>
      <c r="B345" s="36">
        <f>IF(C345&lt;&gt;"",MONTH(C345),"")</f>
        <v>3</v>
      </c>
      <c r="C345" s="183">
        <f>E345</f>
        <v>42088</v>
      </c>
      <c r="D345" s="183" t="s">
        <v>1561</v>
      </c>
      <c r="E345" s="37">
        <v>42088</v>
      </c>
      <c r="F345" s="40" t="s">
        <v>402</v>
      </c>
      <c r="G345" s="479" t="s">
        <v>556</v>
      </c>
      <c r="H345" s="192" t="s">
        <v>872</v>
      </c>
      <c r="I345" s="255"/>
      <c r="J345" s="255"/>
      <c r="K345" s="38">
        <v>713680</v>
      </c>
      <c r="L345" s="594" t="s">
        <v>259</v>
      </c>
      <c r="M345" s="594" t="s">
        <v>371</v>
      </c>
      <c r="N345" s="52" t="str">
        <f>IF(AND('331-CT'!$E$7=TH!H345,OR(L345="331",M345="331")),"331",IF(AND(OR(L345="131",M345="131"),H345='131-CT'!$E$7),"131",""))</f>
        <v/>
      </c>
      <c r="O345" s="86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99"/>
    </row>
    <row r="346" spans="1:28" s="210" customFormat="1" ht="15.75" customHeight="1">
      <c r="A346" s="203" t="str">
        <f>IF(B346&lt;&gt;"",IF(AND(B346&gt;=_TM1,B346&lt;=_TM2,OR(TH!L346="1111",TH!M346="1111")),TH!D346,""),"")</f>
        <v/>
      </c>
      <c r="B346" s="36">
        <f>IF(C346&lt;&gt;"",MONTH(C346),"")</f>
        <v>3</v>
      </c>
      <c r="C346" s="183">
        <f>E346</f>
        <v>42088</v>
      </c>
      <c r="D346" s="190" t="s">
        <v>1319</v>
      </c>
      <c r="E346" s="37">
        <v>42088</v>
      </c>
      <c r="F346" s="191" t="s">
        <v>1321</v>
      </c>
      <c r="G346" s="482" t="s">
        <v>332</v>
      </c>
      <c r="H346" s="7"/>
      <c r="I346" s="255"/>
      <c r="J346" s="255"/>
      <c r="K346" s="593">
        <v>4054</v>
      </c>
      <c r="L346" s="193" t="s">
        <v>24</v>
      </c>
      <c r="M346" s="193" t="s">
        <v>40</v>
      </c>
      <c r="N346" s="52" t="str">
        <f>IF(AND('331-CT'!$E$7=TH!H346,OR(L346="331",M346="331")),"331",IF(AND(OR(L346="131",M346="131"),H346='131-CT'!$E$7),"131",""))</f>
        <v/>
      </c>
      <c r="O346" s="86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>x</v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99"/>
    </row>
    <row r="347" spans="1:28" s="210" customFormat="1" ht="15.75" customHeight="1">
      <c r="A347" s="203" t="str">
        <f>IF(B347&lt;&gt;"",IF(AND(B347&gt;=_TM1,B347&lt;=_TM2,OR(TH!L347="1111",TH!M347="1111")),TH!D347,""),"")</f>
        <v/>
      </c>
      <c r="B347" s="36">
        <f>IF(C347&lt;&gt;"",MONTH(C347),"")</f>
        <v>3</v>
      </c>
      <c r="C347" s="183">
        <f>E347</f>
        <v>42089</v>
      </c>
      <c r="D347" s="37" t="s">
        <v>1965</v>
      </c>
      <c r="E347" s="727">
        <v>42089</v>
      </c>
      <c r="F347" s="191" t="s">
        <v>1380</v>
      </c>
      <c r="G347" s="482" t="s">
        <v>787</v>
      </c>
      <c r="H347" s="192" t="s">
        <v>1376</v>
      </c>
      <c r="I347" s="255">
        <v>2200</v>
      </c>
      <c r="J347" s="255">
        <v>8000</v>
      </c>
      <c r="K347" s="593">
        <f>ROUND(I347*J347,0)</f>
        <v>17600000</v>
      </c>
      <c r="L347" s="594" t="s">
        <v>159</v>
      </c>
      <c r="M347" s="594" t="s">
        <v>8</v>
      </c>
      <c r="N347" s="52" t="str">
        <f>IF(AND('331-CT'!$E$7=TH!H347,OR(L347="331",M347="331")),"331",IF(AND(OR(L347="131",M347="131"),H347='131-CT'!$E$7),"131",""))</f>
        <v/>
      </c>
      <c r="O347" s="86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>x</v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99"/>
    </row>
    <row r="348" spans="1:28" s="210" customFormat="1" ht="15.75" customHeight="1">
      <c r="A348" s="203" t="str">
        <f>IF(B348&lt;&gt;"",IF(AND(B348&gt;=_TM1,B348&lt;=_TM2,OR(TH!L348="1111",TH!M348="1111")),TH!D348,""),"")</f>
        <v/>
      </c>
      <c r="B348" s="36">
        <f>IF(C348&lt;&gt;"",MONTH(C348),"")</f>
        <v>3</v>
      </c>
      <c r="C348" s="183">
        <f>E348</f>
        <v>42089</v>
      </c>
      <c r="D348" s="37" t="s">
        <v>1965</v>
      </c>
      <c r="E348" s="727">
        <v>42089</v>
      </c>
      <c r="F348" s="191" t="s">
        <v>1381</v>
      </c>
      <c r="G348" s="482" t="s">
        <v>787</v>
      </c>
      <c r="H348" s="192" t="s">
        <v>1376</v>
      </c>
      <c r="I348" s="255"/>
      <c r="J348" s="255"/>
      <c r="K348" s="593">
        <v>1760000</v>
      </c>
      <c r="L348" s="594" t="s">
        <v>9</v>
      </c>
      <c r="M348" s="594" t="s">
        <v>8</v>
      </c>
      <c r="N348" s="52" t="str">
        <f>IF(AND('331-CT'!$E$7=TH!H348,OR(L348="331",M348="331")),"331",IF(AND(OR(L348="131",M348="131"),H348='131-CT'!$E$7),"131",""))</f>
        <v/>
      </c>
      <c r="O348" s="86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99"/>
    </row>
    <row r="349" spans="1:28" s="210" customFormat="1" ht="15.75" customHeight="1">
      <c r="A349" s="203" t="str">
        <f>IF(B349&lt;&gt;"",IF(AND(B349&gt;=_TM1,B349&lt;=_TM2,OR(TH!L349="1111",TH!M349="1111")),TH!D349,""),"")</f>
        <v/>
      </c>
      <c r="B349" s="36">
        <f>IF(C349&lt;&gt;"",MONTH(C349),"")</f>
        <v>3</v>
      </c>
      <c r="C349" s="183">
        <f>E349</f>
        <v>42089</v>
      </c>
      <c r="D349" s="37" t="s">
        <v>1965</v>
      </c>
      <c r="E349" s="727">
        <v>42089</v>
      </c>
      <c r="F349" s="296" t="s">
        <v>1326</v>
      </c>
      <c r="G349" s="482" t="s">
        <v>787</v>
      </c>
      <c r="H349" s="192" t="s">
        <v>1376</v>
      </c>
      <c r="I349" s="255"/>
      <c r="J349" s="255"/>
      <c r="K349" s="593">
        <v>19360000</v>
      </c>
      <c r="L349" s="594" t="s">
        <v>8</v>
      </c>
      <c r="M349" s="594" t="s">
        <v>47</v>
      </c>
      <c r="N349" s="52" t="str">
        <f>IF(AND('331-CT'!$E$7=TH!H349,OR(L349="331",M349="331")),"331",IF(AND(OR(L349="131",M349="131"),H349='131-CT'!$E$7),"131",""))</f>
        <v/>
      </c>
      <c r="O349" s="86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>x</v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99"/>
    </row>
    <row r="350" spans="1:28" s="210" customFormat="1" ht="15.75" customHeight="1">
      <c r="A350" s="203" t="str">
        <f>IF(B350&lt;&gt;"",IF(AND(B350&gt;=_TM1,B350&lt;=_TM2,OR(TH!L350="1111",TH!M350="1111")),TH!D350,""),"")</f>
        <v/>
      </c>
      <c r="B350" s="36">
        <f>IF(C350&lt;&gt;"",MONTH(C350),"")</f>
        <v>3</v>
      </c>
      <c r="C350" s="183">
        <f>E350</f>
        <v>42090</v>
      </c>
      <c r="D350" s="183" t="s">
        <v>1562</v>
      </c>
      <c r="E350" s="37">
        <v>42090</v>
      </c>
      <c r="F350" s="40" t="s">
        <v>560</v>
      </c>
      <c r="G350" s="481" t="s">
        <v>561</v>
      </c>
      <c r="H350" s="7" t="s">
        <v>412</v>
      </c>
      <c r="I350" s="255">
        <v>214</v>
      </c>
      <c r="J350" s="255">
        <v>4200</v>
      </c>
      <c r="K350" s="593">
        <f>ROUND(I350*J350,0)</f>
        <v>898800</v>
      </c>
      <c r="L350" s="594" t="s">
        <v>259</v>
      </c>
      <c r="M350" s="594" t="s">
        <v>174</v>
      </c>
      <c r="N350" s="52" t="str">
        <f>IF(AND('331-CT'!$E$7=TH!H350,OR(L350="331",M350="331")),"331",IF(AND(OR(L350="131",M350="131"),H350='131-CT'!$E$7),"131",""))</f>
        <v/>
      </c>
      <c r="O350" s="86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99"/>
    </row>
    <row r="351" spans="1:28" s="210" customFormat="1" ht="15.75" customHeight="1">
      <c r="A351" s="203" t="str">
        <f>IF(B351&lt;&gt;"",IF(AND(B351&gt;=_TM1,B351&lt;=_TM2,OR(TH!L351="1111",TH!M351="1111")),TH!D351,""),"")</f>
        <v/>
      </c>
      <c r="B351" s="36">
        <f>IF(C351&lt;&gt;"",MONTH(C351),"")</f>
        <v>3</v>
      </c>
      <c r="C351" s="183">
        <f>E351</f>
        <v>42090</v>
      </c>
      <c r="D351" s="183" t="s">
        <v>1562</v>
      </c>
      <c r="E351" s="37">
        <v>42090</v>
      </c>
      <c r="F351" s="40" t="s">
        <v>402</v>
      </c>
      <c r="G351" s="481" t="s">
        <v>561</v>
      </c>
      <c r="H351" s="7" t="s">
        <v>412</v>
      </c>
      <c r="I351" s="255"/>
      <c r="J351" s="255"/>
      <c r="K351" s="38">
        <v>89880</v>
      </c>
      <c r="L351" s="594" t="s">
        <v>259</v>
      </c>
      <c r="M351" s="594" t="s">
        <v>371</v>
      </c>
      <c r="N351" s="52" t="str">
        <f>IF(AND('331-CT'!$E$7=TH!H351,OR(L351="331",M351="331")),"331",IF(AND(OR(L351="131",M351="131"),H351='131-CT'!$E$7),"131",""))</f>
        <v/>
      </c>
      <c r="O351" s="86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99"/>
    </row>
    <row r="352" spans="1:28" s="585" customFormat="1" ht="15.75" customHeight="1">
      <c r="A352" s="203" t="str">
        <f>IF(B352&lt;&gt;"",IF(AND(B352&gt;=_TM1,B352&lt;=_TM2,OR(TH!L352="1111",TH!M352="1111")),TH!D352,""),"")</f>
        <v/>
      </c>
      <c r="B352" s="36">
        <f>IF(C352&lt;&gt;"",MONTH(C352),"")</f>
        <v>3</v>
      </c>
      <c r="C352" s="183">
        <f>E352</f>
        <v>42090</v>
      </c>
      <c r="D352" s="183" t="s">
        <v>1562</v>
      </c>
      <c r="E352" s="37">
        <v>42090</v>
      </c>
      <c r="F352" s="191" t="s">
        <v>1320</v>
      </c>
      <c r="G352" s="481" t="s">
        <v>2040</v>
      </c>
      <c r="H352" s="7" t="s">
        <v>412</v>
      </c>
      <c r="I352" s="255"/>
      <c r="J352" s="255"/>
      <c r="K352" s="38">
        <f>7137900+6571950+8083625+988680</f>
        <v>22782155</v>
      </c>
      <c r="L352" s="594" t="s">
        <v>47</v>
      </c>
      <c r="M352" s="594" t="s">
        <v>259</v>
      </c>
      <c r="N352" s="52" t="str">
        <f>IF(AND('331-CT'!$E$7=TH!H352,OR(L352="331",M352="331")),"331",IF(AND(OR(L352="131",M352="131"),H352='131-CT'!$E$7),"131",""))</f>
        <v/>
      </c>
      <c r="O352" s="86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>x</v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99"/>
      <c r="AB352" s="210"/>
    </row>
    <row r="353" spans="1:28" s="585" customFormat="1" ht="15.75" customHeight="1">
      <c r="A353" s="203" t="str">
        <f>IF(B353&lt;&gt;"",IF(AND(B353&gt;=_TM1,B353&lt;=_TM2,OR(TH!L353="1111",TH!M353="1111")),TH!D353,""),"")</f>
        <v/>
      </c>
      <c r="B353" s="36">
        <f>IF(C353&lt;&gt;"",MONTH(C353),"")</f>
        <v>3</v>
      </c>
      <c r="C353" s="183">
        <f>E353</f>
        <v>42090</v>
      </c>
      <c r="D353" s="183" t="s">
        <v>1563</v>
      </c>
      <c r="E353" s="183">
        <v>42090</v>
      </c>
      <c r="F353" s="188" t="s">
        <v>1697</v>
      </c>
      <c r="G353" s="595" t="s">
        <v>562</v>
      </c>
      <c r="H353" s="7" t="s">
        <v>563</v>
      </c>
      <c r="I353" s="255">
        <v>1900</v>
      </c>
      <c r="J353" s="255">
        <v>9183</v>
      </c>
      <c r="K353" s="593">
        <f>ROUND(I353*J353,0)</f>
        <v>17447700</v>
      </c>
      <c r="L353" s="594" t="s">
        <v>259</v>
      </c>
      <c r="M353" s="594" t="s">
        <v>174</v>
      </c>
      <c r="N353" s="52" t="str">
        <f>IF(AND('331-CT'!$E$7=TH!H353,OR(L353="331",M353="331")),"331",IF(AND(OR(L353="131",M353="131"),H353='131-CT'!$E$7),"131",""))</f>
        <v/>
      </c>
      <c r="O353" s="86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99"/>
      <c r="AB353" s="210"/>
    </row>
    <row r="354" spans="1:28" s="585" customFormat="1" ht="15.75" customHeight="1">
      <c r="A354" s="203" t="str">
        <f>IF(B354&lt;&gt;"",IF(AND(B354&gt;=_TM1,B354&lt;=_TM2,OR(TH!L354="1111",TH!M354="1111")),TH!D354,""),"")</f>
        <v/>
      </c>
      <c r="B354" s="36">
        <f>IF(C354&lt;&gt;"",MONTH(C354),"")</f>
        <v>3</v>
      </c>
      <c r="C354" s="183">
        <f>E354</f>
        <v>42090</v>
      </c>
      <c r="D354" s="183" t="s">
        <v>1563</v>
      </c>
      <c r="E354" s="183">
        <v>42090</v>
      </c>
      <c r="F354" s="188" t="s">
        <v>465</v>
      </c>
      <c r="G354" s="595" t="s">
        <v>562</v>
      </c>
      <c r="H354" s="7" t="s">
        <v>563</v>
      </c>
      <c r="I354" s="255"/>
      <c r="J354" s="255"/>
      <c r="K354" s="593">
        <v>1744770</v>
      </c>
      <c r="L354" s="594" t="s">
        <v>259</v>
      </c>
      <c r="M354" s="594" t="s">
        <v>371</v>
      </c>
      <c r="N354" s="52" t="str">
        <f>IF(AND('331-CT'!$E$7=TH!H354,OR(L354="331",M354="331")),"331",IF(AND(OR(L354="131",M354="131"),H354='131-CT'!$E$7),"131",""))</f>
        <v/>
      </c>
      <c r="O354" s="86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99"/>
      <c r="AB354" s="210"/>
    </row>
    <row r="355" spans="1:28" s="585" customFormat="1" ht="15.75" customHeight="1">
      <c r="A355" s="203" t="str">
        <f>IF(B355&lt;&gt;"",IF(AND(B355&gt;=_TM1,B355&lt;=_TM2,OR(TH!L355="1111",TH!M355="1111")),TH!D355,""),"")</f>
        <v/>
      </c>
      <c r="B355" s="36">
        <f>IF(C355&lt;&gt;"",MONTH(C355),"")</f>
        <v>3</v>
      </c>
      <c r="C355" s="183">
        <f>E355</f>
        <v>42090</v>
      </c>
      <c r="D355" s="183" t="s">
        <v>1563</v>
      </c>
      <c r="E355" s="183">
        <v>42090</v>
      </c>
      <c r="F355" s="191" t="s">
        <v>1320</v>
      </c>
      <c r="G355" s="595" t="s">
        <v>562</v>
      </c>
      <c r="H355" s="7" t="s">
        <v>563</v>
      </c>
      <c r="I355" s="255"/>
      <c r="J355" s="255"/>
      <c r="K355" s="593">
        <v>19192470</v>
      </c>
      <c r="L355" s="594" t="s">
        <v>47</v>
      </c>
      <c r="M355" s="594" t="s">
        <v>259</v>
      </c>
      <c r="N355" s="52" t="str">
        <f>IF(AND('331-CT'!$E$7=TH!H355,OR(L355="331",M355="331")),"331",IF(AND(OR(L355="131",M355="131"),H355='131-CT'!$E$7),"131",""))</f>
        <v/>
      </c>
      <c r="O355" s="86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>x</v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99"/>
      <c r="AB355" s="210"/>
    </row>
    <row r="356" spans="1:28" s="585" customFormat="1" ht="15.75" customHeight="1">
      <c r="A356" s="203" t="str">
        <f>IF(B356&lt;&gt;"",IF(AND(B356&gt;=_TM1,B356&lt;=_TM2,OR(TH!L356="1111",TH!M356="1111")),TH!D356,""),"")</f>
        <v/>
      </c>
      <c r="B356" s="36">
        <f>IF(C356&lt;&gt;"",MONTH(C356),"")</f>
        <v>3</v>
      </c>
      <c r="C356" s="183">
        <f>E356</f>
        <v>42090</v>
      </c>
      <c r="D356" s="37" t="s">
        <v>1966</v>
      </c>
      <c r="E356" s="190">
        <v>42090</v>
      </c>
      <c r="F356" s="188" t="s">
        <v>1359</v>
      </c>
      <c r="G356" s="482" t="s">
        <v>1261</v>
      </c>
      <c r="H356" s="7" t="s">
        <v>1356</v>
      </c>
      <c r="I356" s="255">
        <v>5000</v>
      </c>
      <c r="J356" s="255">
        <v>7800</v>
      </c>
      <c r="K356" s="593">
        <f>ROUND(I356*J356,0)</f>
        <v>39000000</v>
      </c>
      <c r="L356" s="594" t="s">
        <v>159</v>
      </c>
      <c r="M356" s="594" t="s">
        <v>8</v>
      </c>
      <c r="N356" s="52" t="str">
        <f>IF(AND('331-CT'!$E$7=TH!H356,OR(L356="331",M356="331")),"331",IF(AND(OR(L356="131",M356="131"),H356='131-CT'!$E$7),"131",""))</f>
        <v/>
      </c>
      <c r="O356" s="86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99"/>
      <c r="AB356" s="210"/>
    </row>
    <row r="357" spans="1:28" s="585" customFormat="1" ht="15.75" customHeight="1">
      <c r="A357" s="203" t="str">
        <f>IF(B357&lt;&gt;"",IF(AND(B357&gt;=_TM1,B357&lt;=_TM2,OR(TH!L357="1111",TH!M357="1111")),TH!D357,""),"")</f>
        <v/>
      </c>
      <c r="B357" s="36">
        <f>IF(C357&lt;&gt;"",MONTH(C357),"")</f>
        <v>3</v>
      </c>
      <c r="C357" s="183">
        <f>E357</f>
        <v>42090</v>
      </c>
      <c r="D357" s="37" t="s">
        <v>1966</v>
      </c>
      <c r="E357" s="190">
        <v>42090</v>
      </c>
      <c r="F357" s="188" t="s">
        <v>1360</v>
      </c>
      <c r="G357" s="482" t="s">
        <v>1261</v>
      </c>
      <c r="H357" s="7" t="s">
        <v>1356</v>
      </c>
      <c r="I357" s="255">
        <v>6400</v>
      </c>
      <c r="J357" s="255">
        <v>7800</v>
      </c>
      <c r="K357" s="593">
        <f>ROUND(I357*J357,0)</f>
        <v>49920000</v>
      </c>
      <c r="L357" s="594" t="s">
        <v>159</v>
      </c>
      <c r="M357" s="594" t="s">
        <v>8</v>
      </c>
      <c r="N357" s="52" t="str">
        <f>IF(AND('331-CT'!$E$7=TH!H357,OR(L357="331",M357="331")),"331",IF(AND(OR(L357="131",M357="131"),H357='131-CT'!$E$7),"131",""))</f>
        <v/>
      </c>
      <c r="O357" s="86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99"/>
      <c r="AB357" s="210"/>
    </row>
    <row r="358" spans="1:28" s="585" customFormat="1" ht="15.75" customHeight="1">
      <c r="A358" s="203" t="str">
        <f>IF(B358&lt;&gt;"",IF(AND(B358&gt;=_TM1,B358&lt;=_TM2,OR(TH!L358="1111",TH!M358="1111")),TH!D358,""),"")</f>
        <v/>
      </c>
      <c r="B358" s="36">
        <f>IF(C358&lt;&gt;"",MONTH(C358),"")</f>
        <v>3</v>
      </c>
      <c r="C358" s="183">
        <f>E358</f>
        <v>42090</v>
      </c>
      <c r="D358" s="37" t="s">
        <v>1966</v>
      </c>
      <c r="E358" s="190">
        <v>42090</v>
      </c>
      <c r="F358" s="188" t="s">
        <v>1361</v>
      </c>
      <c r="G358" s="482" t="s">
        <v>1261</v>
      </c>
      <c r="H358" s="7" t="s">
        <v>1356</v>
      </c>
      <c r="I358" s="255">
        <v>4200</v>
      </c>
      <c r="J358" s="255">
        <v>10500</v>
      </c>
      <c r="K358" s="593">
        <f>ROUND(I358*J358,0)</f>
        <v>44100000</v>
      </c>
      <c r="L358" s="594" t="s">
        <v>159</v>
      </c>
      <c r="M358" s="594" t="s">
        <v>8</v>
      </c>
      <c r="N358" s="52" t="str">
        <f>IF(AND('331-CT'!$E$7=TH!H358,OR(L358="331",M358="331")),"331",IF(AND(OR(L358="131",M358="131"),H358='131-CT'!$E$7),"131",""))</f>
        <v/>
      </c>
      <c r="O358" s="86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99"/>
      <c r="AB358" s="210"/>
    </row>
    <row r="359" spans="1:28" s="585" customFormat="1" ht="15.75" customHeight="1">
      <c r="A359" s="203" t="str">
        <f>IF(B359&lt;&gt;"",IF(AND(B359&gt;=_TM1,B359&lt;=_TM2,OR(TH!L359="1111",TH!M359="1111")),TH!D359,""),"")</f>
        <v/>
      </c>
      <c r="B359" s="36">
        <f>IF(C359&lt;&gt;"",MONTH(C359),"")</f>
        <v>3</v>
      </c>
      <c r="C359" s="183">
        <f>E359</f>
        <v>42090</v>
      </c>
      <c r="D359" s="37" t="s">
        <v>1966</v>
      </c>
      <c r="E359" s="190">
        <v>42090</v>
      </c>
      <c r="F359" s="188" t="s">
        <v>1362</v>
      </c>
      <c r="G359" s="482" t="s">
        <v>1261</v>
      </c>
      <c r="H359" s="7" t="s">
        <v>1356</v>
      </c>
      <c r="I359" s="255">
        <v>2152</v>
      </c>
      <c r="J359" s="255">
        <v>9100</v>
      </c>
      <c r="K359" s="593">
        <f>ROUND(I359*J359,0)</f>
        <v>19583200</v>
      </c>
      <c r="L359" s="594" t="s">
        <v>159</v>
      </c>
      <c r="M359" s="594" t="s">
        <v>8</v>
      </c>
      <c r="N359" s="52" t="str">
        <f>IF(AND('331-CT'!$E$7=TH!H359,OR(L359="331",M359="331")),"331",IF(AND(OR(L359="131",M359="131"),H359='131-CT'!$E$7),"131",""))</f>
        <v/>
      </c>
      <c r="O359" s="86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99"/>
      <c r="AB359" s="210"/>
    </row>
    <row r="360" spans="1:28" s="585" customFormat="1" ht="15.75" customHeight="1">
      <c r="A360" s="203" t="str">
        <f>IF(B360&lt;&gt;"",IF(AND(B360&gt;=_TM1,B360&lt;=_TM2,OR(TH!L360="1111",TH!M360="1111")),TH!D360,""),"")</f>
        <v/>
      </c>
      <c r="B360" s="36">
        <f>IF(C360&lt;&gt;"",MONTH(C360),"")</f>
        <v>3</v>
      </c>
      <c r="C360" s="183">
        <f>E360</f>
        <v>42090</v>
      </c>
      <c r="D360" s="37" t="s">
        <v>1966</v>
      </c>
      <c r="E360" s="190">
        <v>42090</v>
      </c>
      <c r="F360" s="188" t="s">
        <v>1363</v>
      </c>
      <c r="G360" s="482" t="s">
        <v>1261</v>
      </c>
      <c r="H360" s="7" t="s">
        <v>1356</v>
      </c>
      <c r="I360" s="255">
        <v>3230</v>
      </c>
      <c r="J360" s="255">
        <v>9100</v>
      </c>
      <c r="K360" s="593">
        <f>ROUND(I360*J360,0)</f>
        <v>29393000</v>
      </c>
      <c r="L360" s="594" t="s">
        <v>159</v>
      </c>
      <c r="M360" s="594" t="s">
        <v>8</v>
      </c>
      <c r="N360" s="52" t="str">
        <f>IF(AND('331-CT'!$E$7=TH!H360,OR(L360="331",M360="331")),"331",IF(AND(OR(L360="131",M360="131"),H360='131-CT'!$E$7),"131",""))</f>
        <v/>
      </c>
      <c r="O360" s="86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99"/>
      <c r="AB360" s="210"/>
    </row>
    <row r="361" spans="1:28" s="585" customFormat="1" ht="15.75" customHeight="1">
      <c r="A361" s="203" t="str">
        <f>IF(B361&lt;&gt;"",IF(AND(B361&gt;=_TM1,B361&lt;=_TM2,OR(TH!L361="1111",TH!M361="1111")),TH!D361,""),"")</f>
        <v/>
      </c>
      <c r="B361" s="36">
        <f>IF(C361&lt;&gt;"",MONTH(C361),"")</f>
        <v>3</v>
      </c>
      <c r="C361" s="183">
        <f>E361</f>
        <v>42090</v>
      </c>
      <c r="D361" s="37" t="s">
        <v>1966</v>
      </c>
      <c r="E361" s="190">
        <v>42090</v>
      </c>
      <c r="F361" s="188" t="s">
        <v>1358</v>
      </c>
      <c r="G361" s="482" t="s">
        <v>1261</v>
      </c>
      <c r="H361" s="7" t="s">
        <v>1356</v>
      </c>
      <c r="I361" s="255"/>
      <c r="J361" s="255"/>
      <c r="K361" s="593">
        <v>18199620</v>
      </c>
      <c r="L361" s="594" t="s">
        <v>9</v>
      </c>
      <c r="M361" s="594" t="s">
        <v>8</v>
      </c>
      <c r="N361" s="52" t="str">
        <f>IF(AND('331-CT'!$E$7=TH!H361,OR(L361="331",M361="331")),"331",IF(AND(OR(L361="131",M361="131"),H361='131-CT'!$E$7),"131",""))</f>
        <v/>
      </c>
      <c r="O361" s="86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99"/>
      <c r="AB361" s="210"/>
    </row>
    <row r="362" spans="1:28" s="585" customFormat="1" ht="15.75" customHeight="1">
      <c r="A362" s="203" t="str">
        <f>IF(B362&lt;&gt;"",IF(AND(B362&gt;=_TM1,B362&lt;=_TM2,OR(TH!L362="1111",TH!M362="1111")),TH!D362,""),"")</f>
        <v/>
      </c>
      <c r="B362" s="36">
        <f>IF(C362&lt;&gt;"",MONTH(C362),"")</f>
        <v>3</v>
      </c>
      <c r="C362" s="183">
        <f>E362</f>
        <v>42091</v>
      </c>
      <c r="D362" s="183" t="s">
        <v>1564</v>
      </c>
      <c r="E362" s="37">
        <v>42091</v>
      </c>
      <c r="F362" s="40" t="s">
        <v>494</v>
      </c>
      <c r="G362" s="479" t="s">
        <v>558</v>
      </c>
      <c r="H362" s="7" t="s">
        <v>834</v>
      </c>
      <c r="I362" s="256">
        <v>504</v>
      </c>
      <c r="J362" s="255">
        <v>5400</v>
      </c>
      <c r="K362" s="593">
        <f>ROUND(I362*J362,0)</f>
        <v>2721600</v>
      </c>
      <c r="L362" s="594" t="s">
        <v>259</v>
      </c>
      <c r="M362" s="594" t="s">
        <v>174</v>
      </c>
      <c r="N362" s="52" t="str">
        <f>IF(AND('331-CT'!$E$7=TH!H362,OR(L362="331",M362="331")),"331",IF(AND(OR(L362="131",M362="131"),H362='131-CT'!$E$7),"131",""))</f>
        <v/>
      </c>
      <c r="O362" s="86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99"/>
      <c r="AB362" s="210"/>
    </row>
    <row r="363" spans="1:28" s="585" customFormat="1" ht="15.75" customHeight="1">
      <c r="A363" s="203" t="str">
        <f>IF(B363&lt;&gt;"",IF(AND(B363&gt;=_TM1,B363&lt;=_TM2,OR(TH!L363="1111",TH!M363="1111")),TH!D363,""),"")</f>
        <v/>
      </c>
      <c r="B363" s="36">
        <f>IF(C363&lt;&gt;"",MONTH(C363),"")</f>
        <v>3</v>
      </c>
      <c r="C363" s="183">
        <f>E363</f>
        <v>42091</v>
      </c>
      <c r="D363" s="183" t="s">
        <v>1564</v>
      </c>
      <c r="E363" s="37">
        <v>42091</v>
      </c>
      <c r="F363" s="40" t="s">
        <v>402</v>
      </c>
      <c r="G363" s="479" t="s">
        <v>558</v>
      </c>
      <c r="H363" s="7" t="s">
        <v>834</v>
      </c>
      <c r="I363" s="256"/>
      <c r="J363" s="255"/>
      <c r="K363" s="38">
        <v>272160</v>
      </c>
      <c r="L363" s="594" t="s">
        <v>259</v>
      </c>
      <c r="M363" s="594" t="s">
        <v>371</v>
      </c>
      <c r="N363" s="52" t="str">
        <f>IF(AND('331-CT'!$E$7=TH!H363,OR(L363="331",M363="331")),"331",IF(AND(OR(L363="131",M363="131"),H363='131-CT'!$E$7),"131",""))</f>
        <v/>
      </c>
      <c r="O363" s="86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99"/>
      <c r="AB363" s="210"/>
    </row>
    <row r="364" spans="1:28" s="585" customFormat="1" ht="15.75" customHeight="1">
      <c r="A364" s="203" t="str">
        <f>IF(B364&lt;&gt;"",IF(AND(B364&gt;=_TM1,B364&lt;=_TM2,OR(TH!L364="1111",TH!M364="1111")),TH!D364,""),"")</f>
        <v/>
      </c>
      <c r="B364" s="36">
        <f>IF(C364&lt;&gt;"",MONTH(C364),"")</f>
        <v>3</v>
      </c>
      <c r="C364" s="183">
        <f>E364</f>
        <v>42091</v>
      </c>
      <c r="D364" s="183" t="s">
        <v>1564</v>
      </c>
      <c r="E364" s="37">
        <v>42091</v>
      </c>
      <c r="F364" s="191" t="s">
        <v>1320</v>
      </c>
      <c r="G364" s="479" t="s">
        <v>2045</v>
      </c>
      <c r="H364" s="7" t="s">
        <v>834</v>
      </c>
      <c r="I364" s="256"/>
      <c r="J364" s="255"/>
      <c r="K364" s="38">
        <f>7616070+8850600+2993760</f>
        <v>19460430</v>
      </c>
      <c r="L364" s="594" t="s">
        <v>47</v>
      </c>
      <c r="M364" s="594" t="s">
        <v>259</v>
      </c>
      <c r="N364" s="52" t="str">
        <f>IF(AND('331-CT'!$E$7=TH!H364,OR(L364="331",M364="331")),"331",IF(AND(OR(L364="131",M364="131"),H364='131-CT'!$E$7),"131",""))</f>
        <v/>
      </c>
      <c r="O364" s="86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>x</v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99"/>
      <c r="AB364" s="210"/>
    </row>
    <row r="365" spans="1:28" s="585" customFormat="1" ht="15.75" customHeight="1">
      <c r="A365" s="203" t="str">
        <f>IF(B365&lt;&gt;"",IF(AND(B365&gt;=_TM1,B365&lt;=_TM2,OR(TH!L365="1111",TH!M365="1111")),TH!D365,""),"")</f>
        <v/>
      </c>
      <c r="B365" s="36">
        <f>IF(C365&lt;&gt;"",MONTH(C365),"")</f>
        <v>3</v>
      </c>
      <c r="C365" s="183">
        <f>E365</f>
        <v>42091</v>
      </c>
      <c r="D365" s="183" t="s">
        <v>1565</v>
      </c>
      <c r="E365" s="37">
        <v>42091</v>
      </c>
      <c r="F365" s="40" t="s">
        <v>454</v>
      </c>
      <c r="G365" s="479" t="s">
        <v>559</v>
      </c>
      <c r="H365" s="7" t="s">
        <v>733</v>
      </c>
      <c r="I365" s="256">
        <v>350</v>
      </c>
      <c r="J365" s="255">
        <v>47449</v>
      </c>
      <c r="K365" s="593">
        <f>ROUND(I365*J365,0)</f>
        <v>16607150</v>
      </c>
      <c r="L365" s="594" t="s">
        <v>259</v>
      </c>
      <c r="M365" s="594" t="s">
        <v>174</v>
      </c>
      <c r="N365" s="52" t="str">
        <f>IF(AND('331-CT'!$E$7=TH!H365,OR(L365="331",M365="331")),"331",IF(AND(OR(L365="131",M365="131"),H365='131-CT'!$E$7),"131",""))</f>
        <v/>
      </c>
      <c r="O365" s="86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99"/>
      <c r="AB365" s="210"/>
    </row>
    <row r="366" spans="1:28" s="585" customFormat="1" ht="15.75" customHeight="1">
      <c r="A366" s="203" t="str">
        <f>IF(B366&lt;&gt;"",IF(AND(B366&gt;=_TM1,B366&lt;=_TM2,OR(TH!L366="1111",TH!M366="1111")),TH!D366,""),"")</f>
        <v/>
      </c>
      <c r="B366" s="36">
        <f>IF(C366&lt;&gt;"",MONTH(C366),"")</f>
        <v>3</v>
      </c>
      <c r="C366" s="183">
        <f>E366</f>
        <v>42091</v>
      </c>
      <c r="D366" s="183" t="s">
        <v>1565</v>
      </c>
      <c r="E366" s="37">
        <v>42091</v>
      </c>
      <c r="F366" s="40" t="s">
        <v>402</v>
      </c>
      <c r="G366" s="479" t="s">
        <v>559</v>
      </c>
      <c r="H366" s="7" t="s">
        <v>733</v>
      </c>
      <c r="I366" s="256"/>
      <c r="J366" s="255"/>
      <c r="K366" s="38">
        <v>1660715</v>
      </c>
      <c r="L366" s="594" t="s">
        <v>259</v>
      </c>
      <c r="M366" s="594" t="s">
        <v>371</v>
      </c>
      <c r="N366" s="52" t="str">
        <f>IF(AND('331-CT'!$E$7=TH!H366,OR(L366="331",M366="331")),"331",IF(AND(OR(L366="131",M366="131"),H366='131-CT'!$E$7),"131",""))</f>
        <v/>
      </c>
      <c r="O366" s="86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99"/>
      <c r="AB366" s="210"/>
    </row>
    <row r="367" spans="1:28" s="210" customFormat="1" ht="15.75" customHeight="1">
      <c r="A367" s="203" t="str">
        <f>IF(B367&lt;&gt;"",IF(AND(B367&gt;=_TM1,B367&lt;=_TM2,OR(TH!L367="1111",TH!M367="1111")),TH!D367,""),"")</f>
        <v/>
      </c>
      <c r="B367" s="36">
        <f>IF(C367&lt;&gt;"",MONTH(C367),"")</f>
        <v>3</v>
      </c>
      <c r="C367" s="183">
        <f>E367</f>
        <v>42091</v>
      </c>
      <c r="D367" s="190" t="s">
        <v>1319</v>
      </c>
      <c r="E367" s="37">
        <v>42091</v>
      </c>
      <c r="F367" s="191" t="s">
        <v>1320</v>
      </c>
      <c r="G367" s="482" t="s">
        <v>332</v>
      </c>
      <c r="H367" s="7" t="s">
        <v>400</v>
      </c>
      <c r="I367" s="255"/>
      <c r="J367" s="255"/>
      <c r="K367" s="593">
        <v>13670475</v>
      </c>
      <c r="L367" s="193" t="s">
        <v>24</v>
      </c>
      <c r="M367" s="193" t="s">
        <v>259</v>
      </c>
      <c r="N367" s="52" t="str">
        <f>IF(AND('331-CT'!$E$7=TH!H367,OR(L367="331",M367="331")),"331",IF(AND(OR(L367="131",M367="131"),H367='131-CT'!$E$7),"131",""))</f>
        <v/>
      </c>
      <c r="O367" s="86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>x</v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99"/>
    </row>
    <row r="368" spans="1:28" s="210" customFormat="1" ht="15.75" customHeight="1">
      <c r="A368" s="203" t="str">
        <f>IF(B368&lt;&gt;"",IF(AND(B368&gt;=_TM1,B368&lt;=_TM2,OR(TH!L368="1111",TH!M368="1111")),TH!D368,""),"")</f>
        <v/>
      </c>
      <c r="B368" s="36">
        <f>IF(C368&lt;&gt;"",MONTH(C368),"")</f>
        <v>3</v>
      </c>
      <c r="C368" s="183">
        <f>E368</f>
        <v>42093</v>
      </c>
      <c r="D368" s="183" t="s">
        <v>1324</v>
      </c>
      <c r="E368" s="190">
        <v>42093</v>
      </c>
      <c r="F368" s="188" t="s">
        <v>1325</v>
      </c>
      <c r="G368" s="482" t="s">
        <v>332</v>
      </c>
      <c r="H368" s="7" t="s">
        <v>1322</v>
      </c>
      <c r="I368" s="255"/>
      <c r="J368" s="255"/>
      <c r="K368" s="593">
        <v>13600000</v>
      </c>
      <c r="L368" s="594" t="s">
        <v>47</v>
      </c>
      <c r="M368" s="594" t="s">
        <v>24</v>
      </c>
      <c r="N368" s="52" t="str">
        <f>IF(AND('331-CT'!$E$7=TH!H368,OR(L368="331",M368="331")),"331",IF(AND(OR(L368="131",M368="131"),H368='131-CT'!$E$7),"131",""))</f>
        <v/>
      </c>
      <c r="O368" s="86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>x</v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>x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99"/>
    </row>
    <row r="369" spans="1:28" s="585" customFormat="1" ht="15.75" customHeight="1">
      <c r="A369" s="203" t="str">
        <f>IF(B369&lt;&gt;"",IF(AND(B369&gt;=_TM1,B369&lt;=_TM2,OR(TH!L369="1111",TH!M369="1111")),TH!D369,""),"")</f>
        <v/>
      </c>
      <c r="B369" s="36">
        <f>IF(C369&lt;&gt;"",MONTH(C369),"")</f>
        <v>3</v>
      </c>
      <c r="C369" s="183">
        <f>E369</f>
        <v>42093</v>
      </c>
      <c r="D369" s="183" t="s">
        <v>1319</v>
      </c>
      <c r="E369" s="727">
        <v>42093</v>
      </c>
      <c r="F369" s="191" t="s">
        <v>1896</v>
      </c>
      <c r="G369" s="191" t="s">
        <v>1893</v>
      </c>
      <c r="H369" s="192" t="s">
        <v>1334</v>
      </c>
      <c r="I369" s="255"/>
      <c r="J369" s="255"/>
      <c r="K369" s="593">
        <v>11630000</v>
      </c>
      <c r="L369" s="193" t="s">
        <v>24</v>
      </c>
      <c r="M369" s="193" t="s">
        <v>47</v>
      </c>
      <c r="N369" s="52" t="str">
        <f>IF(AND('331-CT'!$E$7=TH!H369,OR(L369="331",M369="331")),"331",IF(AND(OR(L369="131",M369="131"),H369='131-CT'!$E$7),"131",""))</f>
        <v/>
      </c>
      <c r="O369" s="86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>x</v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99"/>
      <c r="AB369" s="210"/>
    </row>
    <row r="370" spans="1:28" s="585" customFormat="1" ht="15.75" customHeight="1">
      <c r="A370" s="203" t="str">
        <f>IF(B370&lt;&gt;"",IF(AND(B370&gt;=_TM1,B370&lt;=_TM2,OR(TH!L370="1111",TH!M370="1111")),TH!D370,""),"")</f>
        <v/>
      </c>
      <c r="B370" s="36">
        <f>IF(C370&lt;&gt;"",MONTH(C370),"")</f>
        <v>3</v>
      </c>
      <c r="C370" s="183">
        <f>E370</f>
        <v>42093</v>
      </c>
      <c r="D370" s="190" t="s">
        <v>1324</v>
      </c>
      <c r="E370" s="727">
        <v>42093</v>
      </c>
      <c r="F370" s="191" t="s">
        <v>1897</v>
      </c>
      <c r="G370" s="191" t="s">
        <v>1893</v>
      </c>
      <c r="H370" s="7" t="s">
        <v>1875</v>
      </c>
      <c r="I370" s="256"/>
      <c r="J370" s="256"/>
      <c r="K370" s="593">
        <v>9722222</v>
      </c>
      <c r="L370" s="193" t="s">
        <v>81</v>
      </c>
      <c r="M370" s="193" t="s">
        <v>24</v>
      </c>
      <c r="N370" s="52" t="str">
        <f>IF(AND('331-CT'!$E$7=TH!H370,OR(L370="331",M370="331")),"331",IF(AND(OR(L370="131",M370="131"),H370='131-CT'!$E$7),"131",""))</f>
        <v/>
      </c>
      <c r="O370" s="86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99"/>
      <c r="AB370" s="210"/>
    </row>
    <row r="371" spans="1:28" s="585" customFormat="1" ht="15.75" customHeight="1">
      <c r="A371" s="203" t="str">
        <f>IF(B371&lt;&gt;"",IF(AND(B371&gt;=_TM1,B371&lt;=_TM2,OR(TH!L371="1111",TH!M371="1111")),TH!D371,""),"")</f>
        <v/>
      </c>
      <c r="B371" s="36">
        <f>IF(C371&lt;&gt;"",MONTH(C371),"")</f>
        <v>3</v>
      </c>
      <c r="C371" s="183">
        <f>E371</f>
        <v>42093</v>
      </c>
      <c r="D371" s="190" t="s">
        <v>1324</v>
      </c>
      <c r="E371" s="727">
        <v>42093</v>
      </c>
      <c r="F371" s="191" t="s">
        <v>1897</v>
      </c>
      <c r="G371" s="191" t="s">
        <v>1893</v>
      </c>
      <c r="H371" s="7" t="s">
        <v>1877</v>
      </c>
      <c r="I371" s="255"/>
      <c r="J371" s="255"/>
      <c r="K371" s="593">
        <v>542049</v>
      </c>
      <c r="L371" s="193" t="s">
        <v>81</v>
      </c>
      <c r="M371" s="193" t="s">
        <v>24</v>
      </c>
      <c r="N371" s="52" t="str">
        <f>IF(AND('331-CT'!$E$7=TH!H371,OR(L371="331",M371="331")),"331",IF(AND(OR(L371="131",M371="131"),H371='131-CT'!$E$7),"131",""))</f>
        <v/>
      </c>
      <c r="O371" s="86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99"/>
      <c r="AB371" s="210"/>
    </row>
    <row r="372" spans="1:28" s="585" customFormat="1" ht="15.75" customHeight="1">
      <c r="A372" s="203" t="str">
        <f>IF(B372&lt;&gt;"",IF(AND(B372&gt;=_TM1,B372&lt;=_TM2,OR(TH!L372="1111",TH!M372="1111")),TH!D372,""),"")</f>
        <v/>
      </c>
      <c r="B372" s="36">
        <f>IF(C372&lt;&gt;"",MONTH(C372),"")</f>
        <v>3</v>
      </c>
      <c r="C372" s="183">
        <f>E372</f>
        <v>42093</v>
      </c>
      <c r="D372" s="190" t="s">
        <v>1324</v>
      </c>
      <c r="E372" s="727">
        <v>42093</v>
      </c>
      <c r="F372" s="191" t="s">
        <v>1897</v>
      </c>
      <c r="G372" s="191" t="s">
        <v>1893</v>
      </c>
      <c r="H372" s="7" t="s">
        <v>1878</v>
      </c>
      <c r="I372" s="256"/>
      <c r="J372" s="256"/>
      <c r="K372" s="593">
        <v>542049</v>
      </c>
      <c r="L372" s="193" t="s">
        <v>81</v>
      </c>
      <c r="M372" s="193" t="s">
        <v>24</v>
      </c>
      <c r="N372" s="52" t="str">
        <f>IF(AND('331-CT'!$E$7=TH!H372,OR(L372="331",M372="331")),"331",IF(AND(OR(L372="131",M372="131"),H372='131-CT'!$E$7),"131",""))</f>
        <v/>
      </c>
      <c r="O372" s="86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99"/>
      <c r="AB372" s="210"/>
    </row>
    <row r="373" spans="1:28" s="585" customFormat="1" ht="15.75" customHeight="1">
      <c r="A373" s="203" t="str">
        <f>IF(B373&lt;&gt;"",IF(AND(B373&gt;=_TM1,B373&lt;=_TM2,OR(TH!L373="1111",TH!M373="1111")),TH!D373,""),"")</f>
        <v/>
      </c>
      <c r="B373" s="36">
        <f>IF(C373&lt;&gt;"",MONTH(C373),"")</f>
        <v>3</v>
      </c>
      <c r="C373" s="183">
        <f>E373</f>
        <v>42093</v>
      </c>
      <c r="D373" s="190" t="s">
        <v>1324</v>
      </c>
      <c r="E373" s="727">
        <v>42093</v>
      </c>
      <c r="F373" s="191" t="s">
        <v>1897</v>
      </c>
      <c r="G373" s="482" t="s">
        <v>1893</v>
      </c>
      <c r="H373" s="7" t="s">
        <v>1879</v>
      </c>
      <c r="I373" s="255"/>
      <c r="J373" s="255"/>
      <c r="K373" s="593">
        <v>533011</v>
      </c>
      <c r="L373" s="193" t="s">
        <v>81</v>
      </c>
      <c r="M373" s="193" t="s">
        <v>24</v>
      </c>
      <c r="N373" s="52" t="str">
        <f>IF(AND('331-CT'!$E$7=TH!H373,OR(L373="331",M373="331")),"331",IF(AND(OR(L373="131",M373="131"),H373='131-CT'!$E$7),"131",""))</f>
        <v/>
      </c>
      <c r="O373" s="86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99"/>
      <c r="AB373" s="210"/>
    </row>
    <row r="374" spans="1:28" s="210" customFormat="1" ht="15.75" customHeight="1">
      <c r="A374" s="203" t="str">
        <f>IF(B374&lt;&gt;"",IF(AND(B374&gt;=_TM1,B374&lt;=_TM2,OR(TH!L374="1111",TH!M374="1111")),TH!D374,""),"")</f>
        <v/>
      </c>
      <c r="B374" s="36">
        <f>IF(C374&lt;&gt;"",MONTH(C374),"")</f>
        <v>3</v>
      </c>
      <c r="C374" s="888">
        <f>E374</f>
        <v>42094</v>
      </c>
      <c r="D374" s="888" t="s">
        <v>334</v>
      </c>
      <c r="E374" s="888">
        <v>42094</v>
      </c>
      <c r="F374" s="889" t="s">
        <v>1939</v>
      </c>
      <c r="G374" s="890"/>
      <c r="H374" s="891"/>
      <c r="I374" s="892"/>
      <c r="J374" s="892"/>
      <c r="K374" s="893">
        <v>16670000</v>
      </c>
      <c r="L374" s="894" t="s">
        <v>83</v>
      </c>
      <c r="M374" s="894" t="s">
        <v>262</v>
      </c>
      <c r="N374" s="52" t="str">
        <f>IF(AND('331-CT'!$E$7=TH!H374,OR(L374="331",M374="331")),"331",IF(AND(OR(L374="131",M374="131"),H374='131-CT'!$E$7),"131",""))</f>
        <v/>
      </c>
      <c r="O374" s="86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>x</v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197"/>
      <c r="AB374" s="197"/>
    </row>
    <row r="375" spans="1:28" s="210" customFormat="1" ht="15.75" customHeight="1">
      <c r="A375" s="203" t="str">
        <f>IF(B375&lt;&gt;"",IF(AND(B375&gt;=_TM1,B375&lt;=_TM2,OR(TH!L375="1111",TH!M375="1111")),TH!D375,""),"")</f>
        <v/>
      </c>
      <c r="B375" s="36">
        <f>IF(C375&lt;&gt;"",MONTH(C375),"")</f>
        <v>3</v>
      </c>
      <c r="C375" s="888">
        <f>E375</f>
        <v>42094</v>
      </c>
      <c r="D375" s="888" t="s">
        <v>334</v>
      </c>
      <c r="E375" s="888">
        <v>42094</v>
      </c>
      <c r="F375" s="889" t="s">
        <v>1940</v>
      </c>
      <c r="G375" s="890"/>
      <c r="H375" s="891"/>
      <c r="I375" s="892"/>
      <c r="J375" s="892"/>
      <c r="K375" s="893">
        <v>34530000</v>
      </c>
      <c r="L375" s="894" t="s">
        <v>165</v>
      </c>
      <c r="M375" s="894" t="s">
        <v>262</v>
      </c>
      <c r="N375" s="52" t="str">
        <f>IF(AND('331-CT'!$E$7=TH!H375,OR(L375="331",M375="331")),"331",IF(AND(OR(L375="131",M375="131"),H375='131-CT'!$E$7),"131",""))</f>
        <v/>
      </c>
      <c r="O375" s="86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197"/>
      <c r="AB375" s="197"/>
    </row>
    <row r="376" spans="1:28" s="210" customFormat="1" ht="15.75" customHeight="1">
      <c r="A376" s="203" t="str">
        <f>IF(B376&lt;&gt;"",IF(AND(B376&gt;=_TM1,B376&lt;=_TM2,OR(TH!L376="1111",TH!M376="1111")),TH!D376,""),"")</f>
        <v/>
      </c>
      <c r="B376" s="36">
        <f>IF(C376&lt;&gt;"",MONTH(C376),"")</f>
        <v>3</v>
      </c>
      <c r="C376" s="888">
        <f>E376</f>
        <v>42094</v>
      </c>
      <c r="D376" s="888" t="s">
        <v>334</v>
      </c>
      <c r="E376" s="888">
        <v>42094</v>
      </c>
      <c r="F376" s="889" t="str">
        <f>"Thanh toán tiền lương tháng "&amp;MONTH(E376)&amp;"/"&amp;YEAR(E376)</f>
        <v>Thanh toán tiền lương tháng 3/2015</v>
      </c>
      <c r="G376" s="890"/>
      <c r="H376" s="891"/>
      <c r="I376" s="892"/>
      <c r="J376" s="892"/>
      <c r="K376" s="893">
        <f>K374+K375</f>
        <v>51200000</v>
      </c>
      <c r="L376" s="894" t="s">
        <v>262</v>
      </c>
      <c r="M376" s="894" t="s">
        <v>47</v>
      </c>
      <c r="N376" s="52" t="str">
        <f>IF(AND('331-CT'!$E$7=TH!H376,OR(L376="331",M376="331")),"331",IF(AND(OR(L376="131",M376="131"),H376='131-CT'!$E$7),"131",""))</f>
        <v/>
      </c>
      <c r="O376" s="86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>x</v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197"/>
      <c r="AB376" s="197"/>
    </row>
    <row r="377" spans="1:28" s="210" customFormat="1" ht="15.75" customHeight="1">
      <c r="A377" s="203" t="str">
        <f>IF(B377&lt;&gt;"",IF(AND(B377&gt;=_TM1,B377&lt;=_TM2,OR(TH!L377="1111",TH!M377="1111")),TH!D377,""),"")</f>
        <v/>
      </c>
      <c r="B377" s="36">
        <f>IF(C377&lt;&gt;"",MONTH(C377),"")</f>
        <v>3</v>
      </c>
      <c r="C377" s="183">
        <f>E377</f>
        <v>42094</v>
      </c>
      <c r="D377" s="183" t="s">
        <v>1566</v>
      </c>
      <c r="E377" s="183">
        <v>42094</v>
      </c>
      <c r="F377" s="188" t="s">
        <v>1140</v>
      </c>
      <c r="G377" s="595" t="s">
        <v>564</v>
      </c>
      <c r="H377" s="7" t="s">
        <v>473</v>
      </c>
      <c r="I377" s="255">
        <v>50</v>
      </c>
      <c r="J377" s="255">
        <v>13600</v>
      </c>
      <c r="K377" s="593">
        <f>ROUND(I377*J377,0)</f>
        <v>680000</v>
      </c>
      <c r="L377" s="594" t="s">
        <v>259</v>
      </c>
      <c r="M377" s="594" t="s">
        <v>174</v>
      </c>
      <c r="N377" s="52" t="str">
        <f>IF(AND('331-CT'!$E$7=TH!H377,OR(L377="331",M377="331")),"331",IF(AND(OR(L377="131",M377="131"),H377='131-CT'!$E$7),"131",""))</f>
        <v/>
      </c>
      <c r="O377" s="86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99"/>
    </row>
    <row r="378" spans="1:28" s="585" customFormat="1" ht="15.75" customHeight="1">
      <c r="A378" s="203" t="str">
        <f>IF(B378&lt;&gt;"",IF(AND(B378&gt;=_TM1,B378&lt;=_TM2,OR(TH!L378="1111",TH!M378="1111")),TH!D378,""),"")</f>
        <v/>
      </c>
      <c r="B378" s="36">
        <f>IF(C378&lt;&gt;"",MONTH(C378),"")</f>
        <v>3</v>
      </c>
      <c r="C378" s="183">
        <f>E378</f>
        <v>42094</v>
      </c>
      <c r="D378" s="183" t="s">
        <v>1566</v>
      </c>
      <c r="E378" s="190">
        <v>42094</v>
      </c>
      <c r="F378" s="188" t="s">
        <v>1140</v>
      </c>
      <c r="G378" s="482" t="s">
        <v>564</v>
      </c>
      <c r="H378" s="7" t="s">
        <v>473</v>
      </c>
      <c r="I378" s="256">
        <v>773</v>
      </c>
      <c r="J378" s="256">
        <v>14000</v>
      </c>
      <c r="K378" s="593">
        <f>ROUND(I378*J378,0)</f>
        <v>10822000</v>
      </c>
      <c r="L378" s="594" t="s">
        <v>259</v>
      </c>
      <c r="M378" s="594" t="s">
        <v>174</v>
      </c>
      <c r="N378" s="52" t="str">
        <f>IF(AND('331-CT'!$E$7=TH!H378,OR(L378="331",M378="331")),"331",IF(AND(OR(L378="131",M378="131"),H378='131-CT'!$E$7),"131",""))</f>
        <v/>
      </c>
      <c r="O378" s="86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99"/>
      <c r="AB378" s="210"/>
    </row>
    <row r="379" spans="1:28" s="585" customFormat="1" ht="15.75" customHeight="1">
      <c r="A379" s="203" t="str">
        <f>IF(B379&lt;&gt;"",IF(AND(B379&gt;=_TM1,B379&lt;=_TM2,OR(TH!L379="1111",TH!M379="1111")),TH!D379,""),"")</f>
        <v/>
      </c>
      <c r="B379" s="36">
        <f>IF(C379&lt;&gt;"",MONTH(C379),"")</f>
        <v>3</v>
      </c>
      <c r="C379" s="183">
        <f>E379</f>
        <v>42094</v>
      </c>
      <c r="D379" s="183" t="s">
        <v>1566</v>
      </c>
      <c r="E379" s="190">
        <v>42094</v>
      </c>
      <c r="F379" s="191" t="s">
        <v>1654</v>
      </c>
      <c r="G379" s="482" t="s">
        <v>564</v>
      </c>
      <c r="H379" s="7" t="s">
        <v>473</v>
      </c>
      <c r="I379" s="255">
        <v>1646</v>
      </c>
      <c r="J379" s="255">
        <v>1500</v>
      </c>
      <c r="K379" s="593">
        <f>ROUND(I379*J379,0)</f>
        <v>2469000</v>
      </c>
      <c r="L379" s="594" t="s">
        <v>259</v>
      </c>
      <c r="M379" s="594" t="s">
        <v>174</v>
      </c>
      <c r="N379" s="52" t="str">
        <f>IF(AND('331-CT'!$E$7=TH!H379,OR(L379="331",M379="331")),"331",IF(AND(OR(L379="131",M379="131"),H379='131-CT'!$E$7),"131",""))</f>
        <v/>
      </c>
      <c r="O379" s="86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99"/>
      <c r="AB379" s="210"/>
    </row>
    <row r="380" spans="1:28" s="585" customFormat="1" ht="15.75" customHeight="1">
      <c r="A380" s="203" t="str">
        <f>IF(B380&lt;&gt;"",IF(AND(B380&gt;=_TM1,B380&lt;=_TM2,OR(TH!L380="1111",TH!M380="1111")),TH!D380,""),"")</f>
        <v/>
      </c>
      <c r="B380" s="36">
        <f>IF(C380&lt;&gt;"",MONTH(C380),"")</f>
        <v>3</v>
      </c>
      <c r="C380" s="183">
        <f>E380</f>
        <v>42094</v>
      </c>
      <c r="D380" s="183" t="s">
        <v>1566</v>
      </c>
      <c r="E380" s="190">
        <v>42094</v>
      </c>
      <c r="F380" s="191" t="s">
        <v>402</v>
      </c>
      <c r="G380" s="482" t="s">
        <v>564</v>
      </c>
      <c r="H380" s="7" t="s">
        <v>473</v>
      </c>
      <c r="I380" s="255"/>
      <c r="J380" s="255"/>
      <c r="K380" s="593">
        <v>1397100</v>
      </c>
      <c r="L380" s="594" t="s">
        <v>259</v>
      </c>
      <c r="M380" s="594" t="s">
        <v>371</v>
      </c>
      <c r="N380" s="52" t="str">
        <f>IF(AND('331-CT'!$E$7=TH!H380,OR(L380="331",M380="331")),"331",IF(AND(OR(L380="131",M380="131"),H380='131-CT'!$E$7),"131",""))</f>
        <v/>
      </c>
      <c r="O380" s="86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99"/>
      <c r="AB380" s="210"/>
    </row>
    <row r="381" spans="1:28" s="585" customFormat="1" ht="15.75" customHeight="1">
      <c r="A381" s="203" t="str">
        <f>IF(B381&lt;&gt;"",IF(AND(B381&gt;=_TM1,B381&lt;=_TM2,OR(TH!L381="1111",TH!M381="1111")),TH!D381,""),"")</f>
        <v/>
      </c>
      <c r="B381" s="36">
        <f>IF(C381&lt;&gt;"",MONTH(C381),"")</f>
        <v>3</v>
      </c>
      <c r="C381" s="183">
        <f>E381</f>
        <v>42094</v>
      </c>
      <c r="D381" s="183" t="s">
        <v>1567</v>
      </c>
      <c r="E381" s="190">
        <v>42094</v>
      </c>
      <c r="F381" s="191" t="s">
        <v>454</v>
      </c>
      <c r="G381" s="482" t="s">
        <v>565</v>
      </c>
      <c r="H381" s="7" t="s">
        <v>733</v>
      </c>
      <c r="I381" s="255">
        <v>102</v>
      </c>
      <c r="J381" s="255">
        <v>47449</v>
      </c>
      <c r="K381" s="593">
        <f>ROUND(I381*J381,0)</f>
        <v>4839798</v>
      </c>
      <c r="L381" s="594" t="s">
        <v>259</v>
      </c>
      <c r="M381" s="594" t="s">
        <v>174</v>
      </c>
      <c r="N381" s="52" t="str">
        <f>IF(AND('331-CT'!$E$7=TH!H381,OR(L381="331",M381="331")),"331",IF(AND(OR(L381="131",M381="131"),H381='131-CT'!$E$7),"131",""))</f>
        <v/>
      </c>
      <c r="O381" s="86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99"/>
      <c r="AB381" s="210"/>
    </row>
    <row r="382" spans="1:28" s="585" customFormat="1" ht="15.75" customHeight="1">
      <c r="A382" s="203" t="str">
        <f>IF(B382&lt;&gt;"",IF(AND(B382&gt;=_TM1,B382&lt;=_TM2,OR(TH!L382="1111",TH!M382="1111")),TH!D382,""),"")</f>
        <v/>
      </c>
      <c r="B382" s="36">
        <f>IF(C382&lt;&gt;"",MONTH(C382),"")</f>
        <v>3</v>
      </c>
      <c r="C382" s="183">
        <f>E382</f>
        <v>42094</v>
      </c>
      <c r="D382" s="183" t="s">
        <v>1567</v>
      </c>
      <c r="E382" s="190">
        <v>42094</v>
      </c>
      <c r="F382" s="191" t="s">
        <v>566</v>
      </c>
      <c r="G382" s="482" t="s">
        <v>565</v>
      </c>
      <c r="H382" s="7" t="s">
        <v>733</v>
      </c>
      <c r="I382" s="255">
        <v>25</v>
      </c>
      <c r="J382" s="255">
        <v>27986</v>
      </c>
      <c r="K382" s="593">
        <f>ROUND(I382*J382,0)</f>
        <v>699650</v>
      </c>
      <c r="L382" s="594" t="s">
        <v>259</v>
      </c>
      <c r="M382" s="594" t="s">
        <v>174</v>
      </c>
      <c r="N382" s="52" t="str">
        <f>IF(AND('331-CT'!$E$7=TH!H382,OR(L382="331",M382="331")),"331",IF(AND(OR(L382="131",M382="131"),H382='131-CT'!$E$7),"131",""))</f>
        <v/>
      </c>
      <c r="O382" s="86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99"/>
      <c r="AB382" s="210"/>
    </row>
    <row r="383" spans="1:28" s="585" customFormat="1" ht="15.75" customHeight="1">
      <c r="A383" s="203" t="str">
        <f>IF(B383&lt;&gt;"",IF(AND(B383&gt;=_TM1,B383&lt;=_TM2,OR(TH!L383="1111",TH!M383="1111")),TH!D383,""),"")</f>
        <v/>
      </c>
      <c r="B383" s="36">
        <f>IF(C383&lt;&gt;"",MONTH(C383),"")</f>
        <v>3</v>
      </c>
      <c r="C383" s="183">
        <f>E383</f>
        <v>42094</v>
      </c>
      <c r="D383" s="183" t="s">
        <v>1567</v>
      </c>
      <c r="E383" s="190">
        <v>42094</v>
      </c>
      <c r="F383" s="191" t="s">
        <v>567</v>
      </c>
      <c r="G383" s="482" t="s">
        <v>565</v>
      </c>
      <c r="H383" s="7" t="s">
        <v>733</v>
      </c>
      <c r="I383" s="255">
        <v>11</v>
      </c>
      <c r="J383" s="255">
        <v>34538</v>
      </c>
      <c r="K383" s="593">
        <f>ROUND(I383*J383,0)</f>
        <v>379918</v>
      </c>
      <c r="L383" s="594" t="s">
        <v>259</v>
      </c>
      <c r="M383" s="594" t="s">
        <v>174</v>
      </c>
      <c r="N383" s="52" t="str">
        <f>IF(AND('331-CT'!$E$7=TH!H383,OR(L383="331",M383="331")),"331",IF(AND(OR(L383="131",M383="131"),H383='131-CT'!$E$7),"131",""))</f>
        <v/>
      </c>
      <c r="O383" s="86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99"/>
      <c r="AB383" s="210"/>
    </row>
    <row r="384" spans="1:28" s="585" customFormat="1" ht="15.75" customHeight="1">
      <c r="A384" s="203" t="str">
        <f>IF(B384&lt;&gt;"",IF(AND(B384&gt;=_TM1,B384&lt;=_TM2,OR(TH!L384="1111",TH!M384="1111")),TH!D384,""),"")</f>
        <v/>
      </c>
      <c r="B384" s="36">
        <f>IF(C384&lt;&gt;"",MONTH(C384),"")</f>
        <v>3</v>
      </c>
      <c r="C384" s="183">
        <f>E384</f>
        <v>42094</v>
      </c>
      <c r="D384" s="183" t="s">
        <v>1567</v>
      </c>
      <c r="E384" s="190">
        <v>42094</v>
      </c>
      <c r="F384" s="191" t="s">
        <v>568</v>
      </c>
      <c r="G384" s="482" t="s">
        <v>565</v>
      </c>
      <c r="H384" s="7" t="s">
        <v>733</v>
      </c>
      <c r="I384" s="255">
        <v>13</v>
      </c>
      <c r="J384" s="255">
        <v>30420</v>
      </c>
      <c r="K384" s="593">
        <f>ROUND(I384*J384,0)</f>
        <v>395460</v>
      </c>
      <c r="L384" s="594" t="s">
        <v>259</v>
      </c>
      <c r="M384" s="594" t="s">
        <v>174</v>
      </c>
      <c r="N384" s="52" t="str">
        <f>IF(AND('331-CT'!$E$7=TH!H384,OR(L384="331",M384="331")),"331",IF(AND(OR(L384="131",M384="131"),H384='131-CT'!$E$7),"131",""))</f>
        <v/>
      </c>
      <c r="O384" s="86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99"/>
      <c r="AB384" s="210"/>
    </row>
    <row r="385" spans="1:28" s="585" customFormat="1" ht="15.75" customHeight="1">
      <c r="A385" s="203" t="str">
        <f>IF(B385&lt;&gt;"",IF(AND(B385&gt;=_TM1,B385&lt;=_TM2,OR(TH!L385="1111",TH!M385="1111")),TH!D385,""),"")</f>
        <v/>
      </c>
      <c r="B385" s="36">
        <f>IF(C385&lt;&gt;"",MONTH(C385),"")</f>
        <v>3</v>
      </c>
      <c r="C385" s="183">
        <f>E385</f>
        <v>42094</v>
      </c>
      <c r="D385" s="183" t="s">
        <v>1567</v>
      </c>
      <c r="E385" s="190">
        <v>42094</v>
      </c>
      <c r="F385" s="191" t="s">
        <v>569</v>
      </c>
      <c r="G385" s="482" t="s">
        <v>565</v>
      </c>
      <c r="H385" s="7" t="s">
        <v>733</v>
      </c>
      <c r="I385" s="255">
        <v>19</v>
      </c>
      <c r="J385" s="255">
        <v>57400</v>
      </c>
      <c r="K385" s="593">
        <f>ROUND(I385*J385,0)</f>
        <v>1090600</v>
      </c>
      <c r="L385" s="594" t="s">
        <v>259</v>
      </c>
      <c r="M385" s="594" t="s">
        <v>174</v>
      </c>
      <c r="N385" s="52" t="str">
        <f>IF(AND('331-CT'!$E$7=TH!H385,OR(L385="331",M385="331")),"331",IF(AND(OR(L385="131",M385="131"),H385='131-CT'!$E$7),"131",""))</f>
        <v/>
      </c>
      <c r="O385" s="86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99"/>
      <c r="AB385" s="210"/>
    </row>
    <row r="386" spans="1:28" s="585" customFormat="1" ht="15.75" customHeight="1">
      <c r="A386" s="203" t="str">
        <f>IF(B386&lt;&gt;"",IF(AND(B386&gt;=_TM1,B386&lt;=_TM2,OR(TH!L386="1111",TH!M386="1111")),TH!D386,""),"")</f>
        <v/>
      </c>
      <c r="B386" s="36">
        <f>IF(C386&lt;&gt;"",MONTH(C386),"")</f>
        <v>3</v>
      </c>
      <c r="C386" s="183">
        <f>E386</f>
        <v>42094</v>
      </c>
      <c r="D386" s="183" t="s">
        <v>1567</v>
      </c>
      <c r="E386" s="190">
        <v>42094</v>
      </c>
      <c r="F386" s="191" t="s">
        <v>570</v>
      </c>
      <c r="G386" s="482" t="s">
        <v>565</v>
      </c>
      <c r="H386" s="7" t="s">
        <v>733</v>
      </c>
      <c r="I386" s="255">
        <v>60</v>
      </c>
      <c r="J386" s="255">
        <v>84823</v>
      </c>
      <c r="K386" s="593">
        <f>ROUND(I386*J386,0)</f>
        <v>5089380</v>
      </c>
      <c r="L386" s="594" t="s">
        <v>259</v>
      </c>
      <c r="M386" s="594" t="s">
        <v>174</v>
      </c>
      <c r="N386" s="52" t="str">
        <f>IF(AND('331-CT'!$E$7=TH!H386,OR(L386="331",M386="331")),"331",IF(AND(OR(L386="131",M386="131"),H386='131-CT'!$E$7),"131",""))</f>
        <v/>
      </c>
      <c r="O386" s="86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99"/>
      <c r="AB386" s="210"/>
    </row>
    <row r="387" spans="1:28" s="585" customFormat="1" ht="15.75" customHeight="1">
      <c r="A387" s="203" t="str">
        <f>IF(B387&lt;&gt;"",IF(AND(B387&gt;=_TM1,B387&lt;=_TM2,OR(TH!L387="1111",TH!M387="1111")),TH!D387,""),"")</f>
        <v/>
      </c>
      <c r="B387" s="36">
        <f>IF(C387&lt;&gt;"",MONTH(C387),"")</f>
        <v>3</v>
      </c>
      <c r="C387" s="183">
        <f>E387</f>
        <v>42094</v>
      </c>
      <c r="D387" s="183" t="s">
        <v>1567</v>
      </c>
      <c r="E387" s="190">
        <v>42094</v>
      </c>
      <c r="F387" s="191" t="s">
        <v>402</v>
      </c>
      <c r="G387" s="482" t="s">
        <v>565</v>
      </c>
      <c r="H387" s="7" t="s">
        <v>733</v>
      </c>
      <c r="I387" s="255"/>
      <c r="J387" s="255"/>
      <c r="K387" s="593">
        <v>1249481</v>
      </c>
      <c r="L387" s="594" t="s">
        <v>259</v>
      </c>
      <c r="M387" s="594" t="s">
        <v>371</v>
      </c>
      <c r="N387" s="52" t="str">
        <f>IF(AND('331-CT'!$E$7=TH!H387,OR(L387="331",M387="331")),"331",IF(AND(OR(L387="131",M387="131"),H387='131-CT'!$E$7),"131",""))</f>
        <v/>
      </c>
      <c r="O387" s="86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99"/>
      <c r="AB387" s="210"/>
    </row>
    <row r="388" spans="1:28" s="585" customFormat="1" ht="15.75" customHeight="1">
      <c r="A388" s="203" t="str">
        <f>IF(B388&lt;&gt;"",IF(AND(B388&gt;=_TM1,B388&lt;=_TM2,OR(TH!L388="1111",TH!M388="1111")),TH!D388,""),"")</f>
        <v/>
      </c>
      <c r="B388" s="36">
        <f>IF(C388&lt;&gt;"",MONTH(C388),"")</f>
        <v>3</v>
      </c>
      <c r="C388" s="183">
        <f>E388</f>
        <v>42094</v>
      </c>
      <c r="D388" s="183" t="s">
        <v>1567</v>
      </c>
      <c r="E388" s="190">
        <v>42094</v>
      </c>
      <c r="F388" s="191" t="s">
        <v>1320</v>
      </c>
      <c r="G388" s="482" t="s">
        <v>2035</v>
      </c>
      <c r="H388" s="7" t="s">
        <v>733</v>
      </c>
      <c r="I388" s="255"/>
      <c r="J388" s="255"/>
      <c r="K388" s="593">
        <f>19833682+18267865+13744287</f>
        <v>51845834</v>
      </c>
      <c r="L388" s="594" t="s">
        <v>47</v>
      </c>
      <c r="M388" s="594" t="s">
        <v>259</v>
      </c>
      <c r="N388" s="52" t="str">
        <f>IF(AND('331-CT'!$E$7=TH!H388,OR(L388="331",M388="331")),"331",IF(AND(OR(L388="131",M388="131"),H388='131-CT'!$E$7),"131",""))</f>
        <v/>
      </c>
      <c r="O388" s="86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>x</v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99"/>
      <c r="AB388" s="210"/>
    </row>
    <row r="389" spans="1:28" s="585" customFormat="1" ht="15.75" customHeight="1">
      <c r="A389" s="203" t="str">
        <f>IF(B389&lt;&gt;"",IF(AND(B389&gt;=_TM1,B389&lt;=_TM2,OR(TH!L389="1111",TH!M389="1111")),TH!D389,""),"")</f>
        <v/>
      </c>
      <c r="B389" s="36">
        <f>IF(C389&lt;&gt;"",MONTH(C389),"")</f>
        <v>3</v>
      </c>
      <c r="C389" s="183">
        <f>E389</f>
        <v>42094</v>
      </c>
      <c r="D389" s="183" t="s">
        <v>1568</v>
      </c>
      <c r="E389" s="190">
        <v>42094</v>
      </c>
      <c r="F389" s="191" t="s">
        <v>571</v>
      </c>
      <c r="G389" s="482" t="s">
        <v>572</v>
      </c>
      <c r="H389" s="192" t="s">
        <v>872</v>
      </c>
      <c r="I389" s="255">
        <v>55</v>
      </c>
      <c r="J389" s="255">
        <v>19400</v>
      </c>
      <c r="K389" s="593">
        <f>ROUND(I389*J389,0)</f>
        <v>1067000</v>
      </c>
      <c r="L389" s="594" t="s">
        <v>259</v>
      </c>
      <c r="M389" s="594" t="s">
        <v>174</v>
      </c>
      <c r="N389" s="52" t="str">
        <f>IF(AND('331-CT'!$E$7=TH!H389,OR(L389="331",M389="331")),"331",IF(AND(OR(L389="131",M389="131"),H389='131-CT'!$E$7),"131",""))</f>
        <v/>
      </c>
      <c r="O389" s="86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99"/>
      <c r="AB389" s="210"/>
    </row>
    <row r="390" spans="1:28" s="585" customFormat="1" ht="15.75" customHeight="1">
      <c r="A390" s="203" t="str">
        <f>IF(B390&lt;&gt;"",IF(AND(B390&gt;=_TM1,B390&lt;=_TM2,OR(TH!L390="1111",TH!M390="1111")),TH!D390,""),"")</f>
        <v/>
      </c>
      <c r="B390" s="36">
        <f>IF(C390&lt;&gt;"",MONTH(C390),"")</f>
        <v>3</v>
      </c>
      <c r="C390" s="183">
        <f>E390</f>
        <v>42094</v>
      </c>
      <c r="D390" s="183" t="s">
        <v>1568</v>
      </c>
      <c r="E390" s="190">
        <v>42094</v>
      </c>
      <c r="F390" s="191" t="s">
        <v>402</v>
      </c>
      <c r="G390" s="482" t="s">
        <v>572</v>
      </c>
      <c r="H390" s="192" t="s">
        <v>872</v>
      </c>
      <c r="I390" s="255"/>
      <c r="J390" s="255"/>
      <c r="K390" s="593">
        <v>106700</v>
      </c>
      <c r="L390" s="594" t="s">
        <v>259</v>
      </c>
      <c r="M390" s="594" t="s">
        <v>371</v>
      </c>
      <c r="N390" s="52" t="str">
        <f>IF(AND('331-CT'!$E$7=TH!H390,OR(L390="331",M390="331")),"331",IF(AND(OR(L390="131",M390="131"),H390='131-CT'!$E$7),"131",""))</f>
        <v/>
      </c>
      <c r="O390" s="86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99"/>
      <c r="AB390" s="210"/>
    </row>
    <row r="391" spans="1:28" s="585" customFormat="1" ht="15.75" customHeight="1">
      <c r="A391" s="203" t="str">
        <f>IF(B391&lt;&gt;"",IF(AND(B391&gt;=_TM1,B391&lt;=_TM2,OR(TH!L391="1111",TH!M391="1111")),TH!D391,""),"")</f>
        <v/>
      </c>
      <c r="B391" s="36">
        <f>IF(C391&lt;&gt;"",MONTH(C391),"")</f>
        <v>3</v>
      </c>
      <c r="C391" s="183">
        <f>E391</f>
        <v>42094</v>
      </c>
      <c r="D391" s="183" t="s">
        <v>1569</v>
      </c>
      <c r="E391" s="190">
        <v>42094</v>
      </c>
      <c r="F391" s="191" t="s">
        <v>1697</v>
      </c>
      <c r="G391" s="482" t="s">
        <v>573</v>
      </c>
      <c r="H391" s="7" t="s">
        <v>563</v>
      </c>
      <c r="I391" s="255">
        <v>1950</v>
      </c>
      <c r="J391" s="255">
        <v>9183</v>
      </c>
      <c r="K391" s="593">
        <f>ROUND(I391*J391,0)</f>
        <v>17906850</v>
      </c>
      <c r="L391" s="594" t="s">
        <v>259</v>
      </c>
      <c r="M391" s="594" t="s">
        <v>174</v>
      </c>
      <c r="N391" s="52" t="str">
        <f>IF(AND('331-CT'!$E$7=TH!H391,OR(L391="331",M391="331")),"331",IF(AND(OR(L391="131",M391="131"),H391='131-CT'!$E$7),"131",""))</f>
        <v/>
      </c>
      <c r="O391" s="86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99"/>
      <c r="AB391" s="210"/>
    </row>
    <row r="392" spans="1:28" s="585" customFormat="1" ht="15.75" customHeight="1">
      <c r="A392" s="203" t="str">
        <f>IF(B392&lt;&gt;"",IF(AND(B392&gt;=_TM1,B392&lt;=_TM2,OR(TH!L392="1111",TH!M392="1111")),TH!D392,""),"")</f>
        <v/>
      </c>
      <c r="B392" s="36">
        <f>IF(C392&lt;&gt;"",MONTH(C392),"")</f>
        <v>3</v>
      </c>
      <c r="C392" s="183">
        <f>E392</f>
        <v>42094</v>
      </c>
      <c r="D392" s="183" t="s">
        <v>1569</v>
      </c>
      <c r="E392" s="190">
        <v>42094</v>
      </c>
      <c r="F392" s="191" t="s">
        <v>574</v>
      </c>
      <c r="G392" s="482" t="s">
        <v>573</v>
      </c>
      <c r="H392" s="7" t="s">
        <v>563</v>
      </c>
      <c r="I392" s="255"/>
      <c r="J392" s="255"/>
      <c r="K392" s="593">
        <v>1790685</v>
      </c>
      <c r="L392" s="594" t="s">
        <v>259</v>
      </c>
      <c r="M392" s="594" t="s">
        <v>371</v>
      </c>
      <c r="N392" s="52" t="str">
        <f>IF(AND('331-CT'!$E$7=TH!H392,OR(L392="331",M392="331")),"331",IF(AND(OR(L392="131",M392="131"),H392='131-CT'!$E$7),"131",""))</f>
        <v/>
      </c>
      <c r="O392" s="86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99"/>
      <c r="AB392" s="210"/>
    </row>
    <row r="393" spans="1:28" s="585" customFormat="1" ht="15.75" customHeight="1">
      <c r="A393" s="203" t="str">
        <f>IF(B393&lt;&gt;"",IF(AND(B393&gt;=_TM1,B393&lt;=_TM2,OR(TH!L393="1111",TH!M393="1111")),TH!D393,""),"")</f>
        <v/>
      </c>
      <c r="B393" s="36">
        <f>IF(C393&lt;&gt;"",MONTH(C393),"")</f>
        <v>3</v>
      </c>
      <c r="C393" s="183">
        <f>E393</f>
        <v>42094</v>
      </c>
      <c r="D393" s="183" t="s">
        <v>1569</v>
      </c>
      <c r="E393" s="190">
        <v>42094</v>
      </c>
      <c r="F393" s="191" t="s">
        <v>1320</v>
      </c>
      <c r="G393" s="482" t="s">
        <v>573</v>
      </c>
      <c r="H393" s="7" t="s">
        <v>563</v>
      </c>
      <c r="I393" s="255"/>
      <c r="J393" s="255"/>
      <c r="K393" s="593">
        <v>19697535</v>
      </c>
      <c r="L393" s="594" t="s">
        <v>47</v>
      </c>
      <c r="M393" s="594" t="s">
        <v>259</v>
      </c>
      <c r="N393" s="52" t="str">
        <f>IF(AND('331-CT'!$E$7=TH!H393,OR(L393="331",M393="331")),"331",IF(AND(OR(L393="131",M393="131"),H393='131-CT'!$E$7),"131",""))</f>
        <v/>
      </c>
      <c r="O393" s="86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99"/>
      <c r="AB393" s="210"/>
    </row>
    <row r="394" spans="1:28" s="585" customFormat="1" ht="15.75" customHeight="1">
      <c r="A394" s="203" t="str">
        <f>IF(B394&lt;&gt;"",IF(AND(B394&gt;=_TM1,B394&lt;=_TM2,OR(TH!L394="1111",TH!M394="1111")),TH!D394,""),"")</f>
        <v/>
      </c>
      <c r="B394" s="36">
        <f>IF(C394&lt;&gt;"",MONTH(C394),"")</f>
        <v>3</v>
      </c>
      <c r="C394" s="183">
        <f>E394</f>
        <v>42094</v>
      </c>
      <c r="D394" s="183" t="s">
        <v>1319</v>
      </c>
      <c r="E394" s="727">
        <v>42094</v>
      </c>
      <c r="F394" s="191" t="s">
        <v>1321</v>
      </c>
      <c r="G394" s="191" t="s">
        <v>1893</v>
      </c>
      <c r="H394" s="7"/>
      <c r="I394" s="255"/>
      <c r="J394" s="255"/>
      <c r="K394" s="593">
        <v>1200</v>
      </c>
      <c r="L394" s="193" t="s">
        <v>24</v>
      </c>
      <c r="M394" s="193" t="s">
        <v>40</v>
      </c>
      <c r="N394" s="52" t="str">
        <f>IF(AND('331-CT'!$E$7=TH!H394,OR(L394="331",M394="331")),"331",IF(AND(OR(L394="131",M394="131"),H394='131-CT'!$E$7),"131",""))</f>
        <v/>
      </c>
      <c r="O394" s="86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99"/>
      <c r="AB394" s="210"/>
    </row>
    <row r="395" spans="1:28" s="585" customFormat="1" ht="15.75" customHeight="1">
      <c r="A395" s="203" t="str">
        <f>IF(B395&lt;&gt;"",IF(AND(B395&gt;=_TM1,B395&lt;=_TM2,OR(TH!L395="1111",TH!M395="1111")),TH!D395,""),"")</f>
        <v/>
      </c>
      <c r="B395" s="36">
        <f>IF(C395&lt;&gt;"",MONTH(C395),"")</f>
        <v>4</v>
      </c>
      <c r="C395" s="888">
        <f>E395</f>
        <v>42095</v>
      </c>
      <c r="D395" s="888" t="s">
        <v>334</v>
      </c>
      <c r="E395" s="888">
        <v>42095</v>
      </c>
      <c r="F395" s="889" t="s">
        <v>1938</v>
      </c>
      <c r="G395" s="896"/>
      <c r="H395" s="891"/>
      <c r="I395" s="892"/>
      <c r="J395" s="892"/>
      <c r="K395" s="893">
        <v>30750000</v>
      </c>
      <c r="L395" s="894" t="s">
        <v>165</v>
      </c>
      <c r="M395" s="894" t="s">
        <v>260</v>
      </c>
      <c r="N395" s="52" t="str">
        <f>IF(AND('331-CT'!$E$7=TH!H395,OR(L395="331",M395="331")),"331",IF(AND(OR(L395="131",M395="131"),H395='131-CT'!$E$7),"131",""))</f>
        <v/>
      </c>
      <c r="O395" s="86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95"/>
      <c r="AB395" s="895"/>
    </row>
    <row r="396" spans="1:28" s="585" customFormat="1" ht="15.75" customHeight="1">
      <c r="A396" s="203" t="str">
        <f>IF(B396&lt;&gt;"",IF(AND(B396&gt;=_TM1,B396&lt;=_TM2,OR(TH!L396="1111",TH!M396="1111")),TH!D396,""),"")</f>
        <v/>
      </c>
      <c r="B396" s="36">
        <f>IF(C396&lt;&gt;"",MONTH(C396),"")</f>
        <v>4</v>
      </c>
      <c r="C396" s="183">
        <f>E396</f>
        <v>42100</v>
      </c>
      <c r="D396" s="183" t="s">
        <v>1507</v>
      </c>
      <c r="E396" s="190">
        <v>42100</v>
      </c>
      <c r="F396" s="191" t="s">
        <v>575</v>
      </c>
      <c r="G396" s="482" t="s">
        <v>576</v>
      </c>
      <c r="H396" s="7" t="s">
        <v>416</v>
      </c>
      <c r="I396" s="255">
        <v>194</v>
      </c>
      <c r="J396" s="255">
        <v>19835</v>
      </c>
      <c r="K396" s="593">
        <f>ROUND(I396*J396,0)</f>
        <v>3847990</v>
      </c>
      <c r="L396" s="594" t="s">
        <v>259</v>
      </c>
      <c r="M396" s="594" t="s">
        <v>174</v>
      </c>
      <c r="N396" s="52" t="str">
        <f>IF(AND('331-CT'!$E$7=TH!H396,OR(L396="331",M396="331")),"331",IF(AND(OR(L396="131",M396="131"),H396='131-CT'!$E$7),"131",""))</f>
        <v/>
      </c>
      <c r="O396" s="86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99"/>
      <c r="AB396" s="210"/>
    </row>
    <row r="397" spans="1:28" s="585" customFormat="1" ht="15.75" customHeight="1">
      <c r="A397" s="203" t="str">
        <f>IF(B397&lt;&gt;"",IF(AND(B397&gt;=_TM1,B397&lt;=_TM2,OR(TH!L397="1111",TH!M397="1111")),TH!D397,""),"")</f>
        <v/>
      </c>
      <c r="B397" s="36">
        <f>IF(C397&lt;&gt;"",MONTH(C397),"")</f>
        <v>4</v>
      </c>
      <c r="C397" s="183">
        <f>E397</f>
        <v>42100</v>
      </c>
      <c r="D397" s="183" t="s">
        <v>1507</v>
      </c>
      <c r="E397" s="190">
        <v>42100</v>
      </c>
      <c r="F397" s="191" t="s">
        <v>577</v>
      </c>
      <c r="G397" s="482" t="s">
        <v>576</v>
      </c>
      <c r="H397" s="7" t="s">
        <v>416</v>
      </c>
      <c r="I397" s="255">
        <v>8</v>
      </c>
      <c r="J397" s="255">
        <v>21400</v>
      </c>
      <c r="K397" s="593">
        <f>ROUND(I397*J397,0)</f>
        <v>171200</v>
      </c>
      <c r="L397" s="594" t="s">
        <v>259</v>
      </c>
      <c r="M397" s="594" t="s">
        <v>174</v>
      </c>
      <c r="N397" s="52" t="str">
        <f>IF(AND('331-CT'!$E$7=TH!H397,OR(L397="331",M397="331")),"331",IF(AND(OR(L397="131",M397="131"),H397='131-CT'!$E$7),"131",""))</f>
        <v/>
      </c>
      <c r="O397" s="86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99"/>
      <c r="AB397" s="210"/>
    </row>
    <row r="398" spans="1:28" s="585" customFormat="1" ht="15.75" customHeight="1">
      <c r="A398" s="203" t="str">
        <f>IF(B398&lt;&gt;"",IF(AND(B398&gt;=_TM1,B398&lt;=_TM2,OR(TH!L398="1111",TH!M398="1111")),TH!D398,""),"")</f>
        <v/>
      </c>
      <c r="B398" s="36">
        <f>IF(C398&lt;&gt;"",MONTH(C398),"")</f>
        <v>4</v>
      </c>
      <c r="C398" s="183">
        <f>E398</f>
        <v>42100</v>
      </c>
      <c r="D398" s="183" t="s">
        <v>1507</v>
      </c>
      <c r="E398" s="190">
        <v>42100</v>
      </c>
      <c r="F398" s="191" t="s">
        <v>578</v>
      </c>
      <c r="G398" s="482" t="s">
        <v>576</v>
      </c>
      <c r="H398" s="7" t="s">
        <v>416</v>
      </c>
      <c r="I398" s="255">
        <v>10</v>
      </c>
      <c r="J398" s="255">
        <v>22990</v>
      </c>
      <c r="K398" s="593">
        <f>ROUND(I398*J398,0)</f>
        <v>229900</v>
      </c>
      <c r="L398" s="594" t="s">
        <v>259</v>
      </c>
      <c r="M398" s="594" t="s">
        <v>174</v>
      </c>
      <c r="N398" s="52" t="str">
        <f>IF(AND('331-CT'!$E$7=TH!H398,OR(L398="331",M398="331")),"331",IF(AND(OR(L398="131",M398="131"),H398='131-CT'!$E$7),"131",""))</f>
        <v/>
      </c>
      <c r="O398" s="86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99"/>
      <c r="AB398" s="210"/>
    </row>
    <row r="399" spans="1:28" s="585" customFormat="1" ht="15.75" customHeight="1">
      <c r="A399" s="203" t="str">
        <f>IF(B399&lt;&gt;"",IF(AND(B399&gt;=_TM1,B399&lt;=_TM2,OR(TH!L399="1111",TH!M399="1111")),TH!D399,""),"")</f>
        <v/>
      </c>
      <c r="B399" s="36">
        <f>IF(C399&lt;&gt;"",MONTH(C399),"")</f>
        <v>4</v>
      </c>
      <c r="C399" s="183">
        <f>E399</f>
        <v>42100</v>
      </c>
      <c r="D399" s="183" t="s">
        <v>1507</v>
      </c>
      <c r="E399" s="190">
        <v>42100</v>
      </c>
      <c r="F399" s="191" t="s">
        <v>579</v>
      </c>
      <c r="G399" s="482" t="s">
        <v>576</v>
      </c>
      <c r="H399" s="7" t="s">
        <v>416</v>
      </c>
      <c r="I399" s="255">
        <v>12</v>
      </c>
      <c r="J399" s="255">
        <v>30440</v>
      </c>
      <c r="K399" s="593">
        <f>ROUND(I399*J399,0)</f>
        <v>365280</v>
      </c>
      <c r="L399" s="594" t="s">
        <v>259</v>
      </c>
      <c r="M399" s="594" t="s">
        <v>174</v>
      </c>
      <c r="N399" s="52" t="str">
        <f>IF(AND('331-CT'!$E$7=TH!H399,OR(L399="331",M399="331")),"331",IF(AND(OR(L399="131",M399="131"),H399='131-CT'!$E$7),"131",""))</f>
        <v/>
      </c>
      <c r="O399" s="86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99"/>
      <c r="AB399" s="210"/>
    </row>
    <row r="400" spans="1:28" s="585" customFormat="1" ht="15.75" customHeight="1">
      <c r="A400" s="203" t="str">
        <f>IF(B400&lt;&gt;"",IF(AND(B400&gt;=_TM1,B400&lt;=_TM2,OR(TH!L400="1111",TH!M400="1111")),TH!D400,""),"")</f>
        <v/>
      </c>
      <c r="B400" s="36">
        <f>IF(C400&lt;&gt;"",MONTH(C400),"")</f>
        <v>4</v>
      </c>
      <c r="C400" s="183">
        <f>E400</f>
        <v>42100</v>
      </c>
      <c r="D400" s="183" t="s">
        <v>1507</v>
      </c>
      <c r="E400" s="190">
        <v>42100</v>
      </c>
      <c r="F400" s="191" t="s">
        <v>580</v>
      </c>
      <c r="G400" s="482" t="s">
        <v>576</v>
      </c>
      <c r="H400" s="7" t="s">
        <v>416</v>
      </c>
      <c r="I400" s="255">
        <v>29</v>
      </c>
      <c r="J400" s="255">
        <v>34207</v>
      </c>
      <c r="K400" s="593">
        <f>ROUND(I400*J400,0)</f>
        <v>992003</v>
      </c>
      <c r="L400" s="594" t="s">
        <v>259</v>
      </c>
      <c r="M400" s="594" t="s">
        <v>174</v>
      </c>
      <c r="N400" s="52" t="str">
        <f>IF(AND('331-CT'!$E$7=TH!H400,OR(L400="331",M400="331")),"331",IF(AND(OR(L400="131",M400="131"),H400='131-CT'!$E$7),"131",""))</f>
        <v/>
      </c>
      <c r="O400" s="86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99"/>
      <c r="AB400" s="210"/>
    </row>
    <row r="401" spans="1:28" s="585" customFormat="1" ht="15.75" customHeight="1">
      <c r="A401" s="203" t="str">
        <f>IF(B401&lt;&gt;"",IF(AND(B401&gt;=_TM1,B401&lt;=_TM2,OR(TH!L401="1111",TH!M401="1111")),TH!D401,""),"")</f>
        <v/>
      </c>
      <c r="B401" s="36">
        <f>IF(C401&lt;&gt;"",MONTH(C401),"")</f>
        <v>4</v>
      </c>
      <c r="C401" s="183">
        <f>E401</f>
        <v>42100</v>
      </c>
      <c r="D401" s="183" t="s">
        <v>1507</v>
      </c>
      <c r="E401" s="190">
        <v>42100</v>
      </c>
      <c r="F401" s="191" t="s">
        <v>581</v>
      </c>
      <c r="G401" s="482" t="s">
        <v>576</v>
      </c>
      <c r="H401" s="7" t="s">
        <v>416</v>
      </c>
      <c r="I401" s="255">
        <v>12</v>
      </c>
      <c r="J401" s="255">
        <v>31950</v>
      </c>
      <c r="K401" s="593">
        <f>ROUND(I401*J401,0)</f>
        <v>383400</v>
      </c>
      <c r="L401" s="594" t="s">
        <v>259</v>
      </c>
      <c r="M401" s="594" t="s">
        <v>174</v>
      </c>
      <c r="N401" s="52" t="str">
        <f>IF(AND('331-CT'!$E$7=TH!H401,OR(L401="331",M401="331")),"331",IF(AND(OR(L401="131",M401="131"),H401='131-CT'!$E$7),"131",""))</f>
        <v/>
      </c>
      <c r="O401" s="86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99"/>
      <c r="AB401" s="210"/>
    </row>
    <row r="402" spans="1:28" s="585" customFormat="1" ht="15.75" customHeight="1">
      <c r="A402" s="203" t="str">
        <f>IF(B402&lt;&gt;"",IF(AND(B402&gt;=_TM1,B402&lt;=_TM2,OR(TH!L402="1111",TH!M402="1111")),TH!D402,""),"")</f>
        <v/>
      </c>
      <c r="B402" s="36">
        <f>IF(C402&lt;&gt;"",MONTH(C402),"")</f>
        <v>4</v>
      </c>
      <c r="C402" s="183">
        <f>E402</f>
        <v>42100</v>
      </c>
      <c r="D402" s="183" t="s">
        <v>1507</v>
      </c>
      <c r="E402" s="190">
        <v>42100</v>
      </c>
      <c r="F402" s="191" t="s">
        <v>1663</v>
      </c>
      <c r="G402" s="482" t="s">
        <v>576</v>
      </c>
      <c r="H402" s="7" t="s">
        <v>416</v>
      </c>
      <c r="I402" s="255">
        <v>424</v>
      </c>
      <c r="J402" s="255">
        <v>400</v>
      </c>
      <c r="K402" s="593">
        <f>ROUND(I402*J402,0)</f>
        <v>169600</v>
      </c>
      <c r="L402" s="594" t="s">
        <v>259</v>
      </c>
      <c r="M402" s="594" t="s">
        <v>174</v>
      </c>
      <c r="N402" s="52" t="str">
        <f>IF(AND('331-CT'!$E$7=TH!H402,OR(L402="331",M402="331")),"331",IF(AND(OR(L402="131",M402="131"),H402='131-CT'!$E$7),"131",""))</f>
        <v/>
      </c>
      <c r="O402" s="86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99"/>
      <c r="AB402" s="210"/>
    </row>
    <row r="403" spans="1:28" s="585" customFormat="1" ht="15.75" customHeight="1">
      <c r="A403" s="203" t="str">
        <f>IF(B403&lt;&gt;"",IF(AND(B403&gt;=_TM1,B403&lt;=_TM2,OR(TH!L403="1111",TH!M403="1111")),TH!D403,""),"")</f>
        <v/>
      </c>
      <c r="B403" s="36">
        <f>IF(C403&lt;&gt;"",MONTH(C403),"")</f>
        <v>4</v>
      </c>
      <c r="C403" s="183">
        <f>E403</f>
        <v>42100</v>
      </c>
      <c r="D403" s="183" t="s">
        <v>1507</v>
      </c>
      <c r="E403" s="190">
        <v>42100</v>
      </c>
      <c r="F403" s="191" t="s">
        <v>1664</v>
      </c>
      <c r="G403" s="482" t="s">
        <v>576</v>
      </c>
      <c r="H403" s="7" t="s">
        <v>416</v>
      </c>
      <c r="I403" s="255">
        <v>106</v>
      </c>
      <c r="J403" s="255">
        <v>768</v>
      </c>
      <c r="K403" s="593">
        <f>ROUND(I403*J403,0)</f>
        <v>81408</v>
      </c>
      <c r="L403" s="594" t="s">
        <v>259</v>
      </c>
      <c r="M403" s="594" t="s">
        <v>174</v>
      </c>
      <c r="N403" s="52" t="str">
        <f>IF(AND('331-CT'!$E$7=TH!H403,OR(L403="331",M403="331")),"331",IF(AND(OR(L403="131",M403="131"),H403='131-CT'!$E$7),"131",""))</f>
        <v/>
      </c>
      <c r="O403" s="86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99"/>
      <c r="AB403" s="210"/>
    </row>
    <row r="404" spans="1:28" s="585" customFormat="1" ht="15.75" customHeight="1">
      <c r="A404" s="203" t="str">
        <f>IF(B404&lt;&gt;"",IF(AND(B404&gt;=_TM1,B404&lt;=_TM2,OR(TH!L404="1111",TH!M404="1111")),TH!D404,""),"")</f>
        <v/>
      </c>
      <c r="B404" s="36">
        <f>IF(C404&lt;&gt;"",MONTH(C404),"")</f>
        <v>4</v>
      </c>
      <c r="C404" s="183">
        <f>E404</f>
        <v>42100</v>
      </c>
      <c r="D404" s="183" t="s">
        <v>1507</v>
      </c>
      <c r="E404" s="190">
        <v>42100</v>
      </c>
      <c r="F404" s="191" t="s">
        <v>402</v>
      </c>
      <c r="G404" s="482" t="s">
        <v>576</v>
      </c>
      <c r="H404" s="7" t="s">
        <v>416</v>
      </c>
      <c r="I404" s="255"/>
      <c r="J404" s="255"/>
      <c r="K404" s="593">
        <v>624078</v>
      </c>
      <c r="L404" s="594" t="s">
        <v>259</v>
      </c>
      <c r="M404" s="594" t="s">
        <v>371</v>
      </c>
      <c r="N404" s="52" t="str">
        <f>IF(AND('331-CT'!$E$7=TH!H404,OR(L404="331",M404="331")),"331",IF(AND(OR(L404="131",M404="131"),H404='131-CT'!$E$7),"131",""))</f>
        <v/>
      </c>
      <c r="O404" s="86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99"/>
      <c r="AB404" s="210"/>
    </row>
    <row r="405" spans="1:28" s="585" customFormat="1" ht="15.75" customHeight="1">
      <c r="A405" s="203" t="str">
        <f>IF(B405&lt;&gt;"",IF(AND(B405&gt;=_TM1,B405&lt;=_TM2,OR(TH!L405="1111",TH!M405="1111")),TH!D405,""),"")</f>
        <v/>
      </c>
      <c r="B405" s="36">
        <f>IF(C405&lt;&gt;"",MONTH(C405),"")</f>
        <v>4</v>
      </c>
      <c r="C405" s="183">
        <f>E405</f>
        <v>42100</v>
      </c>
      <c r="D405" s="183" t="s">
        <v>1508</v>
      </c>
      <c r="E405" s="190">
        <v>42100</v>
      </c>
      <c r="F405" s="188" t="s">
        <v>413</v>
      </c>
      <c r="G405" s="482" t="s">
        <v>582</v>
      </c>
      <c r="H405" s="7" t="s">
        <v>412</v>
      </c>
      <c r="I405" s="255">
        <v>300</v>
      </c>
      <c r="J405" s="255">
        <v>10500</v>
      </c>
      <c r="K405" s="593">
        <f>ROUND(I405*J405,0)</f>
        <v>3150000</v>
      </c>
      <c r="L405" s="594" t="s">
        <v>259</v>
      </c>
      <c r="M405" s="594" t="s">
        <v>174</v>
      </c>
      <c r="N405" s="52" t="str">
        <f>IF(AND('331-CT'!$E$7=TH!H405,OR(L405="331",M405="331")),"331",IF(AND(OR(L405="131",M405="131"),H405='131-CT'!$E$7),"131",""))</f>
        <v/>
      </c>
      <c r="O405" s="86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99"/>
      <c r="AB405" s="210"/>
    </row>
    <row r="406" spans="1:28" s="585" customFormat="1" ht="15.75" customHeight="1">
      <c r="A406" s="203" t="str">
        <f>IF(B406&lt;&gt;"",IF(AND(B406&gt;=_TM1,B406&lt;=_TM2,OR(TH!L406="1111",TH!M406="1111")),TH!D406,""),"")</f>
        <v/>
      </c>
      <c r="B406" s="36">
        <f>IF(C406&lt;&gt;"",MONTH(C406),"")</f>
        <v>4</v>
      </c>
      <c r="C406" s="183">
        <f>E406</f>
        <v>42100</v>
      </c>
      <c r="D406" s="183" t="s">
        <v>1508</v>
      </c>
      <c r="E406" s="190">
        <v>42100</v>
      </c>
      <c r="F406" s="188" t="s">
        <v>413</v>
      </c>
      <c r="G406" s="482" t="s">
        <v>582</v>
      </c>
      <c r="H406" s="7" t="s">
        <v>412</v>
      </c>
      <c r="I406" s="255">
        <v>302</v>
      </c>
      <c r="J406" s="255">
        <v>10500</v>
      </c>
      <c r="K406" s="593">
        <f>ROUND(I406*J406,0)</f>
        <v>3171000</v>
      </c>
      <c r="L406" s="594" t="s">
        <v>259</v>
      </c>
      <c r="M406" s="594" t="s">
        <v>174</v>
      </c>
      <c r="N406" s="52" t="str">
        <f>IF(AND('331-CT'!$E$7=TH!H406,OR(L406="331",M406="331")),"331",IF(AND(OR(L406="131",M406="131"),H406='131-CT'!$E$7),"131",""))</f>
        <v/>
      </c>
      <c r="O406" s="86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99"/>
      <c r="AB406" s="210"/>
    </row>
    <row r="407" spans="1:28" s="585" customFormat="1" ht="15.75" customHeight="1">
      <c r="A407" s="203" t="str">
        <f>IF(B407&lt;&gt;"",IF(AND(B407&gt;=_TM1,B407&lt;=_TM2,OR(TH!L407="1111",TH!M407="1111")),TH!D407,""),"")</f>
        <v/>
      </c>
      <c r="B407" s="36">
        <f>IF(C407&lt;&gt;"",MONTH(C407),"")</f>
        <v>4</v>
      </c>
      <c r="C407" s="183">
        <f>E407</f>
        <v>42100</v>
      </c>
      <c r="D407" s="183" t="s">
        <v>1508</v>
      </c>
      <c r="E407" s="190">
        <v>42100</v>
      </c>
      <c r="F407" s="191" t="s">
        <v>402</v>
      </c>
      <c r="G407" s="482" t="s">
        <v>582</v>
      </c>
      <c r="H407" s="7" t="s">
        <v>412</v>
      </c>
      <c r="I407" s="255"/>
      <c r="J407" s="255"/>
      <c r="K407" s="593">
        <v>632100</v>
      </c>
      <c r="L407" s="594" t="s">
        <v>259</v>
      </c>
      <c r="M407" s="594" t="s">
        <v>371</v>
      </c>
      <c r="N407" s="52" t="str">
        <f>IF(AND('331-CT'!$E$7=TH!H407,OR(L407="331",M407="331")),"331",IF(AND(OR(L407="131",M407="131"),H407='131-CT'!$E$7),"131",""))</f>
        <v/>
      </c>
      <c r="O407" s="86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99"/>
      <c r="AB407" s="210"/>
    </row>
    <row r="408" spans="1:28" s="585" customFormat="1" ht="15.75" customHeight="1">
      <c r="A408" s="203" t="str">
        <f>IF(B408&lt;&gt;"",IF(AND(B408&gt;=_TM1,B408&lt;=_TM2,OR(TH!L408="1111",TH!M408="1111")),TH!D408,""),"")</f>
        <v/>
      </c>
      <c r="B408" s="36">
        <f>IF(C408&lt;&gt;"",MONTH(C408),"")</f>
        <v>4</v>
      </c>
      <c r="C408" s="183">
        <f>E408</f>
        <v>42100</v>
      </c>
      <c r="D408" s="183" t="s">
        <v>1509</v>
      </c>
      <c r="E408" s="190">
        <v>42100</v>
      </c>
      <c r="F408" s="191" t="s">
        <v>519</v>
      </c>
      <c r="G408" s="482" t="s">
        <v>583</v>
      </c>
      <c r="H408" s="7" t="s">
        <v>444</v>
      </c>
      <c r="I408" s="255">
        <v>103</v>
      </c>
      <c r="J408" s="255">
        <v>11500</v>
      </c>
      <c r="K408" s="593">
        <f>ROUND(I408*J408,0)</f>
        <v>1184500</v>
      </c>
      <c r="L408" s="594" t="s">
        <v>259</v>
      </c>
      <c r="M408" s="594" t="s">
        <v>174</v>
      </c>
      <c r="N408" s="52" t="str">
        <f>IF(AND('331-CT'!$E$7=TH!H408,OR(L408="331",M408="331")),"331",IF(AND(OR(L408="131",M408="131"),H408='131-CT'!$E$7),"131",""))</f>
        <v/>
      </c>
      <c r="O408" s="86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99"/>
      <c r="AB408" s="210"/>
    </row>
    <row r="409" spans="1:28" s="585" customFormat="1" ht="15.75" customHeight="1">
      <c r="A409" s="203" t="str">
        <f>IF(B409&lt;&gt;"",IF(AND(B409&gt;=_TM1,B409&lt;=_TM2,OR(TH!L409="1111",TH!M409="1111")),TH!D409,""),"")</f>
        <v/>
      </c>
      <c r="B409" s="36">
        <f>IF(C409&lt;&gt;"",MONTH(C409),"")</f>
        <v>4</v>
      </c>
      <c r="C409" s="183">
        <f>E409</f>
        <v>42100</v>
      </c>
      <c r="D409" s="183" t="s">
        <v>1509</v>
      </c>
      <c r="E409" s="190">
        <v>42100</v>
      </c>
      <c r="F409" s="191" t="s">
        <v>518</v>
      </c>
      <c r="G409" s="482" t="s">
        <v>583</v>
      </c>
      <c r="H409" s="7" t="s">
        <v>444</v>
      </c>
      <c r="I409" s="255">
        <v>206</v>
      </c>
      <c r="J409" s="255">
        <v>10700</v>
      </c>
      <c r="K409" s="593">
        <f>ROUND(I409*J409,0)</f>
        <v>2204200</v>
      </c>
      <c r="L409" s="594" t="s">
        <v>259</v>
      </c>
      <c r="M409" s="594" t="s">
        <v>174</v>
      </c>
      <c r="N409" s="52" t="str">
        <f>IF(AND('331-CT'!$E$7=TH!H409,OR(L409="331",M409="331")),"331",IF(AND(OR(L409="131",M409="131"),H409='131-CT'!$E$7),"131",""))</f>
        <v/>
      </c>
      <c r="O409" s="86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99"/>
      <c r="AB409" s="210"/>
    </row>
    <row r="410" spans="1:28" s="585" customFormat="1" ht="15.75" customHeight="1">
      <c r="A410" s="203" t="str">
        <f>IF(B410&lt;&gt;"",IF(AND(B410&gt;=_TM1,B410&lt;=_TM2,OR(TH!L410="1111",TH!M410="1111")),TH!D410,""),"")</f>
        <v/>
      </c>
      <c r="B410" s="36">
        <f>IF(C410&lt;&gt;"",MONTH(C410),"")</f>
        <v>4</v>
      </c>
      <c r="C410" s="183">
        <f>E410</f>
        <v>42100</v>
      </c>
      <c r="D410" s="183" t="s">
        <v>1509</v>
      </c>
      <c r="E410" s="190">
        <v>42100</v>
      </c>
      <c r="F410" s="191" t="s">
        <v>516</v>
      </c>
      <c r="G410" s="482" t="s">
        <v>583</v>
      </c>
      <c r="H410" s="7" t="s">
        <v>444</v>
      </c>
      <c r="I410" s="255">
        <v>102</v>
      </c>
      <c r="J410" s="255">
        <v>10000</v>
      </c>
      <c r="K410" s="593">
        <f>ROUND(I410*J410,0)</f>
        <v>1020000</v>
      </c>
      <c r="L410" s="594" t="s">
        <v>259</v>
      </c>
      <c r="M410" s="594" t="s">
        <v>174</v>
      </c>
      <c r="N410" s="52" t="str">
        <f>IF(AND('331-CT'!$E$7=TH!H410,OR(L410="331",M410="331")),"331",IF(AND(OR(L410="131",M410="131"),H410='131-CT'!$E$7),"131",""))</f>
        <v/>
      </c>
      <c r="O410" s="86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99"/>
      <c r="AB410" s="210"/>
    </row>
    <row r="411" spans="1:28" s="585" customFormat="1" ht="15.75" customHeight="1">
      <c r="A411" s="203" t="str">
        <f>IF(B411&lt;&gt;"",IF(AND(B411&gt;=_TM1,B411&lt;=_TM2,OR(TH!L411="1111",TH!M411="1111")),TH!D411,""),"")</f>
        <v/>
      </c>
      <c r="B411" s="36">
        <f>IF(C411&lt;&gt;"",MONTH(C411),"")</f>
        <v>4</v>
      </c>
      <c r="C411" s="183">
        <f>E411</f>
        <v>42100</v>
      </c>
      <c r="D411" s="183" t="s">
        <v>1509</v>
      </c>
      <c r="E411" s="190">
        <v>42100</v>
      </c>
      <c r="F411" s="191" t="s">
        <v>1661</v>
      </c>
      <c r="G411" s="482" t="s">
        <v>583</v>
      </c>
      <c r="H411" s="7" t="s">
        <v>444</v>
      </c>
      <c r="I411" s="255">
        <v>800</v>
      </c>
      <c r="J411" s="255">
        <v>450</v>
      </c>
      <c r="K411" s="593">
        <f>ROUND(I411*J411,0)</f>
        <v>360000</v>
      </c>
      <c r="L411" s="594" t="s">
        <v>259</v>
      </c>
      <c r="M411" s="594" t="s">
        <v>174</v>
      </c>
      <c r="N411" s="52" t="str">
        <f>IF(AND('331-CT'!$E$7=TH!H411,OR(L411="331",M411="331")),"331",IF(AND(OR(L411="131",M411="131"),H411='131-CT'!$E$7),"131",""))</f>
        <v/>
      </c>
      <c r="O411" s="86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99"/>
      <c r="AB411" s="210"/>
    </row>
    <row r="412" spans="1:28" s="210" customFormat="1" ht="15.75" customHeight="1">
      <c r="A412" s="203" t="str">
        <f>IF(B412&lt;&gt;"",IF(AND(B412&gt;=_TM1,B412&lt;=_TM2,OR(TH!L412="1111",TH!M412="1111")),TH!D412,""),"")</f>
        <v/>
      </c>
      <c r="B412" s="36">
        <f>IF(C412&lt;&gt;"",MONTH(C412),"")</f>
        <v>4</v>
      </c>
      <c r="C412" s="183">
        <f>E412</f>
        <v>42100</v>
      </c>
      <c r="D412" s="183" t="s">
        <v>1509</v>
      </c>
      <c r="E412" s="190">
        <v>42100</v>
      </c>
      <c r="F412" s="191" t="s">
        <v>402</v>
      </c>
      <c r="G412" s="482" t="s">
        <v>583</v>
      </c>
      <c r="H412" s="7" t="s">
        <v>444</v>
      </c>
      <c r="I412" s="255"/>
      <c r="J412" s="255"/>
      <c r="K412" s="593">
        <v>476870</v>
      </c>
      <c r="L412" s="594" t="s">
        <v>259</v>
      </c>
      <c r="M412" s="594" t="s">
        <v>371</v>
      </c>
      <c r="N412" s="52" t="str">
        <f>IF(AND('331-CT'!$E$7=TH!H412,OR(L412="331",M412="331")),"331",IF(AND(OR(L412="131",M412="131"),H412='131-CT'!$E$7),"131",""))</f>
        <v/>
      </c>
      <c r="O412" s="86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99"/>
    </row>
    <row r="413" spans="1:28" s="210" customFormat="1" ht="15.75" customHeight="1">
      <c r="A413" s="203" t="str">
        <f>IF(B413&lt;&gt;"",IF(AND(B413&gt;=_TM1,B413&lt;=_TM2,OR(TH!L413="1111",TH!M413="1111")),TH!D413,""),"")</f>
        <v/>
      </c>
      <c r="B413" s="36">
        <f>IF(C413&lt;&gt;"",MONTH(C413),"")</f>
        <v>4</v>
      </c>
      <c r="C413" s="183">
        <f>E413</f>
        <v>42101</v>
      </c>
      <c r="D413" s="183" t="s">
        <v>1510</v>
      </c>
      <c r="E413" s="190">
        <v>42101</v>
      </c>
      <c r="F413" s="191" t="s">
        <v>1698</v>
      </c>
      <c r="G413" s="482" t="s">
        <v>591</v>
      </c>
      <c r="H413" s="7" t="s">
        <v>1934</v>
      </c>
      <c r="I413" s="255">
        <v>170</v>
      </c>
      <c r="J413" s="255">
        <v>16896</v>
      </c>
      <c r="K413" s="593">
        <f>ROUND(I413*J413,0)</f>
        <v>2872320</v>
      </c>
      <c r="L413" s="594" t="s">
        <v>259</v>
      </c>
      <c r="M413" s="594" t="s">
        <v>174</v>
      </c>
      <c r="N413" s="52" t="str">
        <f>IF(AND('331-CT'!$E$7=TH!H413,OR(L413="331",M413="331")),"331",IF(AND(OR(L413="131",M413="131"),H413='131-CT'!$E$7),"131",""))</f>
        <v/>
      </c>
      <c r="O413" s="86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99"/>
    </row>
    <row r="414" spans="1:28" s="210" customFormat="1" ht="15.75" customHeight="1">
      <c r="A414" s="203" t="str">
        <f>IF(B414&lt;&gt;"",IF(AND(B414&gt;=_TM1,B414&lt;=_TM2,OR(TH!L414="1111",TH!M414="1111")),TH!D414,""),"")</f>
        <v/>
      </c>
      <c r="B414" s="36">
        <f>IF(C414&lt;&gt;"",MONTH(C414),"")</f>
        <v>4</v>
      </c>
      <c r="C414" s="183">
        <f>E414</f>
        <v>42101</v>
      </c>
      <c r="D414" s="183" t="s">
        <v>1510</v>
      </c>
      <c r="E414" s="190">
        <v>42101</v>
      </c>
      <c r="F414" s="191" t="s">
        <v>1699</v>
      </c>
      <c r="G414" s="482" t="s">
        <v>591</v>
      </c>
      <c r="H414" s="7" t="s">
        <v>1934</v>
      </c>
      <c r="I414" s="255">
        <v>570</v>
      </c>
      <c r="J414" s="255">
        <v>9632</v>
      </c>
      <c r="K414" s="593">
        <f>ROUND(I414*J414,0)</f>
        <v>5490240</v>
      </c>
      <c r="L414" s="594" t="s">
        <v>259</v>
      </c>
      <c r="M414" s="594" t="s">
        <v>174</v>
      </c>
      <c r="N414" s="52" t="str">
        <f>IF(AND('331-CT'!$E$7=TH!H414,OR(L414="331",M414="331")),"331",IF(AND(OR(L414="131",M414="131"),H414='131-CT'!$E$7),"131",""))</f>
        <v/>
      </c>
      <c r="O414" s="86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99"/>
    </row>
    <row r="415" spans="1:28" s="585" customFormat="1" ht="15.75" customHeight="1">
      <c r="A415" s="203" t="str">
        <f>IF(B415&lt;&gt;"",IF(AND(B415&gt;=_TM1,B415&lt;=_TM2,OR(TH!L415="1111",TH!M415="1111")),TH!D415,""),"")</f>
        <v/>
      </c>
      <c r="B415" s="36">
        <f>IF(C415&lt;&gt;"",MONTH(C415),"")</f>
        <v>4</v>
      </c>
      <c r="C415" s="183">
        <f>E415</f>
        <v>42101</v>
      </c>
      <c r="D415" s="183" t="s">
        <v>1510</v>
      </c>
      <c r="E415" s="190">
        <v>42101</v>
      </c>
      <c r="F415" s="191" t="s">
        <v>1700</v>
      </c>
      <c r="G415" s="482" t="s">
        <v>591</v>
      </c>
      <c r="H415" s="7" t="s">
        <v>1934</v>
      </c>
      <c r="I415" s="256">
        <v>25</v>
      </c>
      <c r="J415" s="256">
        <v>15708</v>
      </c>
      <c r="K415" s="593">
        <f>ROUND(I415*J415,0)</f>
        <v>392700</v>
      </c>
      <c r="L415" s="594" t="s">
        <v>259</v>
      </c>
      <c r="M415" s="594" t="s">
        <v>174</v>
      </c>
      <c r="N415" s="52" t="str">
        <f>IF(AND('331-CT'!$E$7=TH!H415,OR(L415="331",M415="331")),"331",IF(AND(OR(L415="131",M415="131"),H415='131-CT'!$E$7),"131",""))</f>
        <v/>
      </c>
      <c r="O415" s="86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99"/>
      <c r="AB415" s="210"/>
    </row>
    <row r="416" spans="1:28" s="585" customFormat="1" ht="15.75" customHeight="1">
      <c r="A416" s="203" t="str">
        <f>IF(B416&lt;&gt;"",IF(AND(B416&gt;=_TM1,B416&lt;=_TM2,OR(TH!L416="1111",TH!M416="1111")),TH!D416,""),"")</f>
        <v/>
      </c>
      <c r="B416" s="36">
        <f>IF(C416&lt;&gt;"",MONTH(C416),"")</f>
        <v>4</v>
      </c>
      <c r="C416" s="183">
        <f>E416</f>
        <v>42101</v>
      </c>
      <c r="D416" s="183" t="s">
        <v>1510</v>
      </c>
      <c r="E416" s="190">
        <v>42101</v>
      </c>
      <c r="F416" s="191" t="s">
        <v>1701</v>
      </c>
      <c r="G416" s="482" t="s">
        <v>591</v>
      </c>
      <c r="H416" s="7" t="s">
        <v>1934</v>
      </c>
      <c r="I416" s="255">
        <v>330</v>
      </c>
      <c r="J416" s="255">
        <v>14563</v>
      </c>
      <c r="K416" s="593">
        <f>ROUND(I416*J416,0)</f>
        <v>4805790</v>
      </c>
      <c r="L416" s="594" t="s">
        <v>259</v>
      </c>
      <c r="M416" s="594" t="s">
        <v>174</v>
      </c>
      <c r="N416" s="52" t="str">
        <f>IF(AND('331-CT'!$E$7=TH!H416,OR(L416="331",M416="331")),"331",IF(AND(OR(L416="131",M416="131"),H416='131-CT'!$E$7),"131",""))</f>
        <v/>
      </c>
      <c r="O416" s="86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99"/>
      <c r="AB416" s="210"/>
    </row>
    <row r="417" spans="1:28" s="585" customFormat="1" ht="15.75" customHeight="1">
      <c r="A417" s="203" t="str">
        <f>IF(B417&lt;&gt;"",IF(AND(B417&gt;=_TM1,B417&lt;=_TM2,OR(TH!L417="1111",TH!M417="1111")),TH!D417,""),"")</f>
        <v/>
      </c>
      <c r="B417" s="36">
        <f>IF(C417&lt;&gt;"",MONTH(C417),"")</f>
        <v>4</v>
      </c>
      <c r="C417" s="183">
        <f>E417</f>
        <v>42101</v>
      </c>
      <c r="D417" s="183" t="s">
        <v>1510</v>
      </c>
      <c r="E417" s="190">
        <v>42101</v>
      </c>
      <c r="F417" s="191" t="s">
        <v>1702</v>
      </c>
      <c r="G417" s="482" t="s">
        <v>591</v>
      </c>
      <c r="H417" s="7" t="s">
        <v>1934</v>
      </c>
      <c r="I417" s="255">
        <v>500</v>
      </c>
      <c r="J417" s="255">
        <v>7582</v>
      </c>
      <c r="K417" s="593">
        <f>ROUND(I417*J417,0)</f>
        <v>3791000</v>
      </c>
      <c r="L417" s="594" t="s">
        <v>259</v>
      </c>
      <c r="M417" s="594" t="s">
        <v>174</v>
      </c>
      <c r="N417" s="52" t="str">
        <f>IF(AND('331-CT'!$E$7=TH!H417,OR(L417="331",M417="331")),"331",IF(AND(OR(L417="131",M417="131"),H417='131-CT'!$E$7),"131",""))</f>
        <v/>
      </c>
      <c r="O417" s="86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99"/>
      <c r="AB417" s="210"/>
    </row>
    <row r="418" spans="1:28" s="585" customFormat="1" ht="15.75" customHeight="1">
      <c r="A418" s="203" t="str">
        <f>IF(B418&lt;&gt;"",IF(AND(B418&gt;=_TM1,B418&lt;=_TM2,OR(TH!L418="1111",TH!M418="1111")),TH!D418,""),"")</f>
        <v/>
      </c>
      <c r="B418" s="36">
        <f>IF(C418&lt;&gt;"",MONTH(C418),"")</f>
        <v>4</v>
      </c>
      <c r="C418" s="183">
        <f>E418</f>
        <v>42101</v>
      </c>
      <c r="D418" s="183" t="s">
        <v>1510</v>
      </c>
      <c r="E418" s="190">
        <v>42101</v>
      </c>
      <c r="F418" s="191" t="s">
        <v>465</v>
      </c>
      <c r="G418" s="482" t="s">
        <v>591</v>
      </c>
      <c r="H418" s="7" t="s">
        <v>1934</v>
      </c>
      <c r="I418" s="255"/>
      <c r="J418" s="255"/>
      <c r="K418" s="593">
        <v>1735205</v>
      </c>
      <c r="L418" s="594" t="s">
        <v>259</v>
      </c>
      <c r="M418" s="594" t="s">
        <v>371</v>
      </c>
      <c r="N418" s="52" t="str">
        <f>IF(AND('331-CT'!$E$7=TH!H418,OR(L418="331",M418="331")),"331",IF(AND(OR(L418="131",M418="131"),H418='131-CT'!$E$7),"131",""))</f>
        <v/>
      </c>
      <c r="O418" s="86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99"/>
      <c r="AB418" s="210"/>
    </row>
    <row r="419" spans="1:28" s="585" customFormat="1" ht="15.75" customHeight="1">
      <c r="A419" s="203" t="str">
        <f>IF(B419&lt;&gt;"",IF(AND(B419&gt;=_TM1,B419&lt;=_TM2,OR(TH!L419="1111",TH!M419="1111")),TH!D419,""),"")</f>
        <v/>
      </c>
      <c r="B419" s="36">
        <f>IF(C419&lt;&gt;"",MONTH(C419),"")</f>
        <v>4</v>
      </c>
      <c r="C419" s="183">
        <f>E419</f>
        <v>42101</v>
      </c>
      <c r="D419" s="183" t="s">
        <v>1511</v>
      </c>
      <c r="E419" s="190">
        <v>42101</v>
      </c>
      <c r="F419" s="188" t="s">
        <v>491</v>
      </c>
      <c r="G419" s="482" t="s">
        <v>584</v>
      </c>
      <c r="H419" s="7" t="s">
        <v>407</v>
      </c>
      <c r="I419" s="255">
        <v>820</v>
      </c>
      <c r="J419" s="255">
        <v>9000</v>
      </c>
      <c r="K419" s="593">
        <f>ROUND(I419*J419,0)</f>
        <v>7380000</v>
      </c>
      <c r="L419" s="594" t="s">
        <v>259</v>
      </c>
      <c r="M419" s="594" t="s">
        <v>174</v>
      </c>
      <c r="N419" s="52" t="str">
        <f>IF(AND('331-CT'!$E$7=TH!H419,OR(L419="331",M419="331")),"331",IF(AND(OR(L419="131",M419="131"),H419='131-CT'!$E$7),"131",""))</f>
        <v/>
      </c>
      <c r="O419" s="86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99"/>
      <c r="AB419" s="210"/>
    </row>
    <row r="420" spans="1:28" s="210" customFormat="1" ht="15.75" customHeight="1">
      <c r="A420" s="203" t="str">
        <f>IF(B420&lt;&gt;"",IF(AND(B420&gt;=_TM1,B420&lt;=_TM2,OR(TH!L420="1111",TH!M420="1111")),TH!D420,""),"")</f>
        <v/>
      </c>
      <c r="B420" s="36">
        <f>IF(C420&lt;&gt;"",MONTH(C420),"")</f>
        <v>4</v>
      </c>
      <c r="C420" s="183">
        <f>E420</f>
        <v>42101</v>
      </c>
      <c r="D420" s="183" t="s">
        <v>1511</v>
      </c>
      <c r="E420" s="190">
        <v>42101</v>
      </c>
      <c r="F420" s="191" t="s">
        <v>585</v>
      </c>
      <c r="G420" s="482" t="s">
        <v>584</v>
      </c>
      <c r="H420" s="7" t="s">
        <v>407</v>
      </c>
      <c r="I420" s="255">
        <v>505</v>
      </c>
      <c r="J420" s="255">
        <v>14200</v>
      </c>
      <c r="K420" s="593">
        <f>ROUND(I420*J420,0)</f>
        <v>7171000</v>
      </c>
      <c r="L420" s="594" t="s">
        <v>259</v>
      </c>
      <c r="M420" s="594" t="s">
        <v>174</v>
      </c>
      <c r="N420" s="52" t="str">
        <f>IF(AND('331-CT'!$E$7=TH!H420,OR(L420="331",M420="331")),"331",IF(AND(OR(L420="131",M420="131"),H420='131-CT'!$E$7),"131",""))</f>
        <v/>
      </c>
      <c r="O420" s="86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99"/>
    </row>
    <row r="421" spans="1:28" s="210" customFormat="1" ht="15.75" customHeight="1">
      <c r="A421" s="203" t="str">
        <f>IF(B421&lt;&gt;"",IF(AND(B421&gt;=_TM1,B421&lt;=_TM2,OR(TH!L421="1111",TH!M421="1111")),TH!D421,""),"")</f>
        <v/>
      </c>
      <c r="B421" s="36">
        <f>IF(C421&lt;&gt;"",MONTH(C421),"")</f>
        <v>4</v>
      </c>
      <c r="C421" s="183">
        <f>E421</f>
        <v>42101</v>
      </c>
      <c r="D421" s="183" t="s">
        <v>1511</v>
      </c>
      <c r="E421" s="190">
        <v>42101</v>
      </c>
      <c r="F421" s="191" t="s">
        <v>586</v>
      </c>
      <c r="G421" s="482" t="s">
        <v>584</v>
      </c>
      <c r="H421" s="7" t="s">
        <v>407</v>
      </c>
      <c r="I421" s="255">
        <v>270</v>
      </c>
      <c r="J421" s="255">
        <v>9260</v>
      </c>
      <c r="K421" s="593">
        <f>ROUND(I421*J421,0)</f>
        <v>2500200</v>
      </c>
      <c r="L421" s="594" t="s">
        <v>259</v>
      </c>
      <c r="M421" s="594" t="s">
        <v>174</v>
      </c>
      <c r="N421" s="52" t="str">
        <f>IF(AND('331-CT'!$E$7=TH!H421,OR(L421="331",M421="331")),"331",IF(AND(OR(L421="131",M421="131"),H421='131-CT'!$E$7),"131",""))</f>
        <v/>
      </c>
      <c r="O421" s="86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99"/>
    </row>
    <row r="422" spans="1:28" s="210" customFormat="1" ht="15.75" customHeight="1">
      <c r="A422" s="203" t="str">
        <f>IF(B422&lt;&gt;"",IF(AND(B422&gt;=_TM1,B422&lt;=_TM2,OR(TH!L422="1111",TH!M422="1111")),TH!D422,""),"")</f>
        <v/>
      </c>
      <c r="B422" s="36">
        <f>IF(C422&lt;&gt;"",MONTH(C422),"")</f>
        <v>4</v>
      </c>
      <c r="C422" s="183">
        <f>E422</f>
        <v>42101</v>
      </c>
      <c r="D422" s="183" t="s">
        <v>1511</v>
      </c>
      <c r="E422" s="190">
        <v>42101</v>
      </c>
      <c r="F422" s="191" t="s">
        <v>587</v>
      </c>
      <c r="G422" s="482" t="s">
        <v>584</v>
      </c>
      <c r="H422" s="7" t="s">
        <v>407</v>
      </c>
      <c r="I422" s="255">
        <v>150</v>
      </c>
      <c r="J422" s="255">
        <v>6080</v>
      </c>
      <c r="K422" s="593">
        <f>ROUND(I422*J422,0)</f>
        <v>912000</v>
      </c>
      <c r="L422" s="594" t="s">
        <v>259</v>
      </c>
      <c r="M422" s="594" t="s">
        <v>174</v>
      </c>
      <c r="N422" s="52" t="str">
        <f>IF(AND('331-CT'!$E$7=TH!H422,OR(L422="331",M422="331")),"331",IF(AND(OR(L422="131",M422="131"),H422='131-CT'!$E$7),"131",""))</f>
        <v/>
      </c>
      <c r="O422" s="86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99"/>
    </row>
    <row r="423" spans="1:28" s="210" customFormat="1" ht="15.75" customHeight="1">
      <c r="A423" s="203" t="str">
        <f>IF(B423&lt;&gt;"",IF(AND(B423&gt;=_TM1,B423&lt;=_TM2,OR(TH!L423="1111",TH!M423="1111")),TH!D423,""),"")</f>
        <v/>
      </c>
      <c r="B423" s="36">
        <f>IF(C423&lt;&gt;"",MONTH(C423),"")</f>
        <v>4</v>
      </c>
      <c r="C423" s="183">
        <f>E423</f>
        <v>42101</v>
      </c>
      <c r="D423" s="183" t="s">
        <v>1511</v>
      </c>
      <c r="E423" s="190">
        <v>42101</v>
      </c>
      <c r="F423" s="191" t="s">
        <v>588</v>
      </c>
      <c r="G423" s="482" t="s">
        <v>584</v>
      </c>
      <c r="H423" s="7" t="s">
        <v>407</v>
      </c>
      <c r="I423" s="255">
        <v>990</v>
      </c>
      <c r="J423" s="255">
        <v>7300</v>
      </c>
      <c r="K423" s="593">
        <f>ROUND(I423*J423,0)</f>
        <v>7227000</v>
      </c>
      <c r="L423" s="594" t="s">
        <v>259</v>
      </c>
      <c r="M423" s="594" t="s">
        <v>174</v>
      </c>
      <c r="N423" s="52" t="str">
        <f>IF(AND('331-CT'!$E$7=TH!H423,OR(L423="331",M423="331")),"331",IF(AND(OR(L423="131",M423="131"),H423='131-CT'!$E$7),"131",""))</f>
        <v/>
      </c>
      <c r="O423" s="86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99"/>
    </row>
    <row r="424" spans="1:28" s="585" customFormat="1" ht="15.75" customHeight="1">
      <c r="A424" s="203" t="str">
        <f>IF(B424&lt;&gt;"",IF(AND(B424&gt;=_TM1,B424&lt;=_TM2,OR(TH!L424="1111",TH!M424="1111")),TH!D424,""),"")</f>
        <v/>
      </c>
      <c r="B424" s="36">
        <f>IF(C424&lt;&gt;"",MONTH(C424),"")</f>
        <v>4</v>
      </c>
      <c r="C424" s="183">
        <f>E424</f>
        <v>42101</v>
      </c>
      <c r="D424" s="183" t="s">
        <v>1511</v>
      </c>
      <c r="E424" s="190">
        <v>42101</v>
      </c>
      <c r="F424" s="191" t="s">
        <v>589</v>
      </c>
      <c r="G424" s="482" t="s">
        <v>584</v>
      </c>
      <c r="H424" s="7" t="s">
        <v>407</v>
      </c>
      <c r="I424" s="255">
        <v>620</v>
      </c>
      <c r="J424" s="255">
        <v>8270</v>
      </c>
      <c r="K424" s="593">
        <f>ROUND(I424*J424,0)</f>
        <v>5127400</v>
      </c>
      <c r="L424" s="594" t="s">
        <v>259</v>
      </c>
      <c r="M424" s="594" t="s">
        <v>174</v>
      </c>
      <c r="N424" s="52" t="str">
        <f>IF(AND('331-CT'!$E$7=TH!H424,OR(L424="331",M424="331")),"331",IF(AND(OR(L424="131",M424="131"),H424='131-CT'!$E$7),"131",""))</f>
        <v/>
      </c>
      <c r="O424" s="86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99"/>
      <c r="AB424" s="210"/>
    </row>
    <row r="425" spans="1:28" s="585" customFormat="1" ht="15.75" customHeight="1">
      <c r="A425" s="203" t="str">
        <f>IF(B425&lt;&gt;"",IF(AND(B425&gt;=_TM1,B425&lt;=_TM2,OR(TH!L425="1111",TH!M425="1111")),TH!D425,""),"")</f>
        <v/>
      </c>
      <c r="B425" s="36">
        <f>IF(C425&lt;&gt;"",MONTH(C425),"")</f>
        <v>4</v>
      </c>
      <c r="C425" s="183">
        <f>E425</f>
        <v>42101</v>
      </c>
      <c r="D425" s="183" t="s">
        <v>1511</v>
      </c>
      <c r="E425" s="190">
        <v>42101</v>
      </c>
      <c r="F425" s="191" t="s">
        <v>590</v>
      </c>
      <c r="G425" s="482" t="s">
        <v>584</v>
      </c>
      <c r="H425" s="7" t="s">
        <v>407</v>
      </c>
      <c r="I425" s="255">
        <v>105</v>
      </c>
      <c r="J425" s="255">
        <v>9230</v>
      </c>
      <c r="K425" s="593">
        <f>ROUND(I425*J425,0)</f>
        <v>969150</v>
      </c>
      <c r="L425" s="594" t="s">
        <v>259</v>
      </c>
      <c r="M425" s="594" t="s">
        <v>174</v>
      </c>
      <c r="N425" s="52" t="str">
        <f>IF(AND('331-CT'!$E$7=TH!H425,OR(L425="331",M425="331")),"331",IF(AND(OR(L425="131",M425="131"),H425='131-CT'!$E$7),"131",""))</f>
        <v/>
      </c>
      <c r="O425" s="86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99"/>
      <c r="AB425" s="210"/>
    </row>
    <row r="426" spans="1:28" s="585" customFormat="1" ht="15.75" customHeight="1">
      <c r="A426" s="203" t="str">
        <f>IF(B426&lt;&gt;"",IF(AND(B426&gt;=_TM1,B426&lt;=_TM2,OR(TH!L426="1111",TH!M426="1111")),TH!D426,""),"")</f>
        <v/>
      </c>
      <c r="B426" s="36">
        <f>IF(C426&lt;&gt;"",MONTH(C426),"")</f>
        <v>4</v>
      </c>
      <c r="C426" s="183">
        <f>E426</f>
        <v>42101</v>
      </c>
      <c r="D426" s="183" t="s">
        <v>1511</v>
      </c>
      <c r="E426" s="190">
        <v>42101</v>
      </c>
      <c r="F426" s="191" t="s">
        <v>402</v>
      </c>
      <c r="G426" s="482" t="s">
        <v>584</v>
      </c>
      <c r="H426" s="7" t="s">
        <v>407</v>
      </c>
      <c r="I426" s="255"/>
      <c r="J426" s="255"/>
      <c r="K426" s="593">
        <v>3128675</v>
      </c>
      <c r="L426" s="594" t="s">
        <v>259</v>
      </c>
      <c r="M426" s="594" t="s">
        <v>371</v>
      </c>
      <c r="N426" s="52" t="str">
        <f>IF(AND('331-CT'!$E$7=TH!H426,OR(L426="331",M426="331")),"331",IF(AND(OR(L426="131",M426="131"),H426='131-CT'!$E$7),"131",""))</f>
        <v/>
      </c>
      <c r="O426" s="86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99"/>
      <c r="AB426" s="210"/>
    </row>
    <row r="427" spans="1:28" s="585" customFormat="1" ht="15.75" customHeight="1">
      <c r="A427" s="203" t="str">
        <f>IF(B427&lt;&gt;"",IF(AND(B427&gt;=_TM1,B427&lt;=_TM2,OR(TH!L427="1111",TH!M427="1111")),TH!D427,""),"")</f>
        <v/>
      </c>
      <c r="B427" s="36">
        <f>IF(C427&lt;&gt;"",MONTH(C427),"")</f>
        <v>4</v>
      </c>
      <c r="C427" s="183">
        <f>E427</f>
        <v>42102</v>
      </c>
      <c r="D427" s="183" t="s">
        <v>1512</v>
      </c>
      <c r="E427" s="190">
        <v>42102</v>
      </c>
      <c r="F427" s="191" t="s">
        <v>1703</v>
      </c>
      <c r="G427" s="482" t="s">
        <v>592</v>
      </c>
      <c r="H427" s="7" t="s">
        <v>1934</v>
      </c>
      <c r="I427" s="255">
        <v>124</v>
      </c>
      <c r="J427" s="255">
        <v>3990</v>
      </c>
      <c r="K427" s="593">
        <f>ROUND(I427*J427,0)</f>
        <v>494760</v>
      </c>
      <c r="L427" s="594" t="s">
        <v>259</v>
      </c>
      <c r="M427" s="594" t="s">
        <v>174</v>
      </c>
      <c r="N427" s="52" t="str">
        <f>IF(AND('331-CT'!$E$7=TH!H427,OR(L427="331",M427="331")),"331",IF(AND(OR(L427="131",M427="131"),H427='131-CT'!$E$7),"131",""))</f>
        <v/>
      </c>
      <c r="O427" s="86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99"/>
      <c r="AB427" s="210"/>
    </row>
    <row r="428" spans="1:28" s="585" customFormat="1" ht="15.75" customHeight="1">
      <c r="A428" s="203" t="str">
        <f>IF(B428&lt;&gt;"",IF(AND(B428&gt;=_TM1,B428&lt;=_TM2,OR(TH!L428="1111",TH!M428="1111")),TH!D428,""),"")</f>
        <v/>
      </c>
      <c r="B428" s="36">
        <f>IF(C428&lt;&gt;"",MONTH(C428),"")</f>
        <v>4</v>
      </c>
      <c r="C428" s="183">
        <f>E428</f>
        <v>42102</v>
      </c>
      <c r="D428" s="183" t="s">
        <v>1512</v>
      </c>
      <c r="E428" s="190">
        <v>42102</v>
      </c>
      <c r="F428" s="191" t="s">
        <v>741</v>
      </c>
      <c r="G428" s="482" t="s">
        <v>592</v>
      </c>
      <c r="H428" s="7" t="s">
        <v>1934</v>
      </c>
      <c r="I428" s="255">
        <v>100</v>
      </c>
      <c r="J428" s="255">
        <v>8972</v>
      </c>
      <c r="K428" s="593">
        <f>ROUND(I428*J428,0)</f>
        <v>897200</v>
      </c>
      <c r="L428" s="594" t="s">
        <v>259</v>
      </c>
      <c r="M428" s="594" t="s">
        <v>174</v>
      </c>
      <c r="N428" s="52" t="str">
        <f>IF(AND('331-CT'!$E$7=TH!H428,OR(L428="331",M428="331")),"331",IF(AND(OR(L428="131",M428="131"),H428='131-CT'!$E$7),"131",""))</f>
        <v/>
      </c>
      <c r="O428" s="86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99"/>
      <c r="AB428" s="210"/>
    </row>
    <row r="429" spans="1:28" s="585" customFormat="1" ht="15.75" customHeight="1">
      <c r="A429" s="203" t="str">
        <f>IF(B429&lt;&gt;"",IF(AND(B429&gt;=_TM1,B429&lt;=_TM2,OR(TH!L429="1111",TH!M429="1111")),TH!D429,""),"")</f>
        <v/>
      </c>
      <c r="B429" s="36">
        <f>IF(C429&lt;&gt;"",MONTH(C429),"")</f>
        <v>4</v>
      </c>
      <c r="C429" s="183">
        <f>E429</f>
        <v>42102</v>
      </c>
      <c r="D429" s="183" t="s">
        <v>1512</v>
      </c>
      <c r="E429" s="190">
        <v>42102</v>
      </c>
      <c r="F429" s="191" t="s">
        <v>692</v>
      </c>
      <c r="G429" s="482" t="s">
        <v>592</v>
      </c>
      <c r="H429" s="7" t="s">
        <v>1934</v>
      </c>
      <c r="I429" s="255">
        <v>25</v>
      </c>
      <c r="J429" s="255">
        <v>16243</v>
      </c>
      <c r="K429" s="593">
        <f>ROUND(I429*J429,0)</f>
        <v>406075</v>
      </c>
      <c r="L429" s="594" t="s">
        <v>259</v>
      </c>
      <c r="M429" s="594" t="s">
        <v>174</v>
      </c>
      <c r="N429" s="52" t="str">
        <f>IF(AND('331-CT'!$E$7=TH!H429,OR(L429="331",M429="331")),"331",IF(AND(OR(L429="131",M429="131"),H429='131-CT'!$E$7),"131",""))</f>
        <v/>
      </c>
      <c r="O429" s="86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99"/>
      <c r="AB429" s="210"/>
    </row>
    <row r="430" spans="1:28" s="585" customFormat="1" ht="15.75" customHeight="1">
      <c r="A430" s="203" t="str">
        <f>IF(B430&lt;&gt;"",IF(AND(B430&gt;=_TM1,B430&lt;=_TM2,OR(TH!L430="1111",TH!M430="1111")),TH!D430,""),"")</f>
        <v/>
      </c>
      <c r="B430" s="36">
        <f>IF(C430&lt;&gt;"",MONTH(C430),"")</f>
        <v>4</v>
      </c>
      <c r="C430" s="183">
        <f>E430</f>
        <v>42102</v>
      </c>
      <c r="D430" s="183" t="s">
        <v>1512</v>
      </c>
      <c r="E430" s="190">
        <v>42102</v>
      </c>
      <c r="F430" s="191" t="s">
        <v>1704</v>
      </c>
      <c r="G430" s="482" t="s">
        <v>592</v>
      </c>
      <c r="H430" s="7" t="s">
        <v>1934</v>
      </c>
      <c r="I430" s="255">
        <v>25</v>
      </c>
      <c r="J430" s="255">
        <v>15096</v>
      </c>
      <c r="K430" s="593">
        <f>ROUND(I430*J430,0)</f>
        <v>377400</v>
      </c>
      <c r="L430" s="594" t="s">
        <v>259</v>
      </c>
      <c r="M430" s="594" t="s">
        <v>174</v>
      </c>
      <c r="N430" s="52" t="str">
        <f>IF(AND('331-CT'!$E$7=TH!H430,OR(L430="331",M430="331")),"331",IF(AND(OR(L430="131",M430="131"),H430='131-CT'!$E$7),"131",""))</f>
        <v/>
      </c>
      <c r="O430" s="86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99"/>
      <c r="AB430" s="210"/>
    </row>
    <row r="431" spans="1:28" s="585" customFormat="1" ht="15.75" customHeight="1">
      <c r="A431" s="203" t="str">
        <f>IF(B431&lt;&gt;"",IF(AND(B431&gt;=_TM1,B431&lt;=_TM2,OR(TH!L431="1111",TH!M431="1111")),TH!D431,""),"")</f>
        <v/>
      </c>
      <c r="B431" s="36">
        <f>IF(C431&lt;&gt;"",MONTH(C431),"")</f>
        <v>4</v>
      </c>
      <c r="C431" s="183">
        <f>E431</f>
        <v>42102</v>
      </c>
      <c r="D431" s="183" t="s">
        <v>1512</v>
      </c>
      <c r="E431" s="190">
        <v>42102</v>
      </c>
      <c r="F431" s="191" t="s">
        <v>1705</v>
      </c>
      <c r="G431" s="482" t="s">
        <v>592</v>
      </c>
      <c r="H431" s="7" t="s">
        <v>1934</v>
      </c>
      <c r="I431" s="255">
        <v>100</v>
      </c>
      <c r="J431" s="255">
        <v>8276</v>
      </c>
      <c r="K431" s="593">
        <f>ROUND(I431*J431,0)</f>
        <v>827600</v>
      </c>
      <c r="L431" s="594" t="s">
        <v>259</v>
      </c>
      <c r="M431" s="594" t="s">
        <v>174</v>
      </c>
      <c r="N431" s="52" t="str">
        <f>IF(AND('331-CT'!$E$7=TH!H431,OR(L431="331",M431="331")),"331",IF(AND(OR(L431="131",M431="131"),H431='131-CT'!$E$7),"131",""))</f>
        <v/>
      </c>
      <c r="O431" s="86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99"/>
      <c r="AB431" s="210"/>
    </row>
    <row r="432" spans="1:28" s="585" customFormat="1" ht="15.75" customHeight="1">
      <c r="A432" s="203" t="str">
        <f>IF(B432&lt;&gt;"",IF(AND(B432&gt;=_TM1,B432&lt;=_TM2,OR(TH!L432="1111",TH!M432="1111")),TH!D432,""),"")</f>
        <v/>
      </c>
      <c r="B432" s="36">
        <f>IF(C432&lt;&gt;"",MONTH(C432),"")</f>
        <v>4</v>
      </c>
      <c r="C432" s="183">
        <f>E432</f>
        <v>42102</v>
      </c>
      <c r="D432" s="183" t="s">
        <v>1512</v>
      </c>
      <c r="E432" s="190">
        <v>42102</v>
      </c>
      <c r="F432" s="191" t="s">
        <v>1698</v>
      </c>
      <c r="G432" s="482" t="s">
        <v>592</v>
      </c>
      <c r="H432" s="7" t="s">
        <v>1934</v>
      </c>
      <c r="I432" s="255">
        <v>553</v>
      </c>
      <c r="J432" s="255">
        <v>16896</v>
      </c>
      <c r="K432" s="593">
        <f>ROUND(I432*J432,0)</f>
        <v>9343488</v>
      </c>
      <c r="L432" s="594" t="s">
        <v>259</v>
      </c>
      <c r="M432" s="594" t="s">
        <v>174</v>
      </c>
      <c r="N432" s="52" t="str">
        <f>IF(AND('331-CT'!$E$7=TH!H432,OR(L432="331",M432="331")),"331",IF(AND(OR(L432="131",M432="131"),H432='131-CT'!$E$7),"131",""))</f>
        <v/>
      </c>
      <c r="O432" s="86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99"/>
      <c r="AB432" s="210"/>
    </row>
    <row r="433" spans="1:28" s="585" customFormat="1" ht="15.75" customHeight="1">
      <c r="A433" s="203" t="str">
        <f>IF(B433&lt;&gt;"",IF(AND(B433&gt;=_TM1,B433&lt;=_TM2,OR(TH!L433="1111",TH!M433="1111")),TH!D433,""),"")</f>
        <v/>
      </c>
      <c r="B433" s="36">
        <f>IF(C433&lt;&gt;"",MONTH(C433),"")</f>
        <v>4</v>
      </c>
      <c r="C433" s="183">
        <f>E433</f>
        <v>42102</v>
      </c>
      <c r="D433" s="183" t="s">
        <v>1512</v>
      </c>
      <c r="E433" s="190">
        <v>42102</v>
      </c>
      <c r="F433" s="191" t="s">
        <v>465</v>
      </c>
      <c r="G433" s="482" t="s">
        <v>592</v>
      </c>
      <c r="H433" s="7" t="s">
        <v>1934</v>
      </c>
      <c r="I433" s="255"/>
      <c r="J433" s="255"/>
      <c r="K433" s="593">
        <v>1234652</v>
      </c>
      <c r="L433" s="594" t="s">
        <v>259</v>
      </c>
      <c r="M433" s="594" t="s">
        <v>371</v>
      </c>
      <c r="N433" s="52" t="str">
        <f>IF(AND('331-CT'!$E$7=TH!H433,OR(L433="331",M433="331")),"331",IF(AND(OR(L433="131",M433="131"),H433='131-CT'!$E$7),"131",""))</f>
        <v/>
      </c>
      <c r="O433" s="86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99"/>
      <c r="AB433" s="210"/>
    </row>
    <row r="434" spans="1:28" s="585" customFormat="1" ht="15.75" customHeight="1">
      <c r="A434" s="203" t="str">
        <f>IF(B434&lt;&gt;"",IF(AND(B434&gt;=_TM1,B434&lt;=_TM2,OR(TH!L434="1111",TH!M434="1111")),TH!D434,""),"")</f>
        <v/>
      </c>
      <c r="B434" s="36">
        <f>IF(C434&lt;&gt;"",MONTH(C434),"")</f>
        <v>4</v>
      </c>
      <c r="C434" s="183">
        <f>E434</f>
        <v>42104</v>
      </c>
      <c r="D434" s="183" t="s">
        <v>1513</v>
      </c>
      <c r="E434" s="190">
        <v>42104</v>
      </c>
      <c r="F434" s="191" t="s">
        <v>1843</v>
      </c>
      <c r="G434" s="482" t="s">
        <v>593</v>
      </c>
      <c r="H434" s="7" t="s">
        <v>1934</v>
      </c>
      <c r="I434" s="255">
        <v>200</v>
      </c>
      <c r="J434" s="255">
        <v>8302</v>
      </c>
      <c r="K434" s="593">
        <f>ROUND(I434*J434,0)</f>
        <v>1660400</v>
      </c>
      <c r="L434" s="594" t="s">
        <v>259</v>
      </c>
      <c r="M434" s="594" t="s">
        <v>174</v>
      </c>
      <c r="N434" s="52" t="str">
        <f>IF(AND('331-CT'!$E$7=TH!H434,OR(L434="331",M434="331")),"331",IF(AND(OR(L434="131",M434="131"),H434='131-CT'!$E$7),"131",""))</f>
        <v/>
      </c>
      <c r="O434" s="86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99"/>
      <c r="AB434" s="210"/>
    </row>
    <row r="435" spans="1:28" s="585" customFormat="1" ht="15.75" customHeight="1">
      <c r="A435" s="203" t="str">
        <f>IF(B435&lt;&gt;"",IF(AND(B435&gt;=_TM1,B435&lt;=_TM2,OR(TH!L435="1111",TH!M435="1111")),TH!D435,""),"")</f>
        <v/>
      </c>
      <c r="B435" s="36">
        <f>IF(C435&lt;&gt;"",MONTH(C435),"")</f>
        <v>4</v>
      </c>
      <c r="C435" s="183">
        <f>E435</f>
        <v>42104</v>
      </c>
      <c r="D435" s="183" t="s">
        <v>1513</v>
      </c>
      <c r="E435" s="190">
        <v>42104</v>
      </c>
      <c r="F435" s="40" t="s">
        <v>1786</v>
      </c>
      <c r="G435" s="482" t="s">
        <v>593</v>
      </c>
      <c r="H435" s="7" t="s">
        <v>1934</v>
      </c>
      <c r="I435" s="255">
        <v>50</v>
      </c>
      <c r="J435" s="255">
        <v>13882</v>
      </c>
      <c r="K435" s="593">
        <f>ROUND(I435*J435,0)</f>
        <v>694100</v>
      </c>
      <c r="L435" s="594" t="s">
        <v>259</v>
      </c>
      <c r="M435" s="594" t="s">
        <v>174</v>
      </c>
      <c r="N435" s="52" t="str">
        <f>IF(AND('331-CT'!$E$7=TH!H435,OR(L435="331",M435="331")),"331",IF(AND(OR(L435="131",M435="131"),H435='131-CT'!$E$7),"131",""))</f>
        <v/>
      </c>
      <c r="O435" s="86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99"/>
      <c r="AB435" s="210"/>
    </row>
    <row r="436" spans="1:28" s="585" customFormat="1" ht="15.75" customHeight="1">
      <c r="A436" s="203" t="str">
        <f>IF(B436&lt;&gt;"",IF(AND(B436&gt;=_TM1,B436&lt;=_TM2,OR(TH!L436="1111",TH!M436="1111")),TH!D436,""),"")</f>
        <v/>
      </c>
      <c r="B436" s="36">
        <f>IF(C436&lt;&gt;"",MONTH(C436),"")</f>
        <v>4</v>
      </c>
      <c r="C436" s="183">
        <f>E436</f>
        <v>42104</v>
      </c>
      <c r="D436" s="183" t="s">
        <v>1513</v>
      </c>
      <c r="E436" s="190">
        <v>42104</v>
      </c>
      <c r="F436" s="191" t="s">
        <v>1844</v>
      </c>
      <c r="G436" s="482" t="s">
        <v>593</v>
      </c>
      <c r="H436" s="7" t="s">
        <v>1934</v>
      </c>
      <c r="I436" s="255">
        <v>53</v>
      </c>
      <c r="J436" s="255">
        <v>21964</v>
      </c>
      <c r="K436" s="593">
        <f>ROUND(I436*J436,0)</f>
        <v>1164092</v>
      </c>
      <c r="L436" s="594" t="s">
        <v>259</v>
      </c>
      <c r="M436" s="594" t="s">
        <v>174</v>
      </c>
      <c r="N436" s="52" t="str">
        <f>IF(AND('331-CT'!$E$7=TH!H436,OR(L436="331",M436="331")),"331",IF(AND(OR(L436="131",M436="131"),H436='131-CT'!$E$7),"131",""))</f>
        <v/>
      </c>
      <c r="O436" s="86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99"/>
      <c r="AB436" s="210"/>
    </row>
    <row r="437" spans="1:28" s="585" customFormat="1" ht="15.75" customHeight="1">
      <c r="A437" s="203" t="str">
        <f>IF(B437&lt;&gt;"",IF(AND(B437&gt;=_TM1,B437&lt;=_TM2,OR(TH!L437="1111",TH!M437="1111")),TH!D437,""),"")</f>
        <v/>
      </c>
      <c r="B437" s="36">
        <f>IF(C437&lt;&gt;"",MONTH(C437),"")</f>
        <v>4</v>
      </c>
      <c r="C437" s="183">
        <f>E437</f>
        <v>42104</v>
      </c>
      <c r="D437" s="183" t="s">
        <v>1513</v>
      </c>
      <c r="E437" s="190">
        <v>42104</v>
      </c>
      <c r="F437" s="191" t="s">
        <v>1715</v>
      </c>
      <c r="G437" s="482" t="s">
        <v>593</v>
      </c>
      <c r="H437" s="7" t="s">
        <v>1934</v>
      </c>
      <c r="I437" s="255">
        <v>200</v>
      </c>
      <c r="J437" s="255">
        <v>12945</v>
      </c>
      <c r="K437" s="593">
        <f>ROUND(I437*J437,0)</f>
        <v>2589000</v>
      </c>
      <c r="L437" s="594" t="s">
        <v>259</v>
      </c>
      <c r="M437" s="594" t="s">
        <v>174</v>
      </c>
      <c r="N437" s="52" t="str">
        <f>IF(AND('331-CT'!$E$7=TH!H437,OR(L437="331",M437="331")),"331",IF(AND(OR(L437="131",M437="131"),H437='131-CT'!$E$7),"131",""))</f>
        <v/>
      </c>
      <c r="O437" s="86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99"/>
      <c r="AB437" s="210"/>
    </row>
    <row r="438" spans="1:28" s="585" customFormat="1" ht="15.75" customHeight="1">
      <c r="A438" s="203" t="str">
        <f>IF(B438&lt;&gt;"",IF(AND(B438&gt;=_TM1,B438&lt;=_TM2,OR(TH!L438="1111",TH!M438="1111")),TH!D438,""),"")</f>
        <v/>
      </c>
      <c r="B438" s="36">
        <f>IF(C438&lt;&gt;"",MONTH(C438),"")</f>
        <v>4</v>
      </c>
      <c r="C438" s="183">
        <f>E438</f>
        <v>42104</v>
      </c>
      <c r="D438" s="183" t="s">
        <v>1513</v>
      </c>
      <c r="E438" s="190">
        <v>42104</v>
      </c>
      <c r="F438" s="191" t="s">
        <v>1845</v>
      </c>
      <c r="G438" s="482" t="s">
        <v>593</v>
      </c>
      <c r="H438" s="7" t="s">
        <v>1934</v>
      </c>
      <c r="I438" s="255">
        <v>500</v>
      </c>
      <c r="J438" s="255">
        <v>5468</v>
      </c>
      <c r="K438" s="593">
        <f>ROUND(I438*J438,0)</f>
        <v>2734000</v>
      </c>
      <c r="L438" s="594" t="s">
        <v>259</v>
      </c>
      <c r="M438" s="594" t="s">
        <v>174</v>
      </c>
      <c r="N438" s="52" t="str">
        <f>IF(AND('331-CT'!$E$7=TH!H438,OR(L438="331",M438="331")),"331",IF(AND(OR(L438="131",M438="131"),H438='131-CT'!$E$7),"131",""))</f>
        <v/>
      </c>
      <c r="O438" s="86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99"/>
      <c r="AB438" s="210"/>
    </row>
    <row r="439" spans="1:28" s="585" customFormat="1" ht="15.75" customHeight="1">
      <c r="A439" s="203" t="str">
        <f>IF(B439&lt;&gt;"",IF(AND(B439&gt;=_TM1,B439&lt;=_TM2,OR(TH!L439="1111",TH!M439="1111")),TH!D439,""),"")</f>
        <v/>
      </c>
      <c r="B439" s="36">
        <f>IF(C439&lt;&gt;"",MONTH(C439),"")</f>
        <v>4</v>
      </c>
      <c r="C439" s="183">
        <f>E439</f>
        <v>42104</v>
      </c>
      <c r="D439" s="183" t="s">
        <v>1513</v>
      </c>
      <c r="E439" s="190">
        <v>42104</v>
      </c>
      <c r="F439" s="191" t="s">
        <v>1846</v>
      </c>
      <c r="G439" s="482" t="s">
        <v>593</v>
      </c>
      <c r="H439" s="7" t="s">
        <v>1934</v>
      </c>
      <c r="I439" s="255">
        <v>38</v>
      </c>
      <c r="J439" s="255">
        <v>5790</v>
      </c>
      <c r="K439" s="593">
        <f>ROUND(I439*J439,0)</f>
        <v>220020</v>
      </c>
      <c r="L439" s="594" t="s">
        <v>259</v>
      </c>
      <c r="M439" s="594" t="s">
        <v>174</v>
      </c>
      <c r="N439" s="52" t="str">
        <f>IF(AND('331-CT'!$E$7=TH!H439,OR(L439="331",M439="331")),"331",IF(AND(OR(L439="131",M439="131"),H439='131-CT'!$E$7),"131",""))</f>
        <v/>
      </c>
      <c r="O439" s="86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99"/>
      <c r="AB439" s="210"/>
    </row>
    <row r="440" spans="1:28" s="585" customFormat="1" ht="15.75" customHeight="1">
      <c r="A440" s="203" t="str">
        <f>IF(B440&lt;&gt;"",IF(AND(B440&gt;=_TM1,B440&lt;=_TM2,OR(TH!L440="1111",TH!M440="1111")),TH!D440,""),"")</f>
        <v/>
      </c>
      <c r="B440" s="36">
        <f>IF(C440&lt;&gt;"",MONTH(C440),"")</f>
        <v>4</v>
      </c>
      <c r="C440" s="183">
        <f>E440</f>
        <v>42104</v>
      </c>
      <c r="D440" s="183" t="s">
        <v>1513</v>
      </c>
      <c r="E440" s="190">
        <v>42104</v>
      </c>
      <c r="F440" s="191" t="s">
        <v>402</v>
      </c>
      <c r="G440" s="482" t="s">
        <v>593</v>
      </c>
      <c r="H440" s="7" t="s">
        <v>1934</v>
      </c>
      <c r="I440" s="255"/>
      <c r="J440" s="255"/>
      <c r="K440" s="593">
        <v>906161</v>
      </c>
      <c r="L440" s="594" t="s">
        <v>259</v>
      </c>
      <c r="M440" s="594" t="s">
        <v>371</v>
      </c>
      <c r="N440" s="52" t="str">
        <f>IF(AND('331-CT'!$E$7=TH!H440,OR(L440="331",M440="331")),"331",IF(AND(OR(L440="131",M440="131"),H440='131-CT'!$E$7),"131",""))</f>
        <v/>
      </c>
      <c r="O440" s="86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99"/>
      <c r="AB440" s="210"/>
    </row>
    <row r="441" spans="1:28" s="585" customFormat="1" ht="15.75" customHeight="1">
      <c r="A441" s="203" t="str">
        <f>IF(B441&lt;&gt;"",IF(AND(B441&gt;=_TM1,B441&lt;=_TM2,OR(TH!L441="1111",TH!M441="1111")),TH!D441,""),"")</f>
        <v/>
      </c>
      <c r="B441" s="36">
        <f>IF(C441&lt;&gt;"",MONTH(C441),"")</f>
        <v>4</v>
      </c>
      <c r="C441" s="183">
        <f>E441</f>
        <v>42104</v>
      </c>
      <c r="D441" s="183" t="s">
        <v>1513</v>
      </c>
      <c r="E441" s="190">
        <v>42104</v>
      </c>
      <c r="F441" s="191" t="s">
        <v>1320</v>
      </c>
      <c r="G441" s="482" t="s">
        <v>2052</v>
      </c>
      <c r="H441" s="7" t="s">
        <v>1934</v>
      </c>
      <c r="I441" s="255"/>
      <c r="J441" s="255"/>
      <c r="K441" s="593">
        <f>19087255+13581175+9967773</f>
        <v>42636203</v>
      </c>
      <c r="L441" s="594" t="s">
        <v>47</v>
      </c>
      <c r="M441" s="594" t="s">
        <v>259</v>
      </c>
      <c r="N441" s="52" t="str">
        <f>IF(AND('331-CT'!$E$7=TH!H441,OR(L441="331",M441="331")),"331",IF(AND(OR(L441="131",M441="131"),H441='131-CT'!$E$7),"131",""))</f>
        <v/>
      </c>
      <c r="O441" s="869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99"/>
      <c r="AB441" s="210"/>
    </row>
    <row r="442" spans="1:28" s="585" customFormat="1" ht="15.75" customHeight="1">
      <c r="A442" s="203" t="str">
        <f>IF(B442&lt;&gt;"",IF(AND(B442&gt;=_TM1,B442&lt;=_TM2,OR(TH!L442="1111",TH!M442="1111")),TH!D442,""),"")</f>
        <v/>
      </c>
      <c r="B442" s="36">
        <f>IF(C442&lt;&gt;"",MONTH(C442),"")</f>
        <v>4</v>
      </c>
      <c r="C442" s="183">
        <f>E442</f>
        <v>42104</v>
      </c>
      <c r="D442" s="183" t="s">
        <v>1514</v>
      </c>
      <c r="E442" s="190">
        <v>42104</v>
      </c>
      <c r="F442" s="191" t="s">
        <v>538</v>
      </c>
      <c r="G442" s="482" t="s">
        <v>594</v>
      </c>
      <c r="H442" s="7" t="s">
        <v>453</v>
      </c>
      <c r="I442" s="255">
        <v>203</v>
      </c>
      <c r="J442" s="255">
        <v>9300</v>
      </c>
      <c r="K442" s="593">
        <f>ROUND(I442*J442,0)</f>
        <v>1887900</v>
      </c>
      <c r="L442" s="594" t="s">
        <v>259</v>
      </c>
      <c r="M442" s="594" t="s">
        <v>174</v>
      </c>
      <c r="N442" s="52" t="str">
        <f>IF(AND('331-CT'!$E$7=TH!H442,OR(L442="331",M442="331")),"331",IF(AND(OR(L442="131",M442="131"),H442='131-CT'!$E$7),"131",""))</f>
        <v/>
      </c>
      <c r="O442" s="86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99"/>
      <c r="AB442" s="210"/>
    </row>
    <row r="443" spans="1:28" s="585" customFormat="1" ht="15.75" customHeight="1">
      <c r="A443" s="203" t="str">
        <f>IF(B443&lt;&gt;"",IF(AND(B443&gt;=_TM1,B443&lt;=_TM2,OR(TH!L443="1111",TH!M443="1111")),TH!D443,""),"")</f>
        <v/>
      </c>
      <c r="B443" s="36">
        <f>IF(C443&lt;&gt;"",MONTH(C443),"")</f>
        <v>4</v>
      </c>
      <c r="C443" s="183">
        <f>E443</f>
        <v>42104</v>
      </c>
      <c r="D443" s="183" t="s">
        <v>1514</v>
      </c>
      <c r="E443" s="190">
        <v>42104</v>
      </c>
      <c r="F443" s="191" t="s">
        <v>539</v>
      </c>
      <c r="G443" s="482" t="s">
        <v>594</v>
      </c>
      <c r="H443" s="7" t="s">
        <v>453</v>
      </c>
      <c r="I443" s="255">
        <v>208</v>
      </c>
      <c r="J443" s="255">
        <v>9400</v>
      </c>
      <c r="K443" s="593">
        <f>ROUND(I443*J443,0)</f>
        <v>1955200</v>
      </c>
      <c r="L443" s="594" t="s">
        <v>259</v>
      </c>
      <c r="M443" s="594" t="s">
        <v>174</v>
      </c>
      <c r="N443" s="52" t="str">
        <f>IF(AND('331-CT'!$E$7=TH!H443,OR(L443="331",M443="331")),"331",IF(AND(OR(L443="131",M443="131"),H443='131-CT'!$E$7),"131",""))</f>
        <v/>
      </c>
      <c r="O443" s="86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99"/>
      <c r="AB443" s="210"/>
    </row>
    <row r="444" spans="1:28" s="585" customFormat="1" ht="15.75" customHeight="1">
      <c r="A444" s="203" t="str">
        <f>IF(B444&lt;&gt;"",IF(AND(B444&gt;=_TM1,B444&lt;=_TM2,OR(TH!L444="1111",TH!M444="1111")),TH!D444,""),"")</f>
        <v/>
      </c>
      <c r="B444" s="36">
        <f>IF(C444&lt;&gt;"",MONTH(C444),"")</f>
        <v>4</v>
      </c>
      <c r="C444" s="183">
        <f>E444</f>
        <v>42104</v>
      </c>
      <c r="D444" s="183" t="s">
        <v>1514</v>
      </c>
      <c r="E444" s="190">
        <v>42104</v>
      </c>
      <c r="F444" s="191" t="s">
        <v>595</v>
      </c>
      <c r="G444" s="482" t="s">
        <v>594</v>
      </c>
      <c r="H444" s="7" t="s">
        <v>453</v>
      </c>
      <c r="I444" s="255">
        <v>203</v>
      </c>
      <c r="J444" s="255">
        <v>6400</v>
      </c>
      <c r="K444" s="593">
        <f>ROUND(I444*J444,0)</f>
        <v>1299200</v>
      </c>
      <c r="L444" s="594" t="s">
        <v>259</v>
      </c>
      <c r="M444" s="594" t="s">
        <v>174</v>
      </c>
      <c r="N444" s="52" t="str">
        <f>IF(AND('331-CT'!$E$7=TH!H444,OR(L444="331",M444="331")),"331",IF(AND(OR(L444="131",M444="131"),H444='131-CT'!$E$7),"131",""))</f>
        <v/>
      </c>
      <c r="O444" s="86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99"/>
      <c r="AB444" s="210"/>
    </row>
    <row r="445" spans="1:28" s="585" customFormat="1" ht="15.75" customHeight="1">
      <c r="A445" s="203" t="str">
        <f>IF(B445&lt;&gt;"",IF(AND(B445&gt;=_TM1,B445&lt;=_TM2,OR(TH!L445="1111",TH!M445="1111")),TH!D445,""),"")</f>
        <v/>
      </c>
      <c r="B445" s="36">
        <f>IF(C445&lt;&gt;"",MONTH(C445),"")</f>
        <v>4</v>
      </c>
      <c r="C445" s="183">
        <f>E445</f>
        <v>42104</v>
      </c>
      <c r="D445" s="183" t="s">
        <v>1514</v>
      </c>
      <c r="E445" s="190">
        <v>42104</v>
      </c>
      <c r="F445" s="191" t="s">
        <v>402</v>
      </c>
      <c r="G445" s="482" t="s">
        <v>594</v>
      </c>
      <c r="H445" s="7" t="s">
        <v>453</v>
      </c>
      <c r="I445" s="255"/>
      <c r="J445" s="255"/>
      <c r="K445" s="593">
        <v>514230</v>
      </c>
      <c r="L445" s="594" t="s">
        <v>259</v>
      </c>
      <c r="M445" s="594" t="s">
        <v>371</v>
      </c>
      <c r="N445" s="52" t="str">
        <f>IF(AND('331-CT'!$E$7=TH!H445,OR(L445="331",M445="331")),"331",IF(AND(OR(L445="131",M445="131"),H445='131-CT'!$E$7),"131",""))</f>
        <v/>
      </c>
      <c r="O445" s="86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99"/>
      <c r="AB445" s="210"/>
    </row>
    <row r="446" spans="1:28" s="585" customFormat="1" ht="15.75" customHeight="1">
      <c r="A446" s="203" t="str">
        <f>IF(B446&lt;&gt;"",IF(AND(B446&gt;=_TM1,B446&lt;=_TM2,OR(TH!L446="1111",TH!M446="1111")),TH!D446,""),"")</f>
        <v/>
      </c>
      <c r="B446" s="36">
        <f>IF(C446&lt;&gt;"",MONTH(C446),"")</f>
        <v>4</v>
      </c>
      <c r="C446" s="183">
        <f>E446</f>
        <v>42104</v>
      </c>
      <c r="D446" s="190"/>
      <c r="E446" s="727">
        <v>42104</v>
      </c>
      <c r="F446" s="188" t="s">
        <v>374</v>
      </c>
      <c r="G446" s="482" t="s">
        <v>1389</v>
      </c>
      <c r="H446" s="7" t="s">
        <v>1365</v>
      </c>
      <c r="I446" s="255"/>
      <c r="J446" s="255"/>
      <c r="K446" s="593">
        <v>6470000</v>
      </c>
      <c r="L446" s="594" t="s">
        <v>165</v>
      </c>
      <c r="M446" s="594" t="s">
        <v>47</v>
      </c>
      <c r="N446" s="52" t="str">
        <f>IF(AND('331-CT'!$E$7=TH!H446,OR(L446="331",M446="331")),"331",IF(AND(OR(L446="131",M446="131"),H446='131-CT'!$E$7),"131",""))</f>
        <v/>
      </c>
      <c r="O446" s="869" t="str">
        <f>IF(AND('341-CT'!$E$9=H446,OR(LEFT(L446,3)=$O$7,LEFT(M446,3)=$O$7)),"x","")</f>
        <v/>
      </c>
      <c r="P446" s="52" t="str">
        <f>IF(AND($B446&gt;='111'!$N$11,$B446&lt;='111'!$O$11,OR($L446=$P$7,$M446=$P$7)),"x","")</f>
        <v>x</v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99"/>
      <c r="AB446" s="210"/>
    </row>
    <row r="447" spans="1:28" s="585" customFormat="1" ht="15.75" customHeight="1">
      <c r="A447" s="203" t="str">
        <f>IF(B447&lt;&gt;"",IF(AND(B447&gt;=_TM1,B447&lt;=_TM2,OR(TH!L447="1111",TH!M447="1111")),TH!D447,""),"")</f>
        <v/>
      </c>
      <c r="B447" s="36">
        <f>IF(C447&lt;&gt;"",MONTH(C447),"")</f>
        <v>4</v>
      </c>
      <c r="C447" s="183">
        <f>E447</f>
        <v>42104</v>
      </c>
      <c r="D447" s="190"/>
      <c r="E447" s="727">
        <v>42104</v>
      </c>
      <c r="F447" s="188" t="s">
        <v>1364</v>
      </c>
      <c r="G447" s="482" t="s">
        <v>1389</v>
      </c>
      <c r="H447" s="7" t="s">
        <v>1365</v>
      </c>
      <c r="I447" s="255"/>
      <c r="J447" s="255"/>
      <c r="K447" s="593">
        <v>647000</v>
      </c>
      <c r="L447" s="594" t="s">
        <v>9</v>
      </c>
      <c r="M447" s="594" t="s">
        <v>47</v>
      </c>
      <c r="N447" s="52" t="str">
        <f>IF(AND('331-CT'!$E$7=TH!H447,OR(L447="331",M447="331")),"331",IF(AND(OR(L447="131",M447="131"),H447='131-CT'!$E$7),"131",""))</f>
        <v/>
      </c>
      <c r="O447" s="869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99"/>
      <c r="AB447" s="210"/>
    </row>
    <row r="448" spans="1:28" s="585" customFormat="1" ht="15.75" customHeight="1">
      <c r="A448" s="203" t="str">
        <f>IF(B448&lt;&gt;"",IF(AND(B448&gt;=_TM1,B448&lt;=_TM2,OR(TH!L448="1111",TH!M448="1111")),TH!D448,""),"")</f>
        <v/>
      </c>
      <c r="B448" s="36">
        <f>IF(C448&lt;&gt;"",MONTH(C448),"")</f>
        <v>4</v>
      </c>
      <c r="C448" s="183">
        <f>E448</f>
        <v>42104</v>
      </c>
      <c r="D448" s="183" t="s">
        <v>1960</v>
      </c>
      <c r="E448" s="727">
        <v>42104</v>
      </c>
      <c r="F448" s="188" t="s">
        <v>337</v>
      </c>
      <c r="G448" s="482" t="s">
        <v>1390</v>
      </c>
      <c r="H448" s="7" t="s">
        <v>357</v>
      </c>
      <c r="I448" s="255">
        <v>24</v>
      </c>
      <c r="J448" s="255">
        <v>43000</v>
      </c>
      <c r="K448" s="593">
        <f>ROUND(I448*J448,0)</f>
        <v>1032000</v>
      </c>
      <c r="L448" s="193" t="s">
        <v>161</v>
      </c>
      <c r="M448" s="193" t="s">
        <v>8</v>
      </c>
      <c r="N448" s="52" t="str">
        <f>IF(AND('331-CT'!$E$7=TH!H448,OR(L448="331",M448="331")),"331",IF(AND(OR(L448="131",M448="131"),H448='131-CT'!$E$7),"131",""))</f>
        <v/>
      </c>
      <c r="O448" s="86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99"/>
      <c r="AB448" s="210"/>
    </row>
    <row r="449" spans="1:28" s="585" customFormat="1" ht="15.75" customHeight="1">
      <c r="A449" s="203" t="str">
        <f>IF(B449&lt;&gt;"",IF(AND(B449&gt;=_TM1,B449&lt;=_TM2,OR(TH!L449="1111",TH!M449="1111")),TH!D449,""),"")</f>
        <v/>
      </c>
      <c r="B449" s="36">
        <f>IF(C449&lt;&gt;"",MONTH(C449),"")</f>
        <v>4</v>
      </c>
      <c r="C449" s="183">
        <f>E449</f>
        <v>42104</v>
      </c>
      <c r="D449" s="183" t="s">
        <v>1960</v>
      </c>
      <c r="E449" s="727">
        <v>42104</v>
      </c>
      <c r="F449" s="188" t="s">
        <v>1366</v>
      </c>
      <c r="G449" s="482" t="s">
        <v>1390</v>
      </c>
      <c r="H449" s="7" t="s">
        <v>357</v>
      </c>
      <c r="I449" s="255"/>
      <c r="J449" s="255"/>
      <c r="K449" s="593">
        <v>103200</v>
      </c>
      <c r="L449" s="193" t="s">
        <v>9</v>
      </c>
      <c r="M449" s="193" t="s">
        <v>8</v>
      </c>
      <c r="N449" s="52" t="str">
        <f>IF(AND('331-CT'!$E$7=TH!H449,OR(L449="331",M449="331")),"331",IF(AND(OR(L449="131",M449="131"),H449='131-CT'!$E$7),"131",""))</f>
        <v/>
      </c>
      <c r="O449" s="86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99"/>
      <c r="AB449" s="210"/>
    </row>
    <row r="450" spans="1:28" s="585" customFormat="1" ht="15.75" customHeight="1">
      <c r="A450" s="203" t="str">
        <f>IF(B450&lt;&gt;"",IF(AND(B450&gt;=_TM1,B450&lt;=_TM2,OR(TH!L450="1111",TH!M450="1111")),TH!D450,""),"")</f>
        <v/>
      </c>
      <c r="B450" s="36">
        <f>IF(C450&lt;&gt;"",MONTH(C450),"")</f>
        <v>4</v>
      </c>
      <c r="C450" s="183">
        <f>E450</f>
        <v>42104</v>
      </c>
      <c r="D450" s="183" t="s">
        <v>1960</v>
      </c>
      <c r="E450" s="727">
        <v>42104</v>
      </c>
      <c r="F450" s="296" t="s">
        <v>1326</v>
      </c>
      <c r="G450" s="482" t="s">
        <v>1390</v>
      </c>
      <c r="H450" s="7" t="s">
        <v>357</v>
      </c>
      <c r="I450" s="255"/>
      <c r="J450" s="255"/>
      <c r="K450" s="593">
        <v>1135200</v>
      </c>
      <c r="L450" s="193" t="s">
        <v>8</v>
      </c>
      <c r="M450" s="193" t="s">
        <v>47</v>
      </c>
      <c r="N450" s="52" t="str">
        <f>IF(AND('331-CT'!$E$7=TH!H450,OR(L450="331",M450="331")),"331",IF(AND(OR(L450="131",M450="131"),H450='131-CT'!$E$7),"131",""))</f>
        <v/>
      </c>
      <c r="O450" s="869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99"/>
      <c r="AB450" s="210"/>
    </row>
    <row r="451" spans="1:28" s="585" customFormat="1" ht="15.75" customHeight="1">
      <c r="A451" s="203" t="str">
        <f>IF(B451&lt;&gt;"",IF(AND(B451&gt;=_TM1,B451&lt;=_TM2,OR(TH!L451="1111",TH!M451="1111")),TH!D451,""),"")</f>
        <v/>
      </c>
      <c r="B451" s="36">
        <f>IF(C451&lt;&gt;"",MONTH(C451),"")</f>
        <v>4</v>
      </c>
      <c r="C451" s="183">
        <f>E451</f>
        <v>42107</v>
      </c>
      <c r="D451" s="183" t="s">
        <v>1515</v>
      </c>
      <c r="E451" s="190">
        <v>42107</v>
      </c>
      <c r="F451" s="191" t="s">
        <v>596</v>
      </c>
      <c r="G451" s="482" t="s">
        <v>597</v>
      </c>
      <c r="H451" s="7" t="s">
        <v>464</v>
      </c>
      <c r="I451" s="255">
        <v>100</v>
      </c>
      <c r="J451" s="255">
        <v>20000</v>
      </c>
      <c r="K451" s="593">
        <f>ROUND(I451*J451,0)</f>
        <v>2000000</v>
      </c>
      <c r="L451" s="594" t="s">
        <v>259</v>
      </c>
      <c r="M451" s="594" t="s">
        <v>174</v>
      </c>
      <c r="N451" s="52" t="str">
        <f>IF(AND('331-CT'!$E$7=TH!H451,OR(L451="331",M451="331")),"331",IF(AND(OR(L451="131",M451="131"),H451='131-CT'!$E$7),"131",""))</f>
        <v/>
      </c>
      <c r="O451" s="86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99"/>
      <c r="AB451" s="210"/>
    </row>
    <row r="452" spans="1:28" s="585" customFormat="1" ht="15.75" customHeight="1">
      <c r="A452" s="203" t="str">
        <f>IF(B452&lt;&gt;"",IF(AND(B452&gt;=_TM1,B452&lt;=_TM2,OR(TH!L452="1111",TH!M452="1111")),TH!D452,""),"")</f>
        <v/>
      </c>
      <c r="B452" s="36">
        <f>IF(C452&lt;&gt;"",MONTH(C452),"")</f>
        <v>4</v>
      </c>
      <c r="C452" s="183">
        <f>E452</f>
        <v>42107</v>
      </c>
      <c r="D452" s="183" t="s">
        <v>1515</v>
      </c>
      <c r="E452" s="190">
        <v>42107</v>
      </c>
      <c r="F452" s="191" t="s">
        <v>1706</v>
      </c>
      <c r="G452" s="482" t="s">
        <v>597</v>
      </c>
      <c r="H452" s="7" t="s">
        <v>464</v>
      </c>
      <c r="I452" s="255">
        <v>200</v>
      </c>
      <c r="J452" s="255">
        <v>2000</v>
      </c>
      <c r="K452" s="593">
        <f>ROUND(I452*J452,0)</f>
        <v>400000</v>
      </c>
      <c r="L452" s="594" t="s">
        <v>259</v>
      </c>
      <c r="M452" s="594" t="s">
        <v>174</v>
      </c>
      <c r="N452" s="52" t="str">
        <f>IF(AND('331-CT'!$E$7=TH!H452,OR(L452="331",M452="331")),"331",IF(AND(OR(L452="131",M452="131"),H452='131-CT'!$E$7),"131",""))</f>
        <v/>
      </c>
      <c r="O452" s="86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99"/>
      <c r="AB452" s="210"/>
    </row>
    <row r="453" spans="1:28" s="585" customFormat="1" ht="15.75" customHeight="1">
      <c r="A453" s="203" t="str">
        <f>IF(B453&lt;&gt;"",IF(AND(B453&gt;=_TM1,B453&lt;=_TM2,OR(TH!L453="1111",TH!M453="1111")),TH!D453,""),"")</f>
        <v/>
      </c>
      <c r="B453" s="36">
        <f>IF(C453&lt;&gt;"",MONTH(C453),"")</f>
        <v>4</v>
      </c>
      <c r="C453" s="183">
        <f>E453</f>
        <v>42107</v>
      </c>
      <c r="D453" s="183" t="s">
        <v>1515</v>
      </c>
      <c r="E453" s="190">
        <v>42107</v>
      </c>
      <c r="F453" s="191" t="s">
        <v>402</v>
      </c>
      <c r="G453" s="482" t="s">
        <v>597</v>
      </c>
      <c r="H453" s="7" t="s">
        <v>464</v>
      </c>
      <c r="I453" s="255"/>
      <c r="J453" s="255"/>
      <c r="K453" s="593">
        <v>240000</v>
      </c>
      <c r="L453" s="594" t="s">
        <v>259</v>
      </c>
      <c r="M453" s="594" t="s">
        <v>371</v>
      </c>
      <c r="N453" s="52" t="str">
        <f>IF(AND('331-CT'!$E$7=TH!H453,OR(L453="331",M453="331")),"331",IF(AND(OR(L453="131",M453="131"),H453='131-CT'!$E$7),"131",""))</f>
        <v/>
      </c>
      <c r="O453" s="86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99"/>
      <c r="AB453" s="210"/>
    </row>
    <row r="454" spans="1:28" s="585" customFormat="1" ht="15.75" customHeight="1">
      <c r="A454" s="203" t="str">
        <f>IF(B454&lt;&gt;"",IF(AND(B454&gt;=_TM1,B454&lt;=_TM2,OR(TH!L454="1111",TH!M454="1111")),TH!D454,""),"")</f>
        <v/>
      </c>
      <c r="B454" s="36">
        <f>IF(C454&lt;&gt;"",MONTH(C454),"")</f>
        <v>4</v>
      </c>
      <c r="C454" s="183">
        <f>E454</f>
        <v>42107</v>
      </c>
      <c r="D454" s="190" t="s">
        <v>1319</v>
      </c>
      <c r="E454" s="37">
        <v>42107</v>
      </c>
      <c r="F454" s="191" t="s">
        <v>1320</v>
      </c>
      <c r="G454" s="482" t="s">
        <v>332</v>
      </c>
      <c r="H454" s="7" t="s">
        <v>473</v>
      </c>
      <c r="I454" s="255"/>
      <c r="J454" s="255"/>
      <c r="K454" s="593">
        <v>15368100</v>
      </c>
      <c r="L454" s="193" t="s">
        <v>24</v>
      </c>
      <c r="M454" s="193" t="s">
        <v>259</v>
      </c>
      <c r="N454" s="52" t="str">
        <f>IF(AND('331-CT'!$E$7=TH!H454,OR(L454="331",M454="331")),"331",IF(AND(OR(L454="131",M454="131"),H454='131-CT'!$E$7),"131",""))</f>
        <v/>
      </c>
      <c r="O454" s="86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>x</v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99"/>
      <c r="AB454" s="210"/>
    </row>
    <row r="455" spans="1:28" s="585" customFormat="1" ht="15.75" customHeight="1">
      <c r="A455" s="203" t="str">
        <f>IF(B455&lt;&gt;"",IF(AND(B455&gt;=_TM1,B455&lt;=_TM2,OR(TH!L455="1111",TH!M455="1111")),TH!D455,""),"")</f>
        <v/>
      </c>
      <c r="B455" s="36">
        <f>IF(C455&lt;&gt;"",MONTH(C455),"")</f>
        <v>4</v>
      </c>
      <c r="C455" s="183">
        <f>E455</f>
        <v>42107</v>
      </c>
      <c r="D455" s="190" t="s">
        <v>1319</v>
      </c>
      <c r="E455" s="37">
        <v>42107</v>
      </c>
      <c r="F455" s="191" t="s">
        <v>1320</v>
      </c>
      <c r="G455" s="482" t="s">
        <v>332</v>
      </c>
      <c r="H455" s="7" t="s">
        <v>435</v>
      </c>
      <c r="I455" s="255"/>
      <c r="J455" s="255"/>
      <c r="K455" s="593">
        <v>3133955</v>
      </c>
      <c r="L455" s="193" t="s">
        <v>24</v>
      </c>
      <c r="M455" s="193" t="s">
        <v>259</v>
      </c>
      <c r="N455" s="52" t="str">
        <f>IF(AND('331-CT'!$E$7=TH!H455,OR(L455="331",M455="331")),"331",IF(AND(OR(L455="131",M455="131"),H455='131-CT'!$E$7),"131",""))</f>
        <v/>
      </c>
      <c r="O455" s="86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>x</v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99"/>
      <c r="AB455" s="210"/>
    </row>
    <row r="456" spans="1:28" s="585" customFormat="1" ht="15.75" customHeight="1">
      <c r="A456" s="203" t="str">
        <f>IF(B456&lt;&gt;"",IF(AND(B456&gt;=_TM1,B456&lt;=_TM2,OR(TH!L456="1111",TH!M456="1111")),TH!D456,""),"")</f>
        <v/>
      </c>
      <c r="B456" s="36">
        <f>IF(C456&lt;&gt;"",MONTH(C456),"")</f>
        <v>4</v>
      </c>
      <c r="C456" s="183">
        <f>E456</f>
        <v>42108</v>
      </c>
      <c r="D456" s="183" t="s">
        <v>1324</v>
      </c>
      <c r="E456" s="190">
        <v>42108</v>
      </c>
      <c r="F456" s="188" t="s">
        <v>1325</v>
      </c>
      <c r="G456" s="482" t="s">
        <v>332</v>
      </c>
      <c r="H456" s="7" t="s">
        <v>1322</v>
      </c>
      <c r="I456" s="255"/>
      <c r="J456" s="255"/>
      <c r="K456" s="593">
        <v>18600000</v>
      </c>
      <c r="L456" s="594" t="s">
        <v>47</v>
      </c>
      <c r="M456" s="594" t="s">
        <v>24</v>
      </c>
      <c r="N456" s="52" t="str">
        <f>IF(AND('331-CT'!$E$7=TH!H456,OR(L456="331",M456="331")),"331",IF(AND(OR(L456="131",M456="131"),H456='131-CT'!$E$7),"131",""))</f>
        <v/>
      </c>
      <c r="O456" s="869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>x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99"/>
      <c r="AB456" s="210"/>
    </row>
    <row r="457" spans="1:28" s="210" customFormat="1" ht="15.75" customHeight="1">
      <c r="A457" s="203" t="str">
        <f>IF(B457&lt;&gt;"",IF(AND(B457&gt;=_TM1,B457&lt;=_TM2,OR(TH!L457="1111",TH!M457="1111")),TH!D457,""),"")</f>
        <v/>
      </c>
      <c r="B457" s="36">
        <f>IF(C457&lt;&gt;"",MONTH(C457),"")</f>
        <v>4</v>
      </c>
      <c r="C457" s="183">
        <f>E457</f>
        <v>42110</v>
      </c>
      <c r="D457" s="183" t="s">
        <v>1516</v>
      </c>
      <c r="E457" s="190">
        <v>42110</v>
      </c>
      <c r="F457" s="191" t="s">
        <v>598</v>
      </c>
      <c r="G457" s="482" t="s">
        <v>599</v>
      </c>
      <c r="H457" s="7" t="s">
        <v>407</v>
      </c>
      <c r="I457" s="255">
        <v>315</v>
      </c>
      <c r="J457" s="255">
        <v>6700</v>
      </c>
      <c r="K457" s="593">
        <f>ROUND(I457*J457,0)</f>
        <v>2110500</v>
      </c>
      <c r="L457" s="594" t="s">
        <v>259</v>
      </c>
      <c r="M457" s="594" t="s">
        <v>174</v>
      </c>
      <c r="N457" s="52" t="str">
        <f>IF(AND('331-CT'!$E$7=TH!H457,OR(L457="331",M457="331")),"331",IF(AND(OR(L457="131",M457="131"),H457='131-CT'!$E$7),"131",""))</f>
        <v/>
      </c>
      <c r="O457" s="86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99"/>
    </row>
    <row r="458" spans="1:28" s="210" customFormat="1" ht="15.75" customHeight="1">
      <c r="A458" s="203" t="str">
        <f>IF(B458&lt;&gt;"",IF(AND(B458&gt;=_TM1,B458&lt;=_TM2,OR(TH!L458="1111",TH!M458="1111")),TH!D458,""),"")</f>
        <v/>
      </c>
      <c r="B458" s="36">
        <f>IF(C458&lt;&gt;"",MONTH(C458),"")</f>
        <v>4</v>
      </c>
      <c r="C458" s="183">
        <f>E458</f>
        <v>42110</v>
      </c>
      <c r="D458" s="183" t="s">
        <v>1516</v>
      </c>
      <c r="E458" s="190">
        <v>42110</v>
      </c>
      <c r="F458" s="191" t="s">
        <v>600</v>
      </c>
      <c r="G458" s="482" t="s">
        <v>599</v>
      </c>
      <c r="H458" s="7" t="s">
        <v>407</v>
      </c>
      <c r="I458" s="255">
        <v>160</v>
      </c>
      <c r="J458" s="255">
        <v>9200</v>
      </c>
      <c r="K458" s="593">
        <f>ROUND(I458*J458,0)</f>
        <v>1472000</v>
      </c>
      <c r="L458" s="594" t="s">
        <v>259</v>
      </c>
      <c r="M458" s="594" t="s">
        <v>174</v>
      </c>
      <c r="N458" s="52" t="str">
        <f>IF(AND('331-CT'!$E$7=TH!H458,OR(L458="331",M458="331")),"331",IF(AND(OR(L458="131",M458="131"),H458='131-CT'!$E$7),"131",""))</f>
        <v/>
      </c>
      <c r="O458" s="86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99"/>
    </row>
    <row r="459" spans="1:28" s="585" customFormat="1" ht="15.75" customHeight="1">
      <c r="A459" s="203" t="str">
        <f>IF(B459&lt;&gt;"",IF(AND(B459&gt;=_TM1,B459&lt;=_TM2,OR(TH!L459="1111",TH!M459="1111")),TH!D459,""),"")</f>
        <v/>
      </c>
      <c r="B459" s="36">
        <f>IF(C459&lt;&gt;"",MONTH(C459),"")</f>
        <v>4</v>
      </c>
      <c r="C459" s="183">
        <f>E459</f>
        <v>42110</v>
      </c>
      <c r="D459" s="183" t="s">
        <v>1516</v>
      </c>
      <c r="E459" s="190">
        <v>42110</v>
      </c>
      <c r="F459" s="191" t="s">
        <v>601</v>
      </c>
      <c r="G459" s="482" t="s">
        <v>599</v>
      </c>
      <c r="H459" s="7" t="s">
        <v>407</v>
      </c>
      <c r="I459" s="255">
        <v>105</v>
      </c>
      <c r="J459" s="255">
        <v>6350</v>
      </c>
      <c r="K459" s="593">
        <f>ROUND(I459*J459,0)</f>
        <v>666750</v>
      </c>
      <c r="L459" s="594" t="s">
        <v>259</v>
      </c>
      <c r="M459" s="594" t="s">
        <v>174</v>
      </c>
      <c r="N459" s="52" t="str">
        <f>IF(AND('331-CT'!$E$7=TH!H459,OR(L459="331",M459="331")),"331",IF(AND(OR(L459="131",M459="131"),H459='131-CT'!$E$7),"131",""))</f>
        <v/>
      </c>
      <c r="O459" s="86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99"/>
      <c r="AB459" s="210"/>
    </row>
    <row r="460" spans="1:28" s="585" customFormat="1" ht="15.75" customHeight="1">
      <c r="A460" s="203" t="str">
        <f>IF(B460&lt;&gt;"",IF(AND(B460&gt;=_TM1,B460&lt;=_TM2,OR(TH!L460="1111",TH!M460="1111")),TH!D460,""),"")</f>
        <v/>
      </c>
      <c r="B460" s="36">
        <f>IF(C460&lt;&gt;"",MONTH(C460),"")</f>
        <v>4</v>
      </c>
      <c r="C460" s="183">
        <f>E460</f>
        <v>42110</v>
      </c>
      <c r="D460" s="183" t="s">
        <v>1516</v>
      </c>
      <c r="E460" s="190">
        <v>42110</v>
      </c>
      <c r="F460" s="191" t="s">
        <v>590</v>
      </c>
      <c r="G460" s="482" t="s">
        <v>599</v>
      </c>
      <c r="H460" s="7" t="s">
        <v>407</v>
      </c>
      <c r="I460" s="255">
        <v>55</v>
      </c>
      <c r="J460" s="255">
        <v>9230</v>
      </c>
      <c r="K460" s="593">
        <f>ROUND(I460*J460,0)</f>
        <v>507650</v>
      </c>
      <c r="L460" s="594" t="s">
        <v>259</v>
      </c>
      <c r="M460" s="594" t="s">
        <v>174</v>
      </c>
      <c r="N460" s="52" t="str">
        <f>IF(AND('331-CT'!$E$7=TH!H460,OR(L460="331",M460="331")),"331",IF(AND(OR(L460="131",M460="131"),H460='131-CT'!$E$7),"131",""))</f>
        <v/>
      </c>
      <c r="O460" s="86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99"/>
      <c r="AB460" s="210"/>
    </row>
    <row r="461" spans="1:28" s="585" customFormat="1" ht="15.75" customHeight="1">
      <c r="A461" s="203" t="str">
        <f>IF(B461&lt;&gt;"",IF(AND(B461&gt;=_TM1,B461&lt;=_TM2,OR(TH!L461="1111",TH!M461="1111")),TH!D461,""),"")</f>
        <v/>
      </c>
      <c r="B461" s="36">
        <f>IF(C461&lt;&gt;"",MONTH(C461),"")</f>
        <v>4</v>
      </c>
      <c r="C461" s="183">
        <f>E461</f>
        <v>42110</v>
      </c>
      <c r="D461" s="183" t="s">
        <v>1516</v>
      </c>
      <c r="E461" s="190">
        <v>42110</v>
      </c>
      <c r="F461" s="191" t="s">
        <v>602</v>
      </c>
      <c r="G461" s="482" t="s">
        <v>599</v>
      </c>
      <c r="H461" s="7" t="s">
        <v>407</v>
      </c>
      <c r="I461" s="255">
        <v>904</v>
      </c>
      <c r="J461" s="255">
        <v>9050</v>
      </c>
      <c r="K461" s="593">
        <f>ROUND(I461*J461,0)</f>
        <v>8181200</v>
      </c>
      <c r="L461" s="594" t="s">
        <v>259</v>
      </c>
      <c r="M461" s="594" t="s">
        <v>174</v>
      </c>
      <c r="N461" s="52" t="str">
        <f>IF(AND('331-CT'!$E$7=TH!H461,OR(L461="331",M461="331")),"331",IF(AND(OR(L461="131",M461="131"),H461='131-CT'!$E$7),"131",""))</f>
        <v/>
      </c>
      <c r="O461" s="86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99"/>
    </row>
    <row r="462" spans="1:28" s="585" customFormat="1" ht="15.75" customHeight="1">
      <c r="A462" s="203" t="str">
        <f>IF(B462&lt;&gt;"",IF(AND(B462&gt;=_TM1,B462&lt;=_TM2,OR(TH!L462="1111",TH!M462="1111")),TH!D462,""),"")</f>
        <v/>
      </c>
      <c r="B462" s="36">
        <f>IF(C462&lt;&gt;"",MONTH(C462),"")</f>
        <v>4</v>
      </c>
      <c r="C462" s="183">
        <f>E462</f>
        <v>42110</v>
      </c>
      <c r="D462" s="183" t="s">
        <v>1516</v>
      </c>
      <c r="E462" s="190">
        <v>42110</v>
      </c>
      <c r="F462" s="191" t="s">
        <v>402</v>
      </c>
      <c r="G462" s="482" t="s">
        <v>599</v>
      </c>
      <c r="H462" s="7" t="s">
        <v>407</v>
      </c>
      <c r="I462" s="255"/>
      <c r="J462" s="255"/>
      <c r="K462" s="593">
        <v>1293810</v>
      </c>
      <c r="L462" s="594" t="s">
        <v>259</v>
      </c>
      <c r="M462" s="594" t="s">
        <v>371</v>
      </c>
      <c r="N462" s="52" t="str">
        <f>IF(AND('331-CT'!$E$7=TH!H462,OR(L462="331",M462="331")),"331",IF(AND(OR(L462="131",M462="131"),H462='131-CT'!$E$7),"131",""))</f>
        <v/>
      </c>
      <c r="O462" s="86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99"/>
    </row>
    <row r="463" spans="1:28" s="585" customFormat="1" ht="15.75" customHeight="1">
      <c r="A463" s="203" t="str">
        <f>IF(B463&lt;&gt;"",IF(AND(B463&gt;=_TM1,B463&lt;=_TM2,OR(TH!L463="1111",TH!M463="1111")),TH!D463,""),"")</f>
        <v/>
      </c>
      <c r="B463" s="36">
        <f>IF(C463&lt;&gt;"",MONTH(C463),"")</f>
        <v>4</v>
      </c>
      <c r="C463" s="183">
        <f>E463</f>
        <v>42110</v>
      </c>
      <c r="D463" s="183" t="s">
        <v>1517</v>
      </c>
      <c r="E463" s="190">
        <v>42110</v>
      </c>
      <c r="F463" s="191" t="s">
        <v>451</v>
      </c>
      <c r="G463" s="482" t="s">
        <v>603</v>
      </c>
      <c r="H463" s="7" t="s">
        <v>453</v>
      </c>
      <c r="I463" s="255">
        <v>302</v>
      </c>
      <c r="J463" s="255">
        <v>12900</v>
      </c>
      <c r="K463" s="593">
        <f>ROUND(I463*J463,0)</f>
        <v>3895800</v>
      </c>
      <c r="L463" s="594" t="s">
        <v>259</v>
      </c>
      <c r="M463" s="594" t="s">
        <v>174</v>
      </c>
      <c r="N463" s="52" t="str">
        <f>IF(AND('331-CT'!$E$7=TH!H463,OR(L463="331",M463="331")),"331",IF(AND(OR(L463="131",M463="131"),H463='131-CT'!$E$7),"131",""))</f>
        <v/>
      </c>
      <c r="O463" s="86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99"/>
    </row>
    <row r="464" spans="1:28" s="210" customFormat="1" ht="15.75" customHeight="1">
      <c r="A464" s="203" t="str">
        <f>IF(B464&lt;&gt;"",IF(AND(B464&gt;=_TM1,B464&lt;=_TM2,OR(TH!L464="1111",TH!M464="1111")),TH!D464,""),"")</f>
        <v/>
      </c>
      <c r="B464" s="36">
        <f>IF(C464&lt;&gt;"",MONTH(C464),"")</f>
        <v>4</v>
      </c>
      <c r="C464" s="183">
        <f>E464</f>
        <v>42110</v>
      </c>
      <c r="D464" s="183" t="s">
        <v>1517</v>
      </c>
      <c r="E464" s="190">
        <v>42110</v>
      </c>
      <c r="F464" s="191" t="s">
        <v>402</v>
      </c>
      <c r="G464" s="482" t="s">
        <v>603</v>
      </c>
      <c r="H464" s="7" t="s">
        <v>453</v>
      </c>
      <c r="I464" s="255"/>
      <c r="J464" s="255"/>
      <c r="K464" s="593">
        <v>389580</v>
      </c>
      <c r="L464" s="594" t="s">
        <v>259</v>
      </c>
      <c r="M464" s="594" t="s">
        <v>371</v>
      </c>
      <c r="N464" s="52" t="str">
        <f>IF(AND('331-CT'!$E$7=TH!H464,OR(L464="331",M464="331")),"331",IF(AND(OR(L464="131",M464="131"),H464='131-CT'!$E$7),"131",""))</f>
        <v/>
      </c>
      <c r="O464" s="86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99"/>
      <c r="AB464" s="585"/>
    </row>
    <row r="465" spans="1:28" s="210" customFormat="1" ht="15.75" customHeight="1">
      <c r="A465" s="203" t="str">
        <f>IF(B465&lt;&gt;"",IF(AND(B465&gt;=_TM1,B465&lt;=_TM2,OR(TH!L465="1111",TH!M465="1111")),TH!D465,""),"")</f>
        <v/>
      </c>
      <c r="B465" s="36">
        <f>IF(C465&lt;&gt;"",MONTH(C465),"")</f>
        <v>4</v>
      </c>
      <c r="C465" s="183">
        <f>E465</f>
        <v>42111</v>
      </c>
      <c r="D465" s="183" t="s">
        <v>1518</v>
      </c>
      <c r="E465" s="190">
        <v>42111</v>
      </c>
      <c r="F465" s="188" t="s">
        <v>398</v>
      </c>
      <c r="G465" s="595" t="s">
        <v>607</v>
      </c>
      <c r="H465" s="7" t="s">
        <v>400</v>
      </c>
      <c r="I465" s="750">
        <v>900</v>
      </c>
      <c r="J465" s="255">
        <v>5100</v>
      </c>
      <c r="K465" s="593">
        <f>ROUND(I465*J465,0)</f>
        <v>4590000</v>
      </c>
      <c r="L465" s="594" t="s">
        <v>259</v>
      </c>
      <c r="M465" s="594" t="s">
        <v>174</v>
      </c>
      <c r="N465" s="52" t="str">
        <f>IF(AND('331-CT'!$E$7=TH!H465,OR(L465="331",M465="331")),"331",IF(AND(OR(L465="131",M465="131"),H465='131-CT'!$E$7),"131",""))</f>
        <v/>
      </c>
      <c r="O465" s="86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99"/>
      <c r="AB465" s="585"/>
    </row>
    <row r="466" spans="1:28" s="210" customFormat="1" ht="15.75" customHeight="1">
      <c r="A466" s="203" t="str">
        <f>IF(B466&lt;&gt;"",IF(AND(B466&gt;=_TM1,B466&lt;=_TM2,OR(TH!L466="1111",TH!M466="1111")),TH!D466,""),"")</f>
        <v/>
      </c>
      <c r="B466" s="36">
        <f>IF(C466&lt;&gt;"",MONTH(C466),"")</f>
        <v>4</v>
      </c>
      <c r="C466" s="183">
        <f>E466</f>
        <v>42111</v>
      </c>
      <c r="D466" s="183" t="s">
        <v>1518</v>
      </c>
      <c r="E466" s="190">
        <v>42111</v>
      </c>
      <c r="F466" s="188" t="s">
        <v>446</v>
      </c>
      <c r="G466" s="595" t="s">
        <v>607</v>
      </c>
      <c r="H466" s="7" t="s">
        <v>400</v>
      </c>
      <c r="I466" s="750">
        <v>315</v>
      </c>
      <c r="J466" s="255">
        <v>5700</v>
      </c>
      <c r="K466" s="593">
        <f>ROUND(I466*J466,0)</f>
        <v>1795500</v>
      </c>
      <c r="L466" s="594" t="s">
        <v>259</v>
      </c>
      <c r="M466" s="594" t="s">
        <v>174</v>
      </c>
      <c r="N466" s="52" t="str">
        <f>IF(AND('331-CT'!$E$7=TH!H466,OR(L466="331",M466="331")),"331",IF(AND(OR(L466="131",M466="131"),H466='131-CT'!$E$7),"131",""))</f>
        <v/>
      </c>
      <c r="O466" s="86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99"/>
      <c r="AB466" s="585"/>
    </row>
    <row r="467" spans="1:28" s="210" customFormat="1" ht="15.75" customHeight="1">
      <c r="A467" s="203" t="str">
        <f>IF(B467&lt;&gt;"",IF(AND(B467&gt;=_TM1,B467&lt;=_TM2,OR(TH!L467="1111",TH!M467="1111")),TH!D467,""),"")</f>
        <v/>
      </c>
      <c r="B467" s="36">
        <f>IF(C467&lt;&gt;"",MONTH(C467),"")</f>
        <v>4</v>
      </c>
      <c r="C467" s="183">
        <f>E467</f>
        <v>42111</v>
      </c>
      <c r="D467" s="183" t="s">
        <v>1518</v>
      </c>
      <c r="E467" s="190">
        <v>42111</v>
      </c>
      <c r="F467" s="188" t="s">
        <v>608</v>
      </c>
      <c r="G467" s="595" t="s">
        <v>607</v>
      </c>
      <c r="H467" s="7" t="s">
        <v>400</v>
      </c>
      <c r="I467" s="750">
        <v>305</v>
      </c>
      <c r="J467" s="255">
        <v>5200</v>
      </c>
      <c r="K467" s="593">
        <f>ROUND(I467*J467,0)</f>
        <v>1586000</v>
      </c>
      <c r="L467" s="594" t="s">
        <v>259</v>
      </c>
      <c r="M467" s="594" t="s">
        <v>174</v>
      </c>
      <c r="N467" s="52" t="str">
        <f>IF(AND('331-CT'!$E$7=TH!H467,OR(L467="331",M467="331")),"331",IF(AND(OR(L467="131",M467="131"),H467='131-CT'!$E$7),"131",""))</f>
        <v/>
      </c>
      <c r="O467" s="86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99"/>
      <c r="AB467" s="585"/>
    </row>
    <row r="468" spans="1:28" s="585" customFormat="1" ht="15.75" customHeight="1">
      <c r="A468" s="203" t="str">
        <f>IF(B468&lt;&gt;"",IF(AND(B468&gt;=_TM1,B468&lt;=_TM2,OR(TH!L468="1111",TH!M468="1111")),TH!D468,""),"")</f>
        <v/>
      </c>
      <c r="B468" s="36">
        <f>IF(C468&lt;&gt;"",MONTH(C468),"")</f>
        <v>4</v>
      </c>
      <c r="C468" s="183">
        <f>E468</f>
        <v>42111</v>
      </c>
      <c r="D468" s="183" t="s">
        <v>1518</v>
      </c>
      <c r="E468" s="190">
        <v>42111</v>
      </c>
      <c r="F468" s="188" t="s">
        <v>501</v>
      </c>
      <c r="G468" s="595" t="s">
        <v>607</v>
      </c>
      <c r="H468" s="7" t="s">
        <v>400</v>
      </c>
      <c r="I468" s="255">
        <v>315</v>
      </c>
      <c r="J468" s="255">
        <v>10600</v>
      </c>
      <c r="K468" s="593">
        <f>ROUND(I468*J468,0)</f>
        <v>3339000</v>
      </c>
      <c r="L468" s="594" t="s">
        <v>259</v>
      </c>
      <c r="M468" s="594" t="s">
        <v>174</v>
      </c>
      <c r="N468" s="52" t="str">
        <f>IF(AND('331-CT'!$E$7=TH!H468,OR(L468="331",M468="331")),"331",IF(AND(OR(L468="131",M468="131"),H468='131-CT'!$E$7),"131",""))</f>
        <v/>
      </c>
      <c r="O468" s="86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99"/>
    </row>
    <row r="469" spans="1:28" s="585" customFormat="1" ht="15.75" customHeight="1">
      <c r="A469" s="203" t="str">
        <f>IF(B469&lt;&gt;"",IF(AND(B469&gt;=_TM1,B469&lt;=_TM2,OR(TH!L469="1111",TH!M469="1111")),TH!D469,""),"")</f>
        <v/>
      </c>
      <c r="B469" s="36">
        <f>IF(C469&lt;&gt;"",MONTH(C469),"")</f>
        <v>4</v>
      </c>
      <c r="C469" s="183">
        <f>E469</f>
        <v>42111</v>
      </c>
      <c r="D469" s="183" t="s">
        <v>1518</v>
      </c>
      <c r="E469" s="190">
        <v>42111</v>
      </c>
      <c r="F469" s="296" t="s">
        <v>402</v>
      </c>
      <c r="G469" s="482" t="s">
        <v>607</v>
      </c>
      <c r="H469" s="7" t="s">
        <v>400</v>
      </c>
      <c r="I469" s="255"/>
      <c r="J469" s="255"/>
      <c r="K469" s="593">
        <v>1131050</v>
      </c>
      <c r="L469" s="594" t="s">
        <v>259</v>
      </c>
      <c r="M469" s="594" t="s">
        <v>371</v>
      </c>
      <c r="N469" s="52" t="str">
        <f>IF(AND('331-CT'!$E$7=TH!H469,OR(L469="331",M469="331")),"331",IF(AND(OR(L469="131",M469="131"),H469='131-CT'!$E$7),"131",""))</f>
        <v/>
      </c>
      <c r="O469" s="86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99"/>
    </row>
    <row r="470" spans="1:28" s="585" customFormat="1" ht="15.75" customHeight="1">
      <c r="A470" s="203" t="str">
        <f>IF(B470&lt;&gt;"",IF(AND(B470&gt;=_TM1,B470&lt;=_TM2,OR(TH!L470="1111",TH!M470="1111")),TH!D470,""),"")</f>
        <v/>
      </c>
      <c r="B470" s="36">
        <f>IF(C470&lt;&gt;"",MONTH(C470),"")</f>
        <v>4</v>
      </c>
      <c r="C470" s="183">
        <f>E470</f>
        <v>42111</v>
      </c>
      <c r="D470" s="183" t="s">
        <v>1519</v>
      </c>
      <c r="E470" s="190">
        <v>42111</v>
      </c>
      <c r="F470" s="191" t="s">
        <v>604</v>
      </c>
      <c r="G470" s="482" t="s">
        <v>605</v>
      </c>
      <c r="H470" s="7" t="s">
        <v>606</v>
      </c>
      <c r="I470" s="255">
        <v>722</v>
      </c>
      <c r="J470" s="255">
        <v>6364</v>
      </c>
      <c r="K470" s="593">
        <f>ROUND(I470*J470,0)</f>
        <v>4594808</v>
      </c>
      <c r="L470" s="594" t="s">
        <v>259</v>
      </c>
      <c r="M470" s="594" t="s">
        <v>174</v>
      </c>
      <c r="N470" s="52" t="str">
        <f>IF(AND('331-CT'!$E$7=TH!H470,OR(L470="331",M470="331")),"331",IF(AND(OR(L470="131",M470="131"),H470='131-CT'!$E$7),"131",""))</f>
        <v/>
      </c>
      <c r="O470" s="86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99"/>
    </row>
    <row r="471" spans="1:28" s="585" customFormat="1" ht="15.75" customHeight="1">
      <c r="A471" s="203" t="str">
        <f>IF(B471&lt;&gt;"",IF(AND(B471&gt;=_TM1,B471&lt;=_TM2,OR(TH!L471="1111",TH!M471="1111")),TH!D471,""),"")</f>
        <v/>
      </c>
      <c r="B471" s="36">
        <f>IF(C471&lt;&gt;"",MONTH(C471),"")</f>
        <v>4</v>
      </c>
      <c r="C471" s="183">
        <f>E471</f>
        <v>42111</v>
      </c>
      <c r="D471" s="183" t="s">
        <v>1519</v>
      </c>
      <c r="E471" s="190">
        <v>42111</v>
      </c>
      <c r="F471" s="191" t="s">
        <v>402</v>
      </c>
      <c r="G471" s="482" t="s">
        <v>605</v>
      </c>
      <c r="H471" s="7" t="s">
        <v>606</v>
      </c>
      <c r="I471" s="255"/>
      <c r="J471" s="255"/>
      <c r="K471" s="593">
        <v>459481</v>
      </c>
      <c r="L471" s="594" t="s">
        <v>259</v>
      </c>
      <c r="M471" s="594" t="s">
        <v>371</v>
      </c>
      <c r="N471" s="52" t="str">
        <f>IF(AND('331-CT'!$E$7=TH!H471,OR(L471="331",M471="331")),"331",IF(AND(OR(L471="131",M471="131"),H471='131-CT'!$E$7),"131",""))</f>
        <v/>
      </c>
      <c r="O471" s="86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99"/>
    </row>
    <row r="472" spans="1:28" s="585" customFormat="1" ht="15.75" customHeight="1">
      <c r="A472" s="203" t="str">
        <f>IF(B472&lt;&gt;"",IF(AND(B472&gt;=_TM1,B472&lt;=_TM2,OR(TH!L472="1111",TH!M472="1111")),TH!D472,""),"")</f>
        <v/>
      </c>
      <c r="B472" s="36">
        <f>IF(C472&lt;&gt;"",MONTH(C472),"")</f>
        <v>4</v>
      </c>
      <c r="C472" s="183">
        <f>E472</f>
        <v>42111</v>
      </c>
      <c r="D472" s="183" t="s">
        <v>1519</v>
      </c>
      <c r="E472" s="190">
        <v>42111</v>
      </c>
      <c r="F472" s="191" t="s">
        <v>1320</v>
      </c>
      <c r="G472" s="482" t="s">
        <v>605</v>
      </c>
      <c r="H472" s="7" t="s">
        <v>606</v>
      </c>
      <c r="I472" s="255"/>
      <c r="J472" s="255"/>
      <c r="K472" s="593">
        <v>5054289</v>
      </c>
      <c r="L472" s="594" t="s">
        <v>47</v>
      </c>
      <c r="M472" s="594" t="s">
        <v>259</v>
      </c>
      <c r="N472" s="52" t="str">
        <f>IF(AND('331-CT'!$E$7=TH!H472,OR(L472="331",M472="331")),"331",IF(AND(OR(L472="131",M472="131"),H472='131-CT'!$E$7),"131",""))</f>
        <v/>
      </c>
      <c r="O472" s="869" t="str">
        <f>IF(AND('341-CT'!$E$9=H472,OR(LEFT(L472,3)=$O$7,LEFT(M472,3)=$O$7)),"x","")</f>
        <v/>
      </c>
      <c r="P472" s="52" t="str">
        <f>IF(AND($B472&gt;='111'!$N$11,$B472&lt;='111'!$O$11,OR($L472=$P$7,$M472=$P$7)),"x","")</f>
        <v>x</v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99"/>
    </row>
    <row r="473" spans="1:28" s="585" customFormat="1" ht="15.75" customHeight="1">
      <c r="A473" s="203" t="str">
        <f>IF(B473&lt;&gt;"",IF(AND(B473&gt;=_TM1,B473&lt;=_TM2,OR(TH!L473="1111",TH!M473="1111")),TH!D473,""),"")</f>
        <v/>
      </c>
      <c r="B473" s="36">
        <f>IF(C473&lt;&gt;"",MONTH(C473),"")</f>
        <v>4</v>
      </c>
      <c r="C473" s="183">
        <f>E473</f>
        <v>42112</v>
      </c>
      <c r="D473" s="183" t="s">
        <v>1520</v>
      </c>
      <c r="E473" s="183">
        <v>42112</v>
      </c>
      <c r="F473" s="188" t="s">
        <v>609</v>
      </c>
      <c r="G473" s="482" t="s">
        <v>610</v>
      </c>
      <c r="H473" s="7" t="s">
        <v>834</v>
      </c>
      <c r="I473" s="256">
        <v>485</v>
      </c>
      <c r="J473" s="256">
        <v>5400</v>
      </c>
      <c r="K473" s="593">
        <f>ROUND(I473*J473,0)</f>
        <v>2619000</v>
      </c>
      <c r="L473" s="594" t="s">
        <v>259</v>
      </c>
      <c r="M473" s="594" t="s">
        <v>174</v>
      </c>
      <c r="N473" s="52" t="str">
        <f>IF(AND('331-CT'!$E$7=TH!H473,OR(L473="331",M473="331")),"331",IF(AND(OR(L473="131",M473="131"),H473='131-CT'!$E$7),"131",""))</f>
        <v/>
      </c>
      <c r="O473" s="86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99"/>
    </row>
    <row r="474" spans="1:28" s="585" customFormat="1" ht="15.75" customHeight="1">
      <c r="A474" s="203" t="str">
        <f>IF(B474&lt;&gt;"",IF(AND(B474&gt;=_TM1,B474&lt;=_TM2,OR(TH!L474="1111",TH!M474="1111")),TH!D474,""),"")</f>
        <v/>
      </c>
      <c r="B474" s="36">
        <f>IF(C474&lt;&gt;"",MONTH(C474),"")</f>
        <v>4</v>
      </c>
      <c r="C474" s="183">
        <f>E474</f>
        <v>42112</v>
      </c>
      <c r="D474" s="183" t="s">
        <v>1520</v>
      </c>
      <c r="E474" s="183">
        <v>42112</v>
      </c>
      <c r="F474" s="188" t="s">
        <v>609</v>
      </c>
      <c r="G474" s="482" t="s">
        <v>610</v>
      </c>
      <c r="H474" s="7" t="s">
        <v>834</v>
      </c>
      <c r="I474" s="255">
        <v>1002</v>
      </c>
      <c r="J474" s="255">
        <v>5400</v>
      </c>
      <c r="K474" s="593">
        <f>ROUND(I474*J474,0)</f>
        <v>5410800</v>
      </c>
      <c r="L474" s="594" t="s">
        <v>259</v>
      </c>
      <c r="M474" s="594" t="s">
        <v>174</v>
      </c>
      <c r="N474" s="52" t="str">
        <f>IF(AND('331-CT'!$E$7=TH!H474,OR(L474="331",M474="331")),"331",IF(AND(OR(L474="131",M474="131"),H474='131-CT'!$E$7),"131",""))</f>
        <v/>
      </c>
      <c r="O474" s="86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99"/>
    </row>
    <row r="475" spans="1:28" s="585" customFormat="1" ht="15.75" customHeight="1">
      <c r="A475" s="203" t="str">
        <f>IF(B475&lt;&gt;"",IF(AND(B475&gt;=_TM1,B475&lt;=_TM2,OR(TH!L475="1111",TH!M475="1111")),TH!D475,""),"")</f>
        <v/>
      </c>
      <c r="B475" s="36">
        <f>IF(C475&lt;&gt;"",MONTH(C475),"")</f>
        <v>4</v>
      </c>
      <c r="C475" s="183">
        <f>E475</f>
        <v>42112</v>
      </c>
      <c r="D475" s="183" t="s">
        <v>1520</v>
      </c>
      <c r="E475" s="183">
        <v>42112</v>
      </c>
      <c r="F475" s="296" t="s">
        <v>402</v>
      </c>
      <c r="G475" s="482" t="s">
        <v>610</v>
      </c>
      <c r="H475" s="7" t="s">
        <v>834</v>
      </c>
      <c r="I475" s="255"/>
      <c r="J475" s="255"/>
      <c r="K475" s="593">
        <v>802980</v>
      </c>
      <c r="L475" s="594" t="s">
        <v>259</v>
      </c>
      <c r="M475" s="594" t="s">
        <v>371</v>
      </c>
      <c r="N475" s="52" t="str">
        <f>IF(AND('331-CT'!$E$7=TH!H475,OR(L475="331",M475="331")),"331",IF(AND(OR(L475="131",M475="131"),H475='131-CT'!$E$7),"131",""))</f>
        <v/>
      </c>
      <c r="O475" s="86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99"/>
    </row>
    <row r="476" spans="1:28" s="585" customFormat="1" ht="15.75" customHeight="1">
      <c r="A476" s="203" t="str">
        <f>IF(B476&lt;&gt;"",IF(AND(B476&gt;=_TM1,B476&lt;=_TM2,OR(TH!L476="1111",TH!M476="1111")),TH!D476,""),"")</f>
        <v/>
      </c>
      <c r="B476" s="36">
        <f>IF(C476&lt;&gt;"",MONTH(C476),"")</f>
        <v>4</v>
      </c>
      <c r="C476" s="183">
        <f>E476</f>
        <v>42114</v>
      </c>
      <c r="D476" s="190" t="s">
        <v>1319</v>
      </c>
      <c r="E476" s="37">
        <v>42114</v>
      </c>
      <c r="F476" s="191" t="s">
        <v>1320</v>
      </c>
      <c r="G476" s="482" t="s">
        <v>332</v>
      </c>
      <c r="H476" s="7" t="s">
        <v>872</v>
      </c>
      <c r="I476" s="255"/>
      <c r="J476" s="255"/>
      <c r="K476" s="593">
        <v>15000000</v>
      </c>
      <c r="L476" s="193" t="s">
        <v>24</v>
      </c>
      <c r="M476" s="193" t="s">
        <v>259</v>
      </c>
      <c r="N476" s="52" t="str">
        <f>IF(AND('331-CT'!$E$7=TH!H476,OR(L476="331",M476="331")),"331",IF(AND(OR(L476="131",M476="131"),H476='131-CT'!$E$7),"131",""))</f>
        <v/>
      </c>
      <c r="O476" s="86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>x</v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99"/>
      <c r="AB476" s="210"/>
    </row>
    <row r="477" spans="1:28" s="585" customFormat="1" ht="15.75" customHeight="1">
      <c r="A477" s="203" t="str">
        <f>IF(B477&lt;&gt;"",IF(AND(B477&gt;=_TM1,B477&lt;=_TM2,OR(TH!L477="1111",TH!M477="1111")),TH!D477,""),"")</f>
        <v/>
      </c>
      <c r="B477" s="36">
        <f>IF(C477&lt;&gt;"",MONTH(C477),"")</f>
        <v>4</v>
      </c>
      <c r="C477" s="183">
        <f>E477</f>
        <v>42114</v>
      </c>
      <c r="D477" s="190" t="s">
        <v>1319</v>
      </c>
      <c r="E477" s="37">
        <v>42114</v>
      </c>
      <c r="F477" s="191" t="s">
        <v>1320</v>
      </c>
      <c r="G477" s="482" t="s">
        <v>332</v>
      </c>
      <c r="H477" s="7" t="s">
        <v>453</v>
      </c>
      <c r="I477" s="255"/>
      <c r="J477" s="255"/>
      <c r="K477" s="593">
        <v>15692600</v>
      </c>
      <c r="L477" s="193" t="s">
        <v>24</v>
      </c>
      <c r="M477" s="193" t="s">
        <v>259</v>
      </c>
      <c r="N477" s="52" t="str">
        <f>IF(AND('331-CT'!$E$7=TH!H477,OR(L477="331",M477="331")),"331",IF(AND(OR(L477="131",M477="131"),H477='131-CT'!$E$7),"131",""))</f>
        <v/>
      </c>
      <c r="O477" s="86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>x</v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99"/>
      <c r="AB477" s="210"/>
    </row>
    <row r="478" spans="1:28" s="585" customFormat="1" ht="15.75" customHeight="1">
      <c r="A478" s="203" t="str">
        <f>IF(B478&lt;&gt;"",IF(AND(B478&gt;=_TM1,B478&lt;=_TM2,OR(TH!L478="1111",TH!M478="1111")),TH!D478,""),"")</f>
        <v/>
      </c>
      <c r="B478" s="36">
        <f>IF(C478&lt;&gt;"",MONTH(C478),"")</f>
        <v>4</v>
      </c>
      <c r="C478" s="183">
        <f>E478</f>
        <v>42114</v>
      </c>
      <c r="D478" s="190" t="s">
        <v>1319</v>
      </c>
      <c r="E478" s="37">
        <v>42114</v>
      </c>
      <c r="F478" s="191" t="s">
        <v>1320</v>
      </c>
      <c r="G478" s="482" t="s">
        <v>332</v>
      </c>
      <c r="H478" s="7" t="s">
        <v>438</v>
      </c>
      <c r="I478" s="255"/>
      <c r="J478" s="255"/>
      <c r="K478" s="593">
        <v>12511510</v>
      </c>
      <c r="L478" s="193" t="s">
        <v>24</v>
      </c>
      <c r="M478" s="193" t="s">
        <v>259</v>
      </c>
      <c r="N478" s="52" t="str">
        <f>IF(AND('331-CT'!$E$7=TH!H478,OR(L478="331",M478="331")),"331",IF(AND(OR(L478="131",M478="131"),H478='131-CT'!$E$7),"131",""))</f>
        <v/>
      </c>
      <c r="O478" s="86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>x</v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99"/>
      <c r="AB478" s="210"/>
    </row>
    <row r="479" spans="1:28" s="585" customFormat="1" ht="15.75" customHeight="1">
      <c r="A479" s="203" t="str">
        <f>IF(B479&lt;&gt;"",IF(AND(B479&gt;=_TM1,B479&lt;=_TM2,OR(TH!L479="1111",TH!M479="1111")),TH!D479,""),"")</f>
        <v/>
      </c>
      <c r="B479" s="36">
        <f>IF(C479&lt;&gt;"",MONTH(C479),"")</f>
        <v>4</v>
      </c>
      <c r="C479" s="183">
        <f>E479</f>
        <v>42114</v>
      </c>
      <c r="D479" s="190" t="s">
        <v>1319</v>
      </c>
      <c r="E479" s="37">
        <v>42114</v>
      </c>
      <c r="F479" s="191" t="s">
        <v>1320</v>
      </c>
      <c r="G479" s="482" t="s">
        <v>332</v>
      </c>
      <c r="H479" s="7" t="s">
        <v>438</v>
      </c>
      <c r="I479" s="255"/>
      <c r="J479" s="255"/>
      <c r="K479" s="593">
        <v>5857060</v>
      </c>
      <c r="L479" s="193" t="s">
        <v>24</v>
      </c>
      <c r="M479" s="193" t="s">
        <v>259</v>
      </c>
      <c r="N479" s="52" t="str">
        <f>IF(AND('331-CT'!$E$7=TH!H479,OR(L479="331",M479="331")),"331",IF(AND(OR(L479="131",M479="131"),H479='131-CT'!$E$7),"131",""))</f>
        <v/>
      </c>
      <c r="O479" s="86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>x</v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99"/>
      <c r="AB479" s="210"/>
    </row>
    <row r="480" spans="1:28" s="585" customFormat="1" ht="15.75" customHeight="1">
      <c r="A480" s="203" t="str">
        <f>IF(B480&lt;&gt;"",IF(AND(B480&gt;=_TM1,B480&lt;=_TM2,OR(TH!L480="1111",TH!M480="1111")),TH!D480,""),"")</f>
        <v/>
      </c>
      <c r="B480" s="36">
        <f>IF(C480&lt;&gt;"",MONTH(C480),"")</f>
        <v>4</v>
      </c>
      <c r="C480" s="183">
        <f>E480</f>
        <v>42115</v>
      </c>
      <c r="D480" s="183" t="s">
        <v>1521</v>
      </c>
      <c r="E480" s="190">
        <v>42115</v>
      </c>
      <c r="F480" s="444" t="s">
        <v>611</v>
      </c>
      <c r="G480" s="482" t="s">
        <v>612</v>
      </c>
      <c r="H480" s="7" t="s">
        <v>412</v>
      </c>
      <c r="I480" s="255">
        <v>61</v>
      </c>
      <c r="J480" s="255">
        <v>9400</v>
      </c>
      <c r="K480" s="593">
        <f>ROUND(I480*J480,0)</f>
        <v>573400</v>
      </c>
      <c r="L480" s="594" t="s">
        <v>259</v>
      </c>
      <c r="M480" s="594" t="s">
        <v>174</v>
      </c>
      <c r="N480" s="52" t="str">
        <f>IF(AND('331-CT'!$E$7=TH!H480,OR(L480="331",M480="331")),"331",IF(AND(OR(L480="131",M480="131"),H480='131-CT'!$E$7),"131",""))</f>
        <v/>
      </c>
      <c r="O480" s="86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99"/>
      <c r="AB480" s="210"/>
    </row>
    <row r="481" spans="1:28" s="585" customFormat="1" ht="15.75" customHeight="1">
      <c r="A481" s="203" t="str">
        <f>IF(B481&lt;&gt;"",IF(AND(B481&gt;=_TM1,B481&lt;=_TM2,OR(TH!L481="1111",TH!M481="1111")),TH!D481,""),"")</f>
        <v/>
      </c>
      <c r="B481" s="36">
        <f>IF(C481&lt;&gt;"",MONTH(C481),"")</f>
        <v>4</v>
      </c>
      <c r="C481" s="183">
        <f>E481</f>
        <v>42115</v>
      </c>
      <c r="D481" s="183" t="s">
        <v>1521</v>
      </c>
      <c r="E481" s="190">
        <v>42115</v>
      </c>
      <c r="F481" s="191" t="s">
        <v>402</v>
      </c>
      <c r="G481" s="482" t="s">
        <v>612</v>
      </c>
      <c r="H481" s="7" t="s">
        <v>412</v>
      </c>
      <c r="I481" s="255"/>
      <c r="J481" s="255"/>
      <c r="K481" s="593">
        <v>57340</v>
      </c>
      <c r="L481" s="594" t="s">
        <v>259</v>
      </c>
      <c r="M481" s="594" t="s">
        <v>371</v>
      </c>
      <c r="N481" s="52" t="str">
        <f>IF(AND('331-CT'!$E$7=TH!H481,OR(L481="331",M481="331")),"331",IF(AND(OR(L481="131",M481="131"),H481='131-CT'!$E$7),"131",""))</f>
        <v/>
      </c>
      <c r="O481" s="86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99"/>
      <c r="AB481" s="210"/>
    </row>
    <row r="482" spans="1:28" s="585" customFormat="1" ht="15.75" customHeight="1">
      <c r="A482" s="203" t="str">
        <f>IF(B482&lt;&gt;"",IF(AND(B482&gt;=_TM1,B482&lt;=_TM2,OR(TH!L482="1111",TH!M482="1111")),TH!D482,""),"")</f>
        <v/>
      </c>
      <c r="B482" s="36">
        <f>IF(C482&lt;&gt;"",MONTH(C482),"")</f>
        <v>4</v>
      </c>
      <c r="C482" s="183">
        <f>E482</f>
        <v>42115</v>
      </c>
      <c r="D482" s="190" t="s">
        <v>1319</v>
      </c>
      <c r="E482" s="37">
        <v>42115</v>
      </c>
      <c r="F482" s="191" t="s">
        <v>1323</v>
      </c>
      <c r="G482" s="482" t="s">
        <v>332</v>
      </c>
      <c r="H482" s="7" t="s">
        <v>1322</v>
      </c>
      <c r="I482" s="255"/>
      <c r="J482" s="255"/>
      <c r="K482" s="593">
        <v>36200000</v>
      </c>
      <c r="L482" s="193" t="s">
        <v>24</v>
      </c>
      <c r="M482" s="193" t="s">
        <v>47</v>
      </c>
      <c r="N482" s="52" t="str">
        <f>IF(AND('331-CT'!$E$7=TH!H482,OR(L482="331",M482="331")),"331",IF(AND(OR(L482="131",M482="131"),H482='131-CT'!$E$7),"131",""))</f>
        <v/>
      </c>
      <c r="O482" s="869" t="str">
        <f>IF(AND('341-CT'!$E$9=H482,OR(LEFT(L482,3)=$O$7,LEFT(M482,3)=$O$7)),"x","")</f>
        <v/>
      </c>
      <c r="P482" s="52" t="str">
        <f>IF(AND($B482&gt;='111'!$N$11,$B482&lt;='111'!$O$11,OR($L482=$P$7,$M482=$P$7)),"x","")</f>
        <v>x</v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>x</v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99"/>
      <c r="AB482" s="210"/>
    </row>
    <row r="483" spans="1:28" s="585" customFormat="1" ht="15.75" customHeight="1">
      <c r="A483" s="203" t="str">
        <f>IF(B483&lt;&gt;"",IF(AND(B483&gt;=_TM1,B483&lt;=_TM2,OR(TH!L483="1111",TH!M483="1111")),TH!D483,""),"")</f>
        <v/>
      </c>
      <c r="B483" s="36">
        <f>IF(C483&lt;&gt;"",MONTH(C483),"")</f>
        <v>4</v>
      </c>
      <c r="C483" s="183">
        <f>E483</f>
        <v>42115</v>
      </c>
      <c r="D483" s="183" t="s">
        <v>1324</v>
      </c>
      <c r="E483" s="190">
        <v>42115</v>
      </c>
      <c r="F483" s="188" t="s">
        <v>1325</v>
      </c>
      <c r="G483" s="482" t="s">
        <v>332</v>
      </c>
      <c r="H483" s="7" t="s">
        <v>1322</v>
      </c>
      <c r="I483" s="255"/>
      <c r="J483" s="255"/>
      <c r="K483" s="593">
        <v>24000000</v>
      </c>
      <c r="L483" s="594" t="s">
        <v>47</v>
      </c>
      <c r="M483" s="594" t="s">
        <v>24</v>
      </c>
      <c r="N483" s="52" t="str">
        <f>IF(AND('331-CT'!$E$7=TH!H483,OR(L483="331",M483="331")),"331",IF(AND(OR(L483="131",M483="131"),H483='131-CT'!$E$7),"131",""))</f>
        <v/>
      </c>
      <c r="O483" s="869" t="str">
        <f>IF(AND('341-CT'!$E$9=H483,OR(LEFT(L483,3)=$O$7,LEFT(M483,3)=$O$7)),"x","")</f>
        <v/>
      </c>
      <c r="P483" s="52" t="str">
        <f>IF(AND($B483&gt;='111'!$N$11,$B483&lt;='111'!$O$11,OR($L483=$P$7,$M483=$P$7)),"x","")</f>
        <v>x</v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>x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99"/>
      <c r="AB483" s="210"/>
    </row>
    <row r="484" spans="1:28" s="585" customFormat="1" ht="15.75" customHeight="1">
      <c r="A484" s="203" t="str">
        <f>IF(B484&lt;&gt;"",IF(AND(B484&gt;=_TM1,B484&lt;=_TM2,OR(TH!L484="1111",TH!M484="1111")),TH!D484,""),"")</f>
        <v/>
      </c>
      <c r="B484" s="36">
        <f>IF(C484&lt;&gt;"",MONTH(C484),"")</f>
        <v>4</v>
      </c>
      <c r="C484" s="183">
        <f>E484</f>
        <v>42115</v>
      </c>
      <c r="D484" s="183" t="s">
        <v>1324</v>
      </c>
      <c r="E484" s="190">
        <v>42115</v>
      </c>
      <c r="F484" s="296" t="s">
        <v>1326</v>
      </c>
      <c r="G484" s="482" t="s">
        <v>332</v>
      </c>
      <c r="H484" s="831" t="s">
        <v>1356</v>
      </c>
      <c r="I484" s="255"/>
      <c r="J484" s="255"/>
      <c r="K484" s="593">
        <v>10000000</v>
      </c>
      <c r="L484" s="594" t="s">
        <v>8</v>
      </c>
      <c r="M484" s="594" t="s">
        <v>24</v>
      </c>
      <c r="N484" s="52" t="str">
        <f>IF(AND('331-CT'!$E$7=TH!H484,OR(L484="331",M484="331")),"331",IF(AND(OR(L484="131",M484="131"),H484='131-CT'!$E$7),"131",""))</f>
        <v/>
      </c>
      <c r="O484" s="86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>x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99"/>
      <c r="AB484" s="210"/>
    </row>
    <row r="485" spans="1:28" s="585" customFormat="1" ht="15.75" customHeight="1">
      <c r="A485" s="203" t="str">
        <f>IF(B485&lt;&gt;"",IF(AND(B485&gt;=_TM1,B485&lt;=_TM2,OR(TH!L485="1111",TH!M485="1111")),TH!D485,""),"")</f>
        <v/>
      </c>
      <c r="B485" s="36">
        <f>IF(C485&lt;&gt;"",MONTH(C485),"")</f>
        <v>4</v>
      </c>
      <c r="C485" s="183">
        <f>E485</f>
        <v>42115</v>
      </c>
      <c r="D485" s="183" t="s">
        <v>1324</v>
      </c>
      <c r="E485" s="190">
        <v>42115</v>
      </c>
      <c r="F485" s="296" t="s">
        <v>1326</v>
      </c>
      <c r="G485" s="482" t="s">
        <v>332</v>
      </c>
      <c r="H485" s="192" t="s">
        <v>1927</v>
      </c>
      <c r="I485" s="255"/>
      <c r="J485" s="255"/>
      <c r="K485" s="593">
        <v>15000000</v>
      </c>
      <c r="L485" s="594" t="s">
        <v>8</v>
      </c>
      <c r="M485" s="594" t="s">
        <v>24</v>
      </c>
      <c r="N485" s="52" t="str">
        <f>IF(AND('331-CT'!$E$7=TH!H485,OR(L485="331",M485="331")),"331",IF(AND(OR(L485="131",M485="131"),H485='131-CT'!$E$7),"131",""))</f>
        <v/>
      </c>
      <c r="O485" s="86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>x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99"/>
      <c r="AB485" s="210"/>
    </row>
    <row r="486" spans="1:28" s="585" customFormat="1" ht="15.75" customHeight="1">
      <c r="A486" s="203" t="str">
        <f>IF(B486&lt;&gt;"",IF(AND(B486&gt;=_TM1,B486&lt;=_TM2,OR(TH!L486="1111",TH!M486="1111")),TH!D486,""),"")</f>
        <v/>
      </c>
      <c r="B486" s="36">
        <f>IF(C486&lt;&gt;"",MONTH(C486),"")</f>
        <v>4</v>
      </c>
      <c r="C486" s="183">
        <f>E486</f>
        <v>42115</v>
      </c>
      <c r="D486" s="183" t="s">
        <v>1324</v>
      </c>
      <c r="E486" s="190">
        <v>42115</v>
      </c>
      <c r="F486" s="188" t="s">
        <v>1327</v>
      </c>
      <c r="G486" s="482" t="s">
        <v>332</v>
      </c>
      <c r="H486" s="7"/>
      <c r="I486" s="255"/>
      <c r="J486" s="255"/>
      <c r="K486" s="593">
        <v>15000</v>
      </c>
      <c r="L486" s="594" t="s">
        <v>83</v>
      </c>
      <c r="M486" s="594" t="s">
        <v>24</v>
      </c>
      <c r="N486" s="52" t="str">
        <f>IF(AND('331-CT'!$E$7=TH!H486,OR(L486="331",M486="331")),"331",IF(AND(OR(L486="131",M486="131"),H486='131-CT'!$E$7),"131",""))</f>
        <v/>
      </c>
      <c r="O486" s="86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>x</v>
      </c>
      <c r="V486" s="52" t="str">
        <f>IF(OR(TH!L486=TH!$V$7,M486=TH!$V$7),"x","")</f>
        <v>x</v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99"/>
      <c r="AB486" s="210"/>
    </row>
    <row r="487" spans="1:28" s="585" customFormat="1" ht="15.75" customHeight="1">
      <c r="A487" s="203" t="str">
        <f>IF(B487&lt;&gt;"",IF(AND(B487&gt;=_TM1,B487&lt;=_TM2,OR(TH!L487="1111",TH!M487="1111")),TH!D487,""),"")</f>
        <v/>
      </c>
      <c r="B487" s="36">
        <f>IF(C487&lt;&gt;"",MONTH(C487),"")</f>
        <v>4</v>
      </c>
      <c r="C487" s="183">
        <f>E487</f>
        <v>42115</v>
      </c>
      <c r="D487" s="183" t="s">
        <v>1324</v>
      </c>
      <c r="E487" s="190">
        <v>42115</v>
      </c>
      <c r="F487" s="188" t="s">
        <v>1327</v>
      </c>
      <c r="G487" s="482" t="s">
        <v>332</v>
      </c>
      <c r="H487" s="7"/>
      <c r="I487" s="255"/>
      <c r="J487" s="255"/>
      <c r="K487" s="593">
        <v>15000</v>
      </c>
      <c r="L487" s="594" t="s">
        <v>83</v>
      </c>
      <c r="M487" s="594" t="s">
        <v>24</v>
      </c>
      <c r="N487" s="52" t="str">
        <f>IF(AND('331-CT'!$E$7=TH!H487,OR(L487="331",M487="331")),"331",IF(AND(OR(L487="131",M487="131"),H487='131-CT'!$E$7),"131",""))</f>
        <v/>
      </c>
      <c r="O487" s="86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>x</v>
      </c>
      <c r="V487" s="52" t="str">
        <f>IF(OR(TH!L487=TH!$V$7,M487=TH!$V$7),"x","")</f>
        <v>x</v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99"/>
      <c r="AB487" s="210"/>
    </row>
    <row r="488" spans="1:28" s="585" customFormat="1" ht="15.75" customHeight="1">
      <c r="A488" s="203" t="str">
        <f>IF(B488&lt;&gt;"",IF(AND(B488&gt;=_TM1,B488&lt;=_TM2,OR(TH!L488="1111",TH!M488="1111")),TH!D488,""),"")</f>
        <v/>
      </c>
      <c r="B488" s="36">
        <f>IF(C488&lt;&gt;"",MONTH(C488),"")</f>
        <v>4</v>
      </c>
      <c r="C488" s="183">
        <f>E488</f>
        <v>42115</v>
      </c>
      <c r="D488" s="183" t="s">
        <v>1324</v>
      </c>
      <c r="E488" s="190">
        <v>42115</v>
      </c>
      <c r="F488" s="296" t="s">
        <v>1326</v>
      </c>
      <c r="G488" s="482" t="s">
        <v>332</v>
      </c>
      <c r="H488" s="7" t="s">
        <v>1397</v>
      </c>
      <c r="I488" s="255"/>
      <c r="J488" s="255"/>
      <c r="K488" s="593">
        <v>36200000</v>
      </c>
      <c r="L488" s="594" t="s">
        <v>8</v>
      </c>
      <c r="M488" s="594" t="s">
        <v>24</v>
      </c>
      <c r="N488" s="52" t="str">
        <f>IF(AND('331-CT'!$E$7=TH!H488,OR(L488="331",M488="331")),"331",IF(AND(OR(L488="131",M488="131"),H488='131-CT'!$E$7),"131",""))</f>
        <v/>
      </c>
      <c r="O488" s="86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>x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99"/>
      <c r="AB488" s="210"/>
    </row>
    <row r="489" spans="1:28" s="585" customFormat="1" ht="15.75" customHeight="1">
      <c r="A489" s="203" t="str">
        <f>IF(B489&lt;&gt;"",IF(AND(B489&gt;=_TM1,B489&lt;=_TM2,OR(TH!L489="1111",TH!M489="1111")),TH!D489,""),"")</f>
        <v/>
      </c>
      <c r="B489" s="36">
        <f>IF(C489&lt;&gt;"",MONTH(C489),"")</f>
        <v>4</v>
      </c>
      <c r="C489" s="183">
        <f>E489</f>
        <v>42115</v>
      </c>
      <c r="D489" s="183" t="s">
        <v>1324</v>
      </c>
      <c r="E489" s="190">
        <v>42115</v>
      </c>
      <c r="F489" s="188" t="s">
        <v>1327</v>
      </c>
      <c r="G489" s="482" t="s">
        <v>332</v>
      </c>
      <c r="H489" s="7"/>
      <c r="I489" s="255"/>
      <c r="J489" s="255"/>
      <c r="K489" s="593">
        <v>15000</v>
      </c>
      <c r="L489" s="594" t="s">
        <v>83</v>
      </c>
      <c r="M489" s="594" t="s">
        <v>24</v>
      </c>
      <c r="N489" s="52" t="str">
        <f>IF(AND('331-CT'!$E$7=TH!H489,OR(L489="331",M489="331")),"331",IF(AND(OR(L489="131",M489="131"),H489='131-CT'!$E$7),"131",""))</f>
        <v/>
      </c>
      <c r="O489" s="86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>x</v>
      </c>
      <c r="V489" s="52" t="str">
        <f>IF(OR(TH!L489=TH!$V$7,M489=TH!$V$7),"x","")</f>
        <v>x</v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99"/>
      <c r="AB489" s="210"/>
    </row>
    <row r="490" spans="1:28" s="585" customFormat="1" ht="15.75" customHeight="1">
      <c r="A490" s="203" t="str">
        <f>IF(B490&lt;&gt;"",IF(AND(B490&gt;=_TM1,B490&lt;=_TM2,OR(TH!L490="1111",TH!M490="1111")),TH!D490,""),"")</f>
        <v/>
      </c>
      <c r="B490" s="36">
        <f>IF(C490&lt;&gt;"",MONTH(C490),"")</f>
        <v>4</v>
      </c>
      <c r="C490" s="183">
        <f>E490</f>
        <v>42115</v>
      </c>
      <c r="D490" s="190" t="s">
        <v>1964</v>
      </c>
      <c r="E490" s="727">
        <v>42115</v>
      </c>
      <c r="F490" s="296" t="s">
        <v>1357</v>
      </c>
      <c r="G490" s="481" t="s">
        <v>1392</v>
      </c>
      <c r="H490" s="7" t="s">
        <v>1391</v>
      </c>
      <c r="I490" s="255">
        <v>1928</v>
      </c>
      <c r="J490" s="255">
        <v>7300</v>
      </c>
      <c r="K490" s="593">
        <f>ROUND(I490*J490,0)</f>
        <v>14074400</v>
      </c>
      <c r="L490" s="594" t="s">
        <v>159</v>
      </c>
      <c r="M490" s="594" t="s">
        <v>8</v>
      </c>
      <c r="N490" s="52" t="str">
        <f>IF(AND('331-CT'!$E$7=TH!H490,OR(L490="331",M490="331")),"331",IF(AND(OR(L490="131",M490="131"),H490='131-CT'!$E$7),"131",""))</f>
        <v/>
      </c>
      <c r="O490" s="86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99"/>
      <c r="AB490" s="210"/>
    </row>
    <row r="491" spans="1:28" s="585" customFormat="1" ht="15.75" customHeight="1">
      <c r="A491" s="203" t="str">
        <f>IF(B491&lt;&gt;"",IF(AND(B491&gt;=_TM1,B491&lt;=_TM2,OR(TH!L491="1111",TH!M491="1111")),TH!D491,""),"")</f>
        <v/>
      </c>
      <c r="B491" s="36">
        <f>IF(C491&lt;&gt;"",MONTH(C491),"")</f>
        <v>4</v>
      </c>
      <c r="C491" s="183">
        <f>E491</f>
        <v>42115</v>
      </c>
      <c r="D491" s="190" t="s">
        <v>1964</v>
      </c>
      <c r="E491" s="727">
        <v>42115</v>
      </c>
      <c r="F491" s="296" t="s">
        <v>1393</v>
      </c>
      <c r="G491" s="481" t="s">
        <v>1392</v>
      </c>
      <c r="H491" s="7" t="s">
        <v>1391</v>
      </c>
      <c r="I491" s="750"/>
      <c r="J491" s="255"/>
      <c r="K491" s="593">
        <v>1407440</v>
      </c>
      <c r="L491" s="594" t="s">
        <v>9</v>
      </c>
      <c r="M491" s="594" t="s">
        <v>8</v>
      </c>
      <c r="N491" s="52" t="str">
        <f>IF(AND('331-CT'!$E$7=TH!H491,OR(L491="331",M491="331")),"331",IF(AND(OR(L491="131",M491="131"),H491='131-CT'!$E$7),"131",""))</f>
        <v/>
      </c>
      <c r="O491" s="86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99"/>
      <c r="AB491" s="210"/>
    </row>
    <row r="492" spans="1:28" s="585" customFormat="1" ht="15.75" customHeight="1">
      <c r="A492" s="203" t="str">
        <f>IF(B492&lt;&gt;"",IF(AND(B492&gt;=_TM1,B492&lt;=_TM2,OR(TH!L492="1111",TH!M492="1111")),TH!D492,""),"")</f>
        <v/>
      </c>
      <c r="B492" s="36">
        <f>IF(C492&lt;&gt;"",MONTH(C492),"")</f>
        <v>4</v>
      </c>
      <c r="C492" s="183">
        <f>E492</f>
        <v>42116</v>
      </c>
      <c r="D492" s="190" t="s">
        <v>1965</v>
      </c>
      <c r="E492" s="190">
        <v>42116</v>
      </c>
      <c r="F492" s="296" t="s">
        <v>1357</v>
      </c>
      <c r="G492" s="481" t="s">
        <v>1394</v>
      </c>
      <c r="H492" s="7" t="s">
        <v>1391</v>
      </c>
      <c r="I492" s="255">
        <v>2096</v>
      </c>
      <c r="J492" s="255">
        <v>7300</v>
      </c>
      <c r="K492" s="593">
        <f>ROUND(I492*J492,0)</f>
        <v>15300800</v>
      </c>
      <c r="L492" s="594" t="s">
        <v>159</v>
      </c>
      <c r="M492" s="594" t="s">
        <v>8</v>
      </c>
      <c r="N492" s="52" t="str">
        <f>IF(AND('331-CT'!$E$7=TH!H492,OR(L492="331",M492="331")),"331",IF(AND(OR(L492="131",M492="131"),H492='131-CT'!$E$7),"131",""))</f>
        <v/>
      </c>
      <c r="O492" s="86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99"/>
      <c r="AB492" s="210"/>
    </row>
    <row r="493" spans="1:28" s="585" customFormat="1" ht="15.75" customHeight="1">
      <c r="A493" s="203" t="str">
        <f>IF(B493&lt;&gt;"",IF(AND(B493&gt;=_TM1,B493&lt;=_TM2,OR(TH!L493="1111",TH!M493="1111")),TH!D493,""),"")</f>
        <v/>
      </c>
      <c r="B493" s="36">
        <f>IF(C493&lt;&gt;"",MONTH(C493),"")</f>
        <v>4</v>
      </c>
      <c r="C493" s="183">
        <f>E493</f>
        <v>42116</v>
      </c>
      <c r="D493" s="190" t="s">
        <v>1965</v>
      </c>
      <c r="E493" s="190">
        <v>42116</v>
      </c>
      <c r="F493" s="296" t="s">
        <v>1393</v>
      </c>
      <c r="G493" s="481" t="s">
        <v>1394</v>
      </c>
      <c r="H493" s="7" t="s">
        <v>1391</v>
      </c>
      <c r="I493" s="255"/>
      <c r="J493" s="255"/>
      <c r="K493" s="593">
        <v>1530080</v>
      </c>
      <c r="L493" s="594" t="s">
        <v>9</v>
      </c>
      <c r="M493" s="594" t="s">
        <v>8</v>
      </c>
      <c r="N493" s="52" t="str">
        <f>IF(AND('331-CT'!$E$7=TH!H493,OR(L493="331",M493="331")),"331",IF(AND(OR(L493="131",M493="131"),H493='131-CT'!$E$7),"131",""))</f>
        <v/>
      </c>
      <c r="O493" s="86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99"/>
      <c r="AB493" s="210"/>
    </row>
    <row r="494" spans="1:28" s="585" customFormat="1" ht="15.75" customHeight="1">
      <c r="A494" s="203" t="str">
        <f>IF(B494&lt;&gt;"",IF(AND(B494&gt;=_TM1,B494&lt;=_TM2,OR(TH!L494="1111",TH!M494="1111")),TH!D494,""),"")</f>
        <v/>
      </c>
      <c r="B494" s="36">
        <f>IF(C494&lt;&gt;"",MONTH(C494),"")</f>
        <v>4</v>
      </c>
      <c r="C494" s="183">
        <f>E494</f>
        <v>42117</v>
      </c>
      <c r="D494" s="183" t="s">
        <v>1522</v>
      </c>
      <c r="E494" s="190">
        <v>42117</v>
      </c>
      <c r="F494" s="191" t="s">
        <v>518</v>
      </c>
      <c r="G494" s="482" t="s">
        <v>613</v>
      </c>
      <c r="H494" s="7" t="s">
        <v>444</v>
      </c>
      <c r="I494" s="255">
        <v>210</v>
      </c>
      <c r="J494" s="255">
        <v>10700</v>
      </c>
      <c r="K494" s="593">
        <f>ROUND(I494*J494,0)</f>
        <v>2247000</v>
      </c>
      <c r="L494" s="594" t="s">
        <v>259</v>
      </c>
      <c r="M494" s="594" t="s">
        <v>174</v>
      </c>
      <c r="N494" s="52" t="str">
        <f>IF(AND('331-CT'!$E$7=TH!H494,OR(L494="331",M494="331")),"331",IF(AND(OR(L494="131",M494="131"),H494='131-CT'!$E$7),"131",""))</f>
        <v/>
      </c>
      <c r="O494" s="86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99"/>
    </row>
    <row r="495" spans="1:28" s="585" customFormat="1" ht="15.75" customHeight="1">
      <c r="A495" s="203" t="str">
        <f>IF(B495&lt;&gt;"",IF(AND(B495&gt;=_TM1,B495&lt;=_TM2,OR(TH!L495="1111",TH!M495="1111")),TH!D495,""),"")</f>
        <v/>
      </c>
      <c r="B495" s="36">
        <f>IF(C495&lt;&gt;"",MONTH(C495),"")</f>
        <v>4</v>
      </c>
      <c r="C495" s="183">
        <f>E495</f>
        <v>42117</v>
      </c>
      <c r="D495" s="183" t="s">
        <v>1522</v>
      </c>
      <c r="E495" s="190">
        <v>42117</v>
      </c>
      <c r="F495" s="191" t="s">
        <v>402</v>
      </c>
      <c r="G495" s="482" t="s">
        <v>613</v>
      </c>
      <c r="H495" s="7" t="s">
        <v>444</v>
      </c>
      <c r="I495" s="255"/>
      <c r="J495" s="255"/>
      <c r="K495" s="593">
        <v>224700</v>
      </c>
      <c r="L495" s="594" t="s">
        <v>259</v>
      </c>
      <c r="M495" s="594" t="s">
        <v>371</v>
      </c>
      <c r="N495" s="52" t="str">
        <f>IF(AND('331-CT'!$E$7=TH!H495,OR(L495="331",M495="331")),"331",IF(AND(OR(L495="131",M495="131"),H495='131-CT'!$E$7),"131",""))</f>
        <v/>
      </c>
      <c r="O495" s="86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99"/>
    </row>
    <row r="496" spans="1:28" s="585" customFormat="1" ht="15.75" customHeight="1">
      <c r="A496" s="203" t="str">
        <f>IF(B496&lt;&gt;"",IF(AND(B496&gt;=_TM1,B496&lt;=_TM2,OR(TH!L496="1111",TH!M496="1111")),TH!D496,""),"")</f>
        <v/>
      </c>
      <c r="B496" s="36">
        <f>IF(C496&lt;&gt;"",MONTH(C496),"")</f>
        <v>4</v>
      </c>
      <c r="C496" s="183">
        <f>E496</f>
        <v>42117</v>
      </c>
      <c r="D496" s="190" t="s">
        <v>1966</v>
      </c>
      <c r="E496" s="190">
        <v>42117</v>
      </c>
      <c r="F496" s="296" t="s">
        <v>1357</v>
      </c>
      <c r="G496" s="481" t="s">
        <v>1395</v>
      </c>
      <c r="H496" s="7" t="s">
        <v>1391</v>
      </c>
      <c r="I496" s="255">
        <v>2096</v>
      </c>
      <c r="J496" s="255">
        <v>7300</v>
      </c>
      <c r="K496" s="593">
        <f>ROUND(I496*J496,0)</f>
        <v>15300800</v>
      </c>
      <c r="L496" s="594" t="s">
        <v>159</v>
      </c>
      <c r="M496" s="594" t="s">
        <v>8</v>
      </c>
      <c r="N496" s="52" t="str">
        <f>IF(AND('331-CT'!$E$7=TH!H496,OR(L496="331",M496="331")),"331",IF(AND(OR(L496="131",M496="131"),H496='131-CT'!$E$7),"131",""))</f>
        <v/>
      </c>
      <c r="O496" s="86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99"/>
      <c r="AB496" s="210"/>
    </row>
    <row r="497" spans="1:28" s="585" customFormat="1" ht="15.75" customHeight="1">
      <c r="A497" s="203" t="str">
        <f>IF(B497&lt;&gt;"",IF(AND(B497&gt;=_TM1,B497&lt;=_TM2,OR(TH!L497="1111",TH!M497="1111")),TH!D497,""),"")</f>
        <v/>
      </c>
      <c r="B497" s="36">
        <f>IF(C497&lt;&gt;"",MONTH(C497),"")</f>
        <v>4</v>
      </c>
      <c r="C497" s="183">
        <f>E497</f>
        <v>42117</v>
      </c>
      <c r="D497" s="190" t="s">
        <v>1966</v>
      </c>
      <c r="E497" s="190">
        <v>42117</v>
      </c>
      <c r="F497" s="296" t="s">
        <v>1393</v>
      </c>
      <c r="G497" s="481" t="s">
        <v>1395</v>
      </c>
      <c r="H497" s="7" t="s">
        <v>1391</v>
      </c>
      <c r="I497" s="255"/>
      <c r="J497" s="255"/>
      <c r="K497" s="593">
        <v>1530080</v>
      </c>
      <c r="L497" s="594" t="s">
        <v>9</v>
      </c>
      <c r="M497" s="594" t="s">
        <v>8</v>
      </c>
      <c r="N497" s="52" t="str">
        <f>IF(AND('331-CT'!$E$7=TH!H497,OR(L497="331",M497="331")),"331",IF(AND(OR(L497="131",M497="131"),H497='131-CT'!$E$7),"131",""))</f>
        <v/>
      </c>
      <c r="O497" s="86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99"/>
      <c r="AB497" s="210"/>
    </row>
    <row r="498" spans="1:28" s="585" customFormat="1" ht="15.75" customHeight="1">
      <c r="A498" s="203" t="str">
        <f>IF(B498&lt;&gt;"",IF(AND(B498&gt;=_TM1,B498&lt;=_TM2,OR(TH!L498="1111",TH!M498="1111")),TH!D498,""),"")</f>
        <v/>
      </c>
      <c r="B498" s="36">
        <f>IF(C498&lt;&gt;"",MONTH(C498),"")</f>
        <v>4</v>
      </c>
      <c r="C498" s="183">
        <f>E498</f>
        <v>42117</v>
      </c>
      <c r="D498" s="190"/>
      <c r="E498" s="190">
        <v>42117</v>
      </c>
      <c r="F498" s="188" t="s">
        <v>1382</v>
      </c>
      <c r="G498" s="482" t="s">
        <v>1396</v>
      </c>
      <c r="H498" s="7" t="s">
        <v>1383</v>
      </c>
      <c r="I498" s="255"/>
      <c r="J498" s="255"/>
      <c r="K498" s="593">
        <v>1539252</v>
      </c>
      <c r="L498" s="193" t="s">
        <v>83</v>
      </c>
      <c r="M498" s="193" t="s">
        <v>47</v>
      </c>
      <c r="N498" s="52" t="str">
        <f>IF(AND('331-CT'!$E$7=TH!H498,OR(L498="331",M498="331")),"331",IF(AND(OR(L498="131",M498="131"),H498='131-CT'!$E$7),"131",""))</f>
        <v/>
      </c>
      <c r="O498" s="869" t="str">
        <f>IF(AND('341-CT'!$E$9=H498,OR(LEFT(L498,3)=$O$7,LEFT(M498,3)=$O$7)),"x","")</f>
        <v/>
      </c>
      <c r="P498" s="52" t="str">
        <f>IF(AND($B498&gt;='111'!$N$11,$B498&lt;='111'!$O$11,OR($L498=$P$7,$M498=$P$7)),"x","")</f>
        <v>x</v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>x</v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99"/>
      <c r="AB498" s="210"/>
    </row>
    <row r="499" spans="1:28" s="585" customFormat="1" ht="15.75" customHeight="1">
      <c r="A499" s="203" t="str">
        <f>IF(B499&lt;&gt;"",IF(AND(B499&gt;=_TM1,B499&lt;=_TM2,OR(TH!L499="1111",TH!M499="1111")),TH!D499,""),"")</f>
        <v/>
      </c>
      <c r="B499" s="36">
        <f>IF(C499&lt;&gt;"",MONTH(C499),"")</f>
        <v>4</v>
      </c>
      <c r="C499" s="183">
        <f>E499</f>
        <v>42117</v>
      </c>
      <c r="D499" s="190"/>
      <c r="E499" s="190">
        <v>42117</v>
      </c>
      <c r="F499" s="188" t="s">
        <v>1384</v>
      </c>
      <c r="G499" s="482" t="s">
        <v>1396</v>
      </c>
      <c r="H499" s="7" t="s">
        <v>1383</v>
      </c>
      <c r="I499" s="255"/>
      <c r="J499" s="255"/>
      <c r="K499" s="593">
        <v>153925</v>
      </c>
      <c r="L499" s="193" t="s">
        <v>9</v>
      </c>
      <c r="M499" s="193" t="s">
        <v>47</v>
      </c>
      <c r="N499" s="52" t="str">
        <f>IF(AND('331-CT'!$E$7=TH!H499,OR(L499="331",M499="331")),"331",IF(AND(OR(L499="131",M499="131"),H499='131-CT'!$E$7),"131",""))</f>
        <v/>
      </c>
      <c r="O499" s="869" t="str">
        <f>IF(AND('341-CT'!$E$9=H499,OR(LEFT(L499,3)=$O$7,LEFT(M499,3)=$O$7)),"x","")</f>
        <v/>
      </c>
      <c r="P499" s="52" t="str">
        <f>IF(AND($B499&gt;='111'!$N$11,$B499&lt;='111'!$O$11,OR($L499=$P$7,$M499=$P$7)),"x","")</f>
        <v>x</v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99"/>
      <c r="AB499" s="210"/>
    </row>
    <row r="500" spans="1:28" s="585" customFormat="1" ht="15.75" customHeight="1">
      <c r="A500" s="203" t="str">
        <f>IF(B500&lt;&gt;"",IF(AND(B500&gt;=_TM1,B500&lt;=_TM2,OR(TH!L500="1111",TH!M500="1111")),TH!D500,""),"")</f>
        <v/>
      </c>
      <c r="B500" s="36">
        <f>IF(C500&lt;&gt;"",MONTH(C500),"")</f>
        <v>4</v>
      </c>
      <c r="C500" s="183">
        <f>E500</f>
        <v>42117</v>
      </c>
      <c r="D500" s="190" t="s">
        <v>1967</v>
      </c>
      <c r="E500" s="190">
        <v>42117</v>
      </c>
      <c r="F500" s="191" t="s">
        <v>1398</v>
      </c>
      <c r="G500" s="482" t="s">
        <v>1395</v>
      </c>
      <c r="H500" s="7" t="s">
        <v>1397</v>
      </c>
      <c r="I500" s="255">
        <v>1850</v>
      </c>
      <c r="J500" s="255">
        <v>9100</v>
      </c>
      <c r="K500" s="593">
        <f>ROUND(I500*J500,0)</f>
        <v>16835000</v>
      </c>
      <c r="L500" s="594" t="s">
        <v>159</v>
      </c>
      <c r="M500" s="594" t="s">
        <v>8</v>
      </c>
      <c r="N500" s="52" t="str">
        <f>IF(AND('331-CT'!$E$7=TH!H500,OR(L500="331",M500="331")),"331",IF(AND(OR(L500="131",M500="131"),H500='131-CT'!$E$7),"131",""))</f>
        <v/>
      </c>
      <c r="O500" s="86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99"/>
      <c r="AB500" s="210"/>
    </row>
    <row r="501" spans="1:28" s="210" customFormat="1" ht="15.75" customHeight="1">
      <c r="A501" s="203" t="str">
        <f>IF(B501&lt;&gt;"",IF(AND(B501&gt;=_TM1,B501&lt;=_TM2,OR(TH!L501="1111",TH!M501="1111")),TH!D501,""),"")</f>
        <v/>
      </c>
      <c r="B501" s="36">
        <f>IF(C501&lt;&gt;"",MONTH(C501),"")</f>
        <v>4</v>
      </c>
      <c r="C501" s="183">
        <f>E501</f>
        <v>42117</v>
      </c>
      <c r="D501" s="190" t="s">
        <v>1967</v>
      </c>
      <c r="E501" s="190">
        <v>42117</v>
      </c>
      <c r="F501" s="191" t="s">
        <v>1402</v>
      </c>
      <c r="G501" s="482" t="s">
        <v>1395</v>
      </c>
      <c r="H501" s="7" t="s">
        <v>1397</v>
      </c>
      <c r="I501" s="255">
        <v>1808</v>
      </c>
      <c r="J501" s="255">
        <v>9000</v>
      </c>
      <c r="K501" s="593">
        <f>ROUND(I501*J501,0)</f>
        <v>16272000</v>
      </c>
      <c r="L501" s="594" t="s">
        <v>159</v>
      </c>
      <c r="M501" s="594" t="s">
        <v>8</v>
      </c>
      <c r="N501" s="52" t="str">
        <f>IF(AND('331-CT'!$E$7=TH!H501,OR(L501="331",M501="331")),"331",IF(AND(OR(L501="131",M501="131"),H501='131-CT'!$E$7),"131",""))</f>
        <v/>
      </c>
      <c r="O501" s="86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99"/>
    </row>
    <row r="502" spans="1:28" s="210" customFormat="1" ht="15.75" customHeight="1">
      <c r="A502" s="203" t="str">
        <f>IF(B502&lt;&gt;"",IF(AND(B502&gt;=_TM1,B502&lt;=_TM2,OR(TH!L502="1111",TH!M502="1111")),TH!D502,""),"")</f>
        <v/>
      </c>
      <c r="B502" s="36">
        <f>IF(C502&lt;&gt;"",MONTH(C502),"")</f>
        <v>4</v>
      </c>
      <c r="C502" s="183">
        <f>E502</f>
        <v>42117</v>
      </c>
      <c r="D502" s="190" t="s">
        <v>1967</v>
      </c>
      <c r="E502" s="190">
        <v>42117</v>
      </c>
      <c r="F502" s="191" t="s">
        <v>1379</v>
      </c>
      <c r="G502" s="482" t="s">
        <v>1395</v>
      </c>
      <c r="H502" s="7" t="s">
        <v>1397</v>
      </c>
      <c r="I502" s="255"/>
      <c r="J502" s="255"/>
      <c r="K502" s="593">
        <v>3310700</v>
      </c>
      <c r="L502" s="594" t="s">
        <v>9</v>
      </c>
      <c r="M502" s="594" t="s">
        <v>8</v>
      </c>
      <c r="N502" s="52" t="str">
        <f>IF(AND('331-CT'!$E$7=TH!H502,OR(L502="331",M502="331")),"331",IF(AND(OR(L502="131",M502="131"),H502='131-CT'!$E$7),"131",""))</f>
        <v/>
      </c>
      <c r="O502" s="86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99"/>
    </row>
    <row r="503" spans="1:28" s="210" customFormat="1" ht="15.75" customHeight="1">
      <c r="A503" s="203" t="str">
        <f>IF(B503&lt;&gt;"",IF(AND(B503&gt;=_TM1,B503&lt;=_TM2,OR(TH!L503="1111",TH!M503="1111")),TH!D503,""),"")</f>
        <v/>
      </c>
      <c r="B503" s="36">
        <f>IF(C503&lt;&gt;"",MONTH(C503),"")</f>
        <v>4</v>
      </c>
      <c r="C503" s="183">
        <f>E503</f>
        <v>42118</v>
      </c>
      <c r="D503" s="183" t="s">
        <v>1523</v>
      </c>
      <c r="E503" s="190">
        <v>42118</v>
      </c>
      <c r="F503" s="191" t="s">
        <v>614</v>
      </c>
      <c r="G503" s="482" t="s">
        <v>615</v>
      </c>
      <c r="H503" s="7" t="s">
        <v>976</v>
      </c>
      <c r="I503" s="255">
        <v>312</v>
      </c>
      <c r="J503" s="255">
        <v>5490</v>
      </c>
      <c r="K503" s="593">
        <f>ROUND(I503*J503,0)</f>
        <v>1712880</v>
      </c>
      <c r="L503" s="594" t="s">
        <v>259</v>
      </c>
      <c r="M503" s="594" t="s">
        <v>174</v>
      </c>
      <c r="N503" s="52" t="str">
        <f>IF(AND('331-CT'!$E$7=TH!H503,OR(L503="331",M503="331")),"331",IF(AND(OR(L503="131",M503="131"),H503='131-CT'!$E$7),"131",""))</f>
        <v/>
      </c>
      <c r="O503" s="86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99"/>
      <c r="AB503" s="585"/>
    </row>
    <row r="504" spans="1:28" s="585" customFormat="1" ht="15.75" customHeight="1">
      <c r="A504" s="203" t="str">
        <f>IF(B504&lt;&gt;"",IF(AND(B504&gt;=_TM1,B504&lt;=_TM2,OR(TH!L504="1111",TH!M504="1111")),TH!D504,""),"")</f>
        <v/>
      </c>
      <c r="B504" s="36">
        <f>IF(C504&lt;&gt;"",MONTH(C504),"")</f>
        <v>4</v>
      </c>
      <c r="C504" s="183">
        <f>E504</f>
        <v>42118</v>
      </c>
      <c r="D504" s="183" t="s">
        <v>1523</v>
      </c>
      <c r="E504" s="190">
        <v>42118</v>
      </c>
      <c r="F504" s="191" t="s">
        <v>616</v>
      </c>
      <c r="G504" s="482" t="s">
        <v>615</v>
      </c>
      <c r="H504" s="7" t="s">
        <v>976</v>
      </c>
      <c r="I504" s="255">
        <v>312</v>
      </c>
      <c r="J504" s="255">
        <v>5500</v>
      </c>
      <c r="K504" s="593">
        <f>ROUND(I504*J504,0)</f>
        <v>1716000</v>
      </c>
      <c r="L504" s="594" t="s">
        <v>259</v>
      </c>
      <c r="M504" s="594" t="s">
        <v>174</v>
      </c>
      <c r="N504" s="52" t="str">
        <f>IF(AND('331-CT'!$E$7=TH!H504,OR(L504="331",M504="331")),"331",IF(AND(OR(L504="131",M504="131"),H504='131-CT'!$E$7),"131",""))</f>
        <v/>
      </c>
      <c r="O504" s="86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99"/>
    </row>
    <row r="505" spans="1:28" s="585" customFormat="1" ht="15.75" customHeight="1">
      <c r="A505" s="203" t="str">
        <f>IF(B505&lt;&gt;"",IF(AND(B505&gt;=_TM1,B505&lt;=_TM2,OR(TH!L505="1111",TH!M505="1111")),TH!D505,""),"")</f>
        <v/>
      </c>
      <c r="B505" s="36">
        <f>IF(C505&lt;&gt;"",MONTH(C505),"")</f>
        <v>4</v>
      </c>
      <c r="C505" s="183">
        <f>E505</f>
        <v>42118</v>
      </c>
      <c r="D505" s="183" t="s">
        <v>1523</v>
      </c>
      <c r="E505" s="190">
        <v>42118</v>
      </c>
      <c r="F505" s="191" t="s">
        <v>616</v>
      </c>
      <c r="G505" s="482" t="s">
        <v>615</v>
      </c>
      <c r="H505" s="7" t="s">
        <v>976</v>
      </c>
      <c r="I505" s="255">
        <v>200</v>
      </c>
      <c r="J505" s="255">
        <v>5500</v>
      </c>
      <c r="K505" s="593">
        <f>ROUND(I505*J505,0)</f>
        <v>1100000</v>
      </c>
      <c r="L505" s="594" t="s">
        <v>259</v>
      </c>
      <c r="M505" s="594" t="s">
        <v>174</v>
      </c>
      <c r="N505" s="52" t="str">
        <f>IF(AND('331-CT'!$E$7=TH!H505,OR(L505="331",M505="331")),"331",IF(AND(OR(L505="131",M505="131"),H505='131-CT'!$E$7),"131",""))</f>
        <v/>
      </c>
      <c r="O505" s="86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99"/>
    </row>
    <row r="506" spans="1:28" s="585" customFormat="1" ht="15.75" customHeight="1">
      <c r="A506" s="203" t="str">
        <f>IF(B506&lt;&gt;"",IF(AND(B506&gt;=_TM1,B506&lt;=_TM2,OR(TH!L506="1111",TH!M506="1111")),TH!D506,""),"")</f>
        <v/>
      </c>
      <c r="B506" s="36">
        <f>IF(C506&lt;&gt;"",MONTH(C506),"")</f>
        <v>4</v>
      </c>
      <c r="C506" s="183">
        <f>E506</f>
        <v>42118</v>
      </c>
      <c r="D506" s="183" t="s">
        <v>1523</v>
      </c>
      <c r="E506" s="190">
        <v>42118</v>
      </c>
      <c r="F506" s="188" t="s">
        <v>403</v>
      </c>
      <c r="G506" s="482" t="s">
        <v>615</v>
      </c>
      <c r="H506" s="7" t="s">
        <v>976</v>
      </c>
      <c r="I506" s="255">
        <v>1012</v>
      </c>
      <c r="J506" s="255">
        <v>9300</v>
      </c>
      <c r="K506" s="593">
        <f>ROUND(I506*J506,0)</f>
        <v>9411600</v>
      </c>
      <c r="L506" s="594" t="s">
        <v>259</v>
      </c>
      <c r="M506" s="594" t="s">
        <v>174</v>
      </c>
      <c r="N506" s="52" t="str">
        <f>IF(AND('331-CT'!$E$7=TH!H506,OR(L506="331",M506="331")),"331",IF(AND(OR(L506="131",M506="131"),H506='131-CT'!$E$7),"131",""))</f>
        <v/>
      </c>
      <c r="O506" s="86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99"/>
      <c r="AB506" s="210"/>
    </row>
    <row r="507" spans="1:28" s="585" customFormat="1" ht="15.75" customHeight="1">
      <c r="A507" s="203" t="str">
        <f>IF(B507&lt;&gt;"",IF(AND(B507&gt;=_TM1,B507&lt;=_TM2,OR(TH!L507="1111",TH!M507="1111")),TH!D507,""),"")</f>
        <v/>
      </c>
      <c r="B507" s="36">
        <f>IF(C507&lt;&gt;"",MONTH(C507),"")</f>
        <v>4</v>
      </c>
      <c r="C507" s="183">
        <f>E507</f>
        <v>42118</v>
      </c>
      <c r="D507" s="183" t="s">
        <v>1523</v>
      </c>
      <c r="E507" s="190">
        <v>42118</v>
      </c>
      <c r="F507" s="188" t="s">
        <v>906</v>
      </c>
      <c r="G507" s="482" t="s">
        <v>615</v>
      </c>
      <c r="H507" s="7" t="s">
        <v>976</v>
      </c>
      <c r="I507" s="255">
        <v>303</v>
      </c>
      <c r="J507" s="255">
        <v>7170</v>
      </c>
      <c r="K507" s="593">
        <f>ROUND(I507*J507,0)</f>
        <v>2172510</v>
      </c>
      <c r="L507" s="594" t="s">
        <v>259</v>
      </c>
      <c r="M507" s="594" t="s">
        <v>174</v>
      </c>
      <c r="N507" s="52" t="str">
        <f>IF(AND('331-CT'!$E$7=TH!H507,OR(L507="331",M507="331")),"331",IF(AND(OR(L507="131",M507="131"),H507='131-CT'!$E$7),"131",""))</f>
        <v/>
      </c>
      <c r="O507" s="86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99"/>
      <c r="AB507" s="210"/>
    </row>
    <row r="508" spans="1:28" s="585" customFormat="1" ht="15.75" customHeight="1">
      <c r="A508" s="203" t="str">
        <f>IF(B508&lt;&gt;"",IF(AND(B508&gt;=_TM1,B508&lt;=_TM2,OR(TH!L508="1111",TH!M508="1111")),TH!D508,""),"")</f>
        <v/>
      </c>
      <c r="B508" s="36">
        <f>IF(C508&lt;&gt;"",MONTH(C508),"")</f>
        <v>4</v>
      </c>
      <c r="C508" s="183">
        <f>E508</f>
        <v>42118</v>
      </c>
      <c r="D508" s="183" t="s">
        <v>1523</v>
      </c>
      <c r="E508" s="190">
        <v>42118</v>
      </c>
      <c r="F508" s="191" t="s">
        <v>402</v>
      </c>
      <c r="G508" s="482" t="s">
        <v>615</v>
      </c>
      <c r="H508" s="7" t="s">
        <v>976</v>
      </c>
      <c r="I508" s="255"/>
      <c r="J508" s="255"/>
      <c r="K508" s="593">
        <v>1611299</v>
      </c>
      <c r="L508" s="594" t="s">
        <v>259</v>
      </c>
      <c r="M508" s="594" t="s">
        <v>371</v>
      </c>
      <c r="N508" s="52" t="str">
        <f>IF(AND('331-CT'!$E$7=TH!H508,OR(L508="331",M508="331")),"331",IF(AND(OR(L508="131",M508="131"),H508='131-CT'!$E$7),"131",""))</f>
        <v/>
      </c>
      <c r="O508" s="86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99"/>
      <c r="AB508" s="210"/>
    </row>
    <row r="509" spans="1:28" s="585" customFormat="1" ht="15.75" customHeight="1">
      <c r="A509" s="203" t="str">
        <f>IF(B509&lt;&gt;"",IF(AND(B509&gt;=_TM1,B509&lt;=_TM2,OR(TH!L509="1111",TH!M509="1111")),TH!D509,""),"")</f>
        <v/>
      </c>
      <c r="B509" s="36">
        <f>IF(C509&lt;&gt;"",MONTH(C509),"")</f>
        <v>4</v>
      </c>
      <c r="C509" s="183">
        <f>E509</f>
        <v>42118</v>
      </c>
      <c r="D509" s="183" t="s">
        <v>1524</v>
      </c>
      <c r="E509" s="190">
        <v>42118</v>
      </c>
      <c r="F509" s="191" t="s">
        <v>617</v>
      </c>
      <c r="G509" s="482" t="s">
        <v>618</v>
      </c>
      <c r="H509" s="192" t="s">
        <v>793</v>
      </c>
      <c r="I509" s="255">
        <v>303</v>
      </c>
      <c r="J509" s="255">
        <v>9120</v>
      </c>
      <c r="K509" s="593">
        <f>ROUND(I509*J509,0)</f>
        <v>2763360</v>
      </c>
      <c r="L509" s="594" t="s">
        <v>259</v>
      </c>
      <c r="M509" s="594" t="s">
        <v>174</v>
      </c>
      <c r="N509" s="52" t="str">
        <f>IF(AND('331-CT'!$E$7=TH!H509,OR(L509="331",M509="331")),"331",IF(AND(OR(L509="131",M509="131"),H509='131-CT'!$E$7),"131",""))</f>
        <v/>
      </c>
      <c r="O509" s="86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99"/>
      <c r="AB509" s="210"/>
    </row>
    <row r="510" spans="1:28" s="210" customFormat="1" ht="15.75" customHeight="1">
      <c r="A510" s="203" t="str">
        <f>IF(B510&lt;&gt;"",IF(AND(B510&gt;=_TM1,B510&lt;=_TM2,OR(TH!L510="1111",TH!M510="1111")),TH!D510,""),"")</f>
        <v/>
      </c>
      <c r="B510" s="36">
        <f>IF(C510&lt;&gt;"",MONTH(C510),"")</f>
        <v>4</v>
      </c>
      <c r="C510" s="183">
        <f>E510</f>
        <v>42118</v>
      </c>
      <c r="D510" s="183" t="s">
        <v>1524</v>
      </c>
      <c r="E510" s="190">
        <v>42118</v>
      </c>
      <c r="F510" s="188" t="s">
        <v>1665</v>
      </c>
      <c r="G510" s="482" t="s">
        <v>618</v>
      </c>
      <c r="H510" s="192" t="s">
        <v>793</v>
      </c>
      <c r="I510" s="255">
        <v>606</v>
      </c>
      <c r="J510" s="255">
        <v>915</v>
      </c>
      <c r="K510" s="593">
        <f>ROUND(I510*J510,0)</f>
        <v>554490</v>
      </c>
      <c r="L510" s="594" t="s">
        <v>259</v>
      </c>
      <c r="M510" s="594" t="s">
        <v>174</v>
      </c>
      <c r="N510" s="52" t="str">
        <f>IF(AND('331-CT'!$E$7=TH!H510,OR(L510="331",M510="331")),"331",IF(AND(OR(L510="131",M510="131"),H510='131-CT'!$E$7),"131",""))</f>
        <v/>
      </c>
      <c r="O510" s="86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99"/>
      <c r="AB510" s="585"/>
    </row>
    <row r="511" spans="1:28" s="210" customFormat="1" ht="15.75" customHeight="1">
      <c r="A511" s="203" t="str">
        <f>IF(B511&lt;&gt;"",IF(AND(B511&gt;=_TM1,B511&lt;=_TM2,OR(TH!L511="1111",TH!M511="1111")),TH!D511,""),"")</f>
        <v/>
      </c>
      <c r="B511" s="36">
        <f>IF(C511&lt;&gt;"",MONTH(C511),"")</f>
        <v>4</v>
      </c>
      <c r="C511" s="183">
        <f>E511</f>
        <v>42118</v>
      </c>
      <c r="D511" s="183" t="s">
        <v>1524</v>
      </c>
      <c r="E511" s="190">
        <v>42118</v>
      </c>
      <c r="F511" s="191" t="s">
        <v>402</v>
      </c>
      <c r="G511" s="482" t="s">
        <v>618</v>
      </c>
      <c r="H511" s="192" t="s">
        <v>793</v>
      </c>
      <c r="I511" s="255"/>
      <c r="J511" s="255"/>
      <c r="K511" s="593">
        <v>331785</v>
      </c>
      <c r="L511" s="594" t="s">
        <v>259</v>
      </c>
      <c r="M511" s="594" t="s">
        <v>371</v>
      </c>
      <c r="N511" s="52" t="str">
        <f>IF(AND('331-CT'!$E$7=TH!H511,OR(L511="331",M511="331")),"331",IF(AND(OR(L511="131",M511="131"),H511='131-CT'!$E$7),"131",""))</f>
        <v/>
      </c>
      <c r="O511" s="86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99"/>
      <c r="AB511" s="585"/>
    </row>
    <row r="512" spans="1:28" s="210" customFormat="1" ht="15.75" customHeight="1">
      <c r="A512" s="203" t="str">
        <f>IF(B512&lt;&gt;"",IF(AND(B512&gt;=_TM1,B512&lt;=_TM2,OR(TH!L512="1111",TH!M512="1111")),TH!D512,""),"")</f>
        <v/>
      </c>
      <c r="B512" s="36">
        <f>IF(C512&lt;&gt;"",MONTH(C512),"")</f>
        <v>4</v>
      </c>
      <c r="C512" s="183">
        <f>E512</f>
        <v>42118</v>
      </c>
      <c r="D512" s="183" t="s">
        <v>1525</v>
      </c>
      <c r="E512" s="190">
        <v>42118</v>
      </c>
      <c r="F512" s="191" t="s">
        <v>587</v>
      </c>
      <c r="G512" s="482" t="s">
        <v>619</v>
      </c>
      <c r="H512" s="7" t="s">
        <v>407</v>
      </c>
      <c r="I512" s="255">
        <v>150</v>
      </c>
      <c r="J512" s="255">
        <v>6080</v>
      </c>
      <c r="K512" s="593">
        <f>ROUND(I512*J512,0)</f>
        <v>912000</v>
      </c>
      <c r="L512" s="594" t="s">
        <v>259</v>
      </c>
      <c r="M512" s="594" t="s">
        <v>174</v>
      </c>
      <c r="N512" s="52" t="str">
        <f>IF(AND('331-CT'!$E$7=TH!H512,OR(L512="331",M512="331")),"331",IF(AND(OR(L512="131",M512="131"),H512='131-CT'!$E$7),"131",""))</f>
        <v/>
      </c>
      <c r="O512" s="86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99"/>
      <c r="AB512" s="585"/>
    </row>
    <row r="513" spans="1:28" s="210" customFormat="1" ht="15.75" customHeight="1">
      <c r="A513" s="203" t="str">
        <f>IF(B513&lt;&gt;"",IF(AND(B513&gt;=_TM1,B513&lt;=_TM2,OR(TH!L513="1111",TH!M513="1111")),TH!D513,""),"")</f>
        <v/>
      </c>
      <c r="B513" s="36">
        <f>IF(C513&lt;&gt;"",MONTH(C513),"")</f>
        <v>4</v>
      </c>
      <c r="C513" s="183">
        <f>E513</f>
        <v>42118</v>
      </c>
      <c r="D513" s="183" t="s">
        <v>1525</v>
      </c>
      <c r="E513" s="190">
        <v>42118</v>
      </c>
      <c r="F513" s="191" t="s">
        <v>602</v>
      </c>
      <c r="G513" s="482" t="s">
        <v>619</v>
      </c>
      <c r="H513" s="7" t="s">
        <v>407</v>
      </c>
      <c r="I513" s="256">
        <v>1364</v>
      </c>
      <c r="J513" s="256">
        <v>8980</v>
      </c>
      <c r="K513" s="593">
        <f>ROUND(I513*J513,0)</f>
        <v>12248720</v>
      </c>
      <c r="L513" s="594" t="s">
        <v>259</v>
      </c>
      <c r="M513" s="594" t="s">
        <v>174</v>
      </c>
      <c r="N513" s="52" t="str">
        <f>IF(AND('331-CT'!$E$7=TH!H513,OR(L513="331",M513="331")),"331",IF(AND(OR(L513="131",M513="131"),H513='131-CT'!$E$7),"131",""))</f>
        <v/>
      </c>
      <c r="O513" s="86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99"/>
      <c r="AB513" s="585"/>
    </row>
    <row r="514" spans="1:28" s="585" customFormat="1" ht="15.75" customHeight="1">
      <c r="A514" s="203" t="str">
        <f>IF(B514&lt;&gt;"",IF(AND(B514&gt;=_TM1,B514&lt;=_TM2,OR(TH!L514="1111",TH!M514="1111")),TH!D514,""),"")</f>
        <v/>
      </c>
      <c r="B514" s="36">
        <f>IF(C514&lt;&gt;"",MONTH(C514),"")</f>
        <v>4</v>
      </c>
      <c r="C514" s="183">
        <f>E514</f>
        <v>42118</v>
      </c>
      <c r="D514" s="183" t="s">
        <v>1525</v>
      </c>
      <c r="E514" s="190">
        <v>42118</v>
      </c>
      <c r="F514" s="191" t="s">
        <v>402</v>
      </c>
      <c r="G514" s="482" t="s">
        <v>619</v>
      </c>
      <c r="H514" s="7" t="s">
        <v>407</v>
      </c>
      <c r="I514" s="256"/>
      <c r="J514" s="256"/>
      <c r="K514" s="593">
        <v>1316072</v>
      </c>
      <c r="L514" s="594" t="s">
        <v>259</v>
      </c>
      <c r="M514" s="594" t="s">
        <v>371</v>
      </c>
      <c r="N514" s="52" t="str">
        <f>IF(AND('331-CT'!$E$7=TH!H514,OR(L514="331",M514="331")),"331",IF(AND(OR(L514="131",M514="131"),H514='131-CT'!$E$7),"131",""))</f>
        <v/>
      </c>
      <c r="O514" s="86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99"/>
    </row>
    <row r="515" spans="1:28" s="585" customFormat="1" ht="15.75" customHeight="1">
      <c r="A515" s="203" t="str">
        <f>IF(B515&lt;&gt;"",IF(AND(B515&gt;=_TM1,B515&lt;=_TM2,OR(TH!L515="1111",TH!M515="1111")),TH!D515,""),"")</f>
        <v/>
      </c>
      <c r="B515" s="36">
        <f>IF(C515&lt;&gt;"",MONTH(C515),"")</f>
        <v>4</v>
      </c>
      <c r="C515" s="183">
        <f>E515</f>
        <v>42118</v>
      </c>
      <c r="D515" s="190" t="s">
        <v>1968</v>
      </c>
      <c r="E515" s="190">
        <v>42118</v>
      </c>
      <c r="F515" s="296" t="s">
        <v>1357</v>
      </c>
      <c r="G515" s="482" t="s">
        <v>1399</v>
      </c>
      <c r="H515" s="7" t="s">
        <v>1391</v>
      </c>
      <c r="I515" s="255">
        <v>2450</v>
      </c>
      <c r="J515" s="255">
        <v>7300</v>
      </c>
      <c r="K515" s="593">
        <f>ROUND(I515*J515,0)</f>
        <v>17885000</v>
      </c>
      <c r="L515" s="594" t="s">
        <v>159</v>
      </c>
      <c r="M515" s="594" t="s">
        <v>8</v>
      </c>
      <c r="N515" s="52" t="str">
        <f>IF(AND('331-CT'!$E$7=TH!H515,OR(L515="331",M515="331")),"331",IF(AND(OR(L515="131",M515="131"),H515='131-CT'!$E$7),"131",""))</f>
        <v/>
      </c>
      <c r="O515" s="86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99"/>
      <c r="AB515" s="210"/>
    </row>
    <row r="516" spans="1:28" s="585" customFormat="1" ht="15.75" customHeight="1">
      <c r="A516" s="203" t="str">
        <f>IF(B516&lt;&gt;"",IF(AND(B516&gt;=_TM1,B516&lt;=_TM2,OR(TH!L516="1111",TH!M516="1111")),TH!D516,""),"")</f>
        <v/>
      </c>
      <c r="B516" s="36">
        <f>IF(C516&lt;&gt;"",MONTH(C516),"")</f>
        <v>4</v>
      </c>
      <c r="C516" s="183">
        <f>E516</f>
        <v>42118</v>
      </c>
      <c r="D516" s="190" t="s">
        <v>1968</v>
      </c>
      <c r="E516" s="190">
        <v>42118</v>
      </c>
      <c r="F516" s="296" t="s">
        <v>1393</v>
      </c>
      <c r="G516" s="482" t="s">
        <v>1399</v>
      </c>
      <c r="H516" s="7" t="s">
        <v>1391</v>
      </c>
      <c r="I516" s="255"/>
      <c r="J516" s="255"/>
      <c r="K516" s="593">
        <v>1788500</v>
      </c>
      <c r="L516" s="594" t="s">
        <v>9</v>
      </c>
      <c r="M516" s="594" t="s">
        <v>8</v>
      </c>
      <c r="N516" s="52" t="str">
        <f>IF(AND('331-CT'!$E$7=TH!H516,OR(L516="331",M516="331")),"331",IF(AND(OR(L516="131",M516="131"),H516='131-CT'!$E$7),"131",""))</f>
        <v/>
      </c>
      <c r="O516" s="86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99"/>
      <c r="AB516" s="210"/>
    </row>
    <row r="517" spans="1:28" s="585" customFormat="1" ht="15.75" customHeight="1">
      <c r="A517" s="203" t="str">
        <f>IF(B517&lt;&gt;"",IF(AND(B517&gt;=_TM1,B517&lt;=_TM2,OR(TH!L517="1111",TH!M517="1111")),TH!D517,""),"")</f>
        <v/>
      </c>
      <c r="B517" s="36">
        <f>IF(C517&lt;&gt;"",MONTH(C517),"")</f>
        <v>4</v>
      </c>
      <c r="C517" s="183">
        <f>E517</f>
        <v>42119</v>
      </c>
      <c r="D517" s="183" t="s">
        <v>1526</v>
      </c>
      <c r="E517" s="190">
        <v>42119</v>
      </c>
      <c r="F517" s="191" t="s">
        <v>1707</v>
      </c>
      <c r="G517" s="482" t="s">
        <v>620</v>
      </c>
      <c r="H517" s="7" t="s">
        <v>1934</v>
      </c>
      <c r="I517" s="255">
        <v>50</v>
      </c>
      <c r="J517" s="255">
        <v>11211</v>
      </c>
      <c r="K517" s="593">
        <f>ROUND(I517*J517,0)</f>
        <v>560550</v>
      </c>
      <c r="L517" s="594" t="s">
        <v>259</v>
      </c>
      <c r="M517" s="594" t="s">
        <v>174</v>
      </c>
      <c r="N517" s="52" t="str">
        <f>IF(AND('331-CT'!$E$7=TH!H517,OR(L517="331",M517="331")),"331",IF(AND(OR(L517="131",M517="131"),H517='131-CT'!$E$7),"131",""))</f>
        <v/>
      </c>
      <c r="O517" s="86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99"/>
    </row>
    <row r="518" spans="1:28" s="585" customFormat="1" ht="15.75" customHeight="1">
      <c r="A518" s="203" t="str">
        <f>IF(B518&lt;&gt;"",IF(AND(B518&gt;=_TM1,B518&lt;=_TM2,OR(TH!L518="1111",TH!M518="1111")),TH!D518,""),"")</f>
        <v/>
      </c>
      <c r="B518" s="36">
        <f>IF(C518&lt;&gt;"",MONTH(C518),"")</f>
        <v>4</v>
      </c>
      <c r="C518" s="183">
        <f>E518</f>
        <v>42119</v>
      </c>
      <c r="D518" s="183" t="s">
        <v>1526</v>
      </c>
      <c r="E518" s="190">
        <v>42119</v>
      </c>
      <c r="F518" s="191" t="s">
        <v>1708</v>
      </c>
      <c r="G518" s="482" t="s">
        <v>620</v>
      </c>
      <c r="H518" s="7" t="s">
        <v>1934</v>
      </c>
      <c r="I518" s="255">
        <v>200</v>
      </c>
      <c r="J518" s="255">
        <v>9744</v>
      </c>
      <c r="K518" s="593">
        <f>ROUND(I518*J518,0)</f>
        <v>1948800</v>
      </c>
      <c r="L518" s="594" t="s">
        <v>259</v>
      </c>
      <c r="M518" s="594" t="s">
        <v>174</v>
      </c>
      <c r="N518" s="52" t="str">
        <f>IF(AND('331-CT'!$E$7=TH!H518,OR(L518="331",M518="331")),"331",IF(AND(OR(L518="131",M518="131"),H518='131-CT'!$E$7),"131",""))</f>
        <v/>
      </c>
      <c r="O518" s="86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99"/>
    </row>
    <row r="519" spans="1:28" s="585" customFormat="1" ht="15.75" customHeight="1">
      <c r="A519" s="203" t="str">
        <f>IF(B519&lt;&gt;"",IF(AND(B519&gt;=_TM1,B519&lt;=_TM2,OR(TH!L519="1111",TH!M519="1111")),TH!D519,""),"")</f>
        <v/>
      </c>
      <c r="B519" s="36">
        <f>IF(C519&lt;&gt;"",MONTH(C519),"")</f>
        <v>4</v>
      </c>
      <c r="C519" s="183">
        <f>E519</f>
        <v>42119</v>
      </c>
      <c r="D519" s="183" t="s">
        <v>1526</v>
      </c>
      <c r="E519" s="190">
        <v>42119</v>
      </c>
      <c r="F519" s="191" t="s">
        <v>1709</v>
      </c>
      <c r="G519" s="482" t="s">
        <v>620</v>
      </c>
      <c r="H519" s="7" t="s">
        <v>1934</v>
      </c>
      <c r="I519" s="255">
        <v>333</v>
      </c>
      <c r="J519" s="255">
        <v>4690</v>
      </c>
      <c r="K519" s="593">
        <f>ROUND(I519*J519,0)</f>
        <v>1561770</v>
      </c>
      <c r="L519" s="594" t="s">
        <v>259</v>
      </c>
      <c r="M519" s="594" t="s">
        <v>174</v>
      </c>
      <c r="N519" s="52" t="str">
        <f>IF(AND('331-CT'!$E$7=TH!H519,OR(L519="331",M519="331")),"331",IF(AND(OR(L519="131",M519="131"),H519='131-CT'!$E$7),"131",""))</f>
        <v/>
      </c>
      <c r="O519" s="86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99"/>
    </row>
    <row r="520" spans="1:28" s="585" customFormat="1" ht="15.75" customHeight="1">
      <c r="A520" s="203" t="str">
        <f>IF(B520&lt;&gt;"",IF(AND(B520&gt;=_TM1,B520&lt;=_TM2,OR(TH!L520="1111",TH!M520="1111")),TH!D520,""),"")</f>
        <v/>
      </c>
      <c r="B520" s="36">
        <f>IF(C520&lt;&gt;"",MONTH(C520),"")</f>
        <v>4</v>
      </c>
      <c r="C520" s="183">
        <f>E520</f>
        <v>42119</v>
      </c>
      <c r="D520" s="183" t="s">
        <v>1526</v>
      </c>
      <c r="E520" s="190">
        <v>42119</v>
      </c>
      <c r="F520" s="191" t="s">
        <v>1710</v>
      </c>
      <c r="G520" s="482" t="s">
        <v>620</v>
      </c>
      <c r="H520" s="7" t="s">
        <v>1934</v>
      </c>
      <c r="I520" s="255">
        <v>55</v>
      </c>
      <c r="J520" s="255">
        <v>18356</v>
      </c>
      <c r="K520" s="593">
        <f>ROUND(I520*J520,0)</f>
        <v>1009580</v>
      </c>
      <c r="L520" s="594" t="s">
        <v>259</v>
      </c>
      <c r="M520" s="594" t="s">
        <v>174</v>
      </c>
      <c r="N520" s="52" t="str">
        <f>IF(AND('331-CT'!$E$7=TH!H520,OR(L520="331",M520="331")),"331",IF(AND(OR(L520="131",M520="131"),H520='131-CT'!$E$7),"131",""))</f>
        <v/>
      </c>
      <c r="O520" s="86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99"/>
    </row>
    <row r="521" spans="1:28" s="585" customFormat="1" ht="15.75" customHeight="1">
      <c r="A521" s="203" t="str">
        <f>IF(B521&lt;&gt;"",IF(AND(B521&gt;=_TM1,B521&lt;=_TM2,OR(TH!L521="1111",TH!M521="1111")),TH!D521,""),"")</f>
        <v/>
      </c>
      <c r="B521" s="36">
        <f>IF(C521&lt;&gt;"",MONTH(C521),"")</f>
        <v>4</v>
      </c>
      <c r="C521" s="183">
        <f>E521</f>
        <v>42119</v>
      </c>
      <c r="D521" s="183" t="s">
        <v>1526</v>
      </c>
      <c r="E521" s="190">
        <v>42119</v>
      </c>
      <c r="F521" s="191" t="s">
        <v>1711</v>
      </c>
      <c r="G521" s="482" t="s">
        <v>620</v>
      </c>
      <c r="H521" s="7" t="s">
        <v>1934</v>
      </c>
      <c r="I521" s="255">
        <v>600</v>
      </c>
      <c r="J521" s="255">
        <v>5969</v>
      </c>
      <c r="K521" s="593">
        <f>ROUND(I521*J521,0)</f>
        <v>3581400</v>
      </c>
      <c r="L521" s="594" t="s">
        <v>259</v>
      </c>
      <c r="M521" s="594" t="s">
        <v>174</v>
      </c>
      <c r="N521" s="52" t="str">
        <f>IF(AND('331-CT'!$E$7=TH!H521,OR(L521="331",M521="331")),"331",IF(AND(OR(L521="131",M521="131"),H521='131-CT'!$E$7),"131",""))</f>
        <v/>
      </c>
      <c r="O521" s="86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99"/>
    </row>
    <row r="522" spans="1:28" s="585" customFormat="1" ht="15.75" customHeight="1">
      <c r="A522" s="203" t="str">
        <f>IF(B522&lt;&gt;"",IF(AND(B522&gt;=_TM1,B522&lt;=_TM2,OR(TH!L522="1111",TH!M522="1111")),TH!D522,""),"")</f>
        <v/>
      </c>
      <c r="B522" s="36">
        <f>IF(C522&lt;&gt;"",MONTH(C522),"")</f>
        <v>4</v>
      </c>
      <c r="C522" s="183">
        <f>E522</f>
        <v>42119</v>
      </c>
      <c r="D522" s="183" t="s">
        <v>1526</v>
      </c>
      <c r="E522" s="190">
        <v>42119</v>
      </c>
      <c r="F522" s="191" t="s">
        <v>727</v>
      </c>
      <c r="G522" s="482" t="s">
        <v>620</v>
      </c>
      <c r="H522" s="7" t="s">
        <v>1934</v>
      </c>
      <c r="I522" s="255">
        <v>600</v>
      </c>
      <c r="J522" s="255">
        <v>5510</v>
      </c>
      <c r="K522" s="593">
        <f>ROUND(I522*J522,0)</f>
        <v>3306000</v>
      </c>
      <c r="L522" s="594" t="s">
        <v>259</v>
      </c>
      <c r="M522" s="594" t="s">
        <v>174</v>
      </c>
      <c r="N522" s="52" t="str">
        <f>IF(AND('331-CT'!$E$7=TH!H522,OR(L522="331",M522="331")),"331",IF(AND(OR(L522="131",M522="131"),H522='131-CT'!$E$7),"131",""))</f>
        <v/>
      </c>
      <c r="O522" s="86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99"/>
    </row>
    <row r="523" spans="1:28" s="585" customFormat="1" ht="15.75" customHeight="1">
      <c r="A523" s="203" t="str">
        <f>IF(B523&lt;&gt;"",IF(AND(B523&gt;=_TM1,B523&lt;=_TM2,OR(TH!L523="1111",TH!M523="1111")),TH!D523,""),"")</f>
        <v/>
      </c>
      <c r="B523" s="36">
        <f>IF(C523&lt;&gt;"",MONTH(C523),"")</f>
        <v>4</v>
      </c>
      <c r="C523" s="183">
        <f>E523</f>
        <v>42119</v>
      </c>
      <c r="D523" s="183" t="s">
        <v>1526</v>
      </c>
      <c r="E523" s="190">
        <v>42119</v>
      </c>
      <c r="F523" s="191" t="s">
        <v>465</v>
      </c>
      <c r="G523" s="482" t="s">
        <v>620</v>
      </c>
      <c r="H523" s="7" t="s">
        <v>1934</v>
      </c>
      <c r="I523" s="255"/>
      <c r="J523" s="255"/>
      <c r="K523" s="593">
        <v>1196810</v>
      </c>
      <c r="L523" s="594" t="s">
        <v>259</v>
      </c>
      <c r="M523" s="594" t="s">
        <v>371</v>
      </c>
      <c r="N523" s="52" t="str">
        <f>IF(AND('331-CT'!$E$7=TH!H523,OR(L523="331",M523="331")),"331",IF(AND(OR(L523="131",M523="131"),H523='131-CT'!$E$7),"131",""))</f>
        <v/>
      </c>
      <c r="O523" s="86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99"/>
    </row>
    <row r="524" spans="1:28" s="585" customFormat="1" ht="15.75" customHeight="1">
      <c r="A524" s="203" t="str">
        <f>IF(B524&lt;&gt;"",IF(AND(B524&gt;=_TM1,B524&lt;=_TM2,OR(TH!L524="1111",TH!M524="1111")),TH!D524,""),"")</f>
        <v/>
      </c>
      <c r="B524" s="36">
        <f>IF(C524&lt;&gt;"",MONTH(C524),"")</f>
        <v>4</v>
      </c>
      <c r="C524" s="183">
        <f>E524</f>
        <v>42119</v>
      </c>
      <c r="D524" s="183" t="s">
        <v>1527</v>
      </c>
      <c r="E524" s="190">
        <v>42119</v>
      </c>
      <c r="F524" s="191" t="s">
        <v>494</v>
      </c>
      <c r="G524" s="482" t="s">
        <v>621</v>
      </c>
      <c r="H524" s="7" t="s">
        <v>834</v>
      </c>
      <c r="I524" s="255">
        <v>420</v>
      </c>
      <c r="J524" s="255">
        <v>5400</v>
      </c>
      <c r="K524" s="593">
        <f>ROUND(I524*J524,0)</f>
        <v>2268000</v>
      </c>
      <c r="L524" s="594" t="s">
        <v>259</v>
      </c>
      <c r="M524" s="594" t="s">
        <v>174</v>
      </c>
      <c r="N524" s="52" t="str">
        <f>IF(AND('331-CT'!$E$7=TH!H524,OR(L524="331",M524="331")),"331",IF(AND(OR(L524="131",M524="131"),H524='131-CT'!$E$7),"131",""))</f>
        <v/>
      </c>
      <c r="O524" s="86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99"/>
    </row>
    <row r="525" spans="1:28" s="585" customFormat="1" ht="15.75" customHeight="1">
      <c r="A525" s="203" t="str">
        <f>IF(B525&lt;&gt;"",IF(AND(B525&gt;=_TM1,B525&lt;=_TM2,OR(TH!L525="1111",TH!M525="1111")),TH!D525,""),"")</f>
        <v/>
      </c>
      <c r="B525" s="36">
        <f>IF(C525&lt;&gt;"",MONTH(C525),"")</f>
        <v>4</v>
      </c>
      <c r="C525" s="183">
        <f>E525</f>
        <v>42119</v>
      </c>
      <c r="D525" s="183" t="s">
        <v>1527</v>
      </c>
      <c r="E525" s="190">
        <v>42119</v>
      </c>
      <c r="F525" s="191" t="s">
        <v>402</v>
      </c>
      <c r="G525" s="482" t="s">
        <v>621</v>
      </c>
      <c r="H525" s="7" t="s">
        <v>834</v>
      </c>
      <c r="I525" s="255"/>
      <c r="J525" s="255"/>
      <c r="K525" s="593">
        <v>226800</v>
      </c>
      <c r="L525" s="594" t="s">
        <v>259</v>
      </c>
      <c r="M525" s="594" t="s">
        <v>371</v>
      </c>
      <c r="N525" s="52" t="str">
        <f>IF(AND('331-CT'!$E$7=TH!H525,OR(L525="331",M525="331")),"331",IF(AND(OR(L525="131",M525="131"),H525='131-CT'!$E$7),"131",""))</f>
        <v/>
      </c>
      <c r="O525" s="86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99"/>
    </row>
    <row r="526" spans="1:28" s="585" customFormat="1" ht="15.75" customHeight="1">
      <c r="A526" s="203" t="str">
        <f>IF(B526&lt;&gt;"",IF(AND(B526&gt;=_TM1,B526&lt;=_TM2,OR(TH!L526="1111",TH!M526="1111")),TH!D526,""),"")</f>
        <v/>
      </c>
      <c r="B526" s="36">
        <f>IF(C526&lt;&gt;"",MONTH(C526),"")</f>
        <v>4</v>
      </c>
      <c r="C526" s="183">
        <f>E526</f>
        <v>42119</v>
      </c>
      <c r="D526" s="190" t="s">
        <v>1319</v>
      </c>
      <c r="E526" s="37">
        <v>42119</v>
      </c>
      <c r="F526" s="191" t="s">
        <v>1321</v>
      </c>
      <c r="G526" s="482" t="s">
        <v>332</v>
      </c>
      <c r="H526" s="7"/>
      <c r="I526" s="255"/>
      <c r="J526" s="255"/>
      <c r="K526" s="593">
        <v>1326</v>
      </c>
      <c r="L526" s="193" t="s">
        <v>24</v>
      </c>
      <c r="M526" s="193" t="s">
        <v>40</v>
      </c>
      <c r="N526" s="52" t="str">
        <f>IF(AND('331-CT'!$E$7=TH!H526,OR(L526="331",M526="331")),"331",IF(AND(OR(L526="131",M526="131"),H526='131-CT'!$E$7),"131",""))</f>
        <v/>
      </c>
      <c r="O526" s="86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>x</v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99"/>
      <c r="AB526" s="210"/>
    </row>
    <row r="527" spans="1:28" s="585" customFormat="1" ht="15.75" customHeight="1">
      <c r="A527" s="203" t="str">
        <f>IF(B527&lt;&gt;"",IF(AND(B527&gt;=_TM1,B527&lt;=_TM2,OR(TH!L527="1111",TH!M527="1111")),TH!D527,""),"")</f>
        <v/>
      </c>
      <c r="B527" s="36">
        <f>IF(C527&lt;&gt;"",MONTH(C527),"")</f>
        <v>4</v>
      </c>
      <c r="C527" s="183">
        <f>E527</f>
        <v>42119</v>
      </c>
      <c r="D527" s="190" t="s">
        <v>1969</v>
      </c>
      <c r="E527" s="190">
        <v>42119</v>
      </c>
      <c r="F527" s="296" t="s">
        <v>1357</v>
      </c>
      <c r="G527" s="482" t="s">
        <v>1400</v>
      </c>
      <c r="H527" s="7" t="s">
        <v>1391</v>
      </c>
      <c r="I527" s="255">
        <v>2490</v>
      </c>
      <c r="J527" s="255">
        <v>7300</v>
      </c>
      <c r="K527" s="593">
        <f>ROUND(I527*J527,0)</f>
        <v>18177000</v>
      </c>
      <c r="L527" s="594" t="s">
        <v>159</v>
      </c>
      <c r="M527" s="594" t="s">
        <v>8</v>
      </c>
      <c r="N527" s="52" t="str">
        <f>IF(AND('331-CT'!$E$7=TH!H527,OR(L527="331",M527="331")),"331",IF(AND(OR(L527="131",M527="131"),H527='131-CT'!$E$7),"131",""))</f>
        <v/>
      </c>
      <c r="O527" s="86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99"/>
      <c r="AB527" s="210"/>
    </row>
    <row r="528" spans="1:28" s="585" customFormat="1" ht="15.75" customHeight="1">
      <c r="A528" s="203" t="str">
        <f>IF(B528&lt;&gt;"",IF(AND(B528&gt;=_TM1,B528&lt;=_TM2,OR(TH!L528="1111",TH!M528="1111")),TH!D528,""),"")</f>
        <v/>
      </c>
      <c r="B528" s="36">
        <f>IF(C528&lt;&gt;"",MONTH(C528),"")</f>
        <v>4</v>
      </c>
      <c r="C528" s="183">
        <f>E528</f>
        <v>42119</v>
      </c>
      <c r="D528" s="190" t="s">
        <v>1969</v>
      </c>
      <c r="E528" s="190">
        <v>42119</v>
      </c>
      <c r="F528" s="296" t="s">
        <v>1393</v>
      </c>
      <c r="G528" s="482" t="s">
        <v>1400</v>
      </c>
      <c r="H528" s="7" t="s">
        <v>1391</v>
      </c>
      <c r="I528" s="255"/>
      <c r="J528" s="255"/>
      <c r="K528" s="593">
        <v>1817700</v>
      </c>
      <c r="L528" s="594" t="s">
        <v>9</v>
      </c>
      <c r="M528" s="594" t="s">
        <v>8</v>
      </c>
      <c r="N528" s="52" t="str">
        <f>IF(AND('331-CT'!$E$7=TH!H528,OR(L528="331",M528="331")),"331",IF(AND(OR(L528="131",M528="131"),H528='131-CT'!$E$7),"131",""))</f>
        <v/>
      </c>
      <c r="O528" s="86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99"/>
      <c r="AB528" s="210"/>
    </row>
    <row r="529" spans="1:28" s="585" customFormat="1" ht="15.75" customHeight="1">
      <c r="A529" s="203" t="str">
        <f>IF(B529&lt;&gt;"",IF(AND(B529&gt;=_TM1,B529&lt;=_TM2,OR(TH!L529="1111",TH!M529="1111")),TH!D529,""),"")</f>
        <v/>
      </c>
      <c r="B529" s="36">
        <f>IF(C529&lt;&gt;"",MONTH(C529),"")</f>
        <v>4</v>
      </c>
      <c r="C529" s="183">
        <f>E529</f>
        <v>42121</v>
      </c>
      <c r="D529" s="190" t="s">
        <v>1970</v>
      </c>
      <c r="E529" s="190">
        <v>42121</v>
      </c>
      <c r="F529" s="296" t="s">
        <v>1357</v>
      </c>
      <c r="G529" s="482" t="s">
        <v>1401</v>
      </c>
      <c r="H529" s="7" t="s">
        <v>1391</v>
      </c>
      <c r="I529" s="255">
        <v>2360</v>
      </c>
      <c r="J529" s="255">
        <v>7300</v>
      </c>
      <c r="K529" s="593">
        <f>ROUND(I529*J529,0)</f>
        <v>17228000</v>
      </c>
      <c r="L529" s="594" t="s">
        <v>159</v>
      </c>
      <c r="M529" s="594" t="s">
        <v>8</v>
      </c>
      <c r="N529" s="52" t="str">
        <f>IF(AND('331-CT'!$E$7=TH!H529,OR(L529="331",M529="331")),"331",IF(AND(OR(L529="131",M529="131"),H529='131-CT'!$E$7),"131",""))</f>
        <v/>
      </c>
      <c r="O529" s="86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99"/>
      <c r="AB529" s="210"/>
    </row>
    <row r="530" spans="1:28" s="585" customFormat="1" ht="15.75" customHeight="1">
      <c r="A530" s="203" t="str">
        <f>IF(B530&lt;&gt;"",IF(AND(B530&gt;=_TM1,B530&lt;=_TM2,OR(TH!L530="1111",TH!M530="1111")),TH!D530,""),"")</f>
        <v/>
      </c>
      <c r="B530" s="36">
        <f>IF(C530&lt;&gt;"",MONTH(C530),"")</f>
        <v>4</v>
      </c>
      <c r="C530" s="183">
        <f>E530</f>
        <v>42121</v>
      </c>
      <c r="D530" s="190" t="s">
        <v>1970</v>
      </c>
      <c r="E530" s="190">
        <v>42121</v>
      </c>
      <c r="F530" s="296" t="s">
        <v>1393</v>
      </c>
      <c r="G530" s="482" t="s">
        <v>1401</v>
      </c>
      <c r="H530" s="7" t="s">
        <v>1391</v>
      </c>
      <c r="I530" s="255"/>
      <c r="J530" s="255"/>
      <c r="K530" s="593">
        <v>1722800</v>
      </c>
      <c r="L530" s="594" t="s">
        <v>9</v>
      </c>
      <c r="M530" s="594" t="s">
        <v>8</v>
      </c>
      <c r="N530" s="52" t="str">
        <f>IF(AND('331-CT'!$E$7=TH!H530,OR(L530="331",M530="331")),"331",IF(AND(OR(L530="131",M530="131"),H530='131-CT'!$E$7),"131",""))</f>
        <v/>
      </c>
      <c r="O530" s="86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99"/>
      <c r="AB530" s="210"/>
    </row>
    <row r="531" spans="1:28" s="585" customFormat="1" ht="15.75" customHeight="1">
      <c r="A531" s="203" t="str">
        <f>IF(B531&lt;&gt;"",IF(AND(B531&gt;=_TM1,B531&lt;=_TM2,OR(TH!L531="1111",TH!M531="1111")),TH!D531,""),"")</f>
        <v/>
      </c>
      <c r="B531" s="36">
        <f>IF(C531&lt;&gt;"",MONTH(C531),"")</f>
        <v>4</v>
      </c>
      <c r="C531" s="183">
        <f>E531</f>
        <v>42121</v>
      </c>
      <c r="D531" s="190" t="s">
        <v>1971</v>
      </c>
      <c r="E531" s="190">
        <v>42121</v>
      </c>
      <c r="F531" s="191" t="s">
        <v>1402</v>
      </c>
      <c r="G531" s="482" t="s">
        <v>1403</v>
      </c>
      <c r="H531" s="7" t="s">
        <v>1397</v>
      </c>
      <c r="I531" s="255">
        <v>1322</v>
      </c>
      <c r="J531" s="255">
        <v>9000</v>
      </c>
      <c r="K531" s="593">
        <f>ROUND(I531*J531,0)</f>
        <v>11898000</v>
      </c>
      <c r="L531" s="594" t="s">
        <v>159</v>
      </c>
      <c r="M531" s="594" t="s">
        <v>8</v>
      </c>
      <c r="N531" s="52" t="str">
        <f>IF(AND('331-CT'!$E$7=TH!H531,OR(L531="331",M531="331")),"331",IF(AND(OR(L531="131",M531="131"),H531='131-CT'!$E$7),"131",""))</f>
        <v/>
      </c>
      <c r="O531" s="86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99"/>
      <c r="AB531" s="210"/>
    </row>
    <row r="532" spans="1:28" s="585" customFormat="1" ht="15.75" customHeight="1">
      <c r="A532" s="203" t="str">
        <f>IF(B532&lt;&gt;"",IF(AND(B532&gt;=_TM1,B532&lt;=_TM2,OR(TH!L532="1111",TH!M532="1111")),TH!D532,""),"")</f>
        <v/>
      </c>
      <c r="B532" s="36">
        <f>IF(C532&lt;&gt;"",MONTH(C532),"")</f>
        <v>4</v>
      </c>
      <c r="C532" s="183">
        <f>E532</f>
        <v>42121</v>
      </c>
      <c r="D532" s="190" t="s">
        <v>1971</v>
      </c>
      <c r="E532" s="190">
        <v>42121</v>
      </c>
      <c r="F532" s="191" t="s">
        <v>1379</v>
      </c>
      <c r="G532" s="482" t="s">
        <v>1403</v>
      </c>
      <c r="H532" s="7" t="s">
        <v>1397</v>
      </c>
      <c r="I532" s="255"/>
      <c r="J532" s="255"/>
      <c r="K532" s="593">
        <v>1189800</v>
      </c>
      <c r="L532" s="594" t="s">
        <v>9</v>
      </c>
      <c r="M532" s="594" t="s">
        <v>8</v>
      </c>
      <c r="N532" s="52" t="str">
        <f>IF(AND('331-CT'!$E$7=TH!H532,OR(L532="331",M532="331")),"331",IF(AND(OR(L532="131",M532="131"),H532='131-CT'!$E$7),"131",""))</f>
        <v/>
      </c>
      <c r="O532" s="86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99"/>
      <c r="AB532" s="210"/>
    </row>
    <row r="533" spans="1:28" s="585" customFormat="1" ht="15.75" customHeight="1">
      <c r="A533" s="203" t="str">
        <f>IF(B533&lt;&gt;"",IF(AND(B533&gt;=_TM1,B533&lt;=_TM2,OR(TH!L533="1111",TH!M533="1111")),TH!D533,""),"")</f>
        <v/>
      </c>
      <c r="B533" s="36">
        <f>IF(C533&lt;&gt;"",MONTH(C533),"")</f>
        <v>4</v>
      </c>
      <c r="C533" s="183">
        <f>E533</f>
        <v>42121</v>
      </c>
      <c r="D533" s="190" t="s">
        <v>1971</v>
      </c>
      <c r="E533" s="190">
        <v>42121</v>
      </c>
      <c r="F533" s="296" t="s">
        <v>1326</v>
      </c>
      <c r="G533" s="482" t="s">
        <v>1403</v>
      </c>
      <c r="H533" s="7" t="s">
        <v>1397</v>
      </c>
      <c r="I533" s="255"/>
      <c r="J533" s="255"/>
      <c r="K533" s="593">
        <v>13087800</v>
      </c>
      <c r="L533" s="594" t="s">
        <v>8</v>
      </c>
      <c r="M533" s="594" t="s">
        <v>47</v>
      </c>
      <c r="N533" s="52" t="str">
        <f>IF(AND('331-CT'!$E$7=TH!H533,OR(L533="331",M533="331")),"331",IF(AND(OR(L533="131",M533="131"),H533='131-CT'!$E$7),"131",""))</f>
        <v/>
      </c>
      <c r="O533" s="869" t="str">
        <f>IF(AND('341-CT'!$E$9=H533,OR(LEFT(L533,3)=$O$7,LEFT(M533,3)=$O$7)),"x","")</f>
        <v/>
      </c>
      <c r="P533" s="52" t="str">
        <f>IF(AND($B533&gt;='111'!$N$11,$B533&lt;='111'!$O$11,OR($L533=$P$7,$M533=$P$7)),"x","")</f>
        <v>x</v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99"/>
      <c r="AB533" s="210"/>
    </row>
    <row r="534" spans="1:28" s="585" customFormat="1" ht="15.75" customHeight="1">
      <c r="A534" s="203" t="str">
        <f>IF(B534&lt;&gt;"",IF(AND(B534&gt;=_TM1,B534&lt;=_TM2,OR(TH!L534="1111",TH!M534="1111")),TH!D534,""),"")</f>
        <v/>
      </c>
      <c r="B534" s="36">
        <f>IF(C534&lt;&gt;"",MONTH(C534),"")</f>
        <v>4</v>
      </c>
      <c r="C534" s="183">
        <f>E534</f>
        <v>42121</v>
      </c>
      <c r="D534" s="183" t="s">
        <v>1319</v>
      </c>
      <c r="E534" s="727">
        <v>42121</v>
      </c>
      <c r="F534" s="191" t="s">
        <v>1321</v>
      </c>
      <c r="G534" s="191" t="s">
        <v>1893</v>
      </c>
      <c r="H534" s="7"/>
      <c r="I534" s="255"/>
      <c r="J534" s="255"/>
      <c r="K534" s="593">
        <v>1200</v>
      </c>
      <c r="L534" s="193" t="s">
        <v>24</v>
      </c>
      <c r="M534" s="193" t="s">
        <v>40</v>
      </c>
      <c r="N534" s="52" t="str">
        <f>IF(AND('331-CT'!$E$7=TH!H534,OR(L534="331",M534="331")),"331",IF(AND(OR(L534="131",M534="131"),H534='131-CT'!$E$7),"131",""))</f>
        <v/>
      </c>
      <c r="O534" s="86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99"/>
      <c r="AB534" s="210"/>
    </row>
    <row r="535" spans="1:28" s="585" customFormat="1" ht="15.75" customHeight="1">
      <c r="A535" s="203" t="str">
        <f>IF(B535&lt;&gt;"",IF(AND(B535&gt;=_TM1,B535&lt;=_TM2,OR(TH!L535="1111",TH!M535="1111")),TH!D535,""),"")</f>
        <v/>
      </c>
      <c r="B535" s="36">
        <f>IF(C535&lt;&gt;"",MONTH(C535),"")</f>
        <v>4</v>
      </c>
      <c r="C535" s="183">
        <f>E535</f>
        <v>42122</v>
      </c>
      <c r="D535" s="190" t="s">
        <v>1972</v>
      </c>
      <c r="E535" s="190">
        <v>42122</v>
      </c>
      <c r="F535" s="296" t="s">
        <v>1357</v>
      </c>
      <c r="G535" s="482" t="s">
        <v>1404</v>
      </c>
      <c r="H535" s="7" t="s">
        <v>1391</v>
      </c>
      <c r="I535" s="255">
        <v>2370</v>
      </c>
      <c r="J535" s="255">
        <v>7300</v>
      </c>
      <c r="K535" s="593">
        <f>ROUND(I535*J535,0)</f>
        <v>17301000</v>
      </c>
      <c r="L535" s="594" t="s">
        <v>159</v>
      </c>
      <c r="M535" s="594" t="s">
        <v>8</v>
      </c>
      <c r="N535" s="52" t="str">
        <f>IF(AND('331-CT'!$E$7=TH!H535,OR(L535="331",M535="331")),"331",IF(AND(OR(L535="131",M535="131"),H535='131-CT'!$E$7),"131",""))</f>
        <v/>
      </c>
      <c r="O535" s="86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99"/>
      <c r="AB535" s="210"/>
    </row>
    <row r="536" spans="1:28" s="585" customFormat="1" ht="15.75" customHeight="1">
      <c r="A536" s="203" t="str">
        <f>IF(B536&lt;&gt;"",IF(AND(B536&gt;=_TM1,B536&lt;=_TM2,OR(TH!L536="1111",TH!M536="1111")),TH!D536,""),"")</f>
        <v/>
      </c>
      <c r="B536" s="36">
        <f>IF(C536&lt;&gt;"",MONTH(C536),"")</f>
        <v>4</v>
      </c>
      <c r="C536" s="183">
        <f>E536</f>
        <v>42122</v>
      </c>
      <c r="D536" s="190" t="s">
        <v>1972</v>
      </c>
      <c r="E536" s="190">
        <v>42122</v>
      </c>
      <c r="F536" s="296" t="s">
        <v>1393</v>
      </c>
      <c r="G536" s="482" t="s">
        <v>1404</v>
      </c>
      <c r="H536" s="7" t="s">
        <v>1391</v>
      </c>
      <c r="I536" s="255"/>
      <c r="J536" s="255"/>
      <c r="K536" s="593">
        <v>1730100</v>
      </c>
      <c r="L536" s="594" t="s">
        <v>9</v>
      </c>
      <c r="M536" s="594" t="s">
        <v>8</v>
      </c>
      <c r="N536" s="52" t="str">
        <f>IF(AND('331-CT'!$E$7=TH!H536,OR(L536="331",M536="331")),"331",IF(AND(OR(L536="131",M536="131"),H536='131-CT'!$E$7),"131",""))</f>
        <v/>
      </c>
      <c r="O536" s="86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99"/>
      <c r="AB536" s="210"/>
    </row>
    <row r="537" spans="1:28" s="585" customFormat="1" ht="15.75" customHeight="1">
      <c r="A537" s="203" t="str">
        <f>IF(B537&lt;&gt;"",IF(AND(B537&gt;=_TM1,B537&lt;=_TM2,OR(TH!L537="1111",TH!M537="1111")),TH!D537,""),"")</f>
        <v/>
      </c>
      <c r="B537" s="36">
        <f>IF(C537&lt;&gt;"",MONTH(C537),"")</f>
        <v>4</v>
      </c>
      <c r="C537" s="183">
        <f>E537</f>
        <v>42123</v>
      </c>
      <c r="D537" s="183" t="s">
        <v>1528</v>
      </c>
      <c r="E537" s="190">
        <v>42123</v>
      </c>
      <c r="F537" s="188" t="s">
        <v>413</v>
      </c>
      <c r="G537" s="482" t="s">
        <v>622</v>
      </c>
      <c r="H537" s="7" t="s">
        <v>412</v>
      </c>
      <c r="I537" s="255">
        <v>410</v>
      </c>
      <c r="J537" s="255">
        <v>10500</v>
      </c>
      <c r="K537" s="593">
        <f>ROUND(I537*J537,0)</f>
        <v>4305000</v>
      </c>
      <c r="L537" s="594" t="s">
        <v>259</v>
      </c>
      <c r="M537" s="594" t="s">
        <v>174</v>
      </c>
      <c r="N537" s="52" t="str">
        <f>IF(AND('331-CT'!$E$7=TH!H537,OR(L537="331",M537="331")),"331",IF(AND(OR(L537="131",M537="131"),H537='131-CT'!$E$7),"131",""))</f>
        <v/>
      </c>
      <c r="O537" s="86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99"/>
    </row>
    <row r="538" spans="1:28" s="585" customFormat="1" ht="15.75" customHeight="1">
      <c r="A538" s="203" t="str">
        <f>IF(B538&lt;&gt;"",IF(AND(B538&gt;=_TM1,B538&lt;=_TM2,OR(TH!L538="1111",TH!M538="1111")),TH!D538,""),"")</f>
        <v/>
      </c>
      <c r="B538" s="36">
        <f>IF(C538&lt;&gt;"",MONTH(C538),"")</f>
        <v>4</v>
      </c>
      <c r="C538" s="183">
        <f>E538</f>
        <v>42123</v>
      </c>
      <c r="D538" s="183" t="s">
        <v>1528</v>
      </c>
      <c r="E538" s="190">
        <v>42123</v>
      </c>
      <c r="F538" s="191" t="s">
        <v>402</v>
      </c>
      <c r="G538" s="482" t="s">
        <v>622</v>
      </c>
      <c r="H538" s="7" t="s">
        <v>412</v>
      </c>
      <c r="I538" s="256"/>
      <c r="J538" s="256"/>
      <c r="K538" s="593">
        <v>430500</v>
      </c>
      <c r="L538" s="594" t="s">
        <v>259</v>
      </c>
      <c r="M538" s="594" t="s">
        <v>371</v>
      </c>
      <c r="N538" s="52" t="str">
        <f>IF(AND('331-CT'!$E$7=TH!H538,OR(L538="331",M538="331")),"331",IF(AND(OR(L538="131",M538="131"),H538='131-CT'!$E$7),"131",""))</f>
        <v/>
      </c>
      <c r="O538" s="86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99"/>
    </row>
    <row r="539" spans="1:28" s="585" customFormat="1" ht="15.75" customHeight="1">
      <c r="A539" s="203" t="str">
        <f>IF(B539&lt;&gt;"",IF(AND(B539&gt;=_TM1,B539&lt;=_TM2,OR(TH!L539="1111",TH!M539="1111")),TH!D539,""),"")</f>
        <v/>
      </c>
      <c r="B539" s="36">
        <f>IF(C539&lt;&gt;"",MONTH(C539),"")</f>
        <v>4</v>
      </c>
      <c r="C539" s="183">
        <f>E539</f>
        <v>42123</v>
      </c>
      <c r="D539" s="183" t="s">
        <v>1529</v>
      </c>
      <c r="E539" s="190">
        <v>42123</v>
      </c>
      <c r="F539" s="191" t="s">
        <v>1712</v>
      </c>
      <c r="G539" s="482" t="s">
        <v>623</v>
      </c>
      <c r="H539" s="7" t="s">
        <v>1934</v>
      </c>
      <c r="I539" s="255">
        <v>50</v>
      </c>
      <c r="J539" s="255">
        <v>12127</v>
      </c>
      <c r="K539" s="593">
        <f>ROUND(I539*J539,0)</f>
        <v>606350</v>
      </c>
      <c r="L539" s="594" t="s">
        <v>259</v>
      </c>
      <c r="M539" s="594" t="s">
        <v>174</v>
      </c>
      <c r="N539" s="52" t="str">
        <f>IF(AND('331-CT'!$E$7=TH!H539,OR(L539="331",M539="331")),"331",IF(AND(OR(L539="131",M539="131"),H539='131-CT'!$E$7),"131",""))</f>
        <v/>
      </c>
      <c r="O539" s="86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99"/>
    </row>
    <row r="540" spans="1:28" s="585" customFormat="1" ht="15.75" customHeight="1">
      <c r="A540" s="203" t="str">
        <f>IF(B540&lt;&gt;"",IF(AND(B540&gt;=_TM1,B540&lt;=_TM2,OR(TH!L540="1111",TH!M540="1111")),TH!D540,""),"")</f>
        <v/>
      </c>
      <c r="B540" s="36">
        <f>IF(C540&lt;&gt;"",MONTH(C540),"")</f>
        <v>4</v>
      </c>
      <c r="C540" s="183">
        <f>E540</f>
        <v>42123</v>
      </c>
      <c r="D540" s="183" t="s">
        <v>1529</v>
      </c>
      <c r="E540" s="190">
        <v>42123</v>
      </c>
      <c r="F540" s="191" t="s">
        <v>1713</v>
      </c>
      <c r="G540" s="482" t="s">
        <v>623</v>
      </c>
      <c r="H540" s="7" t="s">
        <v>1934</v>
      </c>
      <c r="I540" s="255">
        <v>125</v>
      </c>
      <c r="J540" s="255">
        <v>12597</v>
      </c>
      <c r="K540" s="593">
        <f>ROUND(I540*J540,0)</f>
        <v>1574625</v>
      </c>
      <c r="L540" s="594" t="s">
        <v>259</v>
      </c>
      <c r="M540" s="594" t="s">
        <v>174</v>
      </c>
      <c r="N540" s="52" t="str">
        <f>IF(AND('331-CT'!$E$7=TH!H540,OR(L540="331",M540="331")),"331",IF(AND(OR(L540="131",M540="131"),H540='131-CT'!$E$7),"131",""))</f>
        <v/>
      </c>
      <c r="O540" s="86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99"/>
    </row>
    <row r="541" spans="1:28" s="585" customFormat="1" ht="15.75" customHeight="1">
      <c r="A541" s="203" t="str">
        <f>IF(B541&lt;&gt;"",IF(AND(B541&gt;=_TM1,B541&lt;=_TM2,OR(TH!L541="1111",TH!M541="1111")),TH!D541,""),"")</f>
        <v/>
      </c>
      <c r="B541" s="36">
        <f>IF(C541&lt;&gt;"",MONTH(C541),"")</f>
        <v>4</v>
      </c>
      <c r="C541" s="183">
        <f>E541</f>
        <v>42123</v>
      </c>
      <c r="D541" s="183" t="s">
        <v>1529</v>
      </c>
      <c r="E541" s="190">
        <v>42123</v>
      </c>
      <c r="F541" s="191" t="s">
        <v>1713</v>
      </c>
      <c r="G541" s="482" t="s">
        <v>623</v>
      </c>
      <c r="H541" s="7" t="s">
        <v>1934</v>
      </c>
      <c r="I541" s="256">
        <v>150</v>
      </c>
      <c r="J541" s="256">
        <v>12597</v>
      </c>
      <c r="K541" s="593">
        <f>ROUND(I541*J541,0)</f>
        <v>1889550</v>
      </c>
      <c r="L541" s="594" t="s">
        <v>259</v>
      </c>
      <c r="M541" s="594" t="s">
        <v>174</v>
      </c>
      <c r="N541" s="52" t="str">
        <f>IF(AND('331-CT'!$E$7=TH!H541,OR(L541="331",M541="331")),"331",IF(AND(OR(L541="131",M541="131"),H541='131-CT'!$E$7),"131",""))</f>
        <v/>
      </c>
      <c r="O541" s="86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99"/>
    </row>
    <row r="542" spans="1:28" s="585" customFormat="1" ht="15.75" customHeight="1">
      <c r="A542" s="203" t="str">
        <f>IF(B542&lt;&gt;"",IF(AND(B542&gt;=_TM1,B542&lt;=_TM2,OR(TH!L542="1111",TH!M542="1111")),TH!D542,""),"")</f>
        <v/>
      </c>
      <c r="B542" s="36">
        <f>IF(C542&lt;&gt;"",MONTH(C542),"")</f>
        <v>4</v>
      </c>
      <c r="C542" s="183">
        <f>E542</f>
        <v>42123</v>
      </c>
      <c r="D542" s="183" t="s">
        <v>1529</v>
      </c>
      <c r="E542" s="190">
        <v>42123</v>
      </c>
      <c r="F542" s="191" t="s">
        <v>1714</v>
      </c>
      <c r="G542" s="482" t="s">
        <v>623</v>
      </c>
      <c r="H542" s="7" t="s">
        <v>1934</v>
      </c>
      <c r="I542" s="255">
        <v>50</v>
      </c>
      <c r="J542" s="255">
        <v>8288</v>
      </c>
      <c r="K542" s="593">
        <f>ROUND(I542*J542,0)</f>
        <v>414400</v>
      </c>
      <c r="L542" s="594" t="s">
        <v>259</v>
      </c>
      <c r="M542" s="594" t="s">
        <v>174</v>
      </c>
      <c r="N542" s="52" t="str">
        <f>IF(AND('331-CT'!$E$7=TH!H542,OR(L542="331",M542="331")),"331",IF(AND(OR(L542="131",M542="131"),H542='131-CT'!$E$7),"131",""))</f>
        <v/>
      </c>
      <c r="O542" s="86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99"/>
    </row>
    <row r="543" spans="1:28" s="585" customFormat="1" ht="15.75" customHeight="1">
      <c r="A543" s="203" t="str">
        <f>IF(B543&lt;&gt;"",IF(AND(B543&gt;=_TM1,B543&lt;=_TM2,OR(TH!L543="1111",TH!M543="1111")),TH!D543,""),"")</f>
        <v/>
      </c>
      <c r="B543" s="36">
        <f>IF(C543&lt;&gt;"",MONTH(C543),"")</f>
        <v>4</v>
      </c>
      <c r="C543" s="183">
        <f>E543</f>
        <v>42123</v>
      </c>
      <c r="D543" s="183" t="s">
        <v>1529</v>
      </c>
      <c r="E543" s="190">
        <v>42123</v>
      </c>
      <c r="F543" s="191" t="s">
        <v>1715</v>
      </c>
      <c r="G543" s="482" t="s">
        <v>623</v>
      </c>
      <c r="H543" s="7" t="s">
        <v>1934</v>
      </c>
      <c r="I543" s="255">
        <v>100</v>
      </c>
      <c r="J543" s="255">
        <v>12945</v>
      </c>
      <c r="K543" s="593">
        <f>ROUND(I543*J543,0)</f>
        <v>1294500</v>
      </c>
      <c r="L543" s="594" t="s">
        <v>259</v>
      </c>
      <c r="M543" s="594" t="s">
        <v>174</v>
      </c>
      <c r="N543" s="52" t="str">
        <f>IF(AND('331-CT'!$E$7=TH!H543,OR(L543="331",M543="331")),"331",IF(AND(OR(L543="131",M543="131"),H543='131-CT'!$E$7),"131",""))</f>
        <v/>
      </c>
      <c r="O543" s="86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99"/>
    </row>
    <row r="544" spans="1:28" s="585" customFormat="1" ht="15.75" customHeight="1">
      <c r="A544" s="203" t="str">
        <f>IF(B544&lt;&gt;"",IF(AND(B544&gt;=_TM1,B544&lt;=_TM2,OR(TH!L544="1111",TH!M544="1111")),TH!D544,""),"")</f>
        <v/>
      </c>
      <c r="B544" s="36">
        <f>IF(C544&lt;&gt;"",MONTH(C544),"")</f>
        <v>4</v>
      </c>
      <c r="C544" s="183">
        <f>E544</f>
        <v>42123</v>
      </c>
      <c r="D544" s="183" t="s">
        <v>1529</v>
      </c>
      <c r="E544" s="190">
        <v>42123</v>
      </c>
      <c r="F544" s="191" t="s">
        <v>465</v>
      </c>
      <c r="G544" s="482" t="s">
        <v>623</v>
      </c>
      <c r="H544" s="7" t="s">
        <v>1934</v>
      </c>
      <c r="I544" s="255"/>
      <c r="J544" s="255"/>
      <c r="K544" s="593">
        <v>577943</v>
      </c>
      <c r="L544" s="594" t="s">
        <v>259</v>
      </c>
      <c r="M544" s="594" t="s">
        <v>371</v>
      </c>
      <c r="N544" s="52" t="str">
        <f>IF(AND('331-CT'!$E$7=TH!H544,OR(L544="331",M544="331")),"331",IF(AND(OR(L544="131",M544="131"),H544='131-CT'!$E$7),"131",""))</f>
        <v/>
      </c>
      <c r="O544" s="86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99"/>
    </row>
    <row r="545" spans="1:28" s="585" customFormat="1" ht="15.75" customHeight="1">
      <c r="A545" s="203" t="str">
        <f>IF(B545&lt;&gt;"",IF(AND(B545&gt;=_TM1,B545&lt;=_TM2,OR(TH!L545="1111",TH!M545="1111")),TH!D545,""),"")</f>
        <v/>
      </c>
      <c r="B545" s="36">
        <f>IF(C545&lt;&gt;"",MONTH(C545),"")</f>
        <v>4</v>
      </c>
      <c r="C545" s="183">
        <f>E545</f>
        <v>42123</v>
      </c>
      <c r="D545" s="183" t="s">
        <v>1529</v>
      </c>
      <c r="E545" s="190">
        <v>42123</v>
      </c>
      <c r="F545" s="191" t="s">
        <v>1320</v>
      </c>
      <c r="G545" s="482" t="s">
        <v>2053</v>
      </c>
      <c r="H545" s="7" t="s">
        <v>1934</v>
      </c>
      <c r="I545" s="255"/>
      <c r="J545" s="255"/>
      <c r="K545" s="593">
        <f>13164910+6357368</f>
        <v>19522278</v>
      </c>
      <c r="L545" s="594" t="s">
        <v>47</v>
      </c>
      <c r="M545" s="594" t="s">
        <v>259</v>
      </c>
      <c r="N545" s="52" t="str">
        <f>IF(AND('331-CT'!$E$7=TH!H545,OR(L545="331",M545="331")),"331",IF(AND(OR(L545="131",M545="131"),H545='131-CT'!$E$7),"131",""))</f>
        <v/>
      </c>
      <c r="O545" s="869" t="str">
        <f>IF(AND('341-CT'!$E$9=H545,OR(LEFT(L545,3)=$O$7,LEFT(M545,3)=$O$7)),"x","")</f>
        <v/>
      </c>
      <c r="P545" s="52" t="str">
        <f>IF(AND($B545&gt;='111'!$N$11,$B545&lt;='111'!$O$11,OR($L545=$P$7,$M545=$P$7)),"x","")</f>
        <v>x</v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799"/>
    </row>
    <row r="546" spans="1:28" s="585" customFormat="1" ht="15.75" customHeight="1">
      <c r="A546" s="203" t="str">
        <f>IF(B546&lt;&gt;"",IF(AND(B546&gt;=_TM1,B546&lt;=_TM2,OR(TH!L546="1111",TH!M546="1111")),TH!D546,""),"")</f>
        <v/>
      </c>
      <c r="B546" s="36">
        <f>IF(C546&lt;&gt;"",MONTH(C546),"")</f>
        <v>4</v>
      </c>
      <c r="C546" s="183">
        <f>E546</f>
        <v>42123</v>
      </c>
      <c r="D546" s="183" t="s">
        <v>1530</v>
      </c>
      <c r="E546" s="190">
        <v>42123</v>
      </c>
      <c r="F546" s="191" t="s">
        <v>624</v>
      </c>
      <c r="G546" s="482" t="s">
        <v>625</v>
      </c>
      <c r="H546" s="7" t="s">
        <v>733</v>
      </c>
      <c r="I546" s="255">
        <v>50</v>
      </c>
      <c r="J546" s="255">
        <v>30237</v>
      </c>
      <c r="K546" s="593">
        <f>ROUND(I546*J546,0)</f>
        <v>1511850</v>
      </c>
      <c r="L546" s="594" t="s">
        <v>259</v>
      </c>
      <c r="M546" s="594" t="s">
        <v>174</v>
      </c>
      <c r="N546" s="52" t="str">
        <f>IF(AND('331-CT'!$E$7=TH!H546,OR(L546="331",M546="331")),"331",IF(AND(OR(L546="131",M546="131"),H546='131-CT'!$E$7),"131",""))</f>
        <v/>
      </c>
      <c r="O546" s="86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99"/>
    </row>
    <row r="547" spans="1:28" s="585" customFormat="1" ht="15.75" customHeight="1">
      <c r="A547" s="203" t="str">
        <f>IF(B547&lt;&gt;"",IF(AND(B547&gt;=_TM1,B547&lt;=_TM2,OR(TH!L547="1111",TH!M547="1111")),TH!D547,""),"")</f>
        <v/>
      </c>
      <c r="B547" s="36">
        <f>IF(C547&lt;&gt;"",MONTH(C547),"")</f>
        <v>4</v>
      </c>
      <c r="C547" s="183">
        <f>E547</f>
        <v>42123</v>
      </c>
      <c r="D547" s="183" t="s">
        <v>1530</v>
      </c>
      <c r="E547" s="190">
        <v>42123</v>
      </c>
      <c r="F547" s="191" t="s">
        <v>626</v>
      </c>
      <c r="G547" s="482" t="s">
        <v>625</v>
      </c>
      <c r="H547" s="7" t="s">
        <v>733</v>
      </c>
      <c r="I547" s="255">
        <v>26</v>
      </c>
      <c r="J547" s="255">
        <v>35084</v>
      </c>
      <c r="K547" s="593">
        <f>ROUND(I547*J547,0)</f>
        <v>912184</v>
      </c>
      <c r="L547" s="594" t="s">
        <v>259</v>
      </c>
      <c r="M547" s="594" t="s">
        <v>174</v>
      </c>
      <c r="N547" s="52" t="str">
        <f>IF(AND('331-CT'!$E$7=TH!H547,OR(L547="331",M547="331")),"331",IF(AND(OR(L547="131",M547="131"),H547='131-CT'!$E$7),"131",""))</f>
        <v/>
      </c>
      <c r="O547" s="86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799"/>
    </row>
    <row r="548" spans="1:28" s="585" customFormat="1" ht="15.75" customHeight="1">
      <c r="A548" s="203" t="str">
        <f>IF(B548&lt;&gt;"",IF(AND(B548&gt;=_TM1,B548&lt;=_TM2,OR(TH!L548="1111",TH!M548="1111")),TH!D548,""),"")</f>
        <v/>
      </c>
      <c r="B548" s="36">
        <f>IF(C548&lt;&gt;"",MONTH(C548),"")</f>
        <v>4</v>
      </c>
      <c r="C548" s="183">
        <f>E548</f>
        <v>42123</v>
      </c>
      <c r="D548" s="183" t="s">
        <v>1530</v>
      </c>
      <c r="E548" s="190">
        <v>42123</v>
      </c>
      <c r="F548" s="191" t="s">
        <v>627</v>
      </c>
      <c r="G548" s="482" t="s">
        <v>625</v>
      </c>
      <c r="H548" s="7" t="s">
        <v>733</v>
      </c>
      <c r="I548" s="255">
        <v>28</v>
      </c>
      <c r="J548" s="255">
        <v>28166</v>
      </c>
      <c r="K548" s="593">
        <f>ROUND(I548*J548,0)</f>
        <v>788648</v>
      </c>
      <c r="L548" s="594" t="s">
        <v>259</v>
      </c>
      <c r="M548" s="594" t="s">
        <v>174</v>
      </c>
      <c r="N548" s="52" t="str">
        <f>IF(AND('331-CT'!$E$7=TH!H548,OR(L548="331",M548="331")),"331",IF(AND(OR(L548="131",M548="131"),H548='131-CT'!$E$7),"131",""))</f>
        <v/>
      </c>
      <c r="O548" s="86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799"/>
    </row>
    <row r="549" spans="1:28" s="585" customFormat="1" ht="15.75" customHeight="1">
      <c r="A549" s="203" t="str">
        <f>IF(B549&lt;&gt;"",IF(AND(B549&gt;=_TM1,B549&lt;=_TM2,OR(TH!L549="1111",TH!M549="1111")),TH!D549,""),"")</f>
        <v/>
      </c>
      <c r="B549" s="36">
        <f>IF(C549&lt;&gt;"",MONTH(C549),"")</f>
        <v>4</v>
      </c>
      <c r="C549" s="183">
        <f>E549</f>
        <v>42123</v>
      </c>
      <c r="D549" s="183" t="s">
        <v>1530</v>
      </c>
      <c r="E549" s="190">
        <v>42123</v>
      </c>
      <c r="F549" s="191" t="s">
        <v>628</v>
      </c>
      <c r="G549" s="482" t="s">
        <v>625</v>
      </c>
      <c r="H549" s="7" t="s">
        <v>733</v>
      </c>
      <c r="I549" s="255">
        <v>52</v>
      </c>
      <c r="J549" s="255">
        <v>75643</v>
      </c>
      <c r="K549" s="593">
        <f>ROUND(I549*J549,0)</f>
        <v>3933436</v>
      </c>
      <c r="L549" s="594" t="s">
        <v>259</v>
      </c>
      <c r="M549" s="594" t="s">
        <v>174</v>
      </c>
      <c r="N549" s="52" t="str">
        <f>IF(AND('331-CT'!$E$7=TH!H549,OR(L549="331",M549="331")),"331",IF(AND(OR(L549="131",M549="131"),H549='131-CT'!$E$7),"131",""))</f>
        <v/>
      </c>
      <c r="O549" s="86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799"/>
    </row>
    <row r="550" spans="1:28" s="585" customFormat="1" ht="15.75" customHeight="1">
      <c r="A550" s="203" t="str">
        <f>IF(B550&lt;&gt;"",IF(AND(B550&gt;=_TM1,B550&lt;=_TM2,OR(TH!L550="1111",TH!M550="1111")),TH!D550,""),"")</f>
        <v/>
      </c>
      <c r="B550" s="36">
        <f>IF(C550&lt;&gt;"",MONTH(C550),"")</f>
        <v>4</v>
      </c>
      <c r="C550" s="183">
        <f>E550</f>
        <v>42123</v>
      </c>
      <c r="D550" s="183" t="s">
        <v>1530</v>
      </c>
      <c r="E550" s="190">
        <v>42123</v>
      </c>
      <c r="F550" s="191" t="s">
        <v>628</v>
      </c>
      <c r="G550" s="482" t="s">
        <v>625</v>
      </c>
      <c r="H550" s="7" t="s">
        <v>733</v>
      </c>
      <c r="I550" s="255">
        <v>7</v>
      </c>
      <c r="J550" s="255">
        <v>53931</v>
      </c>
      <c r="K550" s="593">
        <f>ROUND(I550*J550,0)</f>
        <v>377517</v>
      </c>
      <c r="L550" s="594" t="s">
        <v>259</v>
      </c>
      <c r="M550" s="594" t="s">
        <v>174</v>
      </c>
      <c r="N550" s="52" t="str">
        <f>IF(AND('331-CT'!$E$7=TH!H550,OR(L550="331",M550="331")),"331",IF(AND(OR(L550="131",M550="131"),H550='131-CT'!$E$7),"131",""))</f>
        <v/>
      </c>
      <c r="O550" s="86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99"/>
    </row>
    <row r="551" spans="1:28" s="210" customFormat="1" ht="15.75" customHeight="1">
      <c r="A551" s="203" t="str">
        <f>IF(B551&lt;&gt;"",IF(AND(B551&gt;=_TM1,B551&lt;=_TM2,OR(TH!L551="1111",TH!M551="1111")),TH!D551,""),"")</f>
        <v/>
      </c>
      <c r="B551" s="36">
        <f>IF(C551&lt;&gt;"",MONTH(C551),"")</f>
        <v>4</v>
      </c>
      <c r="C551" s="183">
        <f>E551</f>
        <v>42123</v>
      </c>
      <c r="D551" s="183" t="s">
        <v>1530</v>
      </c>
      <c r="E551" s="190">
        <v>42123</v>
      </c>
      <c r="F551" s="191" t="s">
        <v>402</v>
      </c>
      <c r="G551" s="482" t="s">
        <v>625</v>
      </c>
      <c r="H551" s="7" t="s">
        <v>733</v>
      </c>
      <c r="I551" s="255"/>
      <c r="J551" s="255"/>
      <c r="K551" s="593">
        <v>752364</v>
      </c>
      <c r="L551" s="594" t="s">
        <v>259</v>
      </c>
      <c r="M551" s="594" t="s">
        <v>371</v>
      </c>
      <c r="N551" s="52" t="str">
        <f>IF(AND('331-CT'!$E$7=TH!H551,OR(L551="331",M551="331")),"331",IF(AND(OR(L551="131",M551="131"),H551='131-CT'!$E$7),"131",""))</f>
        <v/>
      </c>
      <c r="O551" s="86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799"/>
      <c r="AB551" s="585"/>
    </row>
    <row r="552" spans="1:28" s="210" customFormat="1" ht="15.75" customHeight="1">
      <c r="A552" s="203" t="str">
        <f>IF(B552&lt;&gt;"",IF(AND(B552&gt;=_TM1,B552&lt;=_TM2,OR(TH!L552="1111",TH!M552="1111")),TH!D552,""),"")</f>
        <v/>
      </c>
      <c r="B552" s="36">
        <f>IF(C552&lt;&gt;"",MONTH(C552),"")</f>
        <v>4</v>
      </c>
      <c r="C552" s="183">
        <f>E552</f>
        <v>42123</v>
      </c>
      <c r="D552" s="190" t="s">
        <v>1973</v>
      </c>
      <c r="E552" s="190">
        <v>42123</v>
      </c>
      <c r="F552" s="191" t="s">
        <v>1402</v>
      </c>
      <c r="G552" s="482" t="s">
        <v>1405</v>
      </c>
      <c r="H552" s="7" t="s">
        <v>1397</v>
      </c>
      <c r="I552" s="255">
        <v>860</v>
      </c>
      <c r="J552" s="255">
        <v>9000</v>
      </c>
      <c r="K552" s="593">
        <f>ROUND(I552*J552,0)</f>
        <v>7740000</v>
      </c>
      <c r="L552" s="594" t="s">
        <v>159</v>
      </c>
      <c r="M552" s="594" t="s">
        <v>8</v>
      </c>
      <c r="N552" s="52" t="str">
        <f>IF(AND('331-CT'!$E$7=TH!H552,OR(L552="331",M552="331")),"331",IF(AND(OR(L552="131",M552="131"),H552='131-CT'!$E$7),"131",""))</f>
        <v/>
      </c>
      <c r="O552" s="86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799"/>
    </row>
    <row r="553" spans="1:28" s="210" customFormat="1" ht="15.75" customHeight="1">
      <c r="A553" s="203" t="str">
        <f>IF(B553&lt;&gt;"",IF(AND(B553&gt;=_TM1,B553&lt;=_TM2,OR(TH!L553="1111",TH!M553="1111")),TH!D553,""),"")</f>
        <v/>
      </c>
      <c r="B553" s="36">
        <f>IF(C553&lt;&gt;"",MONTH(C553),"")</f>
        <v>4</v>
      </c>
      <c r="C553" s="183">
        <f>E553</f>
        <v>42123</v>
      </c>
      <c r="D553" s="190" t="s">
        <v>1973</v>
      </c>
      <c r="E553" s="190">
        <v>42123</v>
      </c>
      <c r="F553" s="191" t="s">
        <v>1398</v>
      </c>
      <c r="G553" s="482" t="s">
        <v>1405</v>
      </c>
      <c r="H553" s="7" t="s">
        <v>1397</v>
      </c>
      <c r="I553" s="255">
        <v>573</v>
      </c>
      <c r="J553" s="255">
        <v>9100</v>
      </c>
      <c r="K553" s="593">
        <f>ROUND(I553*J553,0)</f>
        <v>5214300</v>
      </c>
      <c r="L553" s="594" t="s">
        <v>159</v>
      </c>
      <c r="M553" s="594" t="s">
        <v>8</v>
      </c>
      <c r="N553" s="52" t="str">
        <f>IF(AND('331-CT'!$E$7=TH!H553,OR(L553="331",M553="331")),"331",IF(AND(OR(L553="131",M553="131"),H553='131-CT'!$E$7),"131",""))</f>
        <v/>
      </c>
      <c r="O553" s="86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799"/>
    </row>
    <row r="554" spans="1:28" s="210" customFormat="1" ht="15.75" customHeight="1">
      <c r="A554" s="203" t="str">
        <f>IF(B554&lt;&gt;"",IF(AND(B554&gt;=_TM1,B554&lt;=_TM2,OR(TH!L554="1111",TH!M554="1111")),TH!D554,""),"")</f>
        <v/>
      </c>
      <c r="B554" s="36">
        <f>IF(C554&lt;&gt;"",MONTH(C554),"")</f>
        <v>4</v>
      </c>
      <c r="C554" s="183">
        <f>E554</f>
        <v>42123</v>
      </c>
      <c r="D554" s="190" t="s">
        <v>1973</v>
      </c>
      <c r="E554" s="190">
        <v>42123</v>
      </c>
      <c r="F554" s="191" t="s">
        <v>1379</v>
      </c>
      <c r="G554" s="482" t="s">
        <v>1405</v>
      </c>
      <c r="H554" s="7" t="s">
        <v>1397</v>
      </c>
      <c r="I554" s="255"/>
      <c r="J554" s="255"/>
      <c r="K554" s="593">
        <v>1295430</v>
      </c>
      <c r="L554" s="594" t="s">
        <v>9</v>
      </c>
      <c r="M554" s="594" t="s">
        <v>8</v>
      </c>
      <c r="N554" s="52" t="str">
        <f>IF(AND('331-CT'!$E$7=TH!H554,OR(L554="331",M554="331")),"331",IF(AND(OR(L554="131",M554="131"),H554='131-CT'!$E$7),"131",""))</f>
        <v/>
      </c>
      <c r="O554" s="86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799"/>
    </row>
    <row r="555" spans="1:28" s="210" customFormat="1" ht="15.75" customHeight="1">
      <c r="A555" s="203" t="str">
        <f>IF(B555&lt;&gt;"",IF(AND(B555&gt;=_TM1,B555&lt;=_TM2,OR(TH!L555="1111",TH!M555="1111")),TH!D555,""),"")</f>
        <v/>
      </c>
      <c r="B555" s="36">
        <f>IF(C555&lt;&gt;"",MONTH(C555),"")</f>
        <v>4</v>
      </c>
      <c r="C555" s="183">
        <f>E555</f>
        <v>42123</v>
      </c>
      <c r="D555" s="190" t="s">
        <v>1973</v>
      </c>
      <c r="E555" s="190">
        <v>42123</v>
      </c>
      <c r="F555" s="296" t="s">
        <v>1326</v>
      </c>
      <c r="G555" s="482" t="s">
        <v>1405</v>
      </c>
      <c r="H555" s="7" t="s">
        <v>1397</v>
      </c>
      <c r="I555" s="255"/>
      <c r="J555" s="255"/>
      <c r="K555" s="593">
        <v>14249730</v>
      </c>
      <c r="L555" s="594" t="s">
        <v>8</v>
      </c>
      <c r="M555" s="594" t="s">
        <v>47</v>
      </c>
      <c r="N555" s="52" t="str">
        <f>IF(AND('331-CT'!$E$7=TH!H555,OR(L555="331",M555="331")),"331",IF(AND(OR(L555="131",M555="131"),H555='131-CT'!$E$7),"131",""))</f>
        <v/>
      </c>
      <c r="O555" s="869" t="str">
        <f>IF(AND('341-CT'!$E$9=H555,OR(LEFT(L555,3)=$O$7,LEFT(M555,3)=$O$7)),"x","")</f>
        <v/>
      </c>
      <c r="P555" s="52" t="str">
        <f>IF(AND($B555&gt;='111'!$N$11,$B555&lt;='111'!$O$11,OR($L555=$P$7,$M555=$P$7)),"x","")</f>
        <v>x</v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99"/>
    </row>
    <row r="556" spans="1:28" s="210" customFormat="1" ht="15.75" customHeight="1">
      <c r="A556" s="203" t="str">
        <f>IF(B556&lt;&gt;"",IF(AND(B556&gt;=_TM1,B556&lt;=_TM2,OR(TH!L556="1111",TH!M556="1111")),TH!D556,""),"")</f>
        <v/>
      </c>
      <c r="B556" s="36">
        <f>IF(C556&lt;&gt;"",MONTH(C556),"")</f>
        <v>4</v>
      </c>
      <c r="C556" s="888">
        <f>E556</f>
        <v>42124</v>
      </c>
      <c r="D556" s="888" t="s">
        <v>334</v>
      </c>
      <c r="E556" s="888">
        <v>42124</v>
      </c>
      <c r="F556" s="889" t="s">
        <v>1939</v>
      </c>
      <c r="G556" s="890"/>
      <c r="H556" s="891"/>
      <c r="I556" s="892"/>
      <c r="J556" s="892"/>
      <c r="K556" s="893">
        <v>16625000</v>
      </c>
      <c r="L556" s="894" t="s">
        <v>83</v>
      </c>
      <c r="M556" s="894" t="s">
        <v>262</v>
      </c>
      <c r="N556" s="52" t="str">
        <f>IF(AND('331-CT'!$E$7=TH!H556,OR(L556="331",M556="331")),"331",IF(AND(OR(L556="131",M556="131"),H556='131-CT'!$E$7),"131",""))</f>
        <v/>
      </c>
      <c r="O556" s="86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>x</v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197"/>
      <c r="AB556" s="197"/>
    </row>
    <row r="557" spans="1:28" s="210" customFormat="1" ht="15.75" customHeight="1">
      <c r="A557" s="203" t="str">
        <f>IF(B557&lt;&gt;"",IF(AND(B557&gt;=_TM1,B557&lt;=_TM2,OR(TH!L557="1111",TH!M557="1111")),TH!D557,""),"")</f>
        <v/>
      </c>
      <c r="B557" s="36">
        <f>IF(C557&lt;&gt;"",MONTH(C557),"")</f>
        <v>4</v>
      </c>
      <c r="C557" s="888">
        <f>E557</f>
        <v>42124</v>
      </c>
      <c r="D557" s="888" t="s">
        <v>334</v>
      </c>
      <c r="E557" s="888">
        <v>42124</v>
      </c>
      <c r="F557" s="889" t="s">
        <v>1940</v>
      </c>
      <c r="G557" s="890"/>
      <c r="H557" s="891"/>
      <c r="I557" s="892"/>
      <c r="J557" s="892"/>
      <c r="K557" s="893">
        <v>34425000</v>
      </c>
      <c r="L557" s="894" t="s">
        <v>165</v>
      </c>
      <c r="M557" s="894" t="s">
        <v>262</v>
      </c>
      <c r="N557" s="52" t="str">
        <f>IF(AND('331-CT'!$E$7=TH!H557,OR(L557="331",M557="331")),"331",IF(AND(OR(L557="131",M557="131"),H557='131-CT'!$E$7),"131",""))</f>
        <v/>
      </c>
      <c r="O557" s="86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197"/>
      <c r="AB557" s="197"/>
    </row>
    <row r="558" spans="1:28" s="210" customFormat="1" ht="15.75" customHeight="1">
      <c r="A558" s="203" t="str">
        <f>IF(B558&lt;&gt;"",IF(AND(B558&gt;=_TM1,B558&lt;=_TM2,OR(TH!L558="1111",TH!M558="1111")),TH!D558,""),"")</f>
        <v/>
      </c>
      <c r="B558" s="36">
        <f>IF(C558&lt;&gt;"",MONTH(C558),"")</f>
        <v>4</v>
      </c>
      <c r="C558" s="888">
        <f>E558</f>
        <v>42124</v>
      </c>
      <c r="D558" s="888" t="s">
        <v>334</v>
      </c>
      <c r="E558" s="888">
        <v>42124</v>
      </c>
      <c r="F558" s="889" t="str">
        <f>"Thanh toán tiền lương tháng "&amp;MONTH(E558)&amp;"/"&amp;YEAR(E558)</f>
        <v>Thanh toán tiền lương tháng 4/2015</v>
      </c>
      <c r="G558" s="890"/>
      <c r="H558" s="891"/>
      <c r="I558" s="892"/>
      <c r="J558" s="892"/>
      <c r="K558" s="893">
        <f>K556+K557</f>
        <v>51050000</v>
      </c>
      <c r="L558" s="894" t="s">
        <v>262</v>
      </c>
      <c r="M558" s="894" t="s">
        <v>47</v>
      </c>
      <c r="N558" s="52" t="str">
        <f>IF(AND('331-CT'!$E$7=TH!H558,OR(L558="331",M558="331")),"331",IF(AND(OR(L558="131",M558="131"),H558='131-CT'!$E$7),"131",""))</f>
        <v/>
      </c>
      <c r="O558" s="869" t="str">
        <f>IF(AND('341-CT'!$E$9=H558,OR(LEFT(L558,3)=$O$7,LEFT(M558,3)=$O$7)),"x","")</f>
        <v/>
      </c>
      <c r="P558" s="52" t="str">
        <f>IF(AND($B558&gt;='111'!$N$11,$B558&lt;='111'!$O$11,OR($L558=$P$7,$M558=$P$7)),"x","")</f>
        <v>x</v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197"/>
      <c r="AB558" s="197"/>
    </row>
    <row r="559" spans="1:28" s="210" customFormat="1" ht="15.75" customHeight="1">
      <c r="A559" s="203" t="str">
        <f>IF(B559&lt;&gt;"",IF(AND(B559&gt;=_TM1,B559&lt;=_TM2,OR(TH!L559="1111",TH!M559="1111")),TH!D559,""),"")</f>
        <v/>
      </c>
      <c r="B559" s="36">
        <f>IF(C559&lt;&gt;"",MONTH(C559),"")</f>
        <v>4</v>
      </c>
      <c r="C559" s="183">
        <f>E559</f>
        <v>42124</v>
      </c>
      <c r="D559" s="183" t="s">
        <v>1531</v>
      </c>
      <c r="E559" s="190">
        <v>42124</v>
      </c>
      <c r="F559" s="191" t="s">
        <v>1716</v>
      </c>
      <c r="G559" s="482" t="s">
        <v>629</v>
      </c>
      <c r="H559" s="7" t="s">
        <v>528</v>
      </c>
      <c r="I559" s="255">
        <v>130</v>
      </c>
      <c r="J559" s="255">
        <v>13043</v>
      </c>
      <c r="K559" s="593">
        <f>ROUND(I559*J559,0)</f>
        <v>1695590</v>
      </c>
      <c r="L559" s="594" t="s">
        <v>259</v>
      </c>
      <c r="M559" s="594" t="s">
        <v>174</v>
      </c>
      <c r="N559" s="52" t="str">
        <f>IF(AND('331-CT'!$E$7=TH!H559,OR(L559="331",M559="331")),"331",IF(AND(OR(L559="131",M559="131"),H559='131-CT'!$E$7),"131",""))</f>
        <v/>
      </c>
      <c r="O559" s="86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799"/>
      <c r="AB559" s="585"/>
    </row>
    <row r="560" spans="1:28" s="210" customFormat="1" ht="15.75" customHeight="1">
      <c r="A560" s="203" t="str">
        <f>IF(B560&lt;&gt;"",IF(AND(B560&gt;=_TM1,B560&lt;=_TM2,OR(TH!L560="1111",TH!M560="1111")),TH!D560,""),"")</f>
        <v/>
      </c>
      <c r="B560" s="36">
        <f>IF(C560&lt;&gt;"",MONTH(C560),"")</f>
        <v>4</v>
      </c>
      <c r="C560" s="183">
        <f>E560</f>
        <v>42124</v>
      </c>
      <c r="D560" s="183" t="s">
        <v>1531</v>
      </c>
      <c r="E560" s="190">
        <v>42124</v>
      </c>
      <c r="F560" s="191" t="s">
        <v>1717</v>
      </c>
      <c r="G560" s="482" t="s">
        <v>629</v>
      </c>
      <c r="H560" s="7" t="s">
        <v>528</v>
      </c>
      <c r="I560" s="255">
        <v>70</v>
      </c>
      <c r="J560" s="255">
        <v>9618</v>
      </c>
      <c r="K560" s="593">
        <f>ROUND(I560*J560,0)</f>
        <v>673260</v>
      </c>
      <c r="L560" s="594" t="s">
        <v>259</v>
      </c>
      <c r="M560" s="594" t="s">
        <v>174</v>
      </c>
      <c r="N560" s="52" t="str">
        <f>IF(AND('331-CT'!$E$7=TH!H560,OR(L560="331",M560="331")),"331",IF(AND(OR(L560="131",M560="131"),H560='131-CT'!$E$7),"131",""))</f>
        <v/>
      </c>
      <c r="O560" s="86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799"/>
      <c r="AB560" s="585"/>
    </row>
    <row r="561" spans="1:28" s="210" customFormat="1" ht="15.75" customHeight="1">
      <c r="A561" s="203" t="str">
        <f>IF(B561&lt;&gt;"",IF(AND(B561&gt;=_TM1,B561&lt;=_TM2,OR(TH!L561="1111",TH!M561="1111")),TH!D561,""),"")</f>
        <v/>
      </c>
      <c r="B561" s="36">
        <f>IF(C561&lt;&gt;"",MONTH(C561),"")</f>
        <v>4</v>
      </c>
      <c r="C561" s="183">
        <f>E561</f>
        <v>42124</v>
      </c>
      <c r="D561" s="183" t="s">
        <v>1531</v>
      </c>
      <c r="E561" s="190">
        <v>42124</v>
      </c>
      <c r="F561" s="191" t="s">
        <v>1718</v>
      </c>
      <c r="G561" s="482" t="s">
        <v>629</v>
      </c>
      <c r="H561" s="7" t="s">
        <v>528</v>
      </c>
      <c r="I561" s="255">
        <v>120</v>
      </c>
      <c r="J561" s="255">
        <v>12420</v>
      </c>
      <c r="K561" s="593">
        <f>ROUND(I561*J561,0)</f>
        <v>1490400</v>
      </c>
      <c r="L561" s="594" t="s">
        <v>259</v>
      </c>
      <c r="M561" s="594" t="s">
        <v>174</v>
      </c>
      <c r="N561" s="52" t="str">
        <f>IF(AND('331-CT'!$E$7=TH!H561,OR(L561="331",M561="331")),"331",IF(AND(OR(L561="131",M561="131"),H561='131-CT'!$E$7),"131",""))</f>
        <v/>
      </c>
      <c r="O561" s="86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799"/>
      <c r="AB561" s="585"/>
    </row>
    <row r="562" spans="1:28" s="210" customFormat="1" ht="15.75" customHeight="1">
      <c r="A562" s="203" t="str">
        <f>IF(B562&lt;&gt;"",IF(AND(B562&gt;=_TM1,B562&lt;=_TM2,OR(TH!L562="1111",TH!M562="1111")),TH!D562,""),"")</f>
        <v/>
      </c>
      <c r="B562" s="36">
        <f>IF(C562&lt;&gt;"",MONTH(C562),"")</f>
        <v>4</v>
      </c>
      <c r="C562" s="183">
        <f>E562</f>
        <v>42124</v>
      </c>
      <c r="D562" s="183" t="s">
        <v>1531</v>
      </c>
      <c r="E562" s="190">
        <v>42124</v>
      </c>
      <c r="F562" s="191" t="s">
        <v>1719</v>
      </c>
      <c r="G562" s="482" t="s">
        <v>629</v>
      </c>
      <c r="H562" s="7" t="s">
        <v>528</v>
      </c>
      <c r="I562" s="255">
        <v>110</v>
      </c>
      <c r="J562" s="255">
        <v>11730</v>
      </c>
      <c r="K562" s="593">
        <f>ROUND(I562*J562,0)</f>
        <v>1290300</v>
      </c>
      <c r="L562" s="594" t="s">
        <v>259</v>
      </c>
      <c r="M562" s="594" t="s">
        <v>174</v>
      </c>
      <c r="N562" s="52" t="str">
        <f>IF(AND('331-CT'!$E$7=TH!H562,OR(L562="331",M562="331")),"331",IF(AND(OR(L562="131",M562="131"),H562='131-CT'!$E$7),"131",""))</f>
        <v/>
      </c>
      <c r="O562" s="86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799"/>
      <c r="AB562" s="585"/>
    </row>
    <row r="563" spans="1:28" s="210" customFormat="1" ht="15.75" customHeight="1">
      <c r="A563" s="203" t="str">
        <f>IF(B563&lt;&gt;"",IF(AND(B563&gt;=_TM1,B563&lt;=_TM2,OR(TH!L563="1111",TH!M563="1111")),TH!D563,""),"")</f>
        <v/>
      </c>
      <c r="B563" s="36">
        <f>IF(C563&lt;&gt;"",MONTH(C563),"")</f>
        <v>4</v>
      </c>
      <c r="C563" s="183">
        <f>E563</f>
        <v>42124</v>
      </c>
      <c r="D563" s="183" t="s">
        <v>1531</v>
      </c>
      <c r="E563" s="190">
        <v>42124</v>
      </c>
      <c r="F563" s="191" t="s">
        <v>1720</v>
      </c>
      <c r="G563" s="482" t="s">
        <v>629</v>
      </c>
      <c r="H563" s="7" t="s">
        <v>528</v>
      </c>
      <c r="I563" s="255">
        <v>110</v>
      </c>
      <c r="J563" s="255">
        <v>8349</v>
      </c>
      <c r="K563" s="593">
        <f>ROUND(I563*J563,0)</f>
        <v>918390</v>
      </c>
      <c r="L563" s="594" t="s">
        <v>259</v>
      </c>
      <c r="M563" s="594" t="s">
        <v>174</v>
      </c>
      <c r="N563" s="52" t="str">
        <f>IF(AND('331-CT'!$E$7=TH!H563,OR(L563="331",M563="331")),"331",IF(AND(OR(L563="131",M563="131"),H563='131-CT'!$E$7),"131",""))</f>
        <v/>
      </c>
      <c r="O563" s="86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799"/>
      <c r="AB563" s="585"/>
    </row>
    <row r="564" spans="1:28" s="210" customFormat="1" ht="15.75" customHeight="1">
      <c r="A564" s="203" t="str">
        <f>IF(B564&lt;&gt;"",IF(AND(B564&gt;=_TM1,B564&lt;=_TM2,OR(TH!L564="1111",TH!M564="1111")),TH!D564,""),"")</f>
        <v/>
      </c>
      <c r="B564" s="36">
        <f>IF(C564&lt;&gt;"",MONTH(C564),"")</f>
        <v>4</v>
      </c>
      <c r="C564" s="183">
        <f>E564</f>
        <v>42124</v>
      </c>
      <c r="D564" s="183" t="s">
        <v>1531</v>
      </c>
      <c r="E564" s="190">
        <v>42124</v>
      </c>
      <c r="F564" s="191" t="s">
        <v>1721</v>
      </c>
      <c r="G564" s="482" t="s">
        <v>629</v>
      </c>
      <c r="H564" s="7" t="s">
        <v>528</v>
      </c>
      <c r="I564" s="255">
        <v>2000</v>
      </c>
      <c r="J564" s="255">
        <v>5893</v>
      </c>
      <c r="K564" s="593">
        <f>ROUND(I564*J564,0)</f>
        <v>11786000</v>
      </c>
      <c r="L564" s="594" t="s">
        <v>259</v>
      </c>
      <c r="M564" s="594" t="s">
        <v>174</v>
      </c>
      <c r="N564" s="52" t="str">
        <f>IF(AND('331-CT'!$E$7=TH!H564,OR(L564="331",M564="331")),"331",IF(AND(OR(L564="131",M564="131"),H564='131-CT'!$E$7),"131",""))</f>
        <v/>
      </c>
      <c r="O564" s="86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99"/>
    </row>
    <row r="565" spans="1:28" s="210" customFormat="1" ht="15.75" customHeight="1">
      <c r="A565" s="203" t="str">
        <f>IF(B565&lt;&gt;"",IF(AND(B565&gt;=_TM1,B565&lt;=_TM2,OR(TH!L565="1111",TH!M565="1111")),TH!D565,""),"")</f>
        <v/>
      </c>
      <c r="B565" s="36">
        <f>IF(C565&lt;&gt;"",MONTH(C565),"")</f>
        <v>4</v>
      </c>
      <c r="C565" s="183">
        <f>E565</f>
        <v>42124</v>
      </c>
      <c r="D565" s="183" t="s">
        <v>1531</v>
      </c>
      <c r="E565" s="190">
        <v>42124</v>
      </c>
      <c r="F565" s="191" t="s">
        <v>465</v>
      </c>
      <c r="G565" s="482" t="s">
        <v>629</v>
      </c>
      <c r="H565" s="7" t="s">
        <v>528</v>
      </c>
      <c r="I565" s="255"/>
      <c r="J565" s="255"/>
      <c r="K565" s="593">
        <v>1785394</v>
      </c>
      <c r="L565" s="594" t="s">
        <v>259</v>
      </c>
      <c r="M565" s="594" t="s">
        <v>371</v>
      </c>
      <c r="N565" s="52" t="str">
        <f>IF(AND('331-CT'!$E$7=TH!H565,OR(L565="331",M565="331")),"331",IF(AND(OR(L565="131",M565="131"),H565='131-CT'!$E$7),"131",""))</f>
        <v/>
      </c>
      <c r="O565" s="86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799"/>
    </row>
    <row r="566" spans="1:28" s="210" customFormat="1" ht="15.75" customHeight="1">
      <c r="A566" s="203" t="str">
        <f>IF(B566&lt;&gt;"",IF(AND(B566&gt;=_TM1,B566&lt;=_TM2,OR(TH!L566="1111",TH!M566="1111")),TH!D566,""),"")</f>
        <v/>
      </c>
      <c r="B566" s="36">
        <f>IF(C566&lt;&gt;"",MONTH(C566),"")</f>
        <v>4</v>
      </c>
      <c r="C566" s="183">
        <f>E566</f>
        <v>42124</v>
      </c>
      <c r="D566" s="183" t="s">
        <v>1531</v>
      </c>
      <c r="E566" s="190">
        <v>42124</v>
      </c>
      <c r="F566" s="191" t="s">
        <v>1320</v>
      </c>
      <c r="G566" s="482" t="s">
        <v>2030</v>
      </c>
      <c r="H566" s="7" t="s">
        <v>528</v>
      </c>
      <c r="I566" s="255"/>
      <c r="J566" s="255"/>
      <c r="K566" s="593">
        <f>19639334+8900034</f>
        <v>28539368</v>
      </c>
      <c r="L566" s="594" t="s">
        <v>47</v>
      </c>
      <c r="M566" s="594" t="s">
        <v>259</v>
      </c>
      <c r="N566" s="52" t="str">
        <f>IF(AND('331-CT'!$E$7=TH!H566,OR(L566="331",M566="331")),"331",IF(AND(OR(L566="131",M566="131"),H566='131-CT'!$E$7),"131",""))</f>
        <v/>
      </c>
      <c r="O566" s="869" t="str">
        <f>IF(AND('341-CT'!$E$9=H566,OR(LEFT(L566,3)=$O$7,LEFT(M566,3)=$O$7)),"x","")</f>
        <v/>
      </c>
      <c r="P566" s="52" t="str">
        <f>IF(AND($B566&gt;='111'!$N$11,$B566&lt;='111'!$O$11,OR($L566=$P$7,$M566=$P$7)),"x","")</f>
        <v>x</v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799"/>
    </row>
    <row r="567" spans="1:28" s="210" customFormat="1" ht="15.75" customHeight="1">
      <c r="A567" s="203" t="str">
        <f>IF(B567&lt;&gt;"",IF(AND(B567&gt;=_TM1,B567&lt;=_TM2,OR(TH!L567="1111",TH!M567="1111")),TH!D567,""),"")</f>
        <v/>
      </c>
      <c r="B567" s="36">
        <f>IF(C567&lt;&gt;"",MONTH(C567),"")</f>
        <v>4</v>
      </c>
      <c r="C567" s="183">
        <f>E567</f>
        <v>42124</v>
      </c>
      <c r="D567" s="183" t="s">
        <v>1532</v>
      </c>
      <c r="E567" s="190">
        <v>42124</v>
      </c>
      <c r="F567" s="191" t="s">
        <v>616</v>
      </c>
      <c r="G567" s="482" t="s">
        <v>630</v>
      </c>
      <c r="H567" s="7" t="s">
        <v>976</v>
      </c>
      <c r="I567" s="255">
        <v>398</v>
      </c>
      <c r="J567" s="255">
        <v>5000</v>
      </c>
      <c r="K567" s="593">
        <f>ROUND(I567*J567,0)</f>
        <v>1990000</v>
      </c>
      <c r="L567" s="594" t="s">
        <v>259</v>
      </c>
      <c r="M567" s="594" t="s">
        <v>174</v>
      </c>
      <c r="N567" s="52" t="str">
        <f>IF(AND('331-CT'!$E$7=TH!H567,OR(L567="331",M567="331")),"331",IF(AND(OR(L567="131",M567="131"),H567='131-CT'!$E$7),"131",""))</f>
        <v/>
      </c>
      <c r="O567" s="86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799"/>
      <c r="AB567" s="585"/>
    </row>
    <row r="568" spans="1:28" s="210" customFormat="1" ht="15.75" customHeight="1">
      <c r="A568" s="203" t="str">
        <f>IF(B568&lt;&gt;"",IF(AND(B568&gt;=_TM1,B568&lt;=_TM2,OR(TH!L568="1111",TH!M568="1111")),TH!D568,""),"")</f>
        <v/>
      </c>
      <c r="B568" s="36">
        <f>IF(C568&lt;&gt;"",MONTH(C568),"")</f>
        <v>4</v>
      </c>
      <c r="C568" s="183">
        <f>E568</f>
        <v>42124</v>
      </c>
      <c r="D568" s="183" t="s">
        <v>1532</v>
      </c>
      <c r="E568" s="190">
        <v>42124</v>
      </c>
      <c r="F568" s="191" t="s">
        <v>402</v>
      </c>
      <c r="G568" s="482" t="s">
        <v>630</v>
      </c>
      <c r="H568" s="7" t="s">
        <v>976</v>
      </c>
      <c r="I568" s="255"/>
      <c r="J568" s="255"/>
      <c r="K568" s="593">
        <v>199000</v>
      </c>
      <c r="L568" s="594" t="s">
        <v>259</v>
      </c>
      <c r="M568" s="594" t="s">
        <v>371</v>
      </c>
      <c r="N568" s="52" t="str">
        <f>IF(AND('331-CT'!$E$7=TH!H568,OR(L568="331",M568="331")),"331",IF(AND(OR(L568="131",M568="131"),H568='131-CT'!$E$7),"131",""))</f>
        <v/>
      </c>
      <c r="O568" s="86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799"/>
      <c r="AB568" s="585"/>
    </row>
    <row r="569" spans="1:28" s="210" customFormat="1" ht="15.75" customHeight="1">
      <c r="A569" s="203" t="str">
        <f>IF(B569&lt;&gt;"",IF(AND(B569&gt;=_TM1,B569&lt;=_TM2,OR(TH!L569="1111",TH!M569="1111")),TH!D569,""),"")</f>
        <v/>
      </c>
      <c r="B569" s="36">
        <f>IF(C569&lt;&gt;"",MONTH(C569),"")</f>
        <v>4</v>
      </c>
      <c r="C569" s="183">
        <f>E569</f>
        <v>42124</v>
      </c>
      <c r="D569" s="183" t="s">
        <v>1533</v>
      </c>
      <c r="E569" s="190">
        <v>42124</v>
      </c>
      <c r="F569" s="191" t="s">
        <v>631</v>
      </c>
      <c r="G569" s="482" t="s">
        <v>632</v>
      </c>
      <c r="H569" s="7" t="s">
        <v>633</v>
      </c>
      <c r="I569" s="255">
        <v>300</v>
      </c>
      <c r="J569" s="255">
        <v>6100</v>
      </c>
      <c r="K569" s="593">
        <f>ROUND(I569*J569,0)</f>
        <v>1830000</v>
      </c>
      <c r="L569" s="594" t="s">
        <v>259</v>
      </c>
      <c r="M569" s="594" t="s">
        <v>174</v>
      </c>
      <c r="N569" s="52" t="str">
        <f>IF(AND('331-CT'!$E$7=TH!H569,OR(L569="331",M569="331")),"331",IF(AND(OR(L569="131",M569="131"),H569='131-CT'!$E$7),"131",""))</f>
        <v/>
      </c>
      <c r="O569" s="86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799"/>
      <c r="AB569" s="585"/>
    </row>
    <row r="570" spans="1:28" s="210" customFormat="1" ht="15.75" customHeight="1">
      <c r="A570" s="203" t="str">
        <f>IF(B570&lt;&gt;"",IF(AND(B570&gt;=_TM1,B570&lt;=_TM2,OR(TH!L570="1111",TH!M570="1111")),TH!D570,""),"")</f>
        <v/>
      </c>
      <c r="B570" s="36">
        <f>IF(C570&lt;&gt;"",MONTH(C570),"")</f>
        <v>4</v>
      </c>
      <c r="C570" s="183">
        <f>E570</f>
        <v>42124</v>
      </c>
      <c r="D570" s="183" t="s">
        <v>1533</v>
      </c>
      <c r="E570" s="190">
        <v>42124</v>
      </c>
      <c r="F570" s="191" t="s">
        <v>634</v>
      </c>
      <c r="G570" s="482" t="s">
        <v>632</v>
      </c>
      <c r="H570" s="7" t="s">
        <v>633</v>
      </c>
      <c r="I570" s="255">
        <v>108</v>
      </c>
      <c r="J570" s="255">
        <v>7600</v>
      </c>
      <c r="K570" s="593">
        <f>ROUND(I570*J570,0)</f>
        <v>820800</v>
      </c>
      <c r="L570" s="594" t="s">
        <v>259</v>
      </c>
      <c r="M570" s="594" t="s">
        <v>174</v>
      </c>
      <c r="N570" s="52" t="str">
        <f>IF(AND('331-CT'!$E$7=TH!H570,OR(L570="331",M570="331")),"331",IF(AND(OR(L570="131",M570="131"),H570='131-CT'!$E$7),"131",""))</f>
        <v/>
      </c>
      <c r="O570" s="86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799"/>
      <c r="AB570" s="585"/>
    </row>
    <row r="571" spans="1:28" s="210" customFormat="1" ht="15.75" customHeight="1">
      <c r="A571" s="203" t="str">
        <f>IF(B571&lt;&gt;"",IF(AND(B571&gt;=_TM1,B571&lt;=_TM2,OR(TH!L571="1111",TH!M571="1111")),TH!D571,""),"")</f>
        <v/>
      </c>
      <c r="B571" s="36">
        <f>IF(C571&lt;&gt;"",MONTH(C571),"")</f>
        <v>4</v>
      </c>
      <c r="C571" s="183">
        <f>E571</f>
        <v>42124</v>
      </c>
      <c r="D571" s="183" t="s">
        <v>1533</v>
      </c>
      <c r="E571" s="190">
        <v>42124</v>
      </c>
      <c r="F571" s="191" t="s">
        <v>635</v>
      </c>
      <c r="G571" s="482" t="s">
        <v>632</v>
      </c>
      <c r="H571" s="7" t="s">
        <v>633</v>
      </c>
      <c r="I571" s="255">
        <v>407</v>
      </c>
      <c r="J571" s="255">
        <v>5400</v>
      </c>
      <c r="K571" s="593">
        <f>ROUND(I571*J571,0)</f>
        <v>2197800</v>
      </c>
      <c r="L571" s="594" t="s">
        <v>259</v>
      </c>
      <c r="M571" s="594" t="s">
        <v>174</v>
      </c>
      <c r="N571" s="52" t="str">
        <f>IF(AND('331-CT'!$E$7=TH!H571,OR(L571="331",M571="331")),"331",IF(AND(OR(L571="131",M571="131"),H571='131-CT'!$E$7),"131",""))</f>
        <v/>
      </c>
      <c r="O571" s="86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799"/>
      <c r="AB571" s="585"/>
    </row>
    <row r="572" spans="1:28" s="210" customFormat="1" ht="15.75" customHeight="1">
      <c r="A572" s="203" t="str">
        <f>IF(B572&lt;&gt;"",IF(AND(B572&gt;=_TM1,B572&lt;=_TM2,OR(TH!L572="1111",TH!M572="1111")),TH!D572,""),"")</f>
        <v/>
      </c>
      <c r="B572" s="36">
        <f>IF(C572&lt;&gt;"",MONTH(C572),"")</f>
        <v>4</v>
      </c>
      <c r="C572" s="183">
        <f>E572</f>
        <v>42124</v>
      </c>
      <c r="D572" s="183" t="s">
        <v>1533</v>
      </c>
      <c r="E572" s="190">
        <v>42124</v>
      </c>
      <c r="F572" s="191" t="s">
        <v>636</v>
      </c>
      <c r="G572" s="482" t="s">
        <v>632</v>
      </c>
      <c r="H572" s="7" t="s">
        <v>633</v>
      </c>
      <c r="I572" s="255">
        <v>303</v>
      </c>
      <c r="J572" s="255">
        <v>6690</v>
      </c>
      <c r="K572" s="593">
        <f>ROUND(I572*J572,0)</f>
        <v>2027070</v>
      </c>
      <c r="L572" s="594" t="s">
        <v>259</v>
      </c>
      <c r="M572" s="594" t="s">
        <v>174</v>
      </c>
      <c r="N572" s="52" t="str">
        <f>IF(AND('331-CT'!$E$7=TH!H572,OR(L572="331",M572="331")),"331",IF(AND(OR(L572="131",M572="131"),H572='131-CT'!$E$7),"131",""))</f>
        <v/>
      </c>
      <c r="O572" s="86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799"/>
    </row>
    <row r="573" spans="1:28" s="210" customFormat="1" ht="15.75" customHeight="1">
      <c r="A573" s="203" t="str">
        <f>IF(B573&lt;&gt;"",IF(AND(B573&gt;=_TM1,B573&lt;=_TM2,OR(TH!L573="1111",TH!M573="1111")),TH!D573,""),"")</f>
        <v/>
      </c>
      <c r="B573" s="36">
        <f>IF(C573&lt;&gt;"",MONTH(C573),"")</f>
        <v>4</v>
      </c>
      <c r="C573" s="183">
        <f>E573</f>
        <v>42124</v>
      </c>
      <c r="D573" s="183" t="s">
        <v>1533</v>
      </c>
      <c r="E573" s="190">
        <v>42124</v>
      </c>
      <c r="F573" s="191" t="s">
        <v>635</v>
      </c>
      <c r="G573" s="482" t="s">
        <v>632</v>
      </c>
      <c r="H573" s="7" t="s">
        <v>633</v>
      </c>
      <c r="I573" s="255">
        <v>521</v>
      </c>
      <c r="J573" s="255">
        <v>5400</v>
      </c>
      <c r="K573" s="593">
        <f>ROUND(I573*J573,0)</f>
        <v>2813400</v>
      </c>
      <c r="L573" s="594" t="s">
        <v>259</v>
      </c>
      <c r="M573" s="594" t="s">
        <v>174</v>
      </c>
      <c r="N573" s="52" t="str">
        <f>IF(AND('331-CT'!$E$7=TH!H573,OR(L573="331",M573="331")),"331",IF(AND(OR(L573="131",M573="131"),H573='131-CT'!$E$7),"131",""))</f>
        <v/>
      </c>
      <c r="O573" s="86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99"/>
    </row>
    <row r="574" spans="1:28" s="210" customFormat="1" ht="15.75" customHeight="1">
      <c r="A574" s="203" t="str">
        <f>IF(B574&lt;&gt;"",IF(AND(B574&gt;=_TM1,B574&lt;=_TM2,OR(TH!L574="1111",TH!M574="1111")),TH!D574,""),"")</f>
        <v/>
      </c>
      <c r="B574" s="36">
        <f>IF(C574&lt;&gt;"",MONTH(C574),"")</f>
        <v>4</v>
      </c>
      <c r="C574" s="183">
        <f>E574</f>
        <v>42124</v>
      </c>
      <c r="D574" s="183" t="s">
        <v>1533</v>
      </c>
      <c r="E574" s="190">
        <v>42124</v>
      </c>
      <c r="F574" s="191" t="s">
        <v>637</v>
      </c>
      <c r="G574" s="482" t="s">
        <v>632</v>
      </c>
      <c r="H574" s="7" t="s">
        <v>633</v>
      </c>
      <c r="I574" s="255">
        <v>304</v>
      </c>
      <c r="J574" s="255">
        <v>7050</v>
      </c>
      <c r="K574" s="593">
        <f>ROUND(I574*J574,0)</f>
        <v>2143200</v>
      </c>
      <c r="L574" s="594" t="s">
        <v>259</v>
      </c>
      <c r="M574" s="594" t="s">
        <v>174</v>
      </c>
      <c r="N574" s="52" t="str">
        <f>IF(AND('331-CT'!$E$7=TH!H574,OR(L574="331",M574="331")),"331",IF(AND(OR(L574="131",M574="131"),H574='131-CT'!$E$7),"131",""))</f>
        <v/>
      </c>
      <c r="O574" s="86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799"/>
    </row>
    <row r="575" spans="1:28" s="210" customFormat="1" ht="15.75" customHeight="1">
      <c r="A575" s="203" t="str">
        <f>IF(B575&lt;&gt;"",IF(AND(B575&gt;=_TM1,B575&lt;=_TM2,OR(TH!L575="1111",TH!M575="1111")),TH!D575,""),"")</f>
        <v/>
      </c>
      <c r="B575" s="36">
        <f>IF(C575&lt;&gt;"",MONTH(C575),"")</f>
        <v>4</v>
      </c>
      <c r="C575" s="183">
        <f>E575</f>
        <v>42124</v>
      </c>
      <c r="D575" s="183" t="s">
        <v>1533</v>
      </c>
      <c r="E575" s="190">
        <v>42124</v>
      </c>
      <c r="F575" s="191" t="s">
        <v>638</v>
      </c>
      <c r="G575" s="482" t="s">
        <v>632</v>
      </c>
      <c r="H575" s="7" t="s">
        <v>633</v>
      </c>
      <c r="I575" s="255">
        <v>307</v>
      </c>
      <c r="J575" s="255">
        <v>6100</v>
      </c>
      <c r="K575" s="593">
        <f>ROUND(I575*J575,0)</f>
        <v>1872700</v>
      </c>
      <c r="L575" s="594" t="s">
        <v>259</v>
      </c>
      <c r="M575" s="594" t="s">
        <v>174</v>
      </c>
      <c r="N575" s="52" t="str">
        <f>IF(AND('331-CT'!$E$7=TH!H575,OR(L575="331",M575="331")),"331",IF(AND(OR(L575="131",M575="131"),H575='131-CT'!$E$7),"131",""))</f>
        <v/>
      </c>
      <c r="O575" s="86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99"/>
    </row>
    <row r="576" spans="1:28" s="210" customFormat="1" ht="15.75" customHeight="1">
      <c r="A576" s="203" t="str">
        <f>IF(B576&lt;&gt;"",IF(AND(B576&gt;=_TM1,B576&lt;=_TM2,OR(TH!L576="1111",TH!M576="1111")),TH!D576,""),"")</f>
        <v/>
      </c>
      <c r="B576" s="36">
        <f>IF(C576&lt;&gt;"",MONTH(C576),"")</f>
        <v>4</v>
      </c>
      <c r="C576" s="183">
        <f>E576</f>
        <v>42124</v>
      </c>
      <c r="D576" s="183" t="s">
        <v>1533</v>
      </c>
      <c r="E576" s="190">
        <v>42124</v>
      </c>
      <c r="F576" s="191" t="s">
        <v>402</v>
      </c>
      <c r="G576" s="482" t="s">
        <v>632</v>
      </c>
      <c r="H576" s="7" t="s">
        <v>633</v>
      </c>
      <c r="I576" s="255"/>
      <c r="J576" s="255"/>
      <c r="K576" s="593">
        <v>1370497</v>
      </c>
      <c r="L576" s="594" t="s">
        <v>259</v>
      </c>
      <c r="M576" s="594" t="s">
        <v>371</v>
      </c>
      <c r="N576" s="52" t="str">
        <f>IF(AND('331-CT'!$E$7=TH!H576,OR(L576="331",M576="331")),"331",IF(AND(OR(L576="131",M576="131"),H576='131-CT'!$E$7),"131",""))</f>
        <v/>
      </c>
      <c r="O576" s="86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799"/>
      <c r="AB576" s="585"/>
    </row>
    <row r="577" spans="1:28" s="210" customFormat="1" ht="15.75" customHeight="1">
      <c r="A577" s="203" t="str">
        <f>IF(B577&lt;&gt;"",IF(AND(B577&gt;=_TM1,B577&lt;=_TM2,OR(TH!L577="1111",TH!M577="1111")),TH!D577,""),"")</f>
        <v/>
      </c>
      <c r="B577" s="36">
        <f>IF(C577&lt;&gt;"",MONTH(C577),"")</f>
        <v>5</v>
      </c>
      <c r="C577" s="183">
        <f>E577</f>
        <v>42127</v>
      </c>
      <c r="D577" s="183" t="s">
        <v>1534</v>
      </c>
      <c r="E577" s="190">
        <v>42127</v>
      </c>
      <c r="F577" s="191" t="s">
        <v>1702</v>
      </c>
      <c r="G577" s="482" t="s">
        <v>639</v>
      </c>
      <c r="H577" s="7" t="s">
        <v>1934</v>
      </c>
      <c r="I577" s="255">
        <v>2000</v>
      </c>
      <c r="J577" s="255">
        <v>7582</v>
      </c>
      <c r="K577" s="593">
        <f>ROUND(I577*J577,0)</f>
        <v>15164000</v>
      </c>
      <c r="L577" s="594" t="s">
        <v>259</v>
      </c>
      <c r="M577" s="594" t="s">
        <v>174</v>
      </c>
      <c r="N577" s="52" t="str">
        <f>IF(AND('331-CT'!$E$7=TH!H577,OR(L577="331",M577="331")),"331",IF(AND(OR(L577="131",M577="131"),H577='131-CT'!$E$7),"131",""))</f>
        <v/>
      </c>
      <c r="O577" s="86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99"/>
      <c r="AB577" s="585"/>
    </row>
    <row r="578" spans="1:28" s="210" customFormat="1" ht="15.75" customHeight="1">
      <c r="A578" s="203" t="str">
        <f>IF(B578&lt;&gt;"",IF(AND(B578&gt;=_TM1,B578&lt;=_TM2,OR(TH!L578="1111",TH!M578="1111")),TH!D578,""),"")</f>
        <v/>
      </c>
      <c r="B578" s="36">
        <f>IF(C578&lt;&gt;"",MONTH(C578),"")</f>
        <v>5</v>
      </c>
      <c r="C578" s="183">
        <f>E578</f>
        <v>42127</v>
      </c>
      <c r="D578" s="183" t="s">
        <v>1534</v>
      </c>
      <c r="E578" s="190">
        <v>42127</v>
      </c>
      <c r="F578" s="191" t="s">
        <v>1702</v>
      </c>
      <c r="G578" s="482" t="s">
        <v>639</v>
      </c>
      <c r="H578" s="7" t="s">
        <v>1934</v>
      </c>
      <c r="I578" s="255">
        <v>300</v>
      </c>
      <c r="J578" s="255">
        <v>26103</v>
      </c>
      <c r="K578" s="593">
        <f>ROUND(I578*J578,0)</f>
        <v>7830900</v>
      </c>
      <c r="L578" s="594" t="s">
        <v>259</v>
      </c>
      <c r="M578" s="594" t="s">
        <v>174</v>
      </c>
      <c r="N578" s="52" t="str">
        <f>IF(AND('331-CT'!$E$7=TH!H578,OR(L578="331",M578="331")),"331",IF(AND(OR(L578="131",M578="131"),H578='131-CT'!$E$7),"131",""))</f>
        <v/>
      </c>
      <c r="O578" s="86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799"/>
      <c r="AB578" s="585"/>
    </row>
    <row r="579" spans="1:28" s="210" customFormat="1" ht="15.75" customHeight="1">
      <c r="A579" s="203" t="str">
        <f>IF(B579&lt;&gt;"",IF(AND(B579&gt;=_TM1,B579&lt;=_TM2,OR(TH!L579="1111",TH!M579="1111")),TH!D579,""),"")</f>
        <v/>
      </c>
      <c r="B579" s="36">
        <f>IF(C579&lt;&gt;"",MONTH(C579),"")</f>
        <v>5</v>
      </c>
      <c r="C579" s="183">
        <f>E579</f>
        <v>42127</v>
      </c>
      <c r="D579" s="183" t="s">
        <v>1534</v>
      </c>
      <c r="E579" s="190">
        <v>42127</v>
      </c>
      <c r="F579" s="191" t="s">
        <v>465</v>
      </c>
      <c r="G579" s="482" t="s">
        <v>639</v>
      </c>
      <c r="H579" s="7" t="s">
        <v>1934</v>
      </c>
      <c r="I579" s="255"/>
      <c r="J579" s="255"/>
      <c r="K579" s="593">
        <v>2299490</v>
      </c>
      <c r="L579" s="594" t="s">
        <v>259</v>
      </c>
      <c r="M579" s="594" t="s">
        <v>371</v>
      </c>
      <c r="N579" s="52" t="str">
        <f>IF(AND('331-CT'!$E$7=TH!H579,OR(L579="331",M579="331")),"331",IF(AND(OR(L579="131",M579="131"),H579='131-CT'!$E$7),"131",""))</f>
        <v/>
      </c>
      <c r="O579" s="86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799"/>
      <c r="AB579" s="585"/>
    </row>
    <row r="580" spans="1:28" s="210" customFormat="1" ht="15.75" customHeight="1">
      <c r="A580" s="203" t="str">
        <f>IF(B580&lt;&gt;"",IF(AND(B580&gt;=_TM1,B580&lt;=_TM2,OR(TH!L580="1111",TH!M580="1111")),TH!D580,""),"")</f>
        <v/>
      </c>
      <c r="B580" s="36">
        <f>IF(C580&lt;&gt;"",MONTH(C580),"")</f>
        <v>5</v>
      </c>
      <c r="C580" s="183">
        <f>E580</f>
        <v>42128</v>
      </c>
      <c r="D580" s="190" t="s">
        <v>1974</v>
      </c>
      <c r="E580" s="727">
        <v>42128</v>
      </c>
      <c r="F580" s="296" t="s">
        <v>1357</v>
      </c>
      <c r="G580" s="482" t="s">
        <v>1406</v>
      </c>
      <c r="H580" s="7" t="s">
        <v>1391</v>
      </c>
      <c r="I580" s="255">
        <v>1469</v>
      </c>
      <c r="J580" s="255">
        <v>7300</v>
      </c>
      <c r="K580" s="593">
        <f>ROUND(I580*J580,0)</f>
        <v>10723700</v>
      </c>
      <c r="L580" s="594" t="s">
        <v>159</v>
      </c>
      <c r="M580" s="594" t="s">
        <v>8</v>
      </c>
      <c r="N580" s="52" t="str">
        <f>IF(AND('331-CT'!$E$7=TH!H580,OR(L580="331",M580="331")),"331",IF(AND(OR(L580="131",M580="131"),H580='131-CT'!$E$7),"131",""))</f>
        <v/>
      </c>
      <c r="O580" s="86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799"/>
    </row>
    <row r="581" spans="1:28" s="210" customFormat="1" ht="15.75" customHeight="1">
      <c r="A581" s="203" t="str">
        <f>IF(B581&lt;&gt;"",IF(AND(B581&gt;=_TM1,B581&lt;=_TM2,OR(TH!L581="1111",TH!M581="1111")),TH!D581,""),"")</f>
        <v/>
      </c>
      <c r="B581" s="36">
        <f>IF(C581&lt;&gt;"",MONTH(C581),"")</f>
        <v>5</v>
      </c>
      <c r="C581" s="183">
        <f>E581</f>
        <v>42128</v>
      </c>
      <c r="D581" s="190" t="s">
        <v>1974</v>
      </c>
      <c r="E581" s="727">
        <v>42128</v>
      </c>
      <c r="F581" s="296" t="s">
        <v>1393</v>
      </c>
      <c r="G581" s="482" t="s">
        <v>1406</v>
      </c>
      <c r="H581" s="7" t="s">
        <v>1391</v>
      </c>
      <c r="I581" s="255"/>
      <c r="J581" s="255"/>
      <c r="K581" s="593">
        <v>1072370</v>
      </c>
      <c r="L581" s="594" t="s">
        <v>9</v>
      </c>
      <c r="M581" s="594" t="s">
        <v>8</v>
      </c>
      <c r="N581" s="52" t="str">
        <f>IF(AND('331-CT'!$E$7=TH!H581,OR(L581="331",M581="331")),"331",IF(AND(OR(L581="131",M581="131"),H581='131-CT'!$E$7),"131",""))</f>
        <v/>
      </c>
      <c r="O581" s="86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799"/>
    </row>
    <row r="582" spans="1:28" s="210" customFormat="1" ht="15.75" customHeight="1">
      <c r="A582" s="203" t="str">
        <f>IF(B582&lt;&gt;"",IF(AND(B582&gt;=_TM1,B582&lt;=_TM2,OR(TH!L582="1111",TH!M582="1111")),TH!D582,""),"")</f>
        <v/>
      </c>
      <c r="B582" s="36">
        <f>IF(C582&lt;&gt;"",MONTH(C582),"")</f>
        <v>5</v>
      </c>
      <c r="C582" s="183">
        <f>E582</f>
        <v>42129</v>
      </c>
      <c r="D582" s="183" t="s">
        <v>1319</v>
      </c>
      <c r="E582" s="727">
        <v>42129</v>
      </c>
      <c r="F582" s="191" t="s">
        <v>1896</v>
      </c>
      <c r="G582" s="191" t="s">
        <v>1893</v>
      </c>
      <c r="H582" s="192" t="s">
        <v>1334</v>
      </c>
      <c r="I582" s="255"/>
      <c r="J582" s="255"/>
      <c r="K582" s="593">
        <v>13445000</v>
      </c>
      <c r="L582" s="193" t="s">
        <v>24</v>
      </c>
      <c r="M582" s="193" t="s">
        <v>47</v>
      </c>
      <c r="N582" s="52" t="str">
        <f>IF(AND('331-CT'!$E$7=TH!H582,OR(L582="331",M582="331")),"331",IF(AND(OR(L582="131",M582="131"),H582='131-CT'!$E$7),"131",""))</f>
        <v/>
      </c>
      <c r="O582" s="869" t="str">
        <f>IF(AND('341-CT'!$E$9=H582,OR(LEFT(L582,3)=$O$7,LEFT(M582,3)=$O$7)),"x","")</f>
        <v/>
      </c>
      <c r="P582" s="52" t="str">
        <f>IF(AND($B582&gt;='111'!$N$11,$B582&lt;='111'!$O$11,OR($L582=$P$7,$M582=$P$7)),"x","")</f>
        <v>x</v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799"/>
    </row>
    <row r="583" spans="1:28" s="210" customFormat="1" ht="15.75" customHeight="1">
      <c r="A583" s="203" t="str">
        <f>IF(B583&lt;&gt;"",IF(AND(B583&gt;=_TM1,B583&lt;=_TM2,OR(TH!L583="1111",TH!M583="1111")),TH!D583,""),"")</f>
        <v/>
      </c>
      <c r="B583" s="36">
        <f>IF(C583&lt;&gt;"",MONTH(C583),"")</f>
        <v>5</v>
      </c>
      <c r="C583" s="183">
        <f>E583</f>
        <v>42129</v>
      </c>
      <c r="D583" s="190" t="s">
        <v>1324</v>
      </c>
      <c r="E583" s="727">
        <v>42129</v>
      </c>
      <c r="F583" s="191" t="s">
        <v>1897</v>
      </c>
      <c r="G583" s="191" t="s">
        <v>1893</v>
      </c>
      <c r="H583" s="7" t="s">
        <v>1875</v>
      </c>
      <c r="I583" s="256"/>
      <c r="J583" s="256"/>
      <c r="K583" s="593">
        <v>10763889</v>
      </c>
      <c r="L583" s="193" t="s">
        <v>81</v>
      </c>
      <c r="M583" s="193" t="s">
        <v>24</v>
      </c>
      <c r="N583" s="52" t="str">
        <f>IF(AND('331-CT'!$E$7=TH!H583,OR(L583="331",M583="331")),"331",IF(AND(OR(L583="131",M583="131"),H583='131-CT'!$E$7),"131",""))</f>
        <v/>
      </c>
      <c r="O583" s="86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99"/>
    </row>
    <row r="584" spans="1:28" s="210" customFormat="1" ht="15.75" customHeight="1">
      <c r="A584" s="203" t="str">
        <f>IF(B584&lt;&gt;"",IF(AND(B584&gt;=_TM1,B584&lt;=_TM2,OR(TH!L584="1111",TH!M584="1111")),TH!D584,""),"")</f>
        <v/>
      </c>
      <c r="B584" s="36">
        <f>IF(C584&lt;&gt;"",MONTH(C584),"")</f>
        <v>5</v>
      </c>
      <c r="C584" s="183">
        <f>E584</f>
        <v>42129</v>
      </c>
      <c r="D584" s="190" t="s">
        <v>1324</v>
      </c>
      <c r="E584" s="727">
        <v>42129</v>
      </c>
      <c r="F584" s="191" t="s">
        <v>1897</v>
      </c>
      <c r="G584" s="191" t="s">
        <v>1893</v>
      </c>
      <c r="H584" s="7" t="s">
        <v>1877</v>
      </c>
      <c r="I584" s="255"/>
      <c r="J584" s="255"/>
      <c r="K584" s="593">
        <v>600126</v>
      </c>
      <c r="L584" s="193" t="s">
        <v>81</v>
      </c>
      <c r="M584" s="193" t="s">
        <v>24</v>
      </c>
      <c r="N584" s="52" t="str">
        <f>IF(AND('331-CT'!$E$7=TH!H584,OR(L584="331",M584="331")),"331",IF(AND(OR(L584="131",M584="131"),H584='131-CT'!$E$7),"131",""))</f>
        <v/>
      </c>
      <c r="O584" s="86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799"/>
    </row>
    <row r="585" spans="1:28" s="210" customFormat="1" ht="15.75" customHeight="1">
      <c r="A585" s="203" t="str">
        <f>IF(B585&lt;&gt;"",IF(AND(B585&gt;=_TM1,B585&lt;=_TM2,OR(TH!L585="1111",TH!M585="1111")),TH!D585,""),"")</f>
        <v/>
      </c>
      <c r="B585" s="36">
        <f>IF(C585&lt;&gt;"",MONTH(C585),"")</f>
        <v>5</v>
      </c>
      <c r="C585" s="183">
        <f>E585</f>
        <v>42129</v>
      </c>
      <c r="D585" s="190" t="s">
        <v>1324</v>
      </c>
      <c r="E585" s="727">
        <v>42129</v>
      </c>
      <c r="F585" s="191" t="s">
        <v>1897</v>
      </c>
      <c r="G585" s="191" t="s">
        <v>1893</v>
      </c>
      <c r="H585" s="7" t="s">
        <v>1878</v>
      </c>
      <c r="I585" s="256"/>
      <c r="J585" s="256"/>
      <c r="K585" s="593">
        <v>600126</v>
      </c>
      <c r="L585" s="193" t="s">
        <v>81</v>
      </c>
      <c r="M585" s="193" t="s">
        <v>24</v>
      </c>
      <c r="N585" s="52" t="str">
        <f>IF(AND('331-CT'!$E$7=TH!H585,OR(L585="331",M585="331")),"331",IF(AND(OR(L585="131",M585="131"),H585='131-CT'!$E$7),"131",""))</f>
        <v/>
      </c>
      <c r="O585" s="86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99"/>
    </row>
    <row r="586" spans="1:28" s="210" customFormat="1" ht="15.75" customHeight="1">
      <c r="A586" s="203" t="str">
        <f>IF(B586&lt;&gt;"",IF(AND(B586&gt;=_TM1,B586&lt;=_TM2,OR(TH!L586="1111",TH!M586="1111")),TH!D586,""),"")</f>
        <v/>
      </c>
      <c r="B586" s="36">
        <f>IF(C586&lt;&gt;"",MONTH(C586),"")</f>
        <v>5</v>
      </c>
      <c r="C586" s="183">
        <f>E586</f>
        <v>42129</v>
      </c>
      <c r="D586" s="190" t="s">
        <v>1324</v>
      </c>
      <c r="E586" s="727">
        <v>42129</v>
      </c>
      <c r="F586" s="191" t="s">
        <v>1897</v>
      </c>
      <c r="G586" s="482" t="s">
        <v>1893</v>
      </c>
      <c r="H586" s="7" t="s">
        <v>1879</v>
      </c>
      <c r="I586" s="255"/>
      <c r="J586" s="255"/>
      <c r="K586" s="593">
        <v>590119</v>
      </c>
      <c r="L586" s="193" t="s">
        <v>81</v>
      </c>
      <c r="M586" s="193" t="s">
        <v>24</v>
      </c>
      <c r="N586" s="52" t="str">
        <f>IF(AND('331-CT'!$E$7=TH!H586,OR(L586="331",M586="331")),"331",IF(AND(OR(L586="131",M586="131"),H586='131-CT'!$E$7),"131",""))</f>
        <v/>
      </c>
      <c r="O586" s="86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799"/>
    </row>
    <row r="587" spans="1:28" s="210" customFormat="1" ht="15.75" customHeight="1">
      <c r="A587" s="203" t="str">
        <f>IF(B587&lt;&gt;"",IF(AND(B587&gt;=_TM1,B587&lt;=_TM2,OR(TH!L587="1111",TH!M587="1111")),TH!D587,""),"")</f>
        <v/>
      </c>
      <c r="B587" s="36">
        <f>IF(C587&lt;&gt;"",MONTH(C587),"")</f>
        <v>5</v>
      </c>
      <c r="C587" s="183">
        <f>E587</f>
        <v>42129</v>
      </c>
      <c r="D587" s="190" t="s">
        <v>1324</v>
      </c>
      <c r="E587" s="727">
        <v>42129</v>
      </c>
      <c r="F587" s="191" t="s">
        <v>1897</v>
      </c>
      <c r="G587" s="482" t="s">
        <v>1893</v>
      </c>
      <c r="H587" s="7" t="s">
        <v>1902</v>
      </c>
      <c r="I587" s="255"/>
      <c r="J587" s="255"/>
      <c r="K587" s="593">
        <v>890509</v>
      </c>
      <c r="L587" s="193" t="s">
        <v>81</v>
      </c>
      <c r="M587" s="594" t="s">
        <v>24</v>
      </c>
      <c r="N587" s="52" t="str">
        <f>IF(AND('331-CT'!$E$7=TH!H587,OR(L587="331",M587="331")),"331",IF(AND(OR(L587="131",M587="131"),H587='131-CT'!$E$7),"131",""))</f>
        <v/>
      </c>
      <c r="O587" s="86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99"/>
    </row>
    <row r="588" spans="1:28" s="210" customFormat="1" ht="15.75" customHeight="1">
      <c r="A588" s="203" t="str">
        <f>IF(B588&lt;&gt;"",IF(AND(B588&gt;=_TM1,B588&lt;=_TM2,OR(TH!L588="1111",TH!M588="1111")),TH!D588,""),"")</f>
        <v/>
      </c>
      <c r="B588" s="36">
        <f>IF(C588&lt;&gt;"",MONTH(C588),"")</f>
        <v>5</v>
      </c>
      <c r="C588" s="183">
        <f>E588</f>
        <v>42130</v>
      </c>
      <c r="D588" s="190" t="s">
        <v>1975</v>
      </c>
      <c r="E588" s="727">
        <v>42130</v>
      </c>
      <c r="F588" s="296" t="s">
        <v>1357</v>
      </c>
      <c r="G588" s="482" t="s">
        <v>1407</v>
      </c>
      <c r="H588" s="7" t="s">
        <v>1391</v>
      </c>
      <c r="I588" s="255">
        <v>1602</v>
      </c>
      <c r="J588" s="255">
        <v>7300</v>
      </c>
      <c r="K588" s="593">
        <f>ROUND(I588*J588,0)</f>
        <v>11694600</v>
      </c>
      <c r="L588" s="594" t="s">
        <v>159</v>
      </c>
      <c r="M588" s="594" t="s">
        <v>8</v>
      </c>
      <c r="N588" s="52" t="str">
        <f>IF(AND('331-CT'!$E$7=TH!H588,OR(L588="331",M588="331")),"331",IF(AND(OR(L588="131",M588="131"),H588='131-CT'!$E$7),"131",""))</f>
        <v/>
      </c>
      <c r="O588" s="86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799"/>
    </row>
    <row r="589" spans="1:28" s="210" customFormat="1" ht="15.75" customHeight="1">
      <c r="A589" s="203" t="str">
        <f>IF(B589&lt;&gt;"",IF(AND(B589&gt;=_TM1,B589&lt;=_TM2,OR(TH!L589="1111",TH!M589="1111")),TH!D589,""),"")</f>
        <v/>
      </c>
      <c r="B589" s="36">
        <f>IF(C589&lt;&gt;"",MONTH(C589),"")</f>
        <v>5</v>
      </c>
      <c r="C589" s="183">
        <f>E589</f>
        <v>42130</v>
      </c>
      <c r="D589" s="190" t="s">
        <v>1975</v>
      </c>
      <c r="E589" s="727">
        <v>42130</v>
      </c>
      <c r="F589" s="296" t="s">
        <v>1393</v>
      </c>
      <c r="G589" s="482" t="s">
        <v>1407</v>
      </c>
      <c r="H589" s="7" t="s">
        <v>1391</v>
      </c>
      <c r="I589" s="255"/>
      <c r="J589" s="255"/>
      <c r="K589" s="593">
        <v>1169460</v>
      </c>
      <c r="L589" s="594" t="s">
        <v>9</v>
      </c>
      <c r="M589" s="594" t="s">
        <v>8</v>
      </c>
      <c r="N589" s="52" t="str">
        <f>IF(AND('331-CT'!$E$7=TH!H589,OR(L589="331",M589="331")),"331",IF(AND(OR(L589="131",M589="131"),H589='131-CT'!$E$7),"131",""))</f>
        <v/>
      </c>
      <c r="O589" s="86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799"/>
    </row>
    <row r="590" spans="1:28" s="210" customFormat="1" ht="15.75" customHeight="1">
      <c r="A590" s="203" t="str">
        <f>IF(B590&lt;&gt;"",IF(AND(B590&gt;=_TM1,B590&lt;=_TM2,OR(TH!L590="1111",TH!M590="1111")),TH!D590,""),"")</f>
        <v/>
      </c>
      <c r="B590" s="36">
        <f>IF(C590&lt;&gt;"",MONTH(C590),"")</f>
        <v>5</v>
      </c>
      <c r="C590" s="183">
        <f>E590</f>
        <v>42132</v>
      </c>
      <c r="D590" s="183" t="s">
        <v>1319</v>
      </c>
      <c r="E590" s="190">
        <v>42132</v>
      </c>
      <c r="F590" s="749" t="s">
        <v>1320</v>
      </c>
      <c r="G590" s="482" t="s">
        <v>332</v>
      </c>
      <c r="H590" s="7" t="s">
        <v>407</v>
      </c>
      <c r="I590" s="255"/>
      <c r="J590" s="255"/>
      <c r="K590" s="593">
        <v>42111091</v>
      </c>
      <c r="L590" s="594" t="s">
        <v>24</v>
      </c>
      <c r="M590" s="594" t="s">
        <v>259</v>
      </c>
      <c r="N590" s="52" t="str">
        <f>IF(AND('331-CT'!$E$7=TH!H590,OR(L590="331",M590="331")),"331",IF(AND(OR(L590="131",M590="131"),H590='131-CT'!$E$7),"131",""))</f>
        <v/>
      </c>
      <c r="O590" s="86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>x</v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99"/>
    </row>
    <row r="591" spans="1:28" s="210" customFormat="1" ht="15.75" customHeight="1">
      <c r="A591" s="203" t="str">
        <f>IF(B591&lt;&gt;"",IF(AND(B591&gt;=_TM1,B591&lt;=_TM2,OR(TH!L591="1111",TH!M591="1111")),TH!D591,""),"")</f>
        <v/>
      </c>
      <c r="B591" s="36">
        <f>IF(C591&lt;&gt;"",MONTH(C591),"")</f>
        <v>5</v>
      </c>
      <c r="C591" s="183">
        <f>E591</f>
        <v>42132</v>
      </c>
      <c r="D591" s="37"/>
      <c r="E591" s="727">
        <v>42132</v>
      </c>
      <c r="F591" s="188" t="s">
        <v>1351</v>
      </c>
      <c r="G591" s="482" t="s">
        <v>1408</v>
      </c>
      <c r="H591" s="7" t="s">
        <v>1350</v>
      </c>
      <c r="I591" s="255"/>
      <c r="J591" s="255"/>
      <c r="K591" s="593">
        <f>268601+616236+499194+393361</f>
        <v>1777392</v>
      </c>
      <c r="L591" s="594" t="s">
        <v>83</v>
      </c>
      <c r="M591" s="594" t="s">
        <v>47</v>
      </c>
      <c r="N591" s="52" t="str">
        <f>IF(AND('331-CT'!$E$7=TH!H591,OR(L591="331",M591="331")),"331",IF(AND(OR(L591="131",M591="131"),H591='131-CT'!$E$7),"131",""))</f>
        <v/>
      </c>
      <c r="O591" s="869" t="str">
        <f>IF(AND('341-CT'!$E$9=H591,OR(LEFT(L591,3)=$O$7,LEFT(M591,3)=$O$7)),"x","")</f>
        <v/>
      </c>
      <c r="P591" s="52" t="str">
        <f>IF(AND($B591&gt;='111'!$N$11,$B591&lt;='111'!$O$11,OR($L591=$P$7,$M591=$P$7)),"x","")</f>
        <v>x</v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799"/>
    </row>
    <row r="592" spans="1:28" s="210" customFormat="1" ht="15.75" customHeight="1">
      <c r="A592" s="203" t="str">
        <f>IF(B592&lt;&gt;"",IF(AND(B592&gt;=_TM1,B592&lt;=_TM2,OR(TH!L592="1111",TH!M592="1111")),TH!D592,""),"")</f>
        <v/>
      </c>
      <c r="B592" s="36">
        <f>IF(C592&lt;&gt;"",MONTH(C592),"")</f>
        <v>5</v>
      </c>
      <c r="C592" s="183">
        <f>E592</f>
        <v>42132</v>
      </c>
      <c r="D592" s="37"/>
      <c r="E592" s="727">
        <v>42132</v>
      </c>
      <c r="F592" s="188" t="s">
        <v>1352</v>
      </c>
      <c r="G592" s="482" t="s">
        <v>1355</v>
      </c>
      <c r="H592" s="7" t="s">
        <v>1350</v>
      </c>
      <c r="I592" s="255"/>
      <c r="J592" s="255"/>
      <c r="K592" s="593">
        <f>26862+61624+49918+39336</f>
        <v>177740</v>
      </c>
      <c r="L592" s="594" t="s">
        <v>9</v>
      </c>
      <c r="M592" s="594" t="s">
        <v>47</v>
      </c>
      <c r="N592" s="52" t="str">
        <f>IF(AND('331-CT'!$E$7=TH!H592,OR(L592="331",M592="331")),"331",IF(AND(OR(L592="131",M592="131"),H592='131-CT'!$E$7),"131",""))</f>
        <v/>
      </c>
      <c r="O592" s="869" t="str">
        <f>IF(AND('341-CT'!$E$9=H592,OR(LEFT(L592,3)=$O$7,LEFT(M592,3)=$O$7)),"x","")</f>
        <v/>
      </c>
      <c r="P592" s="52" t="str">
        <f>IF(AND($B592&gt;='111'!$N$11,$B592&lt;='111'!$O$11,OR($L592=$P$7,$M592=$P$7)),"x","")</f>
        <v>x</v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99"/>
    </row>
    <row r="593" spans="1:28" s="210" customFormat="1" ht="15.75" customHeight="1">
      <c r="A593" s="203" t="str">
        <f>IF(B593&lt;&gt;"",IF(AND(B593&gt;=_TM1,B593&lt;=_TM2,OR(TH!L593="1111",TH!M593="1111")),TH!D593,""),"")</f>
        <v/>
      </c>
      <c r="B593" s="36">
        <f>IF(C593&lt;&gt;"",MONTH(C593),"")</f>
        <v>5</v>
      </c>
      <c r="C593" s="183">
        <f>E593</f>
        <v>42132</v>
      </c>
      <c r="D593" s="190" t="s">
        <v>1976</v>
      </c>
      <c r="E593" s="727">
        <v>42132</v>
      </c>
      <c r="F593" s="191" t="s">
        <v>1402</v>
      </c>
      <c r="G593" s="482" t="s">
        <v>1409</v>
      </c>
      <c r="H593" s="7" t="s">
        <v>1397</v>
      </c>
      <c r="I593" s="255">
        <v>1771</v>
      </c>
      <c r="J593" s="255">
        <v>9000</v>
      </c>
      <c r="K593" s="593">
        <f>ROUND(I593*J593,0)</f>
        <v>15939000</v>
      </c>
      <c r="L593" s="594" t="s">
        <v>159</v>
      </c>
      <c r="M593" s="594" t="s">
        <v>8</v>
      </c>
      <c r="N593" s="52" t="str">
        <f>IF(AND('331-CT'!$E$7=TH!H593,OR(L593="331",M593="331")),"331",IF(AND(OR(L593="131",M593="131"),H593='131-CT'!$E$7),"131",""))</f>
        <v/>
      </c>
      <c r="O593" s="86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799"/>
    </row>
    <row r="594" spans="1:28" s="210" customFormat="1" ht="15.75" customHeight="1">
      <c r="A594" s="203" t="str">
        <f>IF(B594&lt;&gt;"",IF(AND(B594&gt;=_TM1,B594&lt;=_TM2,OR(TH!L594="1111",TH!M594="1111")),TH!D594,""),"")</f>
        <v/>
      </c>
      <c r="B594" s="36">
        <f>IF(C594&lt;&gt;"",MONTH(C594),"")</f>
        <v>5</v>
      </c>
      <c r="C594" s="183">
        <f>E594</f>
        <v>42132</v>
      </c>
      <c r="D594" s="190" t="s">
        <v>1976</v>
      </c>
      <c r="E594" s="727">
        <v>42132</v>
      </c>
      <c r="F594" s="191" t="s">
        <v>1379</v>
      </c>
      <c r="G594" s="482" t="s">
        <v>1409</v>
      </c>
      <c r="H594" s="7" t="s">
        <v>1397</v>
      </c>
      <c r="I594" s="255"/>
      <c r="J594" s="255"/>
      <c r="K594" s="593">
        <v>1593900</v>
      </c>
      <c r="L594" s="594" t="s">
        <v>9</v>
      </c>
      <c r="M594" s="594" t="s">
        <v>8</v>
      </c>
      <c r="N594" s="52" t="str">
        <f>IF(AND('331-CT'!$E$7=TH!H594,OR(L594="331",M594="331")),"331",IF(AND(OR(L594="131",M594="131"),H594='131-CT'!$E$7),"131",""))</f>
        <v/>
      </c>
      <c r="O594" s="86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99"/>
    </row>
    <row r="595" spans="1:28" s="210" customFormat="1" ht="15.75" customHeight="1">
      <c r="A595" s="203" t="str">
        <f>IF(B595&lt;&gt;"",IF(AND(B595&gt;=_TM1,B595&lt;=_TM2,OR(TH!L595="1111",TH!M595="1111")),TH!D595,""),"")</f>
        <v/>
      </c>
      <c r="B595" s="36">
        <f>IF(C595&lt;&gt;"",MONTH(C595),"")</f>
        <v>5</v>
      </c>
      <c r="C595" s="183">
        <f>E595</f>
        <v>42132</v>
      </c>
      <c r="D595" s="190" t="s">
        <v>1976</v>
      </c>
      <c r="E595" s="727">
        <v>42132</v>
      </c>
      <c r="F595" s="296" t="s">
        <v>1326</v>
      </c>
      <c r="G595" s="482" t="s">
        <v>1409</v>
      </c>
      <c r="H595" s="7" t="s">
        <v>1397</v>
      </c>
      <c r="I595" s="255"/>
      <c r="J595" s="255"/>
      <c r="K595" s="593">
        <v>9954980</v>
      </c>
      <c r="L595" s="594" t="s">
        <v>8</v>
      </c>
      <c r="M595" s="594" t="s">
        <v>47</v>
      </c>
      <c r="N595" s="52" t="str">
        <f>IF(AND('331-CT'!$E$7=TH!H595,OR(L595="331",M595="331")),"331",IF(AND(OR(L595="131",M595="131"),H595='131-CT'!$E$7),"131",""))</f>
        <v/>
      </c>
      <c r="O595" s="869" t="str">
        <f>IF(AND('341-CT'!$E$9=H595,OR(LEFT(L595,3)=$O$7,LEFT(M595,3)=$O$7)),"x","")</f>
        <v/>
      </c>
      <c r="P595" s="52" t="str">
        <f>IF(AND($B595&gt;='111'!$N$11,$B595&lt;='111'!$O$11,OR($L595=$P$7,$M595=$P$7)),"x","")</f>
        <v>x</v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799"/>
    </row>
    <row r="596" spans="1:28" s="210" customFormat="1" ht="15.75" customHeight="1">
      <c r="A596" s="203" t="str">
        <f>IF(B596&lt;&gt;"",IF(AND(B596&gt;=_TM1,B596&lt;=_TM2,OR(TH!L596="1111",TH!M596="1111")),TH!D596,""),"")</f>
        <v/>
      </c>
      <c r="B596" s="36">
        <f>IF(C596&lt;&gt;"",MONTH(C596),"")</f>
        <v>5</v>
      </c>
      <c r="C596" s="183">
        <f>E596</f>
        <v>42133</v>
      </c>
      <c r="D596" s="183" t="s">
        <v>1535</v>
      </c>
      <c r="E596" s="190">
        <v>42133</v>
      </c>
      <c r="F596" s="191" t="s">
        <v>518</v>
      </c>
      <c r="G596" s="482" t="s">
        <v>640</v>
      </c>
      <c r="H596" s="7" t="s">
        <v>444</v>
      </c>
      <c r="I596" s="255">
        <v>1063</v>
      </c>
      <c r="J596" s="255">
        <v>10700</v>
      </c>
      <c r="K596" s="593">
        <f>ROUND(I596*J596,0)</f>
        <v>11374100</v>
      </c>
      <c r="L596" s="594" t="s">
        <v>259</v>
      </c>
      <c r="M596" s="594" t="s">
        <v>174</v>
      </c>
      <c r="N596" s="52" t="str">
        <f>IF(AND('331-CT'!$E$7=TH!H596,OR(L596="331",M596="331")),"331",IF(AND(OR(L596="131",M596="131"),H596='131-CT'!$E$7),"131",""))</f>
        <v/>
      </c>
      <c r="O596" s="86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99"/>
      <c r="AB596" s="585"/>
    </row>
    <row r="597" spans="1:28" s="210" customFormat="1" ht="15.75" customHeight="1">
      <c r="A597" s="203" t="str">
        <f>IF(B597&lt;&gt;"",IF(AND(B597&gt;=_TM1,B597&lt;=_TM2,OR(TH!L597="1111",TH!M597="1111")),TH!D597,""),"")</f>
        <v/>
      </c>
      <c r="B597" s="36">
        <f>IF(C597&lt;&gt;"",MONTH(C597),"")</f>
        <v>5</v>
      </c>
      <c r="C597" s="183">
        <f>E597</f>
        <v>42133</v>
      </c>
      <c r="D597" s="183" t="s">
        <v>1535</v>
      </c>
      <c r="E597" s="190">
        <v>42133</v>
      </c>
      <c r="F597" s="191" t="s">
        <v>516</v>
      </c>
      <c r="G597" s="482" t="s">
        <v>640</v>
      </c>
      <c r="H597" s="7" t="s">
        <v>444</v>
      </c>
      <c r="I597" s="255">
        <v>406</v>
      </c>
      <c r="J597" s="255">
        <v>10000</v>
      </c>
      <c r="K597" s="593">
        <f>ROUND(I597*J597,0)</f>
        <v>4060000</v>
      </c>
      <c r="L597" s="594" t="s">
        <v>259</v>
      </c>
      <c r="M597" s="594" t="s">
        <v>174</v>
      </c>
      <c r="N597" s="52" t="str">
        <f>IF(AND('331-CT'!$E$7=TH!H597,OR(L597="331",M597="331")),"331",IF(AND(OR(L597="131",M597="131"),H597='131-CT'!$E$7),"131",""))</f>
        <v/>
      </c>
      <c r="O597" s="86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799"/>
      <c r="AB597" s="585"/>
    </row>
    <row r="598" spans="1:28" s="210" customFormat="1" ht="15.75" customHeight="1">
      <c r="A598" s="203" t="str">
        <f>IF(B598&lt;&gt;"",IF(AND(B598&gt;=_TM1,B598&lt;=_TM2,OR(TH!L598="1111",TH!M598="1111")),TH!D598,""),"")</f>
        <v/>
      </c>
      <c r="B598" s="36">
        <f>IF(C598&lt;&gt;"",MONTH(C598),"")</f>
        <v>5</v>
      </c>
      <c r="C598" s="183">
        <f>E598</f>
        <v>42133</v>
      </c>
      <c r="D598" s="183" t="s">
        <v>1535</v>
      </c>
      <c r="E598" s="190">
        <v>42133</v>
      </c>
      <c r="F598" s="191" t="s">
        <v>402</v>
      </c>
      <c r="G598" s="482" t="s">
        <v>640</v>
      </c>
      <c r="H598" s="7" t="s">
        <v>444</v>
      </c>
      <c r="I598" s="255"/>
      <c r="J598" s="255"/>
      <c r="K598" s="593">
        <v>1543410</v>
      </c>
      <c r="L598" s="594" t="s">
        <v>259</v>
      </c>
      <c r="M598" s="594" t="s">
        <v>371</v>
      </c>
      <c r="N598" s="52" t="str">
        <f>IF(AND('331-CT'!$E$7=TH!H598,OR(L598="331",M598="331")),"331",IF(AND(OR(L598="131",M598="131"),H598='131-CT'!$E$7),"131",""))</f>
        <v/>
      </c>
      <c r="O598" s="86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799"/>
      <c r="AB598" s="585"/>
    </row>
    <row r="599" spans="1:28" s="210" customFormat="1" ht="15.75" customHeight="1">
      <c r="A599" s="203" t="str">
        <f>IF(B599&lt;&gt;"",IF(AND(B599&gt;=_TM1,B599&lt;=_TM2,OR(TH!L599="1111",TH!M599="1111")),TH!D599,""),"")</f>
        <v/>
      </c>
      <c r="B599" s="36">
        <f>IF(C599&lt;&gt;"",MONTH(C599),"")</f>
        <v>5</v>
      </c>
      <c r="C599" s="183">
        <f>E599</f>
        <v>42133</v>
      </c>
      <c r="D599" s="183" t="s">
        <v>1536</v>
      </c>
      <c r="E599" s="190">
        <v>42133</v>
      </c>
      <c r="F599" s="188" t="s">
        <v>413</v>
      </c>
      <c r="G599" s="482" t="s">
        <v>641</v>
      </c>
      <c r="H599" s="7" t="s">
        <v>412</v>
      </c>
      <c r="I599" s="255">
        <v>298</v>
      </c>
      <c r="J599" s="255">
        <v>10500</v>
      </c>
      <c r="K599" s="593">
        <f>ROUND(I599*J599,0)</f>
        <v>3129000</v>
      </c>
      <c r="L599" s="594" t="s">
        <v>259</v>
      </c>
      <c r="M599" s="594" t="s">
        <v>174</v>
      </c>
      <c r="N599" s="52" t="str">
        <f>IF(AND('331-CT'!$E$7=TH!H599,OR(L599="331",M599="331")),"331",IF(AND(OR(L599="131",M599="131"),H599='131-CT'!$E$7),"131",""))</f>
        <v/>
      </c>
      <c r="O599" s="86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799"/>
      <c r="AB599" s="585"/>
    </row>
    <row r="600" spans="1:28" s="210" customFormat="1" ht="15.75" customHeight="1">
      <c r="A600" s="203" t="str">
        <f>IF(B600&lt;&gt;"",IF(AND(B600&gt;=_TM1,B600&lt;=_TM2,OR(TH!L600="1111",TH!M600="1111")),TH!D600,""),"")</f>
        <v/>
      </c>
      <c r="B600" s="36">
        <f>IF(C600&lt;&gt;"",MONTH(C600),"")</f>
        <v>5</v>
      </c>
      <c r="C600" s="183">
        <f>E600</f>
        <v>42133</v>
      </c>
      <c r="D600" s="183" t="s">
        <v>1536</v>
      </c>
      <c r="E600" s="190">
        <v>42133</v>
      </c>
      <c r="F600" s="191" t="s">
        <v>402</v>
      </c>
      <c r="G600" s="482" t="s">
        <v>641</v>
      </c>
      <c r="H600" s="7" t="s">
        <v>412</v>
      </c>
      <c r="I600" s="255"/>
      <c r="J600" s="255"/>
      <c r="K600" s="593">
        <v>312900</v>
      </c>
      <c r="L600" s="594" t="s">
        <v>259</v>
      </c>
      <c r="M600" s="594" t="s">
        <v>371</v>
      </c>
      <c r="N600" s="52" t="str">
        <f>IF(AND('331-CT'!$E$7=TH!H600,OR(L600="331",M600="331")),"331",IF(AND(OR(L600="131",M600="131"),H600='131-CT'!$E$7),"131",""))</f>
        <v/>
      </c>
      <c r="O600" s="86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799"/>
      <c r="AB600" s="585"/>
    </row>
    <row r="601" spans="1:28" s="210" customFormat="1" ht="15.75" customHeight="1">
      <c r="A601" s="203" t="str">
        <f>IF(B601&lt;&gt;"",IF(AND(B601&gt;=_TM1,B601&lt;=_TM2,OR(TH!L601="1111",TH!M601="1111")),TH!D601,""),"")</f>
        <v/>
      </c>
      <c r="B601" s="36">
        <f>IF(C601&lt;&gt;"",MONTH(C601),"")</f>
        <v>5</v>
      </c>
      <c r="C601" s="183">
        <f>E601</f>
        <v>42133</v>
      </c>
      <c r="D601" s="183" t="s">
        <v>1324</v>
      </c>
      <c r="E601" s="190">
        <v>42133</v>
      </c>
      <c r="F601" s="188" t="s">
        <v>1325</v>
      </c>
      <c r="G601" s="482" t="s">
        <v>332</v>
      </c>
      <c r="H601" s="7" t="s">
        <v>1322</v>
      </c>
      <c r="I601" s="255"/>
      <c r="J601" s="255"/>
      <c r="K601" s="593">
        <v>7000000</v>
      </c>
      <c r="L601" s="594" t="s">
        <v>47</v>
      </c>
      <c r="M601" s="594" t="s">
        <v>24</v>
      </c>
      <c r="N601" s="52" t="str">
        <f>IF(AND('331-CT'!$E$7=TH!H601,OR(L601="331",M601="331")),"331",IF(AND(OR(L601="131",M601="131"),H601='131-CT'!$E$7),"131",""))</f>
        <v/>
      </c>
      <c r="O601" s="869" t="str">
        <f>IF(AND('341-CT'!$E$9=H601,OR(LEFT(L601,3)=$O$7,LEFT(M601,3)=$O$7)),"x","")</f>
        <v/>
      </c>
      <c r="P601" s="52" t="str">
        <f>IF(AND($B601&gt;='111'!$N$11,$B601&lt;='111'!$O$11,OR($L601=$P$7,$M601=$P$7)),"x","")</f>
        <v>x</v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>x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799"/>
    </row>
    <row r="602" spans="1:28" s="210" customFormat="1" ht="15.75" customHeight="1">
      <c r="A602" s="203" t="str">
        <f>IF(B602&lt;&gt;"",IF(AND(B602&gt;=_TM1,B602&lt;=_TM2,OR(TH!L602="1111",TH!M602="1111")),TH!D602,""),"")</f>
        <v/>
      </c>
      <c r="B602" s="36">
        <f>IF(C602&lt;&gt;"",MONTH(C602),"")</f>
        <v>5</v>
      </c>
      <c r="C602" s="183">
        <f>E602</f>
        <v>42133</v>
      </c>
      <c r="D602" s="183" t="s">
        <v>1324</v>
      </c>
      <c r="E602" s="190">
        <v>42133</v>
      </c>
      <c r="F602" s="296" t="s">
        <v>1326</v>
      </c>
      <c r="G602" s="482" t="s">
        <v>332</v>
      </c>
      <c r="H602" s="831" t="s">
        <v>1930</v>
      </c>
      <c r="I602" s="255"/>
      <c r="J602" s="255"/>
      <c r="K602" s="593">
        <v>35169870</v>
      </c>
      <c r="L602" s="594" t="s">
        <v>8</v>
      </c>
      <c r="M602" s="594" t="s">
        <v>24</v>
      </c>
      <c r="N602" s="52" t="str">
        <f>IF(AND('331-CT'!$E$7=TH!H602,OR(L602="331",M602="331")),"331",IF(AND(OR(L602="131",M602="131"),H602='131-CT'!$E$7),"131",""))</f>
        <v/>
      </c>
      <c r="O602" s="86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>x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99"/>
    </row>
    <row r="603" spans="1:28" s="210" customFormat="1" ht="15.75" customHeight="1">
      <c r="A603" s="203" t="str">
        <f>IF(B603&lt;&gt;"",IF(AND(B603&gt;=_TM1,B603&lt;=_TM2,OR(TH!L603="1111",TH!M603="1111")),TH!D603,""),"")</f>
        <v/>
      </c>
      <c r="B603" s="36">
        <f>IF(C603&lt;&gt;"",MONTH(C603),"")</f>
        <v>5</v>
      </c>
      <c r="C603" s="183">
        <f>E603</f>
        <v>42133</v>
      </c>
      <c r="D603" s="190" t="s">
        <v>1977</v>
      </c>
      <c r="E603" s="727">
        <v>42133</v>
      </c>
      <c r="F603" s="296" t="s">
        <v>1357</v>
      </c>
      <c r="G603" s="482" t="s">
        <v>1410</v>
      </c>
      <c r="H603" s="7" t="s">
        <v>1391</v>
      </c>
      <c r="I603" s="255">
        <v>2480</v>
      </c>
      <c r="J603" s="255">
        <v>7300</v>
      </c>
      <c r="K603" s="593">
        <f>ROUND(I603*J603,0)</f>
        <v>18104000</v>
      </c>
      <c r="L603" s="594" t="s">
        <v>159</v>
      </c>
      <c r="M603" s="594" t="s">
        <v>8</v>
      </c>
      <c r="N603" s="52" t="str">
        <f>IF(AND('331-CT'!$E$7=TH!H603,OR(L603="331",M603="331")),"331",IF(AND(OR(L603="131",M603="131"),H603='131-CT'!$E$7),"131",""))</f>
        <v/>
      </c>
      <c r="O603" s="86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799"/>
    </row>
    <row r="604" spans="1:28" s="210" customFormat="1" ht="15.75" customHeight="1">
      <c r="A604" s="203" t="str">
        <f>IF(B604&lt;&gt;"",IF(AND(B604&gt;=_TM1,B604&lt;=_TM2,OR(TH!L604="1111",TH!M604="1111")),TH!D604,""),"")</f>
        <v/>
      </c>
      <c r="B604" s="36">
        <f>IF(C604&lt;&gt;"",MONTH(C604),"")</f>
        <v>5</v>
      </c>
      <c r="C604" s="183">
        <f>E604</f>
        <v>42133</v>
      </c>
      <c r="D604" s="190" t="s">
        <v>1977</v>
      </c>
      <c r="E604" s="727">
        <v>42133</v>
      </c>
      <c r="F604" s="296" t="s">
        <v>1393</v>
      </c>
      <c r="G604" s="482" t="s">
        <v>1410</v>
      </c>
      <c r="H604" s="7" t="s">
        <v>1391</v>
      </c>
      <c r="I604" s="255"/>
      <c r="J604" s="255"/>
      <c r="K604" s="593">
        <v>1810400</v>
      </c>
      <c r="L604" s="594" t="s">
        <v>9</v>
      </c>
      <c r="M604" s="594" t="s">
        <v>8</v>
      </c>
      <c r="N604" s="52" t="str">
        <f>IF(AND('331-CT'!$E$7=TH!H604,OR(L604="331",M604="331")),"331",IF(AND(OR(L604="131",M604="131"),H604='131-CT'!$E$7),"131",""))</f>
        <v/>
      </c>
      <c r="O604" s="86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99"/>
    </row>
    <row r="605" spans="1:28" s="210" customFormat="1" ht="15.75" customHeight="1">
      <c r="A605" s="203" t="str">
        <f>IF(B605&lt;&gt;"",IF(AND(B605&gt;=_TM1,B605&lt;=_TM2,OR(TH!L605="1111",TH!M605="1111")),TH!D605,""),"")</f>
        <v/>
      </c>
      <c r="B605" s="36">
        <f>IF(C605&lt;&gt;"",MONTH(C605),"")</f>
        <v>5</v>
      </c>
      <c r="C605" s="183">
        <f>E605</f>
        <v>42133</v>
      </c>
      <c r="D605" s="190" t="s">
        <v>1977</v>
      </c>
      <c r="E605" s="727">
        <v>42133</v>
      </c>
      <c r="F605" s="296" t="s">
        <v>1326</v>
      </c>
      <c r="G605" s="482" t="s">
        <v>1410</v>
      </c>
      <c r="H605" s="7" t="s">
        <v>1391</v>
      </c>
      <c r="I605" s="255"/>
      <c r="J605" s="255"/>
      <c r="K605" s="593">
        <v>19914400</v>
      </c>
      <c r="L605" s="594" t="s">
        <v>8</v>
      </c>
      <c r="M605" s="594" t="s">
        <v>47</v>
      </c>
      <c r="N605" s="52" t="str">
        <f>IF(AND('331-CT'!$E$7=TH!H605,OR(L605="331",M605="331")),"331",IF(AND(OR(L605="131",M605="131"),H605='131-CT'!$E$7),"131",""))</f>
        <v/>
      </c>
      <c r="O605" s="869" t="str">
        <f>IF(AND('341-CT'!$E$9=H605,OR(LEFT(L605,3)=$O$7,LEFT(M605,3)=$O$7)),"x","")</f>
        <v/>
      </c>
      <c r="P605" s="52" t="str">
        <f>IF(AND($B605&gt;='111'!$N$11,$B605&lt;='111'!$O$11,OR($L605=$P$7,$M605=$P$7)),"x","")</f>
        <v>x</v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799"/>
    </row>
    <row r="606" spans="1:28" s="210" customFormat="1" ht="15.75" customHeight="1">
      <c r="A606" s="203" t="str">
        <f>IF(B606&lt;&gt;"",IF(AND(B606&gt;=_TM1,B606&lt;=_TM2,OR(TH!L606="1111",TH!M606="1111")),TH!D606,""),"")</f>
        <v/>
      </c>
      <c r="B606" s="36">
        <f>IF(C606&lt;&gt;"",MONTH(C606),"")</f>
        <v>5</v>
      </c>
      <c r="C606" s="183">
        <f>E606</f>
        <v>42135</v>
      </c>
      <c r="D606" s="190" t="s">
        <v>1978</v>
      </c>
      <c r="E606" s="727">
        <v>42135</v>
      </c>
      <c r="F606" s="296" t="s">
        <v>1357</v>
      </c>
      <c r="G606" s="482" t="s">
        <v>1411</v>
      </c>
      <c r="H606" s="7" t="s">
        <v>1391</v>
      </c>
      <c r="I606" s="255">
        <v>2447</v>
      </c>
      <c r="J606" s="255">
        <v>7300</v>
      </c>
      <c r="K606" s="593">
        <f>ROUND(I606*J606,0)</f>
        <v>17863100</v>
      </c>
      <c r="L606" s="594" t="s">
        <v>159</v>
      </c>
      <c r="M606" s="594" t="s">
        <v>8</v>
      </c>
      <c r="N606" s="52" t="str">
        <f>IF(AND('331-CT'!$E$7=TH!H606,OR(L606="331",M606="331")),"331",IF(AND(OR(L606="131",M606="131"),H606='131-CT'!$E$7),"131",""))</f>
        <v/>
      </c>
      <c r="O606" s="86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99"/>
    </row>
    <row r="607" spans="1:28" s="210" customFormat="1" ht="15.75" customHeight="1">
      <c r="A607" s="203" t="str">
        <f>IF(B607&lt;&gt;"",IF(AND(B607&gt;=_TM1,B607&lt;=_TM2,OR(TH!L607="1111",TH!M607="1111")),TH!D607,""),"")</f>
        <v/>
      </c>
      <c r="B607" s="36">
        <f>IF(C607&lt;&gt;"",MONTH(C607),"")</f>
        <v>5</v>
      </c>
      <c r="C607" s="183">
        <f>E607</f>
        <v>42135</v>
      </c>
      <c r="D607" s="190" t="s">
        <v>1978</v>
      </c>
      <c r="E607" s="727">
        <v>42135</v>
      </c>
      <c r="F607" s="296" t="s">
        <v>1393</v>
      </c>
      <c r="G607" s="482" t="s">
        <v>1411</v>
      </c>
      <c r="H607" s="7" t="s">
        <v>1391</v>
      </c>
      <c r="I607" s="255"/>
      <c r="J607" s="255"/>
      <c r="K607" s="593">
        <v>1786310</v>
      </c>
      <c r="L607" s="594" t="s">
        <v>9</v>
      </c>
      <c r="M607" s="594" t="s">
        <v>8</v>
      </c>
      <c r="N607" s="52" t="str">
        <f>IF(AND('331-CT'!$E$7=TH!H607,OR(L607="331",M607="331")),"331",IF(AND(OR(L607="131",M607="131"),H607='131-CT'!$E$7),"131",""))</f>
        <v/>
      </c>
      <c r="O607" s="86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799"/>
    </row>
    <row r="608" spans="1:28" s="210" customFormat="1" ht="15.75" customHeight="1">
      <c r="A608" s="203" t="str">
        <f>IF(B608&lt;&gt;"",IF(AND(B608&gt;=_TM1,B608&lt;=_TM2,OR(TH!L608="1111",TH!M608="1111")),TH!D608,""),"")</f>
        <v/>
      </c>
      <c r="B608" s="36">
        <f>IF(C608&lt;&gt;"",MONTH(C608),"")</f>
        <v>5</v>
      </c>
      <c r="C608" s="183">
        <f>E608</f>
        <v>42135</v>
      </c>
      <c r="D608" s="190" t="s">
        <v>1978</v>
      </c>
      <c r="E608" s="727">
        <v>42135</v>
      </c>
      <c r="F608" s="296" t="s">
        <v>1326</v>
      </c>
      <c r="G608" s="482" t="s">
        <v>1411</v>
      </c>
      <c r="H608" s="7" t="s">
        <v>1391</v>
      </c>
      <c r="I608" s="255"/>
      <c r="J608" s="255"/>
      <c r="K608" s="593">
        <f>K606+K607</f>
        <v>19649410</v>
      </c>
      <c r="L608" s="594" t="s">
        <v>8</v>
      </c>
      <c r="M608" s="594" t="s">
        <v>47</v>
      </c>
      <c r="N608" s="52" t="str">
        <f>IF(AND('331-CT'!$E$7=TH!H608,OR(L608="331",M608="331")),"331",IF(AND(OR(L608="131",M608="131"),H608='131-CT'!$E$7),"131",""))</f>
        <v/>
      </c>
      <c r="O608" s="869" t="str">
        <f>IF(AND('341-CT'!$E$9=H608,OR(LEFT(L608,3)=$O$7,LEFT(M608,3)=$O$7)),"x","")</f>
        <v/>
      </c>
      <c r="P608" s="52" t="str">
        <f>IF(AND($B608&gt;='111'!$N$11,$B608&lt;='111'!$O$11,OR($L608=$P$7,$M608=$P$7)),"x","")</f>
        <v>x</v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99"/>
    </row>
    <row r="609" spans="1:28" s="210" customFormat="1" ht="15.75" customHeight="1">
      <c r="A609" s="203" t="str">
        <f>IF(B609&lt;&gt;"",IF(AND(B609&gt;=_TM1,B609&lt;=_TM2,OR(TH!L609="1111",TH!M609="1111")),TH!D609,""),"")</f>
        <v/>
      </c>
      <c r="B609" s="826">
        <f>IF(C609&lt;&gt;"",MONTH(C609),"")</f>
        <v>5</v>
      </c>
      <c r="C609" s="827">
        <f>E609</f>
        <v>42135</v>
      </c>
      <c r="D609" s="190" t="s">
        <v>1979</v>
      </c>
      <c r="E609" s="882">
        <v>42135</v>
      </c>
      <c r="F609" s="829" t="s">
        <v>1398</v>
      </c>
      <c r="G609" s="830" t="s">
        <v>1412</v>
      </c>
      <c r="H609" s="831" t="s">
        <v>1397</v>
      </c>
      <c r="I609" s="832">
        <v>767</v>
      </c>
      <c r="J609" s="832">
        <v>9100</v>
      </c>
      <c r="K609" s="833">
        <f>ROUND(I609*J609,0)</f>
        <v>6979700</v>
      </c>
      <c r="L609" s="834" t="s">
        <v>159</v>
      </c>
      <c r="M609" s="834" t="s">
        <v>8</v>
      </c>
      <c r="N609" s="52" t="str">
        <f>IF(AND('331-CT'!$E$7=TH!H609,OR(L609="331",M609="331")),"331",IF(AND(OR(L609="131",M609="131"),H609='131-CT'!$E$7),"131",""))</f>
        <v/>
      </c>
      <c r="O609" s="86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35"/>
    </row>
    <row r="610" spans="1:28" s="210" customFormat="1" ht="15.75" customHeight="1">
      <c r="A610" s="203" t="str">
        <f>IF(B610&lt;&gt;"",IF(AND(B610&gt;=_TM1,B610&lt;=_TM2,OR(TH!L610="1111",TH!M610="1111")),TH!D610,""),"")</f>
        <v/>
      </c>
      <c r="B610" s="826">
        <f>IF(C610&lt;&gt;"",MONTH(C610),"")</f>
        <v>5</v>
      </c>
      <c r="C610" s="827">
        <f>E610</f>
        <v>42135</v>
      </c>
      <c r="D610" s="190" t="s">
        <v>1979</v>
      </c>
      <c r="E610" s="882">
        <v>42135</v>
      </c>
      <c r="F610" s="829" t="s">
        <v>1402</v>
      </c>
      <c r="G610" s="830" t="s">
        <v>1412</v>
      </c>
      <c r="H610" s="831" t="s">
        <v>1397</v>
      </c>
      <c r="I610" s="832">
        <v>2755</v>
      </c>
      <c r="J610" s="832">
        <v>9000</v>
      </c>
      <c r="K610" s="833">
        <f>ROUND(I610*J610,0)</f>
        <v>24795000</v>
      </c>
      <c r="L610" s="834" t="s">
        <v>159</v>
      </c>
      <c r="M610" s="834" t="s">
        <v>8</v>
      </c>
      <c r="N610" s="52" t="str">
        <f>IF(AND('331-CT'!$E$7=TH!H610,OR(L610="331",M610="331")),"331",IF(AND(OR(L610="131",M610="131"),H610='131-CT'!$E$7),"131",""))</f>
        <v/>
      </c>
      <c r="O610" s="86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35"/>
    </row>
    <row r="611" spans="1:28" s="210" customFormat="1" ht="15.75" customHeight="1">
      <c r="A611" s="203" t="str">
        <f>IF(B611&lt;&gt;"",IF(AND(B611&gt;=_TM1,B611&lt;=_TM2,OR(TH!L611="1111",TH!M611="1111")),TH!D611,""),"")</f>
        <v/>
      </c>
      <c r="B611" s="826">
        <f>IF(C611&lt;&gt;"",MONTH(C611),"")</f>
        <v>5</v>
      </c>
      <c r="C611" s="827">
        <f>E611</f>
        <v>42135</v>
      </c>
      <c r="D611" s="190" t="s">
        <v>1979</v>
      </c>
      <c r="E611" s="882">
        <v>42135</v>
      </c>
      <c r="F611" s="829" t="s">
        <v>1379</v>
      </c>
      <c r="G611" s="830" t="s">
        <v>1412</v>
      </c>
      <c r="H611" s="831" t="s">
        <v>1397</v>
      </c>
      <c r="I611" s="832"/>
      <c r="J611" s="832"/>
      <c r="K611" s="833">
        <v>3174470</v>
      </c>
      <c r="L611" s="834" t="s">
        <v>9</v>
      </c>
      <c r="M611" s="834" t="s">
        <v>8</v>
      </c>
      <c r="N611" s="52" t="str">
        <f>IF(AND('331-CT'!$E$7=TH!H611,OR(L611="331",M611="331")),"331",IF(AND(OR(L611="131",M611="131"),H611='131-CT'!$E$7),"131",""))</f>
        <v/>
      </c>
      <c r="O611" s="86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35"/>
    </row>
    <row r="612" spans="1:28" s="210" customFormat="1" ht="15.75" customHeight="1">
      <c r="A612" s="203" t="str">
        <f>IF(B612&lt;&gt;"",IF(AND(B612&gt;=_TM1,B612&lt;=_TM2,OR(TH!L612="1111",TH!M612="1111")),TH!D612,""),"")</f>
        <v/>
      </c>
      <c r="B612" s="36">
        <f>IF(C612&lt;&gt;"",MONTH(C612),"")</f>
        <v>5</v>
      </c>
      <c r="C612" s="183">
        <f>E612</f>
        <v>42136</v>
      </c>
      <c r="D612" s="183" t="s">
        <v>1537</v>
      </c>
      <c r="E612" s="190">
        <v>42136</v>
      </c>
      <c r="F612" s="191" t="s">
        <v>519</v>
      </c>
      <c r="G612" s="482" t="s">
        <v>642</v>
      </c>
      <c r="H612" s="7" t="s">
        <v>444</v>
      </c>
      <c r="I612" s="255">
        <v>1161</v>
      </c>
      <c r="J612" s="255">
        <v>11500</v>
      </c>
      <c r="K612" s="593">
        <f>ROUND(I612*J612,0)</f>
        <v>13351500</v>
      </c>
      <c r="L612" s="594" t="s">
        <v>259</v>
      </c>
      <c r="M612" s="594" t="s">
        <v>174</v>
      </c>
      <c r="N612" s="52" t="str">
        <f>IF(AND('331-CT'!$E$7=TH!H612,OR(L612="331",M612="331")),"331",IF(AND(OR(L612="131",M612="131"),H612='131-CT'!$E$7),"131",""))</f>
        <v/>
      </c>
      <c r="O612" s="86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799"/>
      <c r="AB612" s="585"/>
    </row>
    <row r="613" spans="1:28" s="210" customFormat="1" ht="15.75" customHeight="1">
      <c r="A613" s="203" t="str">
        <f>IF(B613&lt;&gt;"",IF(AND(B613&gt;=_TM1,B613&lt;=_TM2,OR(TH!L613="1111",TH!M613="1111")),TH!D613,""),"")</f>
        <v/>
      </c>
      <c r="B613" s="36">
        <f>IF(C613&lt;&gt;"",MONTH(C613),"")</f>
        <v>5</v>
      </c>
      <c r="C613" s="183">
        <f>E613</f>
        <v>42136</v>
      </c>
      <c r="D613" s="183" t="s">
        <v>1537</v>
      </c>
      <c r="E613" s="190">
        <v>42136</v>
      </c>
      <c r="F613" s="191" t="s">
        <v>1661</v>
      </c>
      <c r="G613" s="482" t="s">
        <v>642</v>
      </c>
      <c r="H613" s="7" t="s">
        <v>444</v>
      </c>
      <c r="I613" s="255">
        <v>2330</v>
      </c>
      <c r="J613" s="255">
        <v>450</v>
      </c>
      <c r="K613" s="593">
        <f>ROUND(I613*J613,0)</f>
        <v>1048500</v>
      </c>
      <c r="L613" s="594" t="s">
        <v>259</v>
      </c>
      <c r="M613" s="594" t="s">
        <v>174</v>
      </c>
      <c r="N613" s="52" t="str">
        <f>IF(AND('331-CT'!$E$7=TH!H613,OR(L613="331",M613="331")),"331",IF(AND(OR(L613="131",M613="131"),H613='131-CT'!$E$7),"131",""))</f>
        <v/>
      </c>
      <c r="O613" s="86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99"/>
      <c r="AB613" s="585"/>
    </row>
    <row r="614" spans="1:28" s="210" customFormat="1" ht="15.75" customHeight="1">
      <c r="A614" s="203" t="str">
        <f>IF(B614&lt;&gt;"",IF(AND(B614&gt;=_TM1,B614&lt;=_TM2,OR(TH!L614="1111",TH!M614="1111")),TH!D614,""),"")</f>
        <v/>
      </c>
      <c r="B614" s="36">
        <f>IF(C614&lt;&gt;"",MONTH(C614),"")</f>
        <v>5</v>
      </c>
      <c r="C614" s="183">
        <f>E614</f>
        <v>42136</v>
      </c>
      <c r="D614" s="183" t="s">
        <v>1537</v>
      </c>
      <c r="E614" s="190">
        <v>42136</v>
      </c>
      <c r="F614" s="191" t="s">
        <v>402</v>
      </c>
      <c r="G614" s="482" t="s">
        <v>642</v>
      </c>
      <c r="H614" s="7" t="s">
        <v>444</v>
      </c>
      <c r="I614" s="255"/>
      <c r="J614" s="255"/>
      <c r="K614" s="593">
        <v>1440000</v>
      </c>
      <c r="L614" s="594" t="s">
        <v>259</v>
      </c>
      <c r="M614" s="594" t="s">
        <v>371</v>
      </c>
      <c r="N614" s="52" t="str">
        <f>IF(AND('331-CT'!$E$7=TH!H614,OR(L614="331",M614="331")),"331",IF(AND(OR(L614="131",M614="131"),H614='131-CT'!$E$7),"131",""))</f>
        <v/>
      </c>
      <c r="O614" s="86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799"/>
      <c r="AB614" s="585"/>
    </row>
    <row r="615" spans="1:28" s="210" customFormat="1" ht="15.75" customHeight="1">
      <c r="A615" s="203" t="str">
        <f>IF(B615&lt;&gt;"",IF(AND(B615&gt;=_TM1,B615&lt;=_TM2,OR(TH!L615="1111",TH!M615="1111")),TH!D615,""),"")</f>
        <v/>
      </c>
      <c r="B615" s="36">
        <f>IF(C615&lt;&gt;"",MONTH(C615),"")</f>
        <v>5</v>
      </c>
      <c r="C615" s="183">
        <f>E615</f>
        <v>42137</v>
      </c>
      <c r="D615" s="183" t="s">
        <v>1538</v>
      </c>
      <c r="E615" s="190">
        <v>42137</v>
      </c>
      <c r="F615" s="191" t="s">
        <v>643</v>
      </c>
      <c r="G615" s="482" t="s">
        <v>644</v>
      </c>
      <c r="H615" s="7" t="s">
        <v>645</v>
      </c>
      <c r="I615" s="255">
        <v>200</v>
      </c>
      <c r="J615" s="255">
        <v>10400</v>
      </c>
      <c r="K615" s="593">
        <f>ROUND(I615*J615,0)</f>
        <v>2080000</v>
      </c>
      <c r="L615" s="594" t="s">
        <v>259</v>
      </c>
      <c r="M615" s="594" t="s">
        <v>174</v>
      </c>
      <c r="N615" s="52" t="str">
        <f>IF(AND('331-CT'!$E$7=TH!H615,OR(L615="331",M615="331")),"331",IF(AND(OR(L615="131",M615="131"),H615='131-CT'!$E$7),"131",""))</f>
        <v/>
      </c>
      <c r="O615" s="86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799"/>
      <c r="AB615" s="585"/>
    </row>
    <row r="616" spans="1:28" s="210" customFormat="1" ht="15.75" customHeight="1">
      <c r="A616" s="203" t="str">
        <f>IF(B616&lt;&gt;"",IF(AND(B616&gt;=_TM1,B616&lt;=_TM2,OR(TH!L616="1111",TH!M616="1111")),TH!D616,""),"")</f>
        <v/>
      </c>
      <c r="B616" s="36">
        <f>IF(C616&lt;&gt;"",MONTH(C616),"")</f>
        <v>5</v>
      </c>
      <c r="C616" s="183">
        <f>E616</f>
        <v>42137</v>
      </c>
      <c r="D616" s="183" t="s">
        <v>1538</v>
      </c>
      <c r="E616" s="190">
        <v>42137</v>
      </c>
      <c r="F616" s="191" t="s">
        <v>402</v>
      </c>
      <c r="G616" s="482" t="s">
        <v>644</v>
      </c>
      <c r="H616" s="7" t="s">
        <v>645</v>
      </c>
      <c r="I616" s="255"/>
      <c r="J616" s="255"/>
      <c r="K616" s="593">
        <v>208000</v>
      </c>
      <c r="L616" s="594" t="s">
        <v>259</v>
      </c>
      <c r="M616" s="594" t="s">
        <v>371</v>
      </c>
      <c r="N616" s="52" t="str">
        <f>IF(AND('331-CT'!$E$7=TH!H616,OR(L616="331",M616="331")),"331",IF(AND(OR(L616="131",M616="131"),H616='131-CT'!$E$7),"131",""))</f>
        <v/>
      </c>
      <c r="O616" s="86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799"/>
      <c r="AB616" s="585"/>
    </row>
    <row r="617" spans="1:28" s="210" customFormat="1" ht="15.75" customHeight="1">
      <c r="A617" s="203" t="str">
        <f>IF(B617&lt;&gt;"",IF(AND(B617&gt;=_TM1,B617&lt;=_TM2,OR(TH!L617="1111",TH!M617="1111")),TH!D617,""),"")</f>
        <v/>
      </c>
      <c r="B617" s="36">
        <f>IF(C617&lt;&gt;"",MONTH(C617),"")</f>
        <v>5</v>
      </c>
      <c r="C617" s="183">
        <f>E617</f>
        <v>42137</v>
      </c>
      <c r="D617" s="190" t="s">
        <v>1980</v>
      </c>
      <c r="E617" s="727">
        <v>42137</v>
      </c>
      <c r="F617" s="296" t="s">
        <v>1357</v>
      </c>
      <c r="G617" s="482" t="s">
        <v>1403</v>
      </c>
      <c r="H617" s="7" t="s">
        <v>1391</v>
      </c>
      <c r="I617" s="255">
        <v>2450</v>
      </c>
      <c r="J617" s="255">
        <v>7300</v>
      </c>
      <c r="K617" s="593">
        <f>ROUND(I617*J617,0)</f>
        <v>17885000</v>
      </c>
      <c r="L617" s="594" t="s">
        <v>159</v>
      </c>
      <c r="M617" s="594" t="s">
        <v>8</v>
      </c>
      <c r="N617" s="52" t="str">
        <f>IF(AND('331-CT'!$E$7=TH!H617,OR(L617="331",M617="331")),"331",IF(AND(OR(L617="131",M617="131"),H617='131-CT'!$E$7),"131",""))</f>
        <v/>
      </c>
      <c r="O617" s="86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799"/>
    </row>
    <row r="618" spans="1:28" s="210" customFormat="1" ht="15.75" customHeight="1">
      <c r="A618" s="203" t="str">
        <f>IF(B618&lt;&gt;"",IF(AND(B618&gt;=_TM1,B618&lt;=_TM2,OR(TH!L618="1111",TH!M618="1111")),TH!D618,""),"")</f>
        <v/>
      </c>
      <c r="B618" s="36">
        <f>IF(C618&lt;&gt;"",MONTH(C618),"")</f>
        <v>5</v>
      </c>
      <c r="C618" s="183">
        <f>E618</f>
        <v>42137</v>
      </c>
      <c r="D618" s="190" t="s">
        <v>1980</v>
      </c>
      <c r="E618" s="727">
        <v>42137</v>
      </c>
      <c r="F618" s="296" t="s">
        <v>1393</v>
      </c>
      <c r="G618" s="482" t="s">
        <v>1403</v>
      </c>
      <c r="H618" s="7" t="s">
        <v>1391</v>
      </c>
      <c r="I618" s="255"/>
      <c r="J618" s="255"/>
      <c r="K618" s="593">
        <v>1788500</v>
      </c>
      <c r="L618" s="594" t="s">
        <v>9</v>
      </c>
      <c r="M618" s="594" t="s">
        <v>8</v>
      </c>
      <c r="N618" s="52" t="str">
        <f>IF(AND('331-CT'!$E$7=TH!H618,OR(L618="331",M618="331")),"331",IF(AND(OR(L618="131",M618="131"),H618='131-CT'!$E$7),"131",""))</f>
        <v/>
      </c>
      <c r="O618" s="86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799"/>
    </row>
    <row r="619" spans="1:28" s="210" customFormat="1" ht="15.75" customHeight="1">
      <c r="A619" s="203" t="str">
        <f>IF(B619&lt;&gt;"",IF(AND(B619&gt;=_TM1,B619&lt;=_TM2,OR(TH!L619="1111",TH!M619="1111")),TH!D619,""),"")</f>
        <v/>
      </c>
      <c r="B619" s="36">
        <f>IF(C619&lt;&gt;"",MONTH(C619),"")</f>
        <v>5</v>
      </c>
      <c r="C619" s="183">
        <f>E619</f>
        <v>42137</v>
      </c>
      <c r="D619" s="190" t="s">
        <v>1980</v>
      </c>
      <c r="E619" s="727">
        <v>42137</v>
      </c>
      <c r="F619" s="296" t="s">
        <v>1326</v>
      </c>
      <c r="G619" s="482" t="s">
        <v>1403</v>
      </c>
      <c r="H619" s="7" t="s">
        <v>1391</v>
      </c>
      <c r="I619" s="255"/>
      <c r="J619" s="255"/>
      <c r="K619" s="593">
        <v>19673500</v>
      </c>
      <c r="L619" s="594" t="s">
        <v>8</v>
      </c>
      <c r="M619" s="594" t="s">
        <v>47</v>
      </c>
      <c r="N619" s="52" t="str">
        <f>IF(AND('331-CT'!$E$7=TH!H619,OR(L619="331",M619="331")),"331",IF(AND(OR(L619="131",M619="131"),H619='131-CT'!$E$7),"131",""))</f>
        <v/>
      </c>
      <c r="O619" s="869" t="str">
        <f>IF(AND('341-CT'!$E$9=H619,OR(LEFT(L619,3)=$O$7,LEFT(M619,3)=$O$7)),"x","")</f>
        <v/>
      </c>
      <c r="P619" s="52" t="str">
        <f>IF(AND($B619&gt;='111'!$N$11,$B619&lt;='111'!$O$11,OR($L619=$P$7,$M619=$P$7)),"x","")</f>
        <v>x</v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799"/>
    </row>
    <row r="620" spans="1:28" s="210" customFormat="1" ht="15.75" customHeight="1">
      <c r="A620" s="203" t="str">
        <f>IF(B620&lt;&gt;"",IF(AND(B620&gt;=_TM1,B620&lt;=_TM2,OR(TH!L620="1111",TH!M620="1111")),TH!D620,""),"")</f>
        <v/>
      </c>
      <c r="B620" s="36">
        <f>IF(C620&lt;&gt;"",MONTH(C620),"")</f>
        <v>5</v>
      </c>
      <c r="C620" s="183">
        <f>E620</f>
        <v>42139</v>
      </c>
      <c r="D620" s="183" t="s">
        <v>1539</v>
      </c>
      <c r="E620" s="190">
        <v>42139</v>
      </c>
      <c r="F620" s="191" t="s">
        <v>646</v>
      </c>
      <c r="G620" s="482" t="s">
        <v>647</v>
      </c>
      <c r="H620" s="192" t="s">
        <v>793</v>
      </c>
      <c r="I620" s="255">
        <v>157</v>
      </c>
      <c r="J620" s="255">
        <v>11200</v>
      </c>
      <c r="K620" s="593">
        <f>ROUND(I620*J620,0)</f>
        <v>1758400</v>
      </c>
      <c r="L620" s="594" t="s">
        <v>259</v>
      </c>
      <c r="M620" s="594" t="s">
        <v>174</v>
      </c>
      <c r="N620" s="52" t="str">
        <f>IF(AND('331-CT'!$E$7=TH!H620,OR(L620="331",M620="331")),"331",IF(AND(OR(L620="131",M620="131"),H620='131-CT'!$E$7),"131",""))</f>
        <v/>
      </c>
      <c r="O620" s="86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799"/>
      <c r="AB620" s="585"/>
    </row>
    <row r="621" spans="1:28" s="210" customFormat="1" ht="15.75" customHeight="1">
      <c r="A621" s="203" t="str">
        <f>IF(B621&lt;&gt;"",IF(AND(B621&gt;=_TM1,B621&lt;=_TM2,OR(TH!L621="1111",TH!M621="1111")),TH!D621,""),"")</f>
        <v/>
      </c>
      <c r="B621" s="36">
        <f>IF(C621&lt;&gt;"",MONTH(C621),"")</f>
        <v>5</v>
      </c>
      <c r="C621" s="183">
        <f>E621</f>
        <v>42139</v>
      </c>
      <c r="D621" s="183" t="s">
        <v>1539</v>
      </c>
      <c r="E621" s="190">
        <v>42139</v>
      </c>
      <c r="F621" s="191" t="s">
        <v>1666</v>
      </c>
      <c r="G621" s="482" t="s">
        <v>647</v>
      </c>
      <c r="H621" s="192" t="s">
        <v>793</v>
      </c>
      <c r="I621" s="255">
        <v>314</v>
      </c>
      <c r="J621" s="255">
        <v>1150</v>
      </c>
      <c r="K621" s="593">
        <f>ROUND(I621*J621,0)</f>
        <v>361100</v>
      </c>
      <c r="L621" s="594" t="s">
        <v>259</v>
      </c>
      <c r="M621" s="594" t="s">
        <v>174</v>
      </c>
      <c r="N621" s="52" t="str">
        <f>IF(AND('331-CT'!$E$7=TH!H621,OR(L621="331",M621="331")),"331",IF(AND(OR(L621="131",M621="131"),H621='131-CT'!$E$7),"131",""))</f>
        <v/>
      </c>
      <c r="O621" s="86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799"/>
      <c r="AB621" s="585"/>
    </row>
    <row r="622" spans="1:28" s="210" customFormat="1" ht="15.75" customHeight="1">
      <c r="A622" s="203" t="str">
        <f>IF(B622&lt;&gt;"",IF(AND(B622&gt;=_TM1,B622&lt;=_TM2,OR(TH!L622="1111",TH!M622="1111")),TH!D622,""),"")</f>
        <v/>
      </c>
      <c r="B622" s="36">
        <f>IF(C622&lt;&gt;"",MONTH(C622),"")</f>
        <v>5</v>
      </c>
      <c r="C622" s="183">
        <f>E622</f>
        <v>42139</v>
      </c>
      <c r="D622" s="183" t="s">
        <v>1539</v>
      </c>
      <c r="E622" s="190">
        <v>42139</v>
      </c>
      <c r="F622" s="191" t="s">
        <v>402</v>
      </c>
      <c r="G622" s="482" t="s">
        <v>647</v>
      </c>
      <c r="H622" s="192" t="s">
        <v>793</v>
      </c>
      <c r="I622" s="255"/>
      <c r="J622" s="255"/>
      <c r="K622" s="593">
        <v>211950</v>
      </c>
      <c r="L622" s="594" t="s">
        <v>259</v>
      </c>
      <c r="M622" s="594" t="s">
        <v>371</v>
      </c>
      <c r="N622" s="52" t="str">
        <f>IF(AND('331-CT'!$E$7=TH!H622,OR(L622="331",M622="331")),"331",IF(AND(OR(L622="131",M622="131"),H622='131-CT'!$E$7),"131",""))</f>
        <v/>
      </c>
      <c r="O622" s="86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799"/>
      <c r="AB622" s="585"/>
    </row>
    <row r="623" spans="1:28" s="210" customFormat="1" ht="15.75" customHeight="1">
      <c r="A623" s="203" t="str">
        <f>IF(B623&lt;&gt;"",IF(AND(B623&gt;=_TM1,B623&lt;=_TM2,OR(TH!L623="1111",TH!M623="1111")),TH!D623,""),"")</f>
        <v/>
      </c>
      <c r="B623" s="36">
        <f>IF(C623&lt;&gt;"",MONTH(C623),"")</f>
        <v>5</v>
      </c>
      <c r="C623" s="183">
        <f>E623</f>
        <v>42139</v>
      </c>
      <c r="D623" s="190" t="s">
        <v>1981</v>
      </c>
      <c r="E623" s="727">
        <v>42139</v>
      </c>
      <c r="F623" s="296" t="s">
        <v>1357</v>
      </c>
      <c r="G623" s="482" t="s">
        <v>1413</v>
      </c>
      <c r="H623" s="7" t="s">
        <v>1391</v>
      </c>
      <c r="I623" s="255">
        <v>2490</v>
      </c>
      <c r="J623" s="255">
        <v>7300</v>
      </c>
      <c r="K623" s="593">
        <f>ROUND(I623*J623,0)</f>
        <v>18177000</v>
      </c>
      <c r="L623" s="594" t="s">
        <v>159</v>
      </c>
      <c r="M623" s="594" t="s">
        <v>8</v>
      </c>
      <c r="N623" s="52" t="str">
        <f>IF(AND('331-CT'!$E$7=TH!H623,OR(L623="331",M623="331")),"331",IF(AND(OR(L623="131",M623="131"),H623='131-CT'!$E$7),"131",""))</f>
        <v/>
      </c>
      <c r="O623" s="86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799"/>
    </row>
    <row r="624" spans="1:28" s="210" customFormat="1" ht="15.75" customHeight="1">
      <c r="A624" s="203" t="str">
        <f>IF(B624&lt;&gt;"",IF(AND(B624&gt;=_TM1,B624&lt;=_TM2,OR(TH!L624="1111",TH!M624="1111")),TH!D624,""),"")</f>
        <v/>
      </c>
      <c r="B624" s="36">
        <f>IF(C624&lt;&gt;"",MONTH(C624),"")</f>
        <v>5</v>
      </c>
      <c r="C624" s="183">
        <f>E624</f>
        <v>42139</v>
      </c>
      <c r="D624" s="190" t="s">
        <v>1981</v>
      </c>
      <c r="E624" s="727">
        <v>42139</v>
      </c>
      <c r="F624" s="296" t="s">
        <v>1393</v>
      </c>
      <c r="G624" s="482" t="s">
        <v>1413</v>
      </c>
      <c r="H624" s="7" t="s">
        <v>1391</v>
      </c>
      <c r="I624" s="255"/>
      <c r="J624" s="255"/>
      <c r="K624" s="593">
        <v>1817700</v>
      </c>
      <c r="L624" s="594" t="s">
        <v>9</v>
      </c>
      <c r="M624" s="594" t="s">
        <v>8</v>
      </c>
      <c r="N624" s="52" t="str">
        <f>IF(AND('331-CT'!$E$7=TH!H624,OR(L624="331",M624="331")),"331",IF(AND(OR(L624="131",M624="131"),H624='131-CT'!$E$7),"131",""))</f>
        <v/>
      </c>
      <c r="O624" s="86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799"/>
    </row>
    <row r="625" spans="1:28" s="210" customFormat="1" ht="15.75" customHeight="1">
      <c r="A625" s="203" t="str">
        <f>IF(B625&lt;&gt;"",IF(AND(B625&gt;=_TM1,B625&lt;=_TM2,OR(TH!L625="1111",TH!M625="1111")),TH!D625,""),"")</f>
        <v/>
      </c>
      <c r="B625" s="36">
        <f>IF(C625&lt;&gt;"",MONTH(C625),"")</f>
        <v>5</v>
      </c>
      <c r="C625" s="183">
        <f>E625</f>
        <v>42139</v>
      </c>
      <c r="D625" s="190" t="s">
        <v>1981</v>
      </c>
      <c r="E625" s="727">
        <v>42139</v>
      </c>
      <c r="F625" s="296" t="s">
        <v>1326</v>
      </c>
      <c r="G625" s="482" t="s">
        <v>1413</v>
      </c>
      <c r="H625" s="7" t="s">
        <v>1391</v>
      </c>
      <c r="I625" s="255"/>
      <c r="J625" s="255"/>
      <c r="K625" s="593">
        <v>19994700</v>
      </c>
      <c r="L625" s="594" t="s">
        <v>8</v>
      </c>
      <c r="M625" s="594" t="s">
        <v>47</v>
      </c>
      <c r="N625" s="52" t="str">
        <f>IF(AND('331-CT'!$E$7=TH!H625,OR(L625="331",M625="331")),"331",IF(AND(OR(L625="131",M625="131"),H625='131-CT'!$E$7),"131",""))</f>
        <v/>
      </c>
      <c r="O625" s="869" t="str">
        <f>IF(AND('341-CT'!$E$9=H625,OR(LEFT(L625,3)=$O$7,LEFT(M625,3)=$O$7)),"x","")</f>
        <v/>
      </c>
      <c r="P625" s="52" t="str">
        <f>IF(AND($B625&gt;='111'!$N$11,$B625&lt;='111'!$O$11,OR($L625=$P$7,$M625=$P$7)),"x","")</f>
        <v>x</v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799"/>
    </row>
    <row r="626" spans="1:28" s="210" customFormat="1" ht="15.75" customHeight="1">
      <c r="A626" s="203" t="str">
        <f>IF(B626&lt;&gt;"",IF(AND(B626&gt;=_TM1,B626&lt;=_TM2,OR(TH!L626="1111",TH!M626="1111")),TH!D626,""),"")</f>
        <v/>
      </c>
      <c r="B626" s="36">
        <f>IF(C626&lt;&gt;"",MONTH(C626),"")</f>
        <v>5</v>
      </c>
      <c r="C626" s="183">
        <f>E626</f>
        <v>42142</v>
      </c>
      <c r="D626" s="190" t="s">
        <v>1982</v>
      </c>
      <c r="E626" s="727">
        <v>42142</v>
      </c>
      <c r="F626" s="296" t="s">
        <v>1357</v>
      </c>
      <c r="G626" s="482" t="s">
        <v>1414</v>
      </c>
      <c r="H626" s="7" t="s">
        <v>1391</v>
      </c>
      <c r="I626" s="255">
        <v>2485</v>
      </c>
      <c r="J626" s="255">
        <v>7300</v>
      </c>
      <c r="K626" s="593">
        <f>ROUND(I626*J626,0)</f>
        <v>18140500</v>
      </c>
      <c r="L626" s="594" t="s">
        <v>159</v>
      </c>
      <c r="M626" s="594" t="s">
        <v>8</v>
      </c>
      <c r="N626" s="52" t="str">
        <f>IF(AND('331-CT'!$E$7=TH!H626,OR(L626="331",M626="331")),"331",IF(AND(OR(L626="131",M626="131"),H626='131-CT'!$E$7),"131",""))</f>
        <v/>
      </c>
      <c r="O626" s="86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799"/>
    </row>
    <row r="627" spans="1:28" s="210" customFormat="1" ht="15.75" customHeight="1">
      <c r="A627" s="203" t="str">
        <f>IF(B627&lt;&gt;"",IF(AND(B627&gt;=_TM1,B627&lt;=_TM2,OR(TH!L627="1111",TH!M627="1111")),TH!D627,""),"")</f>
        <v/>
      </c>
      <c r="B627" s="36">
        <f>IF(C627&lt;&gt;"",MONTH(C627),"")</f>
        <v>5</v>
      </c>
      <c r="C627" s="183">
        <f>E627</f>
        <v>42142</v>
      </c>
      <c r="D627" s="190" t="s">
        <v>1982</v>
      </c>
      <c r="E627" s="727">
        <v>42142</v>
      </c>
      <c r="F627" s="296" t="s">
        <v>1393</v>
      </c>
      <c r="G627" s="482" t="s">
        <v>1414</v>
      </c>
      <c r="H627" s="7" t="s">
        <v>1391</v>
      </c>
      <c r="I627" s="255"/>
      <c r="J627" s="255"/>
      <c r="K627" s="593">
        <v>1814050</v>
      </c>
      <c r="L627" s="594" t="s">
        <v>9</v>
      </c>
      <c r="M627" s="594" t="s">
        <v>8</v>
      </c>
      <c r="N627" s="52" t="str">
        <f>IF(AND('331-CT'!$E$7=TH!H627,OR(L627="331",M627="331")),"331",IF(AND(OR(L627="131",M627="131"),H627='131-CT'!$E$7),"131",""))</f>
        <v/>
      </c>
      <c r="O627" s="86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799"/>
    </row>
    <row r="628" spans="1:28" s="210" customFormat="1" ht="15.75" customHeight="1">
      <c r="A628" s="203" t="str">
        <f>IF(B628&lt;&gt;"",IF(AND(B628&gt;=_TM1,B628&lt;=_TM2,OR(TH!L628="1111",TH!M628="1111")),TH!D628,""),"")</f>
        <v/>
      </c>
      <c r="B628" s="36">
        <f>IF(C628&lt;&gt;"",MONTH(C628),"")</f>
        <v>5</v>
      </c>
      <c r="C628" s="183">
        <f>E628</f>
        <v>42142</v>
      </c>
      <c r="D628" s="190" t="s">
        <v>1982</v>
      </c>
      <c r="E628" s="727">
        <v>42142</v>
      </c>
      <c r="F628" s="296" t="s">
        <v>1326</v>
      </c>
      <c r="G628" s="482" t="s">
        <v>1414</v>
      </c>
      <c r="H628" s="7" t="s">
        <v>1391</v>
      </c>
      <c r="I628" s="255"/>
      <c r="J628" s="255"/>
      <c r="K628" s="593">
        <v>19954550</v>
      </c>
      <c r="L628" s="594" t="s">
        <v>8</v>
      </c>
      <c r="M628" s="594" t="s">
        <v>47</v>
      </c>
      <c r="N628" s="52" t="str">
        <f>IF(AND('331-CT'!$E$7=TH!H628,OR(L628="331",M628="331")),"331",IF(AND(OR(L628="131",M628="131"),H628='131-CT'!$E$7),"131",""))</f>
        <v/>
      </c>
      <c r="O628" s="869" t="str">
        <f>IF(AND('341-CT'!$E$9=H628,OR(LEFT(L628,3)=$O$7,LEFT(M628,3)=$O$7)),"x","")</f>
        <v/>
      </c>
      <c r="P628" s="52" t="str">
        <f>IF(AND($B628&gt;='111'!$N$11,$B628&lt;='111'!$O$11,OR($L628=$P$7,$M628=$P$7)),"x","")</f>
        <v>x</v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799"/>
    </row>
    <row r="629" spans="1:28" s="210" customFormat="1" ht="15.75" customHeight="1">
      <c r="A629" s="203" t="str">
        <f>IF(B629&lt;&gt;"",IF(AND(B629&gt;=_TM1,B629&lt;=_TM2,OR(TH!L629="1111",TH!M629="1111")),TH!D629,""),"")</f>
        <v/>
      </c>
      <c r="B629" s="36">
        <f>IF(C629&lt;&gt;"",MONTH(C629),"")</f>
        <v>5</v>
      </c>
      <c r="C629" s="183">
        <f>E629</f>
        <v>42144</v>
      </c>
      <c r="D629" s="183" t="s">
        <v>1540</v>
      </c>
      <c r="E629" s="190">
        <v>42144</v>
      </c>
      <c r="F629" s="191" t="s">
        <v>648</v>
      </c>
      <c r="G629" s="482" t="s">
        <v>649</v>
      </c>
      <c r="H629" s="7" t="s">
        <v>950</v>
      </c>
      <c r="I629" s="255">
        <v>52</v>
      </c>
      <c r="J629" s="255">
        <v>15860</v>
      </c>
      <c r="K629" s="593">
        <f>ROUND(I629*J629,0)</f>
        <v>824720</v>
      </c>
      <c r="L629" s="594" t="s">
        <v>259</v>
      </c>
      <c r="M629" s="594" t="s">
        <v>174</v>
      </c>
      <c r="N629" s="52" t="str">
        <f>IF(AND('331-CT'!$E$7=TH!H629,OR(L629="331",M629="331")),"331",IF(AND(OR(L629="131",M629="131"),H629='131-CT'!$E$7),"131",""))</f>
        <v/>
      </c>
      <c r="O629" s="86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799"/>
      <c r="AB629" s="585"/>
    </row>
    <row r="630" spans="1:28" s="210" customFormat="1" ht="15.75" customHeight="1">
      <c r="A630" s="203" t="str">
        <f>IF(B630&lt;&gt;"",IF(AND(B630&gt;=_TM1,B630&lt;=_TM2,OR(TH!L630="1111",TH!M630="1111")),TH!D630,""),"")</f>
        <v/>
      </c>
      <c r="B630" s="36">
        <f>IF(C630&lt;&gt;"",MONTH(C630),"")</f>
        <v>5</v>
      </c>
      <c r="C630" s="183">
        <f>E630</f>
        <v>42144</v>
      </c>
      <c r="D630" s="183" t="s">
        <v>1540</v>
      </c>
      <c r="E630" s="190">
        <v>42144</v>
      </c>
      <c r="F630" s="191" t="s">
        <v>650</v>
      </c>
      <c r="G630" s="482" t="s">
        <v>649</v>
      </c>
      <c r="H630" s="7" t="s">
        <v>950</v>
      </c>
      <c r="I630" s="255">
        <v>260</v>
      </c>
      <c r="J630" s="255">
        <v>9960</v>
      </c>
      <c r="K630" s="593">
        <f>ROUND(I630*J630,0)</f>
        <v>2589600</v>
      </c>
      <c r="L630" s="594" t="s">
        <v>259</v>
      </c>
      <c r="M630" s="594" t="s">
        <v>174</v>
      </c>
      <c r="N630" s="52" t="str">
        <f>IF(AND('331-CT'!$E$7=TH!H630,OR(L630="331",M630="331")),"331",IF(AND(OR(L630="131",M630="131"),H630='131-CT'!$E$7),"131",""))</f>
        <v/>
      </c>
      <c r="O630" s="86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799"/>
      <c r="AB630" s="585"/>
    </row>
    <row r="631" spans="1:28" s="210" customFormat="1" ht="15.75" customHeight="1">
      <c r="A631" s="203" t="str">
        <f>IF(B631&lt;&gt;"",IF(AND(B631&gt;=_TM1,B631&lt;=_TM2,OR(TH!L631="1111",TH!M631="1111")),TH!D631,""),"")</f>
        <v/>
      </c>
      <c r="B631" s="36">
        <f>IF(C631&lt;&gt;"",MONTH(C631),"")</f>
        <v>5</v>
      </c>
      <c r="C631" s="183">
        <f>E631</f>
        <v>42144</v>
      </c>
      <c r="D631" s="183" t="s">
        <v>1540</v>
      </c>
      <c r="E631" s="190">
        <v>42144</v>
      </c>
      <c r="F631" s="191" t="s">
        <v>602</v>
      </c>
      <c r="G631" s="482" t="s">
        <v>649</v>
      </c>
      <c r="H631" s="7" t="s">
        <v>950</v>
      </c>
      <c r="I631" s="255">
        <v>924</v>
      </c>
      <c r="J631" s="255">
        <v>8980</v>
      </c>
      <c r="K631" s="593">
        <f>ROUND(I631*J631,0)</f>
        <v>8297520</v>
      </c>
      <c r="L631" s="594" t="s">
        <v>259</v>
      </c>
      <c r="M631" s="594" t="s">
        <v>174</v>
      </c>
      <c r="N631" s="52" t="str">
        <f>IF(AND('331-CT'!$E$7=TH!H631,OR(L631="331",M631="331")),"331",IF(AND(OR(L631="131",M631="131"),H631='131-CT'!$E$7),"131",""))</f>
        <v/>
      </c>
      <c r="O631" s="86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799"/>
      <c r="AB631" s="585"/>
    </row>
    <row r="632" spans="1:28" s="210" customFormat="1" ht="15.75" customHeight="1">
      <c r="A632" s="203" t="str">
        <f>IF(B632&lt;&gt;"",IF(AND(B632&gt;=_TM1,B632&lt;=_TM2,OR(TH!L632="1111",TH!M632="1111")),TH!D632,""),"")</f>
        <v/>
      </c>
      <c r="B632" s="36">
        <f>IF(C632&lt;&gt;"",MONTH(C632),"")</f>
        <v>5</v>
      </c>
      <c r="C632" s="183">
        <f>E632</f>
        <v>42144</v>
      </c>
      <c r="D632" s="183" t="s">
        <v>1540</v>
      </c>
      <c r="E632" s="190">
        <v>42144</v>
      </c>
      <c r="F632" s="191" t="s">
        <v>402</v>
      </c>
      <c r="G632" s="482" t="s">
        <v>649</v>
      </c>
      <c r="H632" s="7" t="s">
        <v>950</v>
      </c>
      <c r="I632" s="255"/>
      <c r="J632" s="255"/>
      <c r="K632" s="593">
        <v>1171184</v>
      </c>
      <c r="L632" s="594" t="s">
        <v>259</v>
      </c>
      <c r="M632" s="594" t="s">
        <v>371</v>
      </c>
      <c r="N632" s="52" t="str">
        <f>IF(AND('331-CT'!$E$7=TH!H632,OR(L632="331",M632="331")),"331",IF(AND(OR(L632="131",M632="131"),H632='131-CT'!$E$7),"131",""))</f>
        <v/>
      </c>
      <c r="O632" s="86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799"/>
      <c r="AB632" s="585"/>
    </row>
    <row r="633" spans="1:28" s="210" customFormat="1" ht="15.75" customHeight="1">
      <c r="A633" s="203" t="str">
        <f>IF(B633&lt;&gt;"",IF(AND(B633&gt;=_TM1,B633&lt;=_TM2,OR(TH!L633="1111",TH!M633="1111")),TH!D633,""),"")</f>
        <v/>
      </c>
      <c r="B633" s="36">
        <f>IF(C633&lt;&gt;"",MONTH(C633),"")</f>
        <v>5</v>
      </c>
      <c r="C633" s="183">
        <f>E633</f>
        <v>42144</v>
      </c>
      <c r="D633" s="183" t="s">
        <v>1541</v>
      </c>
      <c r="E633" s="190">
        <v>42144</v>
      </c>
      <c r="F633" s="188" t="s">
        <v>1140</v>
      </c>
      <c r="G633" s="482" t="s">
        <v>651</v>
      </c>
      <c r="H633" s="7" t="s">
        <v>473</v>
      </c>
      <c r="I633" s="256">
        <v>50</v>
      </c>
      <c r="J633" s="256">
        <v>13600</v>
      </c>
      <c r="K633" s="593">
        <f>ROUND(I633*J633,0)</f>
        <v>680000</v>
      </c>
      <c r="L633" s="594" t="s">
        <v>259</v>
      </c>
      <c r="M633" s="594" t="s">
        <v>174</v>
      </c>
      <c r="N633" s="52" t="str">
        <f>IF(AND('331-CT'!$E$7=TH!H633,OR(L633="331",M633="331")),"331",IF(AND(OR(L633="131",M633="131"),H633='131-CT'!$E$7),"131",""))</f>
        <v/>
      </c>
      <c r="O633" s="86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799"/>
      <c r="AB633" s="585"/>
    </row>
    <row r="634" spans="1:28" s="210" customFormat="1" ht="15.75" customHeight="1">
      <c r="A634" s="203" t="str">
        <f>IF(B634&lt;&gt;"",IF(AND(B634&gt;=_TM1,B634&lt;=_TM2,OR(TH!L634="1111",TH!M634="1111")),TH!D634,""),"")</f>
        <v/>
      </c>
      <c r="B634" s="36">
        <f>IF(C634&lt;&gt;"",MONTH(C634),"")</f>
        <v>5</v>
      </c>
      <c r="C634" s="183">
        <f>E634</f>
        <v>42144</v>
      </c>
      <c r="D634" s="183" t="s">
        <v>1541</v>
      </c>
      <c r="E634" s="190">
        <v>42144</v>
      </c>
      <c r="F634" s="188" t="s">
        <v>1140</v>
      </c>
      <c r="G634" s="482" t="s">
        <v>651</v>
      </c>
      <c r="H634" s="7" t="s">
        <v>473</v>
      </c>
      <c r="I634" s="255">
        <v>669</v>
      </c>
      <c r="J634" s="255">
        <v>14000</v>
      </c>
      <c r="K634" s="593">
        <f>ROUND(I634*J634,0)</f>
        <v>9366000</v>
      </c>
      <c r="L634" s="594" t="s">
        <v>259</v>
      </c>
      <c r="M634" s="594" t="s">
        <v>174</v>
      </c>
      <c r="N634" s="52" t="str">
        <f>IF(AND('331-CT'!$E$7=TH!H634,OR(L634="331",M634="331")),"331",IF(AND(OR(L634="131",M634="131"),H634='131-CT'!$E$7),"131",""))</f>
        <v/>
      </c>
      <c r="O634" s="86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799"/>
      <c r="AB634" s="585"/>
    </row>
    <row r="635" spans="1:28" s="210" customFormat="1" ht="15.75" customHeight="1">
      <c r="A635" s="203" t="str">
        <f>IF(B635&lt;&gt;"",IF(AND(B635&gt;=_TM1,B635&lt;=_TM2,OR(TH!L635="1111",TH!M635="1111")),TH!D635,""),"")</f>
        <v/>
      </c>
      <c r="B635" s="36">
        <f>IF(C635&lt;&gt;"",MONTH(C635),"")</f>
        <v>5</v>
      </c>
      <c r="C635" s="183">
        <f>E635</f>
        <v>42144</v>
      </c>
      <c r="D635" s="183" t="s">
        <v>1541</v>
      </c>
      <c r="E635" s="190">
        <v>42144</v>
      </c>
      <c r="F635" s="191" t="s">
        <v>1654</v>
      </c>
      <c r="G635" s="482" t="s">
        <v>651</v>
      </c>
      <c r="H635" s="7" t="s">
        <v>473</v>
      </c>
      <c r="I635" s="255">
        <v>1438</v>
      </c>
      <c r="J635" s="255">
        <v>1500</v>
      </c>
      <c r="K635" s="593">
        <f>ROUND(I635*J635,0)</f>
        <v>2157000</v>
      </c>
      <c r="L635" s="594" t="s">
        <v>259</v>
      </c>
      <c r="M635" s="594" t="s">
        <v>174</v>
      </c>
      <c r="N635" s="52" t="str">
        <f>IF(AND('331-CT'!$E$7=TH!H635,OR(L635="331",M635="331")),"331",IF(AND(OR(L635="131",M635="131"),H635='131-CT'!$E$7),"131",""))</f>
        <v/>
      </c>
      <c r="O635" s="86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799"/>
      <c r="AB635" s="585"/>
    </row>
    <row r="636" spans="1:28" s="210" customFormat="1" ht="15.75" customHeight="1">
      <c r="A636" s="203" t="str">
        <f>IF(B636&lt;&gt;"",IF(AND(B636&gt;=_TM1,B636&lt;=_TM2,OR(TH!L636="1111",TH!M636="1111")),TH!D636,""),"")</f>
        <v/>
      </c>
      <c r="B636" s="36">
        <f>IF(C636&lt;&gt;"",MONTH(C636),"")</f>
        <v>5</v>
      </c>
      <c r="C636" s="183">
        <f>E636</f>
        <v>42144</v>
      </c>
      <c r="D636" s="183" t="s">
        <v>1541</v>
      </c>
      <c r="E636" s="190">
        <v>42144</v>
      </c>
      <c r="F636" s="191" t="s">
        <v>402</v>
      </c>
      <c r="G636" s="482" t="s">
        <v>651</v>
      </c>
      <c r="H636" s="7" t="s">
        <v>473</v>
      </c>
      <c r="I636" s="256"/>
      <c r="J636" s="256"/>
      <c r="K636" s="593">
        <v>1220300</v>
      </c>
      <c r="L636" s="594" t="s">
        <v>259</v>
      </c>
      <c r="M636" s="594" t="s">
        <v>371</v>
      </c>
      <c r="N636" s="52" t="str">
        <f>IF(AND('331-CT'!$E$7=TH!H636,OR(L636="331",M636="331")),"331",IF(AND(OR(L636="131",M636="131"),H636='131-CT'!$E$7),"131",""))</f>
        <v/>
      </c>
      <c r="O636" s="86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799"/>
      <c r="AB636" s="585"/>
    </row>
    <row r="637" spans="1:28" s="210" customFormat="1" ht="15.75" customHeight="1">
      <c r="A637" s="203" t="str">
        <f>IF(B637&lt;&gt;"",IF(AND(B637&gt;=_TM1,B637&lt;=_TM2,OR(TH!L637="1111",TH!M637="1111")),TH!D637,""),"")</f>
        <v/>
      </c>
      <c r="B637" s="36">
        <f>IF(C637&lt;&gt;"",MONTH(C637),"")</f>
        <v>5</v>
      </c>
      <c r="C637" s="183">
        <f>E637</f>
        <v>42144</v>
      </c>
      <c r="D637" s="183" t="s">
        <v>1542</v>
      </c>
      <c r="E637" s="190">
        <v>42144</v>
      </c>
      <c r="F637" s="191" t="s">
        <v>494</v>
      </c>
      <c r="G637" s="482" t="s">
        <v>652</v>
      </c>
      <c r="H637" s="7" t="s">
        <v>834</v>
      </c>
      <c r="I637" s="255">
        <v>432</v>
      </c>
      <c r="J637" s="255">
        <v>5400</v>
      </c>
      <c r="K637" s="593">
        <f>ROUND(I637*J637,0)</f>
        <v>2332800</v>
      </c>
      <c r="L637" s="594" t="s">
        <v>259</v>
      </c>
      <c r="M637" s="594" t="s">
        <v>174</v>
      </c>
      <c r="N637" s="52" t="str">
        <f>IF(AND('331-CT'!$E$7=TH!H637,OR(L637="331",M637="331")),"331",IF(AND(OR(L637="131",M637="131"),H637='131-CT'!$E$7),"131",""))</f>
        <v/>
      </c>
      <c r="O637" s="86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799"/>
      <c r="AB637" s="585"/>
    </row>
    <row r="638" spans="1:28" s="210" customFormat="1" ht="15.75" customHeight="1">
      <c r="A638" s="203" t="str">
        <f>IF(B638&lt;&gt;"",IF(AND(B638&gt;=_TM1,B638&lt;=_TM2,OR(TH!L638="1111",TH!M638="1111")),TH!D638,""),"")</f>
        <v/>
      </c>
      <c r="B638" s="36">
        <f>IF(C638&lt;&gt;"",MONTH(C638),"")</f>
        <v>5</v>
      </c>
      <c r="C638" s="183">
        <f>E638</f>
        <v>42144</v>
      </c>
      <c r="D638" s="183" t="s">
        <v>1542</v>
      </c>
      <c r="E638" s="190">
        <v>42144</v>
      </c>
      <c r="F638" s="191" t="s">
        <v>402</v>
      </c>
      <c r="G638" s="482" t="s">
        <v>652</v>
      </c>
      <c r="H638" s="7" t="s">
        <v>834</v>
      </c>
      <c r="I638" s="255"/>
      <c r="J638" s="255"/>
      <c r="K638" s="593">
        <v>233280</v>
      </c>
      <c r="L638" s="594" t="s">
        <v>259</v>
      </c>
      <c r="M638" s="594" t="s">
        <v>371</v>
      </c>
      <c r="N638" s="52" t="str">
        <f>IF(AND('331-CT'!$E$7=TH!H638,OR(L638="331",M638="331")),"331",IF(AND(OR(L638="131",M638="131"),H638='131-CT'!$E$7),"131",""))</f>
        <v/>
      </c>
      <c r="O638" s="86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799"/>
      <c r="AB638" s="585"/>
    </row>
    <row r="639" spans="1:28" s="210" customFormat="1" ht="15.75" customHeight="1">
      <c r="A639" s="203" t="str">
        <f>IF(B639&lt;&gt;"",IF(AND(B639&gt;=_TM1,B639&lt;=_TM2,OR(TH!L639="1111",TH!M639="1111")),TH!D639,""),"")</f>
        <v/>
      </c>
      <c r="B639" s="36">
        <f>IF(C639&lt;&gt;"",MONTH(C639),"")</f>
        <v>5</v>
      </c>
      <c r="C639" s="183">
        <f>E639</f>
        <v>42144</v>
      </c>
      <c r="D639" s="183" t="s">
        <v>1543</v>
      </c>
      <c r="E639" s="190">
        <v>42144</v>
      </c>
      <c r="F639" s="191" t="s">
        <v>653</v>
      </c>
      <c r="G639" s="482" t="s">
        <v>656</v>
      </c>
      <c r="H639" s="7" t="s">
        <v>416</v>
      </c>
      <c r="I639" s="255">
        <v>3024</v>
      </c>
      <c r="J639" s="255">
        <v>15485</v>
      </c>
      <c r="K639" s="593">
        <f>ROUND(I639*J639,0)</f>
        <v>46826640</v>
      </c>
      <c r="L639" s="594" t="s">
        <v>259</v>
      </c>
      <c r="M639" s="594" t="s">
        <v>174</v>
      </c>
      <c r="N639" s="52" t="str">
        <f>IF(AND('331-CT'!$E$7=TH!H639,OR(L639="331",M639="331")),"331",IF(AND(OR(L639="131",M639="131"),H639='131-CT'!$E$7),"131",""))</f>
        <v/>
      </c>
      <c r="O639" s="86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799"/>
      <c r="AB639" s="585"/>
    </row>
    <row r="640" spans="1:28" s="210" customFormat="1" ht="15.75" customHeight="1">
      <c r="A640" s="203" t="str">
        <f>IF(B640&lt;&gt;"",IF(AND(B640&gt;=_TM1,B640&lt;=_TM2,OR(TH!L640="1111",TH!M640="1111")),TH!D640,""),"")</f>
        <v/>
      </c>
      <c r="B640" s="36">
        <f>IF(C640&lt;&gt;"",MONTH(C640),"")</f>
        <v>5</v>
      </c>
      <c r="C640" s="183">
        <f>E640</f>
        <v>42144</v>
      </c>
      <c r="D640" s="183" t="s">
        <v>1543</v>
      </c>
      <c r="E640" s="190">
        <v>42144</v>
      </c>
      <c r="F640" s="191" t="s">
        <v>654</v>
      </c>
      <c r="G640" s="482" t="s">
        <v>656</v>
      </c>
      <c r="H640" s="7" t="s">
        <v>416</v>
      </c>
      <c r="I640" s="255">
        <v>161</v>
      </c>
      <c r="J640" s="255">
        <v>25050</v>
      </c>
      <c r="K640" s="593">
        <f>ROUND(I640*J640,0)</f>
        <v>4033050</v>
      </c>
      <c r="L640" s="594" t="s">
        <v>259</v>
      </c>
      <c r="M640" s="594" t="s">
        <v>174</v>
      </c>
      <c r="N640" s="52" t="str">
        <f>IF(AND('331-CT'!$E$7=TH!H640,OR(L640="331",M640="331")),"331",IF(AND(OR(L640="131",M640="131"),H640='131-CT'!$E$7),"131",""))</f>
        <v/>
      </c>
      <c r="O640" s="86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799"/>
      <c r="AB640" s="585"/>
    </row>
    <row r="641" spans="1:28" s="210" customFormat="1" ht="15.75" customHeight="1">
      <c r="A641" s="203" t="str">
        <f>IF(B641&lt;&gt;"",IF(AND(B641&gt;=_TM1,B641&lt;=_TM2,OR(TH!L641="1111",TH!M641="1111")),TH!D641,""),"")</f>
        <v/>
      </c>
      <c r="B641" s="36">
        <f>IF(C641&lt;&gt;"",MONTH(C641),"")</f>
        <v>5</v>
      </c>
      <c r="C641" s="183">
        <f>E641</f>
        <v>42144</v>
      </c>
      <c r="D641" s="183" t="s">
        <v>1543</v>
      </c>
      <c r="E641" s="190">
        <v>42144</v>
      </c>
      <c r="F641" s="191" t="s">
        <v>655</v>
      </c>
      <c r="G641" s="482" t="s">
        <v>656</v>
      </c>
      <c r="H641" s="7" t="s">
        <v>416</v>
      </c>
      <c r="I641" s="256">
        <v>21</v>
      </c>
      <c r="J641" s="256">
        <v>22870</v>
      </c>
      <c r="K641" s="593">
        <f>ROUND(I641*J641,0)</f>
        <v>480270</v>
      </c>
      <c r="L641" s="594" t="s">
        <v>259</v>
      </c>
      <c r="M641" s="594" t="s">
        <v>174</v>
      </c>
      <c r="N641" s="52" t="str">
        <f>IF(AND('331-CT'!$E$7=TH!H641,OR(L641="331",M641="331")),"331",IF(AND(OR(L641="131",M641="131"),H641='131-CT'!$E$7),"131",""))</f>
        <v/>
      </c>
      <c r="O641" s="86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799"/>
      <c r="AB641" s="585"/>
    </row>
    <row r="642" spans="1:28" s="210" customFormat="1" ht="15.75" customHeight="1">
      <c r="A642" s="203" t="str">
        <f>IF(B642&lt;&gt;"",IF(AND(B642&gt;=_TM1,B642&lt;=_TM2,OR(TH!L642="1111",TH!M642="1111")),TH!D642,""),"")</f>
        <v/>
      </c>
      <c r="B642" s="36">
        <f>IF(C642&lt;&gt;"",MONTH(C642),"")</f>
        <v>5</v>
      </c>
      <c r="C642" s="183">
        <f>E642</f>
        <v>42144</v>
      </c>
      <c r="D642" s="183" t="s">
        <v>1543</v>
      </c>
      <c r="E642" s="190">
        <v>42144</v>
      </c>
      <c r="F642" s="191" t="s">
        <v>1663</v>
      </c>
      <c r="G642" s="482" t="s">
        <v>656</v>
      </c>
      <c r="H642" s="7" t="s">
        <v>416</v>
      </c>
      <c r="I642" s="255">
        <v>6048</v>
      </c>
      <c r="J642" s="255">
        <v>400</v>
      </c>
      <c r="K642" s="593">
        <f>ROUND(I642*J642,0)</f>
        <v>2419200</v>
      </c>
      <c r="L642" s="594" t="s">
        <v>259</v>
      </c>
      <c r="M642" s="594" t="s">
        <v>174</v>
      </c>
      <c r="N642" s="52" t="str">
        <f>IF(AND('331-CT'!$E$7=TH!H642,OR(L642="331",M642="331")),"331",IF(AND(OR(L642="131",M642="131"),H642='131-CT'!$E$7),"131",""))</f>
        <v/>
      </c>
      <c r="O642" s="86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799"/>
      <c r="AB642" s="585"/>
    </row>
    <row r="643" spans="1:28" s="210" customFormat="1" ht="15.75" customHeight="1">
      <c r="A643" s="203" t="str">
        <f>IF(B643&lt;&gt;"",IF(AND(B643&gt;=_TM1,B643&lt;=_TM2,OR(TH!L643="1111",TH!M643="1111")),TH!D643,""),"")</f>
        <v/>
      </c>
      <c r="B643" s="36">
        <f>IF(C643&lt;&gt;"",MONTH(C643),"")</f>
        <v>5</v>
      </c>
      <c r="C643" s="183">
        <f>E643</f>
        <v>42144</v>
      </c>
      <c r="D643" s="183" t="s">
        <v>1543</v>
      </c>
      <c r="E643" s="190">
        <v>42144</v>
      </c>
      <c r="F643" s="191" t="s">
        <v>1664</v>
      </c>
      <c r="G643" s="482" t="s">
        <v>656</v>
      </c>
      <c r="H643" s="7" t="s">
        <v>416</v>
      </c>
      <c r="I643" s="255">
        <v>364</v>
      </c>
      <c r="J643" s="255">
        <v>770</v>
      </c>
      <c r="K643" s="593">
        <f>ROUND(I643*J643,0)</f>
        <v>280280</v>
      </c>
      <c r="L643" s="594" t="s">
        <v>259</v>
      </c>
      <c r="M643" s="594" t="s">
        <v>174</v>
      </c>
      <c r="N643" s="52" t="str">
        <f>IF(AND('331-CT'!$E$7=TH!H643,OR(L643="331",M643="331")),"331",IF(AND(OR(L643="131",M643="131"),H643='131-CT'!$E$7),"131",""))</f>
        <v/>
      </c>
      <c r="O643" s="86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799"/>
      <c r="AB643" s="585"/>
    </row>
    <row r="644" spans="1:28" s="210" customFormat="1" ht="15.75" customHeight="1">
      <c r="A644" s="203" t="str">
        <f>IF(B644&lt;&gt;"",IF(AND(B644&gt;=_TM1,B644&lt;=_TM2,OR(TH!L644="1111",TH!M644="1111")),TH!D644,""),"")</f>
        <v/>
      </c>
      <c r="B644" s="36">
        <f>IF(C644&lt;&gt;"",MONTH(C644),"")</f>
        <v>5</v>
      </c>
      <c r="C644" s="183">
        <f>E644</f>
        <v>42144</v>
      </c>
      <c r="D644" s="183" t="s">
        <v>1543</v>
      </c>
      <c r="E644" s="190">
        <v>42144</v>
      </c>
      <c r="F644" s="191" t="s">
        <v>402</v>
      </c>
      <c r="G644" s="482" t="s">
        <v>656</v>
      </c>
      <c r="H644" s="7" t="s">
        <v>416</v>
      </c>
      <c r="I644" s="255"/>
      <c r="J644" s="255"/>
      <c r="K644" s="593">
        <v>5403944</v>
      </c>
      <c r="L644" s="594" t="s">
        <v>259</v>
      </c>
      <c r="M644" s="594" t="s">
        <v>371</v>
      </c>
      <c r="N644" s="52" t="str">
        <f>IF(AND('331-CT'!$E$7=TH!H644,OR(L644="331",M644="331")),"331",IF(AND(OR(L644="131",M644="131"),H644='131-CT'!$E$7),"131",""))</f>
        <v/>
      </c>
      <c r="O644" s="86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799"/>
      <c r="AB644" s="585"/>
    </row>
    <row r="645" spans="1:28" s="210" customFormat="1" ht="15.75" customHeight="1">
      <c r="A645" s="203" t="str">
        <f>IF(B645&lt;&gt;"",IF(AND(B645&gt;=_TM1,B645&lt;=_TM2,OR(TH!L645="1111",TH!M645="1111")),TH!D645,""),"")</f>
        <v/>
      </c>
      <c r="B645" s="36">
        <f>IF(C645&lt;&gt;"",MONTH(C645),"")</f>
        <v>5</v>
      </c>
      <c r="C645" s="183">
        <f>E645</f>
        <v>42144</v>
      </c>
      <c r="D645" s="183" t="s">
        <v>1544</v>
      </c>
      <c r="E645" s="190">
        <v>42144</v>
      </c>
      <c r="F645" s="191" t="s">
        <v>1722</v>
      </c>
      <c r="G645" s="482" t="s">
        <v>657</v>
      </c>
      <c r="H645" s="7" t="s">
        <v>1934</v>
      </c>
      <c r="I645" s="255">
        <v>250</v>
      </c>
      <c r="J645" s="255">
        <v>15206</v>
      </c>
      <c r="K645" s="593">
        <f>ROUND(I645*J645,0)</f>
        <v>3801500</v>
      </c>
      <c r="L645" s="594" t="s">
        <v>259</v>
      </c>
      <c r="M645" s="594" t="s">
        <v>174</v>
      </c>
      <c r="N645" s="52" t="str">
        <f>IF(AND('331-CT'!$E$7=TH!H645,OR(L645="331",M645="331")),"331",IF(AND(OR(L645="131",M645="131"),H645='131-CT'!$E$7),"131",""))</f>
        <v/>
      </c>
      <c r="O645" s="86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99"/>
    </row>
    <row r="646" spans="1:28" s="210" customFormat="1" ht="15.75" customHeight="1">
      <c r="A646" s="203" t="str">
        <f>IF(B646&lt;&gt;"",IF(AND(B646&gt;=_TM1,B646&lt;=_TM2,OR(TH!L646="1111",TH!M646="1111")),TH!D646,""),"")</f>
        <v/>
      </c>
      <c r="B646" s="36">
        <f>IF(C646&lt;&gt;"",MONTH(C646),"")</f>
        <v>5</v>
      </c>
      <c r="C646" s="183">
        <f>E646</f>
        <v>42144</v>
      </c>
      <c r="D646" s="183" t="s">
        <v>1544</v>
      </c>
      <c r="E646" s="190">
        <v>42144</v>
      </c>
      <c r="F646" s="191" t="s">
        <v>1723</v>
      </c>
      <c r="G646" s="482" t="s">
        <v>657</v>
      </c>
      <c r="H646" s="7" t="s">
        <v>1934</v>
      </c>
      <c r="I646" s="255">
        <v>75</v>
      </c>
      <c r="J646" s="255">
        <v>12320</v>
      </c>
      <c r="K646" s="593">
        <f>ROUND(I646*J646,0)</f>
        <v>924000</v>
      </c>
      <c r="L646" s="594" t="s">
        <v>259</v>
      </c>
      <c r="M646" s="594" t="s">
        <v>174</v>
      </c>
      <c r="N646" s="52" t="str">
        <f>IF(AND('331-CT'!$E$7=TH!H646,OR(L646="331",M646="331")),"331",IF(AND(OR(L646="131",M646="131"),H646='131-CT'!$E$7),"131",""))</f>
        <v/>
      </c>
      <c r="O646" s="86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99"/>
    </row>
    <row r="647" spans="1:28" s="210" customFormat="1" ht="15.75" customHeight="1">
      <c r="A647" s="203" t="str">
        <f>IF(B647&lt;&gt;"",IF(AND(B647&gt;=_TM1,B647&lt;=_TM2,OR(TH!L647="1111",TH!M647="1111")),TH!D647,""),"")</f>
        <v/>
      </c>
      <c r="B647" s="36">
        <f>IF(C647&lt;&gt;"",MONTH(C647),"")</f>
        <v>5</v>
      </c>
      <c r="C647" s="183">
        <f>E647</f>
        <v>42144</v>
      </c>
      <c r="D647" s="183" t="s">
        <v>1544</v>
      </c>
      <c r="E647" s="190">
        <v>42144</v>
      </c>
      <c r="F647" s="191" t="s">
        <v>1724</v>
      </c>
      <c r="G647" s="482" t="s">
        <v>657</v>
      </c>
      <c r="H647" s="7" t="s">
        <v>1934</v>
      </c>
      <c r="I647" s="255">
        <v>166</v>
      </c>
      <c r="J647" s="255">
        <v>18270</v>
      </c>
      <c r="K647" s="593">
        <f>ROUND(I647*J647,0)</f>
        <v>3032820</v>
      </c>
      <c r="L647" s="594" t="s">
        <v>259</v>
      </c>
      <c r="M647" s="594" t="s">
        <v>174</v>
      </c>
      <c r="N647" s="52" t="str">
        <f>IF(AND('331-CT'!$E$7=TH!H647,OR(L647="331",M647="331")),"331",IF(AND(OR(L647="131",M647="131"),H647='131-CT'!$E$7),"131",""))</f>
        <v/>
      </c>
      <c r="O647" s="86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99"/>
      <c r="AB647" s="585"/>
    </row>
    <row r="648" spans="1:28" s="210" customFormat="1" ht="15.75" customHeight="1">
      <c r="A648" s="203" t="str">
        <f>IF(B648&lt;&gt;"",IF(AND(B648&gt;=_TM1,B648&lt;=_TM2,OR(TH!L648="1111",TH!M648="1111")),TH!D648,""),"")</f>
        <v/>
      </c>
      <c r="B648" s="36">
        <f>IF(C648&lt;&gt;"",MONTH(C648),"")</f>
        <v>5</v>
      </c>
      <c r="C648" s="183">
        <f>E648</f>
        <v>42144</v>
      </c>
      <c r="D648" s="183" t="s">
        <v>1544</v>
      </c>
      <c r="E648" s="190">
        <v>42144</v>
      </c>
      <c r="F648" s="191" t="s">
        <v>1725</v>
      </c>
      <c r="G648" s="482" t="s">
        <v>657</v>
      </c>
      <c r="H648" s="7" t="s">
        <v>1934</v>
      </c>
      <c r="I648" s="255">
        <v>140</v>
      </c>
      <c r="J648" s="255">
        <v>14067</v>
      </c>
      <c r="K648" s="593">
        <f>ROUND(I648*J648,0)</f>
        <v>1969380</v>
      </c>
      <c r="L648" s="594" t="s">
        <v>259</v>
      </c>
      <c r="M648" s="594" t="s">
        <v>174</v>
      </c>
      <c r="N648" s="52" t="str">
        <f>IF(AND('331-CT'!$E$7=TH!H648,OR(L648="331",M648="331")),"331",IF(AND(OR(L648="131",M648="131"),H648='131-CT'!$E$7),"131",""))</f>
        <v/>
      </c>
      <c r="O648" s="86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99"/>
      <c r="AB648" s="585"/>
    </row>
    <row r="649" spans="1:28" s="210" customFormat="1" ht="15.75" customHeight="1">
      <c r="A649" s="203" t="str">
        <f>IF(B649&lt;&gt;"",IF(AND(B649&gt;=_TM1,B649&lt;=_TM2,OR(TH!L649="1111",TH!M649="1111")),TH!D649,""),"")</f>
        <v/>
      </c>
      <c r="B649" s="36">
        <f>IF(C649&lt;&gt;"",MONTH(C649),"")</f>
        <v>5</v>
      </c>
      <c r="C649" s="183">
        <f>E649</f>
        <v>42144</v>
      </c>
      <c r="D649" s="183" t="s">
        <v>1544</v>
      </c>
      <c r="E649" s="190">
        <v>42144</v>
      </c>
      <c r="F649" s="191" t="s">
        <v>1726</v>
      </c>
      <c r="G649" s="482" t="s">
        <v>657</v>
      </c>
      <c r="H649" s="7" t="s">
        <v>1934</v>
      </c>
      <c r="I649" s="255">
        <v>250</v>
      </c>
      <c r="J649" s="255">
        <v>17521</v>
      </c>
      <c r="K649" s="593">
        <f>ROUND(I649*J649,0)</f>
        <v>4380250</v>
      </c>
      <c r="L649" s="594" t="s">
        <v>259</v>
      </c>
      <c r="M649" s="594" t="s">
        <v>174</v>
      </c>
      <c r="N649" s="52" t="str">
        <f>IF(AND('331-CT'!$E$7=TH!H649,OR(L649="331",M649="331")),"331",IF(AND(OR(L649="131",M649="131"),H649='131-CT'!$E$7),"131",""))</f>
        <v/>
      </c>
      <c r="O649" s="86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99"/>
      <c r="AB649" s="585"/>
    </row>
    <row r="650" spans="1:28" s="210" customFormat="1" ht="15.75" customHeight="1">
      <c r="A650" s="203" t="str">
        <f>IF(B650&lt;&gt;"",IF(AND(B650&gt;=_TM1,B650&lt;=_TM2,OR(TH!L650="1111",TH!M650="1111")),TH!D650,""),"")</f>
        <v/>
      </c>
      <c r="B650" s="36">
        <f>IF(C650&lt;&gt;"",MONTH(C650),"")</f>
        <v>5</v>
      </c>
      <c r="C650" s="183">
        <f>E650</f>
        <v>42144</v>
      </c>
      <c r="D650" s="183" t="s">
        <v>1544</v>
      </c>
      <c r="E650" s="190">
        <v>42144</v>
      </c>
      <c r="F650" s="191" t="s">
        <v>1727</v>
      </c>
      <c r="G650" s="482" t="s">
        <v>657</v>
      </c>
      <c r="H650" s="7" t="s">
        <v>1934</v>
      </c>
      <c r="I650" s="255">
        <v>25</v>
      </c>
      <c r="J650" s="255">
        <v>17035</v>
      </c>
      <c r="K650" s="593">
        <f>ROUND(I650*J650,0)</f>
        <v>425875</v>
      </c>
      <c r="L650" s="594" t="s">
        <v>259</v>
      </c>
      <c r="M650" s="594" t="s">
        <v>174</v>
      </c>
      <c r="N650" s="52" t="str">
        <f>IF(AND('331-CT'!$E$7=TH!H650,OR(L650="331",M650="331")),"331",IF(AND(OR(L650="131",M650="131"),H650='131-CT'!$E$7),"131",""))</f>
        <v/>
      </c>
      <c r="O650" s="86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99"/>
      <c r="AB650" s="585"/>
    </row>
    <row r="651" spans="1:28" s="210" customFormat="1" ht="15.75" customHeight="1">
      <c r="A651" s="203" t="str">
        <f>IF(B651&lt;&gt;"",IF(AND(B651&gt;=_TM1,B651&lt;=_TM2,OR(TH!L651="1111",TH!M651="1111")),TH!D651,""),"")</f>
        <v/>
      </c>
      <c r="B651" s="36">
        <f>IF(C651&lt;&gt;"",MONTH(C651),"")</f>
        <v>5</v>
      </c>
      <c r="C651" s="183">
        <f>E651</f>
        <v>42144</v>
      </c>
      <c r="D651" s="183" t="s">
        <v>1544</v>
      </c>
      <c r="E651" s="190">
        <v>42144</v>
      </c>
      <c r="F651" s="191" t="s">
        <v>1728</v>
      </c>
      <c r="G651" s="482" t="s">
        <v>657</v>
      </c>
      <c r="H651" s="7" t="s">
        <v>1934</v>
      </c>
      <c r="I651" s="255">
        <v>25</v>
      </c>
      <c r="J651" s="255">
        <v>15616</v>
      </c>
      <c r="K651" s="593">
        <f>ROUND(I651*J651,0)</f>
        <v>390400</v>
      </c>
      <c r="L651" s="594" t="s">
        <v>259</v>
      </c>
      <c r="M651" s="594" t="s">
        <v>174</v>
      </c>
      <c r="N651" s="52" t="str">
        <f>IF(AND('331-CT'!$E$7=TH!H651,OR(L651="331",M651="331")),"331",IF(AND(OR(L651="131",M651="131"),H651='131-CT'!$E$7),"131",""))</f>
        <v/>
      </c>
      <c r="O651" s="86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99"/>
      <c r="AB651" s="585"/>
    </row>
    <row r="652" spans="1:28" s="210" customFormat="1" ht="15.75" customHeight="1">
      <c r="A652" s="203" t="str">
        <f>IF(B652&lt;&gt;"",IF(AND(B652&gt;=_TM1,B652&lt;=_TM2,OR(TH!L652="1111",TH!M652="1111")),TH!D652,""),"")</f>
        <v/>
      </c>
      <c r="B652" s="36">
        <f>IF(C652&lt;&gt;"",MONTH(C652),"")</f>
        <v>5</v>
      </c>
      <c r="C652" s="183">
        <f>E652</f>
        <v>42144</v>
      </c>
      <c r="D652" s="183" t="s">
        <v>1544</v>
      </c>
      <c r="E652" s="190">
        <v>42144</v>
      </c>
      <c r="F652" s="191" t="s">
        <v>1729</v>
      </c>
      <c r="G652" s="482" t="s">
        <v>657</v>
      </c>
      <c r="H652" s="7" t="s">
        <v>1934</v>
      </c>
      <c r="I652" s="255">
        <v>40</v>
      </c>
      <c r="J652" s="255">
        <v>17577</v>
      </c>
      <c r="K652" s="593">
        <f>ROUND(I652*J652,0)</f>
        <v>703080</v>
      </c>
      <c r="L652" s="594" t="s">
        <v>259</v>
      </c>
      <c r="M652" s="594" t="s">
        <v>174</v>
      </c>
      <c r="N652" s="52" t="str">
        <f>IF(AND('331-CT'!$E$7=TH!H652,OR(L652="331",M652="331")),"331",IF(AND(OR(L652="131",M652="131"),H652='131-CT'!$E$7),"131",""))</f>
        <v/>
      </c>
      <c r="O652" s="86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99"/>
    </row>
    <row r="653" spans="1:28" s="210" customFormat="1" ht="15.75" customHeight="1">
      <c r="A653" s="203" t="str">
        <f>IF(B653&lt;&gt;"",IF(AND(B653&gt;=_TM1,B653&lt;=_TM2,OR(TH!L653="1111",TH!M653="1111")),TH!D653,""),"")</f>
        <v/>
      </c>
      <c r="B653" s="36">
        <f>IF(C653&lt;&gt;"",MONTH(C653),"")</f>
        <v>5</v>
      </c>
      <c r="C653" s="183">
        <f>E653</f>
        <v>42144</v>
      </c>
      <c r="D653" s="183" t="s">
        <v>1544</v>
      </c>
      <c r="E653" s="190">
        <v>42144</v>
      </c>
      <c r="F653" s="191" t="s">
        <v>1730</v>
      </c>
      <c r="G653" s="482" t="s">
        <v>657</v>
      </c>
      <c r="H653" s="7" t="s">
        <v>1934</v>
      </c>
      <c r="I653" s="255">
        <v>40</v>
      </c>
      <c r="J653" s="255">
        <v>15484</v>
      </c>
      <c r="K653" s="593">
        <f>ROUND(I653*J653,0)</f>
        <v>619360</v>
      </c>
      <c r="L653" s="594" t="s">
        <v>259</v>
      </c>
      <c r="M653" s="594" t="s">
        <v>174</v>
      </c>
      <c r="N653" s="52" t="str">
        <f>IF(AND('331-CT'!$E$7=TH!H653,OR(L653="331",M653="331")),"331",IF(AND(OR(L653="131",M653="131"),H653='131-CT'!$E$7),"131",""))</f>
        <v/>
      </c>
      <c r="O653" s="86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99"/>
    </row>
    <row r="654" spans="1:28" s="210" customFormat="1" ht="15.75" customHeight="1">
      <c r="A654" s="203" t="str">
        <f>IF(B654&lt;&gt;"",IF(AND(B654&gt;=_TM1,B654&lt;=_TM2,OR(TH!L654="1111",TH!M654="1111")),TH!D654,""),"")</f>
        <v/>
      </c>
      <c r="B654" s="36">
        <f>IF(C654&lt;&gt;"",MONTH(C654),"")</f>
        <v>5</v>
      </c>
      <c r="C654" s="183">
        <f>E654</f>
        <v>42144</v>
      </c>
      <c r="D654" s="183" t="s">
        <v>1544</v>
      </c>
      <c r="E654" s="190">
        <v>42144</v>
      </c>
      <c r="F654" s="191" t="s">
        <v>1725</v>
      </c>
      <c r="G654" s="482" t="s">
        <v>657</v>
      </c>
      <c r="H654" s="7" t="s">
        <v>1934</v>
      </c>
      <c r="I654" s="255">
        <v>140</v>
      </c>
      <c r="J654" s="255">
        <v>14067</v>
      </c>
      <c r="K654" s="593">
        <f>ROUND(I654*J654,0)</f>
        <v>1969380</v>
      </c>
      <c r="L654" s="594" t="s">
        <v>259</v>
      </c>
      <c r="M654" s="594" t="s">
        <v>174</v>
      </c>
      <c r="N654" s="52" t="str">
        <f>IF(AND('331-CT'!$E$7=TH!H654,OR(L654="331",M654="331")),"331",IF(AND(OR(L654="131",M654="131"),H654='131-CT'!$E$7),"131",""))</f>
        <v/>
      </c>
      <c r="O654" s="86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99"/>
    </row>
    <row r="655" spans="1:28" s="210" customFormat="1" ht="15.75" customHeight="1">
      <c r="A655" s="203" t="str">
        <f>IF(B655&lt;&gt;"",IF(AND(B655&gt;=_TM1,B655&lt;=_TM2,OR(TH!L655="1111",TH!M655="1111")),TH!D655,""),"")</f>
        <v/>
      </c>
      <c r="B655" s="36">
        <f>IF(C655&lt;&gt;"",MONTH(C655),"")</f>
        <v>5</v>
      </c>
      <c r="C655" s="183">
        <f>E655</f>
        <v>42144</v>
      </c>
      <c r="D655" s="183" t="s">
        <v>1544</v>
      </c>
      <c r="E655" s="190">
        <v>42144</v>
      </c>
      <c r="F655" s="191" t="s">
        <v>465</v>
      </c>
      <c r="G655" s="482" t="s">
        <v>657</v>
      </c>
      <c r="H655" s="7" t="s">
        <v>1934</v>
      </c>
      <c r="I655" s="255"/>
      <c r="J655" s="255"/>
      <c r="K655" s="593">
        <v>1821605</v>
      </c>
      <c r="L655" s="594" t="s">
        <v>259</v>
      </c>
      <c r="M655" s="594" t="s">
        <v>371</v>
      </c>
      <c r="N655" s="52" t="str">
        <f>IF(AND('331-CT'!$E$7=TH!H655,OR(L655="331",M655="331")),"331",IF(AND(OR(L655="131",M655="131"),H655='131-CT'!$E$7),"131",""))</f>
        <v/>
      </c>
      <c r="O655" s="86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99"/>
    </row>
    <row r="656" spans="1:28" s="210" customFormat="1" ht="15.75" customHeight="1">
      <c r="A656" s="203" t="str">
        <f>IF(B656&lt;&gt;"",IF(AND(B656&gt;=_TM1,B656&lt;=_TM2,OR(TH!L656="1111",TH!M656="1111")),TH!D656,""),"")</f>
        <v/>
      </c>
      <c r="B656" s="36">
        <f>IF(C656&lt;&gt;"",MONTH(C656),"")</f>
        <v>5</v>
      </c>
      <c r="C656" s="183">
        <f>E656</f>
        <v>42144</v>
      </c>
      <c r="D656" s="183" t="s">
        <v>1545</v>
      </c>
      <c r="E656" s="190">
        <v>42144</v>
      </c>
      <c r="F656" s="191" t="s">
        <v>585</v>
      </c>
      <c r="G656" s="482" t="s">
        <v>664</v>
      </c>
      <c r="H656" s="7" t="s">
        <v>950</v>
      </c>
      <c r="I656" s="255">
        <v>102</v>
      </c>
      <c r="J656" s="255">
        <v>14170</v>
      </c>
      <c r="K656" s="593">
        <f>ROUND(I656*J656,0)</f>
        <v>1445340</v>
      </c>
      <c r="L656" s="594" t="s">
        <v>259</v>
      </c>
      <c r="M656" s="594" t="s">
        <v>174</v>
      </c>
      <c r="N656" s="52" t="str">
        <f>IF(AND('331-CT'!$E$7=TH!H656,OR(L656="331",M656="331")),"331",IF(AND(OR(L656="131",M656="131"),H656='131-CT'!$E$7),"131",""))</f>
        <v/>
      </c>
      <c r="O656" s="86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99"/>
      <c r="AB656" s="585"/>
    </row>
    <row r="657" spans="1:28" s="210" customFormat="1" ht="15.75" customHeight="1">
      <c r="A657" s="203" t="str">
        <f>IF(B657&lt;&gt;"",IF(AND(B657&gt;=_TM1,B657&lt;=_TM2,OR(TH!L657="1111",TH!M657="1111")),TH!D657,""),"")</f>
        <v/>
      </c>
      <c r="B657" s="36">
        <f>IF(C657&lt;&gt;"",MONTH(C657),"")</f>
        <v>5</v>
      </c>
      <c r="C657" s="183">
        <f>E657</f>
        <v>42144</v>
      </c>
      <c r="D657" s="183" t="s">
        <v>1545</v>
      </c>
      <c r="E657" s="190">
        <v>42144</v>
      </c>
      <c r="F657" s="191" t="s">
        <v>600</v>
      </c>
      <c r="G657" s="482" t="s">
        <v>664</v>
      </c>
      <c r="H657" s="7" t="s">
        <v>950</v>
      </c>
      <c r="I657" s="255">
        <v>106</v>
      </c>
      <c r="J657" s="255">
        <v>9070</v>
      </c>
      <c r="K657" s="593">
        <f>ROUND(I657*J657,0)</f>
        <v>961420</v>
      </c>
      <c r="L657" s="594" t="s">
        <v>259</v>
      </c>
      <c r="M657" s="594" t="s">
        <v>174</v>
      </c>
      <c r="N657" s="52" t="str">
        <f>IF(AND('331-CT'!$E$7=TH!H657,OR(L657="331",M657="331")),"331",IF(AND(OR(L657="131",M657="131"),H657='131-CT'!$E$7),"131",""))</f>
        <v/>
      </c>
      <c r="O657" s="86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99"/>
      <c r="AB657" s="585"/>
    </row>
    <row r="658" spans="1:28" s="210" customFormat="1" ht="15.75" customHeight="1">
      <c r="A658" s="203" t="str">
        <f>IF(B658&lt;&gt;"",IF(AND(B658&gt;=_TM1,B658&lt;=_TM2,OR(TH!L658="1111",TH!M658="1111")),TH!D658,""),"")</f>
        <v/>
      </c>
      <c r="B658" s="36">
        <f>IF(C658&lt;&gt;"",MONTH(C658),"")</f>
        <v>5</v>
      </c>
      <c r="C658" s="183">
        <f>E658</f>
        <v>42144</v>
      </c>
      <c r="D658" s="183" t="s">
        <v>1545</v>
      </c>
      <c r="E658" s="190">
        <v>42144</v>
      </c>
      <c r="F658" s="191" t="s">
        <v>658</v>
      </c>
      <c r="G658" s="482" t="s">
        <v>664</v>
      </c>
      <c r="H658" s="7" t="s">
        <v>950</v>
      </c>
      <c r="I658" s="255">
        <v>90</v>
      </c>
      <c r="J658" s="255">
        <v>7260</v>
      </c>
      <c r="K658" s="593">
        <f>ROUND(I658*J658,0)</f>
        <v>653400</v>
      </c>
      <c r="L658" s="594" t="s">
        <v>259</v>
      </c>
      <c r="M658" s="594" t="s">
        <v>174</v>
      </c>
      <c r="N658" s="52" t="str">
        <f>IF(AND('331-CT'!$E$7=TH!H658,OR(L658="331",M658="331")),"331",IF(AND(OR(L658="131",M658="131"),H658='131-CT'!$E$7),"131",""))</f>
        <v/>
      </c>
      <c r="O658" s="86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99"/>
      <c r="AB658" s="585"/>
    </row>
    <row r="659" spans="1:28" s="210" customFormat="1" ht="15.75" customHeight="1">
      <c r="A659" s="203" t="str">
        <f>IF(B659&lt;&gt;"",IF(AND(B659&gt;=_TM1,B659&lt;=_TM2,OR(TH!L659="1111",TH!M659="1111")),TH!D659,""),"")</f>
        <v/>
      </c>
      <c r="B659" s="36">
        <f>IF(C659&lt;&gt;"",MONTH(C659),"")</f>
        <v>5</v>
      </c>
      <c r="C659" s="183">
        <f>E659</f>
        <v>42144</v>
      </c>
      <c r="D659" s="183" t="s">
        <v>1545</v>
      </c>
      <c r="E659" s="190">
        <v>42144</v>
      </c>
      <c r="F659" s="191" t="s">
        <v>659</v>
      </c>
      <c r="G659" s="482" t="s">
        <v>664</v>
      </c>
      <c r="H659" s="7" t="s">
        <v>950</v>
      </c>
      <c r="I659" s="255">
        <v>660</v>
      </c>
      <c r="J659" s="255">
        <v>8300</v>
      </c>
      <c r="K659" s="593">
        <f>ROUND(I659*J659,0)</f>
        <v>5478000</v>
      </c>
      <c r="L659" s="594" t="s">
        <v>259</v>
      </c>
      <c r="M659" s="594" t="s">
        <v>174</v>
      </c>
      <c r="N659" s="52" t="str">
        <f>IF(AND('331-CT'!$E$7=TH!H659,OR(L659="331",M659="331")),"331",IF(AND(OR(L659="131",M659="131"),H659='131-CT'!$E$7),"131",""))</f>
        <v/>
      </c>
      <c r="O659" s="86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99"/>
      <c r="AB659" s="585"/>
    </row>
    <row r="660" spans="1:28" s="210" customFormat="1" ht="15.75" customHeight="1">
      <c r="A660" s="203" t="str">
        <f>IF(B660&lt;&gt;"",IF(AND(B660&gt;=_TM1,B660&lt;=_TM2,OR(TH!L660="1111",TH!M660="1111")),TH!D660,""),"")</f>
        <v/>
      </c>
      <c r="B660" s="36">
        <f>IF(C660&lt;&gt;"",MONTH(C660),"")</f>
        <v>5</v>
      </c>
      <c r="C660" s="183">
        <f>E660</f>
        <v>42144</v>
      </c>
      <c r="D660" s="183" t="s">
        <v>1545</v>
      </c>
      <c r="E660" s="190">
        <v>42144</v>
      </c>
      <c r="F660" s="191" t="s">
        <v>660</v>
      </c>
      <c r="G660" s="482" t="s">
        <v>664</v>
      </c>
      <c r="H660" s="7" t="s">
        <v>950</v>
      </c>
      <c r="I660" s="255">
        <v>55</v>
      </c>
      <c r="J660" s="255">
        <v>8810</v>
      </c>
      <c r="K660" s="593">
        <f>ROUND(I660*J660,0)</f>
        <v>484550</v>
      </c>
      <c r="L660" s="594" t="s">
        <v>259</v>
      </c>
      <c r="M660" s="594" t="s">
        <v>174</v>
      </c>
      <c r="N660" s="52" t="str">
        <f>IF(AND('331-CT'!$E$7=TH!H660,OR(L660="331",M660="331")),"331",IF(AND(OR(L660="131",M660="131"),H660='131-CT'!$E$7),"131",""))</f>
        <v/>
      </c>
      <c r="O660" s="86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99"/>
      <c r="AB660" s="585"/>
    </row>
    <row r="661" spans="1:28" s="210" customFormat="1" ht="15.75" customHeight="1">
      <c r="A661" s="203" t="str">
        <f>IF(B661&lt;&gt;"",IF(AND(B661&gt;=_TM1,B661&lt;=_TM2,OR(TH!L661="1111",TH!M661="1111")),TH!D661,""),"")</f>
        <v/>
      </c>
      <c r="B661" s="36">
        <f>IF(C661&lt;&gt;"",MONTH(C661),"")</f>
        <v>5</v>
      </c>
      <c r="C661" s="183">
        <f>E661</f>
        <v>42144</v>
      </c>
      <c r="D661" s="183" t="s">
        <v>1545</v>
      </c>
      <c r="E661" s="190">
        <v>42144</v>
      </c>
      <c r="F661" s="191" t="s">
        <v>661</v>
      </c>
      <c r="G661" s="482" t="s">
        <v>664</v>
      </c>
      <c r="H661" s="7" t="s">
        <v>950</v>
      </c>
      <c r="I661" s="255">
        <v>21</v>
      </c>
      <c r="J661" s="255">
        <v>7610</v>
      </c>
      <c r="K661" s="593">
        <f>ROUND(I661*J661,0)</f>
        <v>159810</v>
      </c>
      <c r="L661" s="594" t="s">
        <v>259</v>
      </c>
      <c r="M661" s="594" t="s">
        <v>174</v>
      </c>
      <c r="N661" s="52" t="str">
        <f>IF(AND('331-CT'!$E$7=TH!H661,OR(L661="331",M661="331")),"331",IF(AND(OR(L661="131",M661="131"),H661='131-CT'!$E$7),"131",""))</f>
        <v/>
      </c>
      <c r="O661" s="86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99"/>
      <c r="AB661" s="585"/>
    </row>
    <row r="662" spans="1:28" s="210" customFormat="1" ht="15.75" customHeight="1">
      <c r="A662" s="203" t="str">
        <f>IF(B662&lt;&gt;"",IF(AND(B662&gt;=_TM1,B662&lt;=_TM2,OR(TH!L662="1111",TH!M662="1111")),TH!D662,""),"")</f>
        <v/>
      </c>
      <c r="B662" s="36">
        <f>IF(C662&lt;&gt;"",MONTH(C662),"")</f>
        <v>5</v>
      </c>
      <c r="C662" s="183">
        <f>E662</f>
        <v>42144</v>
      </c>
      <c r="D662" s="183" t="s">
        <v>1545</v>
      </c>
      <c r="E662" s="190">
        <v>42144</v>
      </c>
      <c r="F662" s="191" t="s">
        <v>432</v>
      </c>
      <c r="G662" s="482" t="s">
        <v>664</v>
      </c>
      <c r="H662" s="7" t="s">
        <v>950</v>
      </c>
      <c r="I662" s="255">
        <v>63</v>
      </c>
      <c r="J662" s="255">
        <v>9360</v>
      </c>
      <c r="K662" s="593">
        <f>ROUND(I662*J662,0)</f>
        <v>589680</v>
      </c>
      <c r="L662" s="594" t="s">
        <v>259</v>
      </c>
      <c r="M662" s="594" t="s">
        <v>174</v>
      </c>
      <c r="N662" s="52" t="str">
        <f>IF(AND('331-CT'!$E$7=TH!H662,OR(L662="331",M662="331")),"331",IF(AND(OR(L662="131",M662="131"),H662='131-CT'!$E$7),"131",""))</f>
        <v/>
      </c>
      <c r="O662" s="86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99"/>
      <c r="AB662" s="585"/>
    </row>
    <row r="663" spans="1:28" s="210" customFormat="1" ht="15.75" customHeight="1">
      <c r="A663" s="203" t="str">
        <f>IF(B663&lt;&gt;"",IF(AND(B663&gt;=_TM1,B663&lt;=_TM2,OR(TH!L663="1111",TH!M663="1111")),TH!D663,""),"")</f>
        <v/>
      </c>
      <c r="B663" s="36">
        <f>IF(C663&lt;&gt;"",MONTH(C663),"")</f>
        <v>5</v>
      </c>
      <c r="C663" s="183">
        <f>E663</f>
        <v>42144</v>
      </c>
      <c r="D663" s="183" t="s">
        <v>1545</v>
      </c>
      <c r="E663" s="190">
        <v>42144</v>
      </c>
      <c r="F663" s="191" t="s">
        <v>662</v>
      </c>
      <c r="G663" s="482" t="s">
        <v>664</v>
      </c>
      <c r="H663" s="7" t="s">
        <v>950</v>
      </c>
      <c r="I663" s="255">
        <v>11</v>
      </c>
      <c r="J663" s="255">
        <v>12770</v>
      </c>
      <c r="K663" s="593">
        <f>ROUND(I663*J663,0)</f>
        <v>140470</v>
      </c>
      <c r="L663" s="594" t="s">
        <v>259</v>
      </c>
      <c r="M663" s="594" t="s">
        <v>174</v>
      </c>
      <c r="N663" s="52" t="str">
        <f>IF(AND('331-CT'!$E$7=TH!H663,OR(L663="331",M663="331")),"331",IF(AND(OR(L663="131",M663="131"),H663='131-CT'!$E$7),"131",""))</f>
        <v/>
      </c>
      <c r="O663" s="86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99"/>
      <c r="AB663" s="585"/>
    </row>
    <row r="664" spans="1:28" s="210" customFormat="1" ht="15.75" customHeight="1">
      <c r="A664" s="203" t="str">
        <f>IF(B664&lt;&gt;"",IF(AND(B664&gt;=_TM1,B664&lt;=_TM2,OR(TH!L664="1111",TH!M664="1111")),TH!D664,""),"")</f>
        <v/>
      </c>
      <c r="B664" s="36">
        <f>IF(C664&lt;&gt;"",MONTH(C664),"")</f>
        <v>5</v>
      </c>
      <c r="C664" s="183">
        <f>E664</f>
        <v>42144</v>
      </c>
      <c r="D664" s="183" t="s">
        <v>1545</v>
      </c>
      <c r="E664" s="190">
        <v>42144</v>
      </c>
      <c r="F664" s="191" t="s">
        <v>663</v>
      </c>
      <c r="G664" s="482" t="s">
        <v>664</v>
      </c>
      <c r="H664" s="7" t="s">
        <v>950</v>
      </c>
      <c r="I664" s="255">
        <v>11</v>
      </c>
      <c r="J664" s="255">
        <v>13400</v>
      </c>
      <c r="K664" s="593">
        <f>ROUND(I664*J664,0)</f>
        <v>147400</v>
      </c>
      <c r="L664" s="594" t="s">
        <v>259</v>
      </c>
      <c r="M664" s="594" t="s">
        <v>174</v>
      </c>
      <c r="N664" s="52" t="str">
        <f>IF(AND('331-CT'!$E$7=TH!H664,OR(L664="331",M664="331")),"331",IF(AND(OR(L664="131",M664="131"),H664='131-CT'!$E$7),"131",""))</f>
        <v/>
      </c>
      <c r="O664" s="86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99"/>
      <c r="AB664" s="585"/>
    </row>
    <row r="665" spans="1:28" s="210" customFormat="1" ht="15.75" customHeight="1">
      <c r="A665" s="203" t="str">
        <f>IF(B665&lt;&gt;"",IF(AND(B665&gt;=_TM1,B665&lt;=_TM2,OR(TH!L665="1111",TH!M665="1111")),TH!D665,""),"")</f>
        <v/>
      </c>
      <c r="B665" s="36">
        <f>IF(C665&lt;&gt;"",MONTH(C665),"")</f>
        <v>5</v>
      </c>
      <c r="C665" s="183">
        <f>E665</f>
        <v>42144</v>
      </c>
      <c r="D665" s="183" t="s">
        <v>1545</v>
      </c>
      <c r="E665" s="190">
        <v>42144</v>
      </c>
      <c r="F665" s="191" t="s">
        <v>602</v>
      </c>
      <c r="G665" s="482" t="s">
        <v>664</v>
      </c>
      <c r="H665" s="7" t="s">
        <v>950</v>
      </c>
      <c r="I665" s="255">
        <v>202</v>
      </c>
      <c r="J665" s="255">
        <v>8980</v>
      </c>
      <c r="K665" s="593">
        <f>ROUND(I665*J665,0)</f>
        <v>1813960</v>
      </c>
      <c r="L665" s="594" t="s">
        <v>259</v>
      </c>
      <c r="M665" s="594" t="s">
        <v>174</v>
      </c>
      <c r="N665" s="52" t="str">
        <f>IF(AND('331-CT'!$E$7=TH!H665,OR(L665="331",M665="331")),"331",IF(AND(OR(L665="131",M665="131"),H665='131-CT'!$E$7),"131",""))</f>
        <v/>
      </c>
      <c r="O665" s="86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99"/>
      <c r="AB665" s="585"/>
    </row>
    <row r="666" spans="1:28" s="210" customFormat="1" ht="15.75" customHeight="1">
      <c r="A666" s="203" t="str">
        <f>IF(B666&lt;&gt;"",IF(AND(B666&gt;=_TM1,B666&lt;=_TM2,OR(TH!L666="1111",TH!M666="1111")),TH!D666,""),"")</f>
        <v/>
      </c>
      <c r="B666" s="36">
        <f>IF(C666&lt;&gt;"",MONTH(C666),"")</f>
        <v>5</v>
      </c>
      <c r="C666" s="183">
        <f>E666</f>
        <v>42144</v>
      </c>
      <c r="D666" s="183" t="s">
        <v>1545</v>
      </c>
      <c r="E666" s="190">
        <v>42144</v>
      </c>
      <c r="F666" s="191" t="s">
        <v>402</v>
      </c>
      <c r="G666" s="482" t="s">
        <v>664</v>
      </c>
      <c r="H666" s="7" t="s">
        <v>950</v>
      </c>
      <c r="I666" s="255"/>
      <c r="J666" s="255"/>
      <c r="K666" s="593">
        <v>1187403</v>
      </c>
      <c r="L666" s="594" t="s">
        <v>259</v>
      </c>
      <c r="M666" s="594" t="s">
        <v>371</v>
      </c>
      <c r="N666" s="52" t="str">
        <f>IF(AND('331-CT'!$E$7=TH!H666,OR(L666="331",M666="331")),"331",IF(AND(OR(L666="131",M666="131"),H666='131-CT'!$E$7),"131",""))</f>
        <v/>
      </c>
      <c r="O666" s="86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99"/>
      <c r="AB666" s="585"/>
    </row>
    <row r="667" spans="1:28" s="210" customFormat="1" ht="15.75" customHeight="1">
      <c r="A667" s="203" t="str">
        <f>IF(B667&lt;&gt;"",IF(AND(B667&gt;=_TM1,B667&lt;=_TM2,OR(TH!L667="1111",TH!M667="1111")),TH!D667,""),"")</f>
        <v/>
      </c>
      <c r="B667" s="36">
        <f>IF(C667&lt;&gt;"",MONTH(C667),"")</f>
        <v>5</v>
      </c>
      <c r="C667" s="183">
        <f>E667</f>
        <v>42145</v>
      </c>
      <c r="D667" s="183" t="s">
        <v>1319</v>
      </c>
      <c r="E667" s="190">
        <v>42145</v>
      </c>
      <c r="F667" s="191" t="s">
        <v>1320</v>
      </c>
      <c r="G667" s="482" t="s">
        <v>332</v>
      </c>
      <c r="H667" s="7" t="s">
        <v>444</v>
      </c>
      <c r="I667" s="255"/>
      <c r="J667" s="255"/>
      <c r="K667" s="593">
        <v>32817510</v>
      </c>
      <c r="L667" s="594" t="s">
        <v>24</v>
      </c>
      <c r="M667" s="594" t="s">
        <v>259</v>
      </c>
      <c r="N667" s="52" t="str">
        <f>IF(AND('331-CT'!$E$7=TH!H667,OR(L667="331",M667="331")),"331",IF(AND(OR(L667="131",M667="131"),H667='131-CT'!$E$7),"131",""))</f>
        <v/>
      </c>
      <c r="O667" s="86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>x</v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99"/>
    </row>
    <row r="668" spans="1:28" s="210" customFormat="1" ht="15.75" customHeight="1">
      <c r="A668" s="203" t="str">
        <f>IF(B668&lt;&gt;"",IF(AND(B668&gt;=_TM1,B668&lt;=_TM2,OR(TH!L668="1111",TH!M668="1111")),TH!D668,""),"")</f>
        <v/>
      </c>
      <c r="B668" s="36">
        <f>IF(C668&lt;&gt;"",MONTH(C668),"")</f>
        <v>5</v>
      </c>
      <c r="C668" s="183">
        <f>E668</f>
        <v>42146</v>
      </c>
      <c r="D668" s="183" t="s">
        <v>1546</v>
      </c>
      <c r="E668" s="190">
        <v>42146</v>
      </c>
      <c r="F668" s="191" t="s">
        <v>665</v>
      </c>
      <c r="G668" s="482" t="s">
        <v>666</v>
      </c>
      <c r="H668" s="7" t="s">
        <v>1934</v>
      </c>
      <c r="I668" s="255">
        <v>1235</v>
      </c>
      <c r="J668" s="255">
        <v>8113</v>
      </c>
      <c r="K668" s="593">
        <f>ROUND(I668*J668,0)</f>
        <v>10019555</v>
      </c>
      <c r="L668" s="594" t="s">
        <v>259</v>
      </c>
      <c r="M668" s="594" t="s">
        <v>174</v>
      </c>
      <c r="N668" s="52" t="str">
        <f>IF(AND('331-CT'!$E$7=TH!H668,OR(L668="331",M668="331")),"331",IF(AND(OR(L668="131",M668="131"),H668='131-CT'!$E$7),"131",""))</f>
        <v/>
      </c>
      <c r="O668" s="86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99"/>
      <c r="AB668" s="585"/>
    </row>
    <row r="669" spans="1:28" s="210" customFormat="1" ht="15.75" customHeight="1">
      <c r="A669" s="203" t="str">
        <f>IF(B669&lt;&gt;"",IF(AND(B669&gt;=_TM1,B669&lt;=_TM2,OR(TH!L669="1111",TH!M669="1111")),TH!D669,""),"")</f>
        <v/>
      </c>
      <c r="B669" s="36">
        <f>IF(C669&lt;&gt;"",MONTH(C669),"")</f>
        <v>5</v>
      </c>
      <c r="C669" s="183">
        <f>E669</f>
        <v>42146</v>
      </c>
      <c r="D669" s="183" t="s">
        <v>1546</v>
      </c>
      <c r="E669" s="190">
        <v>42146</v>
      </c>
      <c r="F669" s="191" t="s">
        <v>667</v>
      </c>
      <c r="G669" s="482" t="s">
        <v>666</v>
      </c>
      <c r="H669" s="7" t="s">
        <v>1934</v>
      </c>
      <c r="I669" s="255">
        <v>200</v>
      </c>
      <c r="J669" s="255">
        <v>13094</v>
      </c>
      <c r="K669" s="593">
        <f>ROUND(I669*J669,0)</f>
        <v>2618800</v>
      </c>
      <c r="L669" s="594" t="s">
        <v>259</v>
      </c>
      <c r="M669" s="594" t="s">
        <v>174</v>
      </c>
      <c r="N669" s="52" t="str">
        <f>IF(AND('331-CT'!$E$7=TH!H669,OR(L669="331",M669="331")),"331",IF(AND(OR(L669="131",M669="131"),H669='131-CT'!$E$7),"131",""))</f>
        <v/>
      </c>
      <c r="O669" s="86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99"/>
      <c r="AB669" s="585"/>
    </row>
    <row r="670" spans="1:28" s="210" customFormat="1" ht="15.75" customHeight="1">
      <c r="A670" s="203" t="str">
        <f>IF(B670&lt;&gt;"",IF(AND(B670&gt;=_TM1,B670&lt;=_TM2,OR(TH!L670="1111",TH!M670="1111")),TH!D670,""),"")</f>
        <v/>
      </c>
      <c r="B670" s="36">
        <f>IF(C670&lt;&gt;"",MONTH(C670),"")</f>
        <v>5</v>
      </c>
      <c r="C670" s="183">
        <f>E670</f>
        <v>42146</v>
      </c>
      <c r="D670" s="183" t="s">
        <v>1546</v>
      </c>
      <c r="E670" s="190">
        <v>42146</v>
      </c>
      <c r="F670" s="191" t="s">
        <v>668</v>
      </c>
      <c r="G670" s="482" t="s">
        <v>666</v>
      </c>
      <c r="H670" s="7" t="s">
        <v>1934</v>
      </c>
      <c r="I670" s="255">
        <v>65</v>
      </c>
      <c r="J670" s="255">
        <v>20302</v>
      </c>
      <c r="K670" s="593">
        <f>ROUND(I670*J670,0)</f>
        <v>1319630</v>
      </c>
      <c r="L670" s="594" t="s">
        <v>259</v>
      </c>
      <c r="M670" s="594" t="s">
        <v>174</v>
      </c>
      <c r="N670" s="52" t="str">
        <f>IF(AND('331-CT'!$E$7=TH!H670,OR(L670="331",M670="331")),"331",IF(AND(OR(L670="131",M670="131"),H670='131-CT'!$E$7),"131",""))</f>
        <v/>
      </c>
      <c r="O670" s="86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99"/>
      <c r="AB670" s="585"/>
    </row>
    <row r="671" spans="1:28" s="210" customFormat="1" ht="15.75" customHeight="1">
      <c r="A671" s="203" t="str">
        <f>IF(B671&lt;&gt;"",IF(AND(B671&gt;=_TM1,B671&lt;=_TM2,OR(TH!L671="1111",TH!M671="1111")),TH!D671,""),"")</f>
        <v/>
      </c>
      <c r="B671" s="36">
        <f>IF(C671&lt;&gt;"",MONTH(C671),"")</f>
        <v>5</v>
      </c>
      <c r="C671" s="183">
        <f>E671</f>
        <v>42146</v>
      </c>
      <c r="D671" s="183" t="s">
        <v>1546</v>
      </c>
      <c r="E671" s="190">
        <v>42146</v>
      </c>
      <c r="F671" s="191" t="s">
        <v>669</v>
      </c>
      <c r="G671" s="482" t="s">
        <v>666</v>
      </c>
      <c r="H671" s="7" t="s">
        <v>1934</v>
      </c>
      <c r="I671" s="255">
        <v>35</v>
      </c>
      <c r="J671" s="255">
        <v>4612</v>
      </c>
      <c r="K671" s="593">
        <f>ROUND(I671*J671,0)</f>
        <v>161420</v>
      </c>
      <c r="L671" s="594" t="s">
        <v>259</v>
      </c>
      <c r="M671" s="594" t="s">
        <v>174</v>
      </c>
      <c r="N671" s="52" t="str">
        <f>IF(AND('331-CT'!$E$7=TH!H671,OR(L671="331",M671="331")),"331",IF(AND(OR(L671="131",M671="131"),H671='131-CT'!$E$7),"131",""))</f>
        <v/>
      </c>
      <c r="O671" s="86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99"/>
      <c r="AB671" s="585"/>
    </row>
    <row r="672" spans="1:28" s="210" customFormat="1" ht="15.75" customHeight="1">
      <c r="A672" s="203" t="str">
        <f>IF(B672&lt;&gt;"",IF(AND(B672&gt;=_TM1,B672&lt;=_TM2,OR(TH!L672="1111",TH!M672="1111")),TH!D672,""),"")</f>
        <v/>
      </c>
      <c r="B672" s="36">
        <f>IF(C672&lt;&gt;"",MONTH(C672),"")</f>
        <v>5</v>
      </c>
      <c r="C672" s="183">
        <f>E672</f>
        <v>42146</v>
      </c>
      <c r="D672" s="183" t="s">
        <v>1546</v>
      </c>
      <c r="E672" s="190">
        <v>42146</v>
      </c>
      <c r="F672" s="191" t="s">
        <v>670</v>
      </c>
      <c r="G672" s="482" t="s">
        <v>666</v>
      </c>
      <c r="H672" s="7" t="s">
        <v>1934</v>
      </c>
      <c r="I672" s="255">
        <v>73</v>
      </c>
      <c r="J672" s="255">
        <v>3459</v>
      </c>
      <c r="K672" s="593">
        <f>ROUND(I672*J672,0)</f>
        <v>252507</v>
      </c>
      <c r="L672" s="594" t="s">
        <v>259</v>
      </c>
      <c r="M672" s="594" t="s">
        <v>174</v>
      </c>
      <c r="N672" s="52" t="str">
        <f>IF(AND('331-CT'!$E$7=TH!H672,OR(L672="331",M672="331")),"331",IF(AND(OR(L672="131",M672="131"),H672='131-CT'!$E$7),"131",""))</f>
        <v/>
      </c>
      <c r="O672" s="86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99"/>
      <c r="AB672" s="585"/>
    </row>
    <row r="673" spans="1:28" s="210" customFormat="1" ht="15.75" customHeight="1">
      <c r="A673" s="203" t="str">
        <f>IF(B673&lt;&gt;"",IF(AND(B673&gt;=_TM1,B673&lt;=_TM2,OR(TH!L673="1111",TH!M673="1111")),TH!D673,""),"")</f>
        <v/>
      </c>
      <c r="B673" s="36">
        <f>IF(C673&lt;&gt;"",MONTH(C673),"")</f>
        <v>5</v>
      </c>
      <c r="C673" s="183">
        <f>E673</f>
        <v>42146</v>
      </c>
      <c r="D673" s="183" t="s">
        <v>1546</v>
      </c>
      <c r="E673" s="190">
        <v>42146</v>
      </c>
      <c r="F673" s="191" t="s">
        <v>671</v>
      </c>
      <c r="G673" s="482" t="s">
        <v>666</v>
      </c>
      <c r="H673" s="7" t="s">
        <v>1934</v>
      </c>
      <c r="I673" s="255">
        <v>63</v>
      </c>
      <c r="J673" s="255">
        <v>4999</v>
      </c>
      <c r="K673" s="593">
        <f>ROUND(I673*J673,0)</f>
        <v>314937</v>
      </c>
      <c r="L673" s="594" t="s">
        <v>259</v>
      </c>
      <c r="M673" s="594" t="s">
        <v>174</v>
      </c>
      <c r="N673" s="52" t="str">
        <f>IF(AND('331-CT'!$E$7=TH!H673,OR(L673="331",M673="331")),"331",IF(AND(OR(L673="131",M673="131"),H673='131-CT'!$E$7),"131",""))</f>
        <v/>
      </c>
      <c r="O673" s="86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99"/>
      <c r="AB673" s="585"/>
    </row>
    <row r="674" spans="1:28" s="210" customFormat="1" ht="15.75" customHeight="1">
      <c r="A674" s="203" t="str">
        <f>IF(B674&lt;&gt;"",IF(AND(B674&gt;=_TM1,B674&lt;=_TM2,OR(TH!L674="1111",TH!M674="1111")),TH!D674,""),"")</f>
        <v/>
      </c>
      <c r="B674" s="36">
        <f>IF(C674&lt;&gt;"",MONTH(C674),"")</f>
        <v>5</v>
      </c>
      <c r="C674" s="183">
        <f>E674</f>
        <v>42146</v>
      </c>
      <c r="D674" s="183" t="s">
        <v>1546</v>
      </c>
      <c r="E674" s="190">
        <v>42146</v>
      </c>
      <c r="F674" s="191" t="s">
        <v>672</v>
      </c>
      <c r="G674" s="482" t="s">
        <v>666</v>
      </c>
      <c r="H674" s="7" t="s">
        <v>1934</v>
      </c>
      <c r="I674" s="255">
        <v>70</v>
      </c>
      <c r="J674" s="255">
        <v>13691</v>
      </c>
      <c r="K674" s="593">
        <f>ROUND(I674*J674,0)</f>
        <v>958370</v>
      </c>
      <c r="L674" s="594" t="s">
        <v>259</v>
      </c>
      <c r="M674" s="594" t="s">
        <v>174</v>
      </c>
      <c r="N674" s="52" t="str">
        <f>IF(AND('331-CT'!$E$7=TH!H674,OR(L674="331",M674="331")),"331",IF(AND(OR(L674="131",M674="131"),H674='131-CT'!$E$7),"131",""))</f>
        <v/>
      </c>
      <c r="O674" s="86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99"/>
      <c r="AB674" s="585"/>
    </row>
    <row r="675" spans="1:28" s="210" customFormat="1" ht="15.75" customHeight="1">
      <c r="A675" s="203" t="str">
        <f>IF(B675&lt;&gt;"",IF(AND(B675&gt;=_TM1,B675&lt;=_TM2,OR(TH!L675="1111",TH!M675="1111")),TH!D675,""),"")</f>
        <v/>
      </c>
      <c r="B675" s="36">
        <f>IF(C675&lt;&gt;"",MONTH(C675),"")</f>
        <v>5</v>
      </c>
      <c r="C675" s="183">
        <f>E675</f>
        <v>42146</v>
      </c>
      <c r="D675" s="183" t="s">
        <v>1546</v>
      </c>
      <c r="E675" s="190">
        <v>42146</v>
      </c>
      <c r="F675" s="191" t="s">
        <v>673</v>
      </c>
      <c r="G675" s="482" t="s">
        <v>666</v>
      </c>
      <c r="H675" s="7" t="s">
        <v>1934</v>
      </c>
      <c r="I675" s="255">
        <v>50</v>
      </c>
      <c r="J675" s="255">
        <v>13249</v>
      </c>
      <c r="K675" s="593">
        <f>ROUND(I675*J675,0)</f>
        <v>662450</v>
      </c>
      <c r="L675" s="594" t="s">
        <v>259</v>
      </c>
      <c r="M675" s="594" t="s">
        <v>174</v>
      </c>
      <c r="N675" s="52" t="str">
        <f>IF(AND('331-CT'!$E$7=TH!H675,OR(L675="331",M675="331")),"331",IF(AND(OR(L675="131",M675="131"),H675='131-CT'!$E$7),"131",""))</f>
        <v/>
      </c>
      <c r="O675" s="86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99"/>
      <c r="AB675" s="585"/>
    </row>
    <row r="676" spans="1:28" s="210" customFormat="1" ht="15.75" customHeight="1">
      <c r="A676" s="203" t="str">
        <f>IF(B676&lt;&gt;"",IF(AND(B676&gt;=_TM1,B676&lt;=_TM2,OR(TH!L676="1111",TH!M676="1111")),TH!D676,""),"")</f>
        <v/>
      </c>
      <c r="B676" s="36">
        <f>IF(C676&lt;&gt;"",MONTH(C676),"")</f>
        <v>5</v>
      </c>
      <c r="C676" s="183">
        <f>E676</f>
        <v>42146</v>
      </c>
      <c r="D676" s="183" t="s">
        <v>1546</v>
      </c>
      <c r="E676" s="190">
        <v>42146</v>
      </c>
      <c r="F676" s="191" t="s">
        <v>674</v>
      </c>
      <c r="G676" s="482" t="s">
        <v>666</v>
      </c>
      <c r="H676" s="7" t="s">
        <v>1934</v>
      </c>
      <c r="I676" s="255">
        <v>100</v>
      </c>
      <c r="J676" s="255">
        <v>8276</v>
      </c>
      <c r="K676" s="593">
        <f>ROUND(I676*J676,0)</f>
        <v>827600</v>
      </c>
      <c r="L676" s="594" t="s">
        <v>259</v>
      </c>
      <c r="M676" s="594" t="s">
        <v>174</v>
      </c>
      <c r="N676" s="52" t="str">
        <f>IF(AND('331-CT'!$E$7=TH!H676,OR(L676="331",M676="331")),"331",IF(AND(OR(L676="131",M676="131"),H676='131-CT'!$E$7),"131",""))</f>
        <v/>
      </c>
      <c r="O676" s="86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99"/>
      <c r="AB676" s="585"/>
    </row>
    <row r="677" spans="1:28" s="210" customFormat="1" ht="15.75" customHeight="1">
      <c r="A677" s="203" t="str">
        <f>IF(B677&lt;&gt;"",IF(AND(B677&gt;=_TM1,B677&lt;=_TM2,OR(TH!L677="1111",TH!M677="1111")),TH!D677,""),"")</f>
        <v/>
      </c>
      <c r="B677" s="36">
        <f>IF(C677&lt;&gt;"",MONTH(C677),"")</f>
        <v>5</v>
      </c>
      <c r="C677" s="183">
        <f>E677</f>
        <v>42146</v>
      </c>
      <c r="D677" s="183" t="s">
        <v>1546</v>
      </c>
      <c r="E677" s="190">
        <v>42146</v>
      </c>
      <c r="F677" s="191" t="s">
        <v>675</v>
      </c>
      <c r="G677" s="482" t="s">
        <v>666</v>
      </c>
      <c r="H677" s="7" t="s">
        <v>1934</v>
      </c>
      <c r="I677" s="255">
        <v>25</v>
      </c>
      <c r="J677" s="255">
        <v>19419</v>
      </c>
      <c r="K677" s="593">
        <f>ROUND(I677*J677,0)</f>
        <v>485475</v>
      </c>
      <c r="L677" s="594" t="s">
        <v>259</v>
      </c>
      <c r="M677" s="594" t="s">
        <v>174</v>
      </c>
      <c r="N677" s="52" t="str">
        <f>IF(AND('331-CT'!$E$7=TH!H677,OR(L677="331",M677="331")),"331",IF(AND(OR(L677="131",M677="131"),H677='131-CT'!$E$7),"131",""))</f>
        <v/>
      </c>
      <c r="O677" s="86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99"/>
      <c r="AB677" s="585"/>
    </row>
    <row r="678" spans="1:28" s="210" customFormat="1" ht="15.75" customHeight="1">
      <c r="A678" s="203" t="str">
        <f>IF(B678&lt;&gt;"",IF(AND(B678&gt;=_TM1,B678&lt;=_TM2,OR(TH!L678="1111",TH!M678="1111")),TH!D678,""),"")</f>
        <v/>
      </c>
      <c r="B678" s="36">
        <f>IF(C678&lt;&gt;"",MONTH(C678),"")</f>
        <v>5</v>
      </c>
      <c r="C678" s="183">
        <f>E678</f>
        <v>42146</v>
      </c>
      <c r="D678" s="183" t="s">
        <v>1546</v>
      </c>
      <c r="E678" s="190">
        <v>42146</v>
      </c>
      <c r="F678" s="191" t="s">
        <v>676</v>
      </c>
      <c r="G678" s="482" t="s">
        <v>666</v>
      </c>
      <c r="H678" s="7" t="s">
        <v>1934</v>
      </c>
      <c r="I678" s="255"/>
      <c r="J678" s="255"/>
      <c r="K678" s="593">
        <v>1762074</v>
      </c>
      <c r="L678" s="594" t="s">
        <v>259</v>
      </c>
      <c r="M678" s="594" t="s">
        <v>371</v>
      </c>
      <c r="N678" s="52" t="str">
        <f>IF(AND('331-CT'!$E$7=TH!H678,OR(L678="331",M678="331")),"331",IF(AND(OR(L678="131",M678="131"),H678='131-CT'!$E$7),"131",""))</f>
        <v/>
      </c>
      <c r="O678" s="86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99"/>
      <c r="AB678" s="585"/>
    </row>
    <row r="679" spans="1:28" s="210" customFormat="1" ht="15.75" customHeight="1">
      <c r="A679" s="203" t="str">
        <f>IF(B679&lt;&gt;"",IF(AND(B679&gt;=_TM1,B679&lt;=_TM2,OR(TH!L679="1111",TH!M679="1111")),TH!D679,""),"")</f>
        <v/>
      </c>
      <c r="B679" s="36">
        <f>IF(C679&lt;&gt;"",MONTH(C679),"")</f>
        <v>5</v>
      </c>
      <c r="C679" s="183">
        <f>E679</f>
        <v>42146</v>
      </c>
      <c r="D679" s="183" t="s">
        <v>1547</v>
      </c>
      <c r="E679" s="190">
        <v>42146</v>
      </c>
      <c r="F679" s="191" t="s">
        <v>398</v>
      </c>
      <c r="G679" s="482" t="s">
        <v>677</v>
      </c>
      <c r="H679" s="7" t="s">
        <v>400</v>
      </c>
      <c r="I679" s="255">
        <v>1220</v>
      </c>
      <c r="J679" s="255">
        <v>5050</v>
      </c>
      <c r="K679" s="593">
        <f>ROUND(I679*J679,0)</f>
        <v>6161000</v>
      </c>
      <c r="L679" s="594" t="s">
        <v>259</v>
      </c>
      <c r="M679" s="594" t="s">
        <v>174</v>
      </c>
      <c r="N679" s="52" t="str">
        <f>IF(AND('331-CT'!$E$7=TH!H679,OR(L679="331",M679="331")),"331",IF(AND(OR(L679="131",M679="131"),H679='131-CT'!$E$7),"131",""))</f>
        <v/>
      </c>
      <c r="O679" s="86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99"/>
      <c r="AB679" s="585"/>
    </row>
    <row r="680" spans="1:28" s="210" customFormat="1" ht="15.75" customHeight="1">
      <c r="A680" s="203" t="str">
        <f>IF(B680&lt;&gt;"",IF(AND(B680&gt;=_TM1,B680&lt;=_TM2,OR(TH!L680="1111",TH!M680="1111")),TH!D680,""),"")</f>
        <v/>
      </c>
      <c r="B680" s="36">
        <f>IF(C680&lt;&gt;"",MONTH(C680),"")</f>
        <v>5</v>
      </c>
      <c r="C680" s="183">
        <f>E680</f>
        <v>42146</v>
      </c>
      <c r="D680" s="183" t="s">
        <v>1547</v>
      </c>
      <c r="E680" s="190">
        <v>42146</v>
      </c>
      <c r="F680" s="191" t="s">
        <v>446</v>
      </c>
      <c r="G680" s="482" t="s">
        <v>677</v>
      </c>
      <c r="H680" s="7" t="s">
        <v>400</v>
      </c>
      <c r="I680" s="256">
        <v>611</v>
      </c>
      <c r="J680" s="256">
        <v>5600</v>
      </c>
      <c r="K680" s="593">
        <f>ROUND(I680*J680,0)</f>
        <v>3421600</v>
      </c>
      <c r="L680" s="594" t="s">
        <v>259</v>
      </c>
      <c r="M680" s="594" t="s">
        <v>174</v>
      </c>
      <c r="N680" s="52" t="str">
        <f>IF(AND('331-CT'!$E$7=TH!H680,OR(L680="331",M680="331")),"331",IF(AND(OR(L680="131",M680="131"),H680='131-CT'!$E$7),"131",""))</f>
        <v/>
      </c>
      <c r="O680" s="86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99"/>
      <c r="AB680" s="585"/>
    </row>
    <row r="681" spans="1:28" s="210" customFormat="1" ht="15.75" customHeight="1">
      <c r="A681" s="203" t="str">
        <f>IF(B681&lt;&gt;"",IF(AND(B681&gt;=_TM1,B681&lt;=_TM2,OR(TH!L681="1111",TH!M681="1111")),TH!D681,""),"")</f>
        <v/>
      </c>
      <c r="B681" s="36">
        <f>IF(C681&lt;&gt;"",MONTH(C681),"")</f>
        <v>5</v>
      </c>
      <c r="C681" s="183">
        <f>E681</f>
        <v>42146</v>
      </c>
      <c r="D681" s="183" t="s">
        <v>1547</v>
      </c>
      <c r="E681" s="190">
        <v>42146</v>
      </c>
      <c r="F681" s="191" t="s">
        <v>401</v>
      </c>
      <c r="G681" s="482" t="s">
        <v>677</v>
      </c>
      <c r="H681" s="7" t="s">
        <v>400</v>
      </c>
      <c r="I681" s="255">
        <v>302</v>
      </c>
      <c r="J681" s="255">
        <v>5900</v>
      </c>
      <c r="K681" s="593">
        <f>ROUND(I681*J681,0)</f>
        <v>1781800</v>
      </c>
      <c r="L681" s="594" t="s">
        <v>259</v>
      </c>
      <c r="M681" s="594" t="s">
        <v>174</v>
      </c>
      <c r="N681" s="52" t="str">
        <f>IF(AND('331-CT'!$E$7=TH!H681,OR(L681="331",M681="331")),"331",IF(AND(OR(L681="131",M681="131"),H681='131-CT'!$E$7),"131",""))</f>
        <v/>
      </c>
      <c r="O681" s="86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99"/>
      <c r="AB681" s="585"/>
    </row>
    <row r="682" spans="1:28" s="210" customFormat="1" ht="15.75" customHeight="1">
      <c r="A682" s="203" t="str">
        <f>IF(B682&lt;&gt;"",IF(AND(B682&gt;=_TM1,B682&lt;=_TM2,OR(TH!L682="1111",TH!M682="1111")),TH!D682,""),"")</f>
        <v/>
      </c>
      <c r="B682" s="36">
        <f>IF(C682&lt;&gt;"",MONTH(C682),"")</f>
        <v>5</v>
      </c>
      <c r="C682" s="183">
        <f>E682</f>
        <v>42146</v>
      </c>
      <c r="D682" s="183" t="s">
        <v>1547</v>
      </c>
      <c r="E682" s="190">
        <v>42146</v>
      </c>
      <c r="F682" s="191" t="s">
        <v>501</v>
      </c>
      <c r="G682" s="482" t="s">
        <v>677</v>
      </c>
      <c r="H682" s="7" t="s">
        <v>400</v>
      </c>
      <c r="I682" s="255">
        <v>303</v>
      </c>
      <c r="J682" s="255">
        <v>9900</v>
      </c>
      <c r="K682" s="593">
        <f>ROUND(I682*J682,0)</f>
        <v>2999700</v>
      </c>
      <c r="L682" s="594" t="s">
        <v>259</v>
      </c>
      <c r="M682" s="594" t="s">
        <v>174</v>
      </c>
      <c r="N682" s="52" t="str">
        <f>IF(AND('331-CT'!$E$7=TH!H682,OR(L682="331",M682="331")),"331",IF(AND(OR(L682="131",M682="131"),H682='131-CT'!$E$7),"131",""))</f>
        <v/>
      </c>
      <c r="O682" s="86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99"/>
      <c r="AB682" s="585"/>
    </row>
    <row r="683" spans="1:28" s="210" customFormat="1" ht="15.75" customHeight="1">
      <c r="A683" s="203" t="str">
        <f>IF(B683&lt;&gt;"",IF(AND(B683&gt;=_TM1,B683&lt;=_TM2,OR(TH!L683="1111",TH!M683="1111")),TH!D683,""),"")</f>
        <v/>
      </c>
      <c r="B683" s="36">
        <f>IF(C683&lt;&gt;"",MONTH(C683),"")</f>
        <v>5</v>
      </c>
      <c r="C683" s="183">
        <f>E683</f>
        <v>42146</v>
      </c>
      <c r="D683" s="183" t="s">
        <v>1547</v>
      </c>
      <c r="E683" s="190">
        <v>42146</v>
      </c>
      <c r="F683" s="191" t="s">
        <v>402</v>
      </c>
      <c r="G683" s="482" t="s">
        <v>677</v>
      </c>
      <c r="H683" s="7" t="s">
        <v>400</v>
      </c>
      <c r="I683" s="255"/>
      <c r="J683" s="255"/>
      <c r="K683" s="593">
        <v>1436410</v>
      </c>
      <c r="L683" s="594" t="s">
        <v>259</v>
      </c>
      <c r="M683" s="594" t="s">
        <v>371</v>
      </c>
      <c r="N683" s="52" t="str">
        <f>IF(AND('331-CT'!$E$7=TH!H683,OR(L683="331",M683="331")),"331",IF(AND(OR(L683="131",M683="131"),H683='131-CT'!$E$7),"131",""))</f>
        <v/>
      </c>
      <c r="O683" s="86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99"/>
      <c r="AB683" s="585"/>
    </row>
    <row r="684" spans="1:28" s="210" customFormat="1" ht="15.75" customHeight="1">
      <c r="A684" s="203" t="str">
        <f>IF(B684&lt;&gt;"",IF(AND(B684&gt;=_TM1,B684&lt;=_TM2,OR(TH!L684="1111",TH!M684="1111")),TH!D684,""),"")</f>
        <v/>
      </c>
      <c r="B684" s="36">
        <f>IF(C684&lt;&gt;"",MONTH(C684),"")</f>
        <v>5</v>
      </c>
      <c r="C684" s="183">
        <f>E684</f>
        <v>42146</v>
      </c>
      <c r="D684" s="183" t="s">
        <v>1319</v>
      </c>
      <c r="E684" s="190">
        <v>42146</v>
      </c>
      <c r="F684" s="191" t="s">
        <v>1320</v>
      </c>
      <c r="G684" s="482" t="s">
        <v>332</v>
      </c>
      <c r="H684" s="7" t="s">
        <v>453</v>
      </c>
      <c r="I684" s="255"/>
      <c r="J684" s="255"/>
      <c r="K684" s="593">
        <v>9941910</v>
      </c>
      <c r="L684" s="594" t="s">
        <v>24</v>
      </c>
      <c r="M684" s="594" t="s">
        <v>259</v>
      </c>
      <c r="N684" s="52" t="str">
        <f>IF(AND('331-CT'!$E$7=TH!H684,OR(L684="331",M684="331")),"331",IF(AND(OR(L684="131",M684="131"),H684='131-CT'!$E$7),"131",""))</f>
        <v/>
      </c>
      <c r="O684" s="86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>x</v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99"/>
    </row>
    <row r="685" spans="1:28" s="210" customFormat="1" ht="15.75" customHeight="1">
      <c r="A685" s="203" t="str">
        <f>IF(B685&lt;&gt;"",IF(AND(B685&gt;=_TM1,B685&lt;=_TM2,OR(TH!L685="1111",TH!M685="1111")),TH!D685,""),"")</f>
        <v/>
      </c>
      <c r="B685" s="36">
        <f>IF(C685&lt;&gt;"",MONTH(C685),"")</f>
        <v>5</v>
      </c>
      <c r="C685" s="183">
        <f>E685</f>
        <v>42146</v>
      </c>
      <c r="D685" s="190" t="s">
        <v>1983</v>
      </c>
      <c r="E685" s="727">
        <v>42146</v>
      </c>
      <c r="F685" s="296" t="s">
        <v>1357</v>
      </c>
      <c r="G685" s="482" t="s">
        <v>1415</v>
      </c>
      <c r="H685" s="7" t="s">
        <v>1391</v>
      </c>
      <c r="I685" s="255">
        <v>2470</v>
      </c>
      <c r="J685" s="255">
        <v>7300</v>
      </c>
      <c r="K685" s="593">
        <f>ROUND(I685*J685,0)</f>
        <v>18031000</v>
      </c>
      <c r="L685" s="594" t="s">
        <v>159</v>
      </c>
      <c r="M685" s="594" t="s">
        <v>8</v>
      </c>
      <c r="N685" s="52" t="str">
        <f>IF(AND('331-CT'!$E$7=TH!H685,OR(L685="331",M685="331")),"331",IF(AND(OR(L685="131",M685="131"),H685='131-CT'!$E$7),"131",""))</f>
        <v/>
      </c>
      <c r="O685" s="86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99"/>
    </row>
    <row r="686" spans="1:28" s="210" customFormat="1" ht="15.75" customHeight="1">
      <c r="A686" s="203" t="str">
        <f>IF(B686&lt;&gt;"",IF(AND(B686&gt;=_TM1,B686&lt;=_TM2,OR(TH!L686="1111",TH!M686="1111")),TH!D686,""),"")</f>
        <v/>
      </c>
      <c r="B686" s="36">
        <f>IF(C686&lt;&gt;"",MONTH(C686),"")</f>
        <v>5</v>
      </c>
      <c r="C686" s="183">
        <f>E686</f>
        <v>42146</v>
      </c>
      <c r="D686" s="190" t="s">
        <v>1983</v>
      </c>
      <c r="E686" s="727">
        <v>42146</v>
      </c>
      <c r="F686" s="296" t="s">
        <v>1393</v>
      </c>
      <c r="G686" s="482" t="s">
        <v>1415</v>
      </c>
      <c r="H686" s="7" t="s">
        <v>1391</v>
      </c>
      <c r="I686" s="255"/>
      <c r="J686" s="255"/>
      <c r="K686" s="593">
        <v>1803100</v>
      </c>
      <c r="L686" s="594" t="s">
        <v>9</v>
      </c>
      <c r="M686" s="594" t="s">
        <v>8</v>
      </c>
      <c r="N686" s="52" t="str">
        <f>IF(AND('331-CT'!$E$7=TH!H686,OR(L686="331",M686="331")),"331",IF(AND(OR(L686="131",M686="131"),H686='131-CT'!$E$7),"131",""))</f>
        <v/>
      </c>
      <c r="O686" s="86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99"/>
    </row>
    <row r="687" spans="1:28" s="210" customFormat="1" ht="15.75" customHeight="1">
      <c r="A687" s="203" t="str">
        <f>IF(B687&lt;&gt;"",IF(AND(B687&gt;=_TM1,B687&lt;=_TM2,OR(TH!L687="1111",TH!M687="1111")),TH!D687,""),"")</f>
        <v/>
      </c>
      <c r="B687" s="36">
        <f>IF(C687&lt;&gt;"",MONTH(C687),"")</f>
        <v>5</v>
      </c>
      <c r="C687" s="183">
        <f>E687</f>
        <v>42146</v>
      </c>
      <c r="D687" s="190" t="s">
        <v>1983</v>
      </c>
      <c r="E687" s="727">
        <v>42146</v>
      </c>
      <c r="F687" s="296" t="s">
        <v>1326</v>
      </c>
      <c r="G687" s="482" t="s">
        <v>1415</v>
      </c>
      <c r="H687" s="7" t="s">
        <v>1391</v>
      </c>
      <c r="I687" s="255"/>
      <c r="J687" s="255"/>
      <c r="K687" s="593">
        <v>19834100</v>
      </c>
      <c r="L687" s="594" t="s">
        <v>8</v>
      </c>
      <c r="M687" s="594" t="s">
        <v>47</v>
      </c>
      <c r="N687" s="52" t="str">
        <f>IF(AND('331-CT'!$E$7=TH!H687,OR(L687="331",M687="331")),"331",IF(AND(OR(L687="131",M687="131"),H687='131-CT'!$E$7),"131",""))</f>
        <v/>
      </c>
      <c r="O687" s="869" t="str">
        <f>IF(AND('341-CT'!$E$9=H687,OR(LEFT(L687,3)=$O$7,LEFT(M687,3)=$O$7)),"x","")</f>
        <v/>
      </c>
      <c r="P687" s="52" t="str">
        <f>IF(AND($B687&gt;='111'!$N$11,$B687&lt;='111'!$O$11,OR($L687=$P$7,$M687=$P$7)),"x","")</f>
        <v>x</v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99"/>
    </row>
    <row r="688" spans="1:28" s="210" customFormat="1" ht="15.75" customHeight="1">
      <c r="A688" s="203" t="str">
        <f>IF(B688&lt;&gt;"",IF(AND(B688&gt;=_TM1,B688&lt;=_TM2,OR(TH!L688="1111",TH!M688="1111")),TH!D688,""),"")</f>
        <v/>
      </c>
      <c r="B688" s="36">
        <f>IF(C688&lt;&gt;"",MONTH(C688),"")</f>
        <v>5</v>
      </c>
      <c r="C688" s="183">
        <f>E688</f>
        <v>42147</v>
      </c>
      <c r="D688" s="183" t="s">
        <v>1548</v>
      </c>
      <c r="E688" s="190">
        <v>42147</v>
      </c>
      <c r="F688" s="191" t="s">
        <v>678</v>
      </c>
      <c r="G688" s="482" t="s">
        <v>679</v>
      </c>
      <c r="H688" s="7" t="s">
        <v>438</v>
      </c>
      <c r="I688" s="255">
        <v>109</v>
      </c>
      <c r="J688" s="255">
        <v>5900</v>
      </c>
      <c r="K688" s="593">
        <f>ROUND(I688*J688,0)</f>
        <v>643100</v>
      </c>
      <c r="L688" s="594" t="s">
        <v>259</v>
      </c>
      <c r="M688" s="594" t="s">
        <v>174</v>
      </c>
      <c r="N688" s="52" t="str">
        <f>IF(AND('331-CT'!$E$7=TH!H688,OR(L688="331",M688="331")),"331",IF(AND(OR(L688="131",M688="131"),H688='131-CT'!$E$7),"131",""))</f>
        <v/>
      </c>
      <c r="O688" s="86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99"/>
      <c r="AB688" s="585"/>
    </row>
    <row r="689" spans="1:28" s="210" customFormat="1" ht="15.75" customHeight="1">
      <c r="A689" s="203" t="str">
        <f>IF(B689&lt;&gt;"",IF(AND(B689&gt;=_TM1,B689&lt;=_TM2,OR(TH!L689="1111",TH!M689="1111")),TH!D689,""),"")</f>
        <v/>
      </c>
      <c r="B689" s="36">
        <f>IF(C689&lt;&gt;"",MONTH(C689),"")</f>
        <v>5</v>
      </c>
      <c r="C689" s="183">
        <f>E689</f>
        <v>42147</v>
      </c>
      <c r="D689" s="183" t="s">
        <v>1548</v>
      </c>
      <c r="E689" s="190">
        <v>42147</v>
      </c>
      <c r="F689" s="188" t="s">
        <v>439</v>
      </c>
      <c r="G689" s="482" t="s">
        <v>679</v>
      </c>
      <c r="H689" s="7" t="s">
        <v>438</v>
      </c>
      <c r="I689" s="255">
        <v>219</v>
      </c>
      <c r="J689" s="255">
        <v>5300</v>
      </c>
      <c r="K689" s="593">
        <f>ROUND(I689*J689,0)</f>
        <v>1160700</v>
      </c>
      <c r="L689" s="594" t="s">
        <v>259</v>
      </c>
      <c r="M689" s="594" t="s">
        <v>174</v>
      </c>
      <c r="N689" s="52" t="str">
        <f>IF(AND('331-CT'!$E$7=TH!H689,OR(L689="331",M689="331")),"331",IF(AND(OR(L689="131",M689="131"),H689='131-CT'!$E$7),"131",""))</f>
        <v/>
      </c>
      <c r="O689" s="86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99"/>
      <c r="AB689" s="585"/>
    </row>
    <row r="690" spans="1:28" s="210" customFormat="1" ht="15.75" customHeight="1">
      <c r="A690" s="203" t="str">
        <f>IF(B690&lt;&gt;"",IF(AND(B690&gt;=_TM1,B690&lt;=_TM2,OR(TH!L690="1111",TH!M690="1111")),TH!D690,""),"")</f>
        <v/>
      </c>
      <c r="B690" s="36">
        <f>IF(C690&lt;&gt;"",MONTH(C690),"")</f>
        <v>5</v>
      </c>
      <c r="C690" s="183">
        <f>E690</f>
        <v>42147</v>
      </c>
      <c r="D690" s="183" t="s">
        <v>1548</v>
      </c>
      <c r="E690" s="190">
        <v>42147</v>
      </c>
      <c r="F690" s="188" t="s">
        <v>441</v>
      </c>
      <c r="G690" s="482" t="s">
        <v>679</v>
      </c>
      <c r="H690" s="7" t="s">
        <v>438</v>
      </c>
      <c r="I690" s="255">
        <v>494</v>
      </c>
      <c r="J690" s="255">
        <v>4400</v>
      </c>
      <c r="K690" s="593">
        <f>ROUND(I690*J690,0)</f>
        <v>2173600</v>
      </c>
      <c r="L690" s="594" t="s">
        <v>259</v>
      </c>
      <c r="M690" s="594" t="s">
        <v>174</v>
      </c>
      <c r="N690" s="52" t="str">
        <f>IF(AND('331-CT'!$E$7=TH!H690,OR(L690="331",M690="331")),"331",IF(AND(OR(L690="131",M690="131"),H690='131-CT'!$E$7),"131",""))</f>
        <v/>
      </c>
      <c r="O690" s="86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99"/>
      <c r="AB690" s="585"/>
    </row>
    <row r="691" spans="1:28" s="210" customFormat="1" ht="15.75" customHeight="1">
      <c r="A691" s="203" t="str">
        <f>IF(B691&lt;&gt;"",IF(AND(B691&gt;=_TM1,B691&lt;=_TM2,OR(TH!L691="1111",TH!M691="1111")),TH!D691,""),"")</f>
        <v/>
      </c>
      <c r="B691" s="36">
        <f>IF(C691&lt;&gt;"",MONTH(C691),"")</f>
        <v>5</v>
      </c>
      <c r="C691" s="183">
        <f>E691</f>
        <v>42147</v>
      </c>
      <c r="D691" s="183" t="s">
        <v>1548</v>
      </c>
      <c r="E691" s="190">
        <v>42147</v>
      </c>
      <c r="F691" s="191" t="s">
        <v>680</v>
      </c>
      <c r="G691" s="482" t="s">
        <v>679</v>
      </c>
      <c r="H691" s="7" t="s">
        <v>438</v>
      </c>
      <c r="I691" s="255">
        <v>303</v>
      </c>
      <c r="J691" s="255">
        <v>5100</v>
      </c>
      <c r="K691" s="593">
        <f>ROUND(I691*J691,0)</f>
        <v>1545300</v>
      </c>
      <c r="L691" s="594" t="s">
        <v>259</v>
      </c>
      <c r="M691" s="594" t="s">
        <v>174</v>
      </c>
      <c r="N691" s="52" t="str">
        <f>IF(AND('331-CT'!$E$7=TH!H691,OR(L691="331",M691="331")),"331",IF(AND(OR(L691="131",M691="131"),H691='131-CT'!$E$7),"131",""))</f>
        <v/>
      </c>
      <c r="O691" s="86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99"/>
      <c r="AB691" s="585"/>
    </row>
    <row r="692" spans="1:28" s="210" customFormat="1" ht="15.75" customHeight="1">
      <c r="A692" s="203" t="str">
        <f>IF(B692&lt;&gt;"",IF(AND(B692&gt;=_TM1,B692&lt;=_TM2,OR(TH!L692="1111",TH!M692="1111")),TH!D692,""),"")</f>
        <v/>
      </c>
      <c r="B692" s="36">
        <f>IF(C692&lt;&gt;"",MONTH(C692),"")</f>
        <v>5</v>
      </c>
      <c r="C692" s="183">
        <f>E692</f>
        <v>42147</v>
      </c>
      <c r="D692" s="183" t="s">
        <v>1548</v>
      </c>
      <c r="E692" s="190">
        <v>42147</v>
      </c>
      <c r="F692" s="191" t="s">
        <v>436</v>
      </c>
      <c r="G692" s="482" t="s">
        <v>679</v>
      </c>
      <c r="H692" s="7" t="s">
        <v>438</v>
      </c>
      <c r="I692" s="255">
        <v>156</v>
      </c>
      <c r="J692" s="255">
        <v>7200</v>
      </c>
      <c r="K692" s="593">
        <f>ROUND(I692*J692,0)</f>
        <v>1123200</v>
      </c>
      <c r="L692" s="594" t="s">
        <v>259</v>
      </c>
      <c r="M692" s="594" t="s">
        <v>174</v>
      </c>
      <c r="N692" s="52" t="str">
        <f>IF(AND('331-CT'!$E$7=TH!H692,OR(L692="331",M692="331")),"331",IF(AND(OR(L692="131",M692="131"),H692='131-CT'!$E$7),"131",""))</f>
        <v/>
      </c>
      <c r="O692" s="86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99"/>
      <c r="AB692" s="585"/>
    </row>
    <row r="693" spans="1:28" s="210" customFormat="1" ht="15.75" customHeight="1">
      <c r="A693" s="203" t="str">
        <f>IF(B693&lt;&gt;"",IF(AND(B693&gt;=_TM1,B693&lt;=_TM2,OR(TH!L693="1111",TH!M693="1111")),TH!D693,""),"")</f>
        <v/>
      </c>
      <c r="B693" s="36">
        <f>IF(C693&lt;&gt;"",MONTH(C693),"")</f>
        <v>5</v>
      </c>
      <c r="C693" s="183">
        <f>E693</f>
        <v>42147</v>
      </c>
      <c r="D693" s="183" t="s">
        <v>1548</v>
      </c>
      <c r="E693" s="190">
        <v>42147</v>
      </c>
      <c r="F693" s="191" t="s">
        <v>402</v>
      </c>
      <c r="G693" s="482" t="s">
        <v>679</v>
      </c>
      <c r="H693" s="7" t="s">
        <v>438</v>
      </c>
      <c r="I693" s="256"/>
      <c r="J693" s="256"/>
      <c r="K693" s="593">
        <v>664590</v>
      </c>
      <c r="L693" s="594" t="s">
        <v>259</v>
      </c>
      <c r="M693" s="594" t="s">
        <v>371</v>
      </c>
      <c r="N693" s="52" t="str">
        <f>IF(AND('331-CT'!$E$7=TH!H693,OR(L693="331",M693="331")),"331",IF(AND(OR(L693="131",M693="131"),H693='131-CT'!$E$7),"131",""))</f>
        <v/>
      </c>
      <c r="O693" s="86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99"/>
      <c r="AB693" s="585"/>
    </row>
    <row r="694" spans="1:28" s="210" customFormat="1" ht="15.75" customHeight="1">
      <c r="A694" s="203" t="str">
        <f>IF(B694&lt;&gt;"",IF(AND(B694&gt;=_TM1,B694&lt;=_TM2,OR(TH!L694="1111",TH!M694="1111")),TH!D694,""),"")</f>
        <v/>
      </c>
      <c r="B694" s="36">
        <f>IF(C694&lt;&gt;"",MONTH(C694),"")</f>
        <v>5</v>
      </c>
      <c r="C694" s="183">
        <f>E694</f>
        <v>42147</v>
      </c>
      <c r="D694" s="183" t="s">
        <v>1549</v>
      </c>
      <c r="E694" s="190">
        <v>42147</v>
      </c>
      <c r="F694" s="188" t="s">
        <v>413</v>
      </c>
      <c r="G694" s="482" t="s">
        <v>681</v>
      </c>
      <c r="H694" s="7" t="s">
        <v>412</v>
      </c>
      <c r="I694" s="256">
        <v>512</v>
      </c>
      <c r="J694" s="256">
        <v>10250</v>
      </c>
      <c r="K694" s="593">
        <f>ROUND(I694*J694,0)</f>
        <v>5248000</v>
      </c>
      <c r="L694" s="594" t="s">
        <v>259</v>
      </c>
      <c r="M694" s="594" t="s">
        <v>174</v>
      </c>
      <c r="N694" s="52" t="str">
        <f>IF(AND('331-CT'!$E$7=TH!H694,OR(L694="331",M694="331")),"331",IF(AND(OR(L694="131",M694="131"),H694='131-CT'!$E$7),"131",""))</f>
        <v/>
      </c>
      <c r="O694" s="86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99"/>
    </row>
    <row r="695" spans="1:28" s="210" customFormat="1" ht="15.75" customHeight="1">
      <c r="A695" s="203" t="str">
        <f>IF(B695&lt;&gt;"",IF(AND(B695&gt;=_TM1,B695&lt;=_TM2,OR(TH!L695="1111",TH!M695="1111")),TH!D695,""),"")</f>
        <v/>
      </c>
      <c r="B695" s="36">
        <f>IF(C695&lt;&gt;"",MONTH(C695),"")</f>
        <v>5</v>
      </c>
      <c r="C695" s="183">
        <f>E695</f>
        <v>42147</v>
      </c>
      <c r="D695" s="183" t="s">
        <v>1549</v>
      </c>
      <c r="E695" s="190">
        <v>42147</v>
      </c>
      <c r="F695" s="191" t="s">
        <v>402</v>
      </c>
      <c r="G695" s="482" t="s">
        <v>681</v>
      </c>
      <c r="H695" s="7" t="s">
        <v>412</v>
      </c>
      <c r="I695" s="255"/>
      <c r="J695" s="255"/>
      <c r="K695" s="593">
        <v>524800</v>
      </c>
      <c r="L695" s="594" t="s">
        <v>259</v>
      </c>
      <c r="M695" s="594" t="s">
        <v>371</v>
      </c>
      <c r="N695" s="52" t="str">
        <f>IF(AND('331-CT'!$E$7=TH!H695,OR(L695="331",M695="331")),"331",IF(AND(OR(L695="131",M695="131"),H695='131-CT'!$E$7),"131",""))</f>
        <v/>
      </c>
      <c r="O695" s="86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99"/>
    </row>
    <row r="696" spans="1:28" s="210" customFormat="1" ht="15.75" customHeight="1">
      <c r="A696" s="203" t="str">
        <f>IF(B696&lt;&gt;"",IF(AND(B696&gt;=_TM1,B696&lt;=_TM2,OR(TH!L696="1111",TH!M696="1111")),TH!D696,""),"")</f>
        <v/>
      </c>
      <c r="B696" s="36">
        <f>IF(C696&lt;&gt;"",MONTH(C696),"")</f>
        <v>5</v>
      </c>
      <c r="C696" s="183">
        <f>E696</f>
        <v>42147</v>
      </c>
      <c r="D696" s="183" t="s">
        <v>1549</v>
      </c>
      <c r="E696" s="190">
        <v>42147</v>
      </c>
      <c r="F696" s="191" t="s">
        <v>1320</v>
      </c>
      <c r="G696" s="482" t="s">
        <v>2041</v>
      </c>
      <c r="H696" s="7" t="s">
        <v>412</v>
      </c>
      <c r="I696" s="255"/>
      <c r="J696" s="255"/>
      <c r="K696" s="593">
        <f>6953100+630740+4735500+3441900+5772800</f>
        <v>21534040</v>
      </c>
      <c r="L696" s="594" t="s">
        <v>47</v>
      </c>
      <c r="M696" s="594" t="s">
        <v>259</v>
      </c>
      <c r="N696" s="52" t="str">
        <f>IF(AND('331-CT'!$E$7=TH!H696,OR(L696="331",M696="331")),"331",IF(AND(OR(L696="131",M696="131"),H696='131-CT'!$E$7),"131",""))</f>
        <v/>
      </c>
      <c r="O696" s="869" t="str">
        <f>IF(AND('341-CT'!$E$9=H696,OR(LEFT(L696,3)=$O$7,LEFT(M696,3)=$O$7)),"x","")</f>
        <v/>
      </c>
      <c r="P696" s="52" t="str">
        <f>IF(AND($B696&gt;='111'!$N$11,$B696&lt;='111'!$O$11,OR($L696=$P$7,$M696=$P$7)),"x","")</f>
        <v>x</v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99"/>
    </row>
    <row r="697" spans="1:28" s="210" customFormat="1" ht="15.75" customHeight="1">
      <c r="A697" s="203" t="str">
        <f>IF(B697&lt;&gt;"",IF(AND(B697&gt;=_TM1,B697&lt;=_TM2,OR(TH!L697="1111",TH!M697="1111")),TH!D697,""),"")</f>
        <v/>
      </c>
      <c r="B697" s="36">
        <f>IF(C697&lt;&gt;"",MONTH(C697),"")</f>
        <v>5</v>
      </c>
      <c r="C697" s="183">
        <f>E697</f>
        <v>42147</v>
      </c>
      <c r="D697" s="183" t="s">
        <v>1324</v>
      </c>
      <c r="E697" s="190">
        <v>42147</v>
      </c>
      <c r="F697" s="188" t="s">
        <v>1325</v>
      </c>
      <c r="G697" s="482" t="s">
        <v>332</v>
      </c>
      <c r="H697" s="7" t="s">
        <v>1322</v>
      </c>
      <c r="I697" s="255"/>
      <c r="J697" s="255"/>
      <c r="K697" s="593">
        <v>27700000</v>
      </c>
      <c r="L697" s="594" t="s">
        <v>47</v>
      </c>
      <c r="M697" s="594" t="s">
        <v>24</v>
      </c>
      <c r="N697" s="52" t="str">
        <f>IF(AND('331-CT'!$E$7=TH!H697,OR(L697="331",M697="331")),"331",IF(AND(OR(L697="131",M697="131"),H697='131-CT'!$E$7),"131",""))</f>
        <v/>
      </c>
      <c r="O697" s="869" t="str">
        <f>IF(AND('341-CT'!$E$9=H697,OR(LEFT(L697,3)=$O$7,LEFT(M697,3)=$O$7)),"x","")</f>
        <v/>
      </c>
      <c r="P697" s="52" t="str">
        <f>IF(AND($B697&gt;='111'!$N$11,$B697&lt;='111'!$O$11,OR($L697=$P$7,$M697=$P$7)),"x","")</f>
        <v>x</v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>x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99"/>
    </row>
    <row r="698" spans="1:28" s="210" customFormat="1" ht="15.75" customHeight="1">
      <c r="A698" s="203" t="str">
        <f>IF(B698&lt;&gt;"",IF(AND(B698&gt;=_TM1,B698&lt;=_TM2,OR(TH!L698="1111",TH!M698="1111")),TH!D698,""),"")</f>
        <v/>
      </c>
      <c r="B698" s="36">
        <f>IF(C698&lt;&gt;"",MONTH(C698),"")</f>
        <v>5</v>
      </c>
      <c r="C698" s="183">
        <f>E698</f>
        <v>42147</v>
      </c>
      <c r="D698" s="183" t="s">
        <v>1324</v>
      </c>
      <c r="E698" s="190">
        <v>42147</v>
      </c>
      <c r="F698" s="296" t="s">
        <v>1326</v>
      </c>
      <c r="G698" s="482" t="s">
        <v>332</v>
      </c>
      <c r="H698" s="831" t="s">
        <v>1928</v>
      </c>
      <c r="I698" s="255"/>
      <c r="J698" s="255"/>
      <c r="K698" s="593">
        <v>15000000</v>
      </c>
      <c r="L698" s="594" t="s">
        <v>8</v>
      </c>
      <c r="M698" s="594" t="s">
        <v>24</v>
      </c>
      <c r="N698" s="52" t="str">
        <f>IF(AND('331-CT'!$E$7=TH!H698,OR(L698="331",M698="331")),"331",IF(AND(OR(L698="131",M698="131"),H698='131-CT'!$E$7),"131",""))</f>
        <v/>
      </c>
      <c r="O698" s="86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>x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99"/>
    </row>
    <row r="699" spans="1:28" s="210" customFormat="1" ht="15.75" customHeight="1">
      <c r="A699" s="203" t="str">
        <f>IF(B699&lt;&gt;"",IF(AND(B699&gt;=_TM1,B699&lt;=_TM2,OR(TH!L699="1111",TH!M699="1111")),TH!D699,""),"")</f>
        <v/>
      </c>
      <c r="B699" s="36">
        <f>IF(C699&lt;&gt;"",MONTH(C699),"")</f>
        <v>5</v>
      </c>
      <c r="C699" s="183">
        <f>E699</f>
        <v>42149</v>
      </c>
      <c r="D699" s="183" t="s">
        <v>1550</v>
      </c>
      <c r="E699" s="190">
        <v>42149</v>
      </c>
      <c r="F699" s="191" t="s">
        <v>682</v>
      </c>
      <c r="G699" s="482" t="s">
        <v>683</v>
      </c>
      <c r="H699" s="7" t="s">
        <v>834</v>
      </c>
      <c r="I699" s="255">
        <v>371</v>
      </c>
      <c r="J699" s="255">
        <v>4500</v>
      </c>
      <c r="K699" s="593">
        <f>ROUND(I699*J699,0)</f>
        <v>1669500</v>
      </c>
      <c r="L699" s="594" t="s">
        <v>259</v>
      </c>
      <c r="M699" s="594" t="s">
        <v>174</v>
      </c>
      <c r="N699" s="52" t="str">
        <f>IF(AND('331-CT'!$E$7=TH!H699,OR(L699="331",M699="331")),"331",IF(AND(OR(L699="131",M699="131"),H699='131-CT'!$E$7),"131",""))</f>
        <v/>
      </c>
      <c r="O699" s="86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99"/>
      <c r="AB699" s="585"/>
    </row>
    <row r="700" spans="1:28" s="210" customFormat="1" ht="15.75" customHeight="1">
      <c r="A700" s="203" t="str">
        <f>IF(B700&lt;&gt;"",IF(AND(B700&gt;=_TM1,B700&lt;=_TM2,OR(TH!L700="1111",TH!M700="1111")),TH!D700,""),"")</f>
        <v/>
      </c>
      <c r="B700" s="36">
        <f>IF(C700&lt;&gt;"",MONTH(C700),"")</f>
        <v>5</v>
      </c>
      <c r="C700" s="183">
        <f>E700</f>
        <v>42149</v>
      </c>
      <c r="D700" s="183" t="s">
        <v>1550</v>
      </c>
      <c r="E700" s="190">
        <v>42149</v>
      </c>
      <c r="F700" s="191" t="s">
        <v>402</v>
      </c>
      <c r="G700" s="482" t="s">
        <v>683</v>
      </c>
      <c r="H700" s="7" t="s">
        <v>834</v>
      </c>
      <c r="I700" s="255"/>
      <c r="J700" s="255"/>
      <c r="K700" s="593">
        <v>166950</v>
      </c>
      <c r="L700" s="594" t="s">
        <v>259</v>
      </c>
      <c r="M700" s="594" t="s">
        <v>371</v>
      </c>
      <c r="N700" s="52" t="str">
        <f>IF(AND('331-CT'!$E$7=TH!H700,OR(L700="331",M700="331")),"331",IF(AND(OR(L700="131",M700="131"),H700='131-CT'!$E$7),"131",""))</f>
        <v/>
      </c>
      <c r="O700" s="86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99"/>
      <c r="AB700" s="585"/>
    </row>
    <row r="701" spans="1:28" s="210" customFormat="1" ht="15.75" customHeight="1">
      <c r="A701" s="203" t="str">
        <f>IF(B701&lt;&gt;"",IF(AND(B701&gt;=_TM1,B701&lt;=_TM2,OR(TH!L701="1111",TH!M701="1111")),TH!D701,""),"")</f>
        <v/>
      </c>
      <c r="B701" s="36">
        <f>IF(C701&lt;&gt;"",MONTH(C701),"")</f>
        <v>5</v>
      </c>
      <c r="C701" s="183">
        <f>E701</f>
        <v>42149</v>
      </c>
      <c r="D701" s="183" t="s">
        <v>1550</v>
      </c>
      <c r="E701" s="190">
        <v>42149</v>
      </c>
      <c r="F701" s="191" t="s">
        <v>1320</v>
      </c>
      <c r="G701" s="482" t="s">
        <v>2046</v>
      </c>
      <c r="H701" s="7" t="s">
        <v>834</v>
      </c>
      <c r="I701" s="255"/>
      <c r="J701" s="255"/>
      <c r="K701" s="593">
        <f>8832780+2494800+2566080+1836450</f>
        <v>15730110</v>
      </c>
      <c r="L701" s="594" t="s">
        <v>47</v>
      </c>
      <c r="M701" s="594" t="s">
        <v>259</v>
      </c>
      <c r="N701" s="52" t="str">
        <f>IF(AND('331-CT'!$E$7=TH!H701,OR(L701="331",M701="331")),"331",IF(AND(OR(L701="131",M701="131"),H701='131-CT'!$E$7),"131",""))</f>
        <v/>
      </c>
      <c r="O701" s="869" t="str">
        <f>IF(AND('341-CT'!$E$9=H701,OR(LEFT(L701,3)=$O$7,LEFT(M701,3)=$O$7)),"x","")</f>
        <v/>
      </c>
      <c r="P701" s="52" t="str">
        <f>IF(AND($B701&gt;='111'!$N$11,$B701&lt;='111'!$O$11,OR($L701=$P$7,$M701=$P$7)),"x","")</f>
        <v>x</v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99"/>
      <c r="AB701" s="585"/>
    </row>
    <row r="702" spans="1:28" s="210" customFormat="1" ht="15.75" customHeight="1">
      <c r="A702" s="203" t="str">
        <f>IF(B702&lt;&gt;"",IF(AND(B702&gt;=_TM1,B702&lt;=_TM2,OR(TH!L702="1111",TH!M702="1111")),TH!D702,""),"")</f>
        <v/>
      </c>
      <c r="B702" s="36">
        <f>IF(C702&lt;&gt;"",MONTH(C702),"")</f>
        <v>5</v>
      </c>
      <c r="C702" s="183">
        <f>E702</f>
        <v>42149</v>
      </c>
      <c r="D702" s="183" t="s">
        <v>1319</v>
      </c>
      <c r="E702" s="190">
        <v>42149</v>
      </c>
      <c r="F702" s="191" t="s">
        <v>1321</v>
      </c>
      <c r="G702" s="482" t="s">
        <v>332</v>
      </c>
      <c r="H702" s="7"/>
      <c r="I702" s="255"/>
      <c r="J702" s="255"/>
      <c r="K702" s="593">
        <v>1639</v>
      </c>
      <c r="L702" s="594" t="s">
        <v>24</v>
      </c>
      <c r="M702" s="594" t="s">
        <v>40</v>
      </c>
      <c r="N702" s="52" t="str">
        <f>IF(AND('331-CT'!$E$7=TH!H702,OR(L702="331",M702="331")),"331",IF(AND(OR(L702="131",M702="131"),H702='131-CT'!$E$7),"131",""))</f>
        <v/>
      </c>
      <c r="O702" s="86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>x</v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99"/>
    </row>
    <row r="703" spans="1:28" s="210" customFormat="1" ht="15.75" customHeight="1">
      <c r="A703" s="203" t="str">
        <f>IF(B703&lt;&gt;"",IF(AND(B703&gt;=_TM1,B703&lt;=_TM2,OR(TH!L703="1111",TH!M703="1111")),TH!D703,""),"")</f>
        <v/>
      </c>
      <c r="B703" s="36">
        <f>IF(C703&lt;&gt;"",MONTH(C703),"")</f>
        <v>5</v>
      </c>
      <c r="C703" s="183">
        <f>E703</f>
        <v>42149</v>
      </c>
      <c r="D703" s="183" t="s">
        <v>1324</v>
      </c>
      <c r="E703" s="190">
        <v>42149</v>
      </c>
      <c r="F703" s="188" t="s">
        <v>1327</v>
      </c>
      <c r="G703" s="482" t="s">
        <v>332</v>
      </c>
      <c r="H703" s="7"/>
      <c r="I703" s="255"/>
      <c r="J703" s="255"/>
      <c r="K703" s="593">
        <v>15000</v>
      </c>
      <c r="L703" s="594" t="s">
        <v>83</v>
      </c>
      <c r="M703" s="594" t="s">
        <v>24</v>
      </c>
      <c r="N703" s="52" t="str">
        <f>IF(AND('331-CT'!$E$7=TH!H703,OR(L703="331",M703="331")),"331",IF(AND(OR(L703="131",M703="131"),H703='131-CT'!$E$7),"131",""))</f>
        <v/>
      </c>
      <c r="O703" s="86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>x</v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99"/>
    </row>
    <row r="704" spans="1:28" s="210" customFormat="1" ht="15.75" customHeight="1">
      <c r="A704" s="203" t="str">
        <f>IF(B704&lt;&gt;"",IF(AND(B704&gt;=_TM1,B704&lt;=_TM2,OR(TH!L704="1111",TH!M704="1111")),TH!D704,""),"")</f>
        <v/>
      </c>
      <c r="B704" s="36">
        <f>IF(C704&lt;&gt;"",MONTH(C704),"")</f>
        <v>5</v>
      </c>
      <c r="C704" s="183">
        <f>E704</f>
        <v>42149</v>
      </c>
      <c r="D704" s="190" t="s">
        <v>1324</v>
      </c>
      <c r="E704" s="727">
        <v>42149</v>
      </c>
      <c r="F704" s="40" t="s">
        <v>1905</v>
      </c>
      <c r="G704" s="482" t="s">
        <v>1893</v>
      </c>
      <c r="H704" s="7" t="s">
        <v>1875</v>
      </c>
      <c r="I704" s="255"/>
      <c r="J704" s="255"/>
      <c r="K704" s="593">
        <v>1000000000</v>
      </c>
      <c r="L704" s="193" t="s">
        <v>1899</v>
      </c>
      <c r="M704" s="594" t="s">
        <v>47</v>
      </c>
      <c r="N704" s="52" t="str">
        <f>IF(AND('331-CT'!$E$7=TH!H704,OR(L704="331",M704="331")),"331",IF(AND(OR(L704="131",M704="131"),H704='131-CT'!$E$7),"131",""))</f>
        <v/>
      </c>
      <c r="O704" s="869" t="str">
        <f>IF(AND('341-CT'!$E$9=H704,OR(LEFT(L704,3)=$O$7,LEFT(M704,3)=$O$7)),"x","")</f>
        <v/>
      </c>
      <c r="P704" s="52" t="str">
        <f>IF(AND($B704&gt;='111'!$N$11,$B704&lt;='111'!$O$11,OR($L704=$P$7,$M704=$P$7)),"x","")</f>
        <v>x</v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99"/>
    </row>
    <row r="705" spans="1:28" s="210" customFormat="1" ht="15.75" customHeight="1">
      <c r="A705" s="203" t="str">
        <f>IF(B705&lt;&gt;"",IF(AND(B705&gt;=_TM1,B705&lt;=_TM2,OR(TH!L705="1111",TH!M705="1111")),TH!D705,""),"")</f>
        <v/>
      </c>
      <c r="B705" s="36">
        <f>IF(C705&lt;&gt;"",MONTH(C705),"")</f>
        <v>5</v>
      </c>
      <c r="C705" s="183">
        <f>E705</f>
        <v>42149</v>
      </c>
      <c r="D705" s="190" t="s">
        <v>1324</v>
      </c>
      <c r="E705" s="727">
        <v>42149</v>
      </c>
      <c r="F705" s="191" t="s">
        <v>1897</v>
      </c>
      <c r="G705" s="482" t="s">
        <v>1893</v>
      </c>
      <c r="H705" s="7" t="s">
        <v>1875</v>
      </c>
      <c r="I705" s="255"/>
      <c r="J705" s="255"/>
      <c r="K705" s="593">
        <v>10069444</v>
      </c>
      <c r="L705" s="193" t="s">
        <v>81</v>
      </c>
      <c r="M705" s="594" t="s">
        <v>47</v>
      </c>
      <c r="N705" s="52" t="str">
        <f>IF(AND('331-CT'!$E$7=TH!H705,OR(L705="331",M705="331")),"331",IF(AND(OR(L705="131",M705="131"),H705='131-CT'!$E$7),"131",""))</f>
        <v/>
      </c>
      <c r="O705" s="869" t="str">
        <f>IF(AND('341-CT'!$E$9=H705,OR(LEFT(L705,3)=$O$7,LEFT(M705,3)=$O$7)),"x","")</f>
        <v/>
      </c>
      <c r="P705" s="52" t="str">
        <f>IF(AND($B705&gt;='111'!$N$11,$B705&lt;='111'!$O$11,OR($L705=$P$7,$M705=$P$7)),"x","")</f>
        <v>x</v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99"/>
    </row>
    <row r="706" spans="1:28" s="210" customFormat="1" ht="15.75" customHeight="1">
      <c r="A706" s="203" t="str">
        <f>IF(B706&lt;&gt;"",IF(AND(B706&gt;=_TM1,B706&lt;=_TM2,OR(TH!L706="1111",TH!M706="1111")),TH!D706,""),"")</f>
        <v/>
      </c>
      <c r="B706" s="36">
        <f>IF(C706&lt;&gt;"",MONTH(C706),"")</f>
        <v>5</v>
      </c>
      <c r="C706" s="183">
        <f>E706</f>
        <v>42149</v>
      </c>
      <c r="D706" s="190" t="s">
        <v>1324</v>
      </c>
      <c r="E706" s="727">
        <v>42149</v>
      </c>
      <c r="F706" s="40" t="s">
        <v>1905</v>
      </c>
      <c r="G706" s="482" t="s">
        <v>1893</v>
      </c>
      <c r="H706" s="7" t="s">
        <v>1877</v>
      </c>
      <c r="I706" s="255"/>
      <c r="J706" s="255"/>
      <c r="K706" s="593">
        <v>99560000</v>
      </c>
      <c r="L706" s="193" t="s">
        <v>1911</v>
      </c>
      <c r="M706" s="594" t="s">
        <v>47</v>
      </c>
      <c r="N706" s="52" t="str">
        <f>IF(AND('331-CT'!$E$7=TH!H706,OR(L706="331",M706="331")),"331",IF(AND(OR(L706="131",M706="131"),H706='131-CT'!$E$7),"131",""))</f>
        <v/>
      </c>
      <c r="O706" s="869" t="str">
        <f>IF(AND('341-CT'!$E$9=H706,OR(LEFT(L706,3)=$O$7,LEFT(M706,3)=$O$7)),"x","")</f>
        <v/>
      </c>
      <c r="P706" s="52" t="str">
        <f>IF(AND($B706&gt;='111'!$N$11,$B706&lt;='111'!$O$11,OR($L706=$P$7,$M706=$P$7)),"x","")</f>
        <v>x</v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99"/>
    </row>
    <row r="707" spans="1:28" s="210" customFormat="1" ht="15.75" customHeight="1">
      <c r="A707" s="203" t="str">
        <f>IF(B707&lt;&gt;"",IF(AND(B707&gt;=_TM1,B707&lt;=_TM2,OR(TH!L707="1111",TH!M707="1111")),TH!D707,""),"")</f>
        <v/>
      </c>
      <c r="B707" s="36">
        <f>IF(C707&lt;&gt;"",MONTH(C707),"")</f>
        <v>5</v>
      </c>
      <c r="C707" s="183">
        <f>E707</f>
        <v>42149</v>
      </c>
      <c r="D707" s="190" t="s">
        <v>1324</v>
      </c>
      <c r="E707" s="727">
        <v>42149</v>
      </c>
      <c r="F707" s="191" t="s">
        <v>1897</v>
      </c>
      <c r="G707" s="482" t="s">
        <v>1893</v>
      </c>
      <c r="H707" s="7" t="s">
        <v>1877</v>
      </c>
      <c r="I707" s="255"/>
      <c r="J707" s="255"/>
      <c r="K707" s="593">
        <v>561408</v>
      </c>
      <c r="L707" s="193" t="s">
        <v>81</v>
      </c>
      <c r="M707" s="594" t="s">
        <v>47</v>
      </c>
      <c r="N707" s="52" t="str">
        <f>IF(AND('331-CT'!$E$7=TH!H707,OR(L707="331",M707="331")),"331",IF(AND(OR(L707="131",M707="131"),H707='131-CT'!$E$7),"131",""))</f>
        <v/>
      </c>
      <c r="O707" s="869" t="str">
        <f>IF(AND('341-CT'!$E$9=H707,OR(LEFT(L707,3)=$O$7,LEFT(M707,3)=$O$7)),"x","")</f>
        <v/>
      </c>
      <c r="P707" s="52" t="str">
        <f>IF(AND($B707&gt;='111'!$N$11,$B707&lt;='111'!$O$11,OR($L707=$P$7,$M707=$P$7)),"x","")</f>
        <v>x</v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99"/>
    </row>
    <row r="708" spans="1:28" s="210" customFormat="1" ht="15.75" customHeight="1">
      <c r="A708" s="203" t="str">
        <f>IF(B708&lt;&gt;"",IF(AND(B708&gt;=_TM1,B708&lt;=_TM2,OR(TH!L708="1111",TH!M708="1111")),TH!D708,""),"")</f>
        <v/>
      </c>
      <c r="B708" s="36">
        <f>IF(C708&lt;&gt;"",MONTH(C708),"")</f>
        <v>5</v>
      </c>
      <c r="C708" s="183">
        <f>E708</f>
        <v>42149</v>
      </c>
      <c r="D708" s="190" t="s">
        <v>1324</v>
      </c>
      <c r="E708" s="727">
        <v>42149</v>
      </c>
      <c r="F708" s="40" t="s">
        <v>1905</v>
      </c>
      <c r="G708" s="482" t="s">
        <v>1893</v>
      </c>
      <c r="H708" s="7" t="s">
        <v>1878</v>
      </c>
      <c r="I708" s="255"/>
      <c r="J708" s="255"/>
      <c r="K708" s="593">
        <v>99560000</v>
      </c>
      <c r="L708" s="193" t="s">
        <v>1911</v>
      </c>
      <c r="M708" s="594" t="s">
        <v>47</v>
      </c>
      <c r="N708" s="52" t="str">
        <f>IF(AND('331-CT'!$E$7=TH!H708,OR(L708="331",M708="331")),"331",IF(AND(OR(L708="131",M708="131"),H708='131-CT'!$E$7),"131",""))</f>
        <v/>
      </c>
      <c r="O708" s="869" t="str">
        <f>IF(AND('341-CT'!$E$9=H708,OR(LEFT(L708,3)=$O$7,LEFT(M708,3)=$O$7)),"x","")</f>
        <v/>
      </c>
      <c r="P708" s="52" t="str">
        <f>IF(AND($B708&gt;='111'!$N$11,$B708&lt;='111'!$O$11,OR($L708=$P$7,$M708=$P$7)),"x","")</f>
        <v>x</v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99"/>
    </row>
    <row r="709" spans="1:28" s="210" customFormat="1" ht="15.75" customHeight="1">
      <c r="A709" s="203" t="str">
        <f>IF(B709&lt;&gt;"",IF(AND(B709&gt;=_TM1,B709&lt;=_TM2,OR(TH!L709="1111",TH!M709="1111")),TH!D709,""),"")</f>
        <v/>
      </c>
      <c r="B709" s="36">
        <f>IF(C709&lt;&gt;"",MONTH(C709),"")</f>
        <v>5</v>
      </c>
      <c r="C709" s="183">
        <f>E709</f>
        <v>42149</v>
      </c>
      <c r="D709" s="190" t="s">
        <v>1324</v>
      </c>
      <c r="E709" s="727">
        <v>42149</v>
      </c>
      <c r="F709" s="191" t="s">
        <v>1897</v>
      </c>
      <c r="G709" s="482" t="s">
        <v>1893</v>
      </c>
      <c r="H709" s="7" t="s">
        <v>1878</v>
      </c>
      <c r="I709" s="255"/>
      <c r="J709" s="255"/>
      <c r="K709" s="593">
        <v>561408</v>
      </c>
      <c r="L709" s="193" t="s">
        <v>81</v>
      </c>
      <c r="M709" s="594" t="s">
        <v>47</v>
      </c>
      <c r="N709" s="52" t="str">
        <f>IF(AND('331-CT'!$E$7=TH!H709,OR(L709="331",M709="331")),"331",IF(AND(OR(L709="131",M709="131"),H709='131-CT'!$E$7),"131",""))</f>
        <v/>
      </c>
      <c r="O709" s="869" t="str">
        <f>IF(AND('341-CT'!$E$9=H709,OR(LEFT(L709,3)=$O$7,LEFT(M709,3)=$O$7)),"x","")</f>
        <v/>
      </c>
      <c r="P709" s="52" t="str">
        <f>IF(AND($B709&gt;='111'!$N$11,$B709&lt;='111'!$O$11,OR($L709=$P$7,$M709=$P$7)),"x","")</f>
        <v>x</v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99"/>
    </row>
    <row r="710" spans="1:28" s="210" customFormat="1" ht="15.75" customHeight="1">
      <c r="A710" s="203" t="str">
        <f>IF(B710&lt;&gt;"",IF(AND(B710&gt;=_TM1,B710&lt;=_TM2,OR(TH!L710="1111",TH!M710="1111")),TH!D710,""),"")</f>
        <v/>
      </c>
      <c r="B710" s="36">
        <f>IF(C710&lt;&gt;"",MONTH(C710),"")</f>
        <v>5</v>
      </c>
      <c r="C710" s="183">
        <f>E710</f>
        <v>42149</v>
      </c>
      <c r="D710" s="190" t="s">
        <v>1324</v>
      </c>
      <c r="E710" s="727">
        <v>42149</v>
      </c>
      <c r="F710" s="40" t="s">
        <v>1905</v>
      </c>
      <c r="G710" s="482" t="s">
        <v>1893</v>
      </c>
      <c r="H710" s="7" t="s">
        <v>1879</v>
      </c>
      <c r="I710" s="255"/>
      <c r="J710" s="255"/>
      <c r="K710" s="593">
        <v>97900000</v>
      </c>
      <c r="L710" s="193" t="s">
        <v>1911</v>
      </c>
      <c r="M710" s="594" t="s">
        <v>47</v>
      </c>
      <c r="N710" s="52" t="str">
        <f>IF(AND('331-CT'!$E$7=TH!H710,OR(L710="331",M710="331")),"331",IF(AND(OR(L710="131",M710="131"),H710='131-CT'!$E$7),"131",""))</f>
        <v/>
      </c>
      <c r="O710" s="869" t="str">
        <f>IF(AND('341-CT'!$E$9=H710,OR(LEFT(L710,3)=$O$7,LEFT(M710,3)=$O$7)),"x","")</f>
        <v/>
      </c>
      <c r="P710" s="52" t="str">
        <f>IF(AND($B710&gt;='111'!$N$11,$B710&lt;='111'!$O$11,OR($L710=$P$7,$M710=$P$7)),"x","")</f>
        <v>x</v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99"/>
    </row>
    <row r="711" spans="1:28" s="210" customFormat="1" ht="15.75" customHeight="1">
      <c r="A711" s="203" t="str">
        <f>IF(B711&lt;&gt;"",IF(AND(B711&gt;=_TM1,B711&lt;=_TM2,OR(TH!L711="1111",TH!M711="1111")),TH!D711,""),"")</f>
        <v/>
      </c>
      <c r="B711" s="36">
        <f>IF(C711&lt;&gt;"",MONTH(C711),"")</f>
        <v>5</v>
      </c>
      <c r="C711" s="183">
        <f>E711</f>
        <v>42149</v>
      </c>
      <c r="D711" s="190" t="s">
        <v>1324</v>
      </c>
      <c r="E711" s="727">
        <v>42149</v>
      </c>
      <c r="F711" s="191" t="s">
        <v>1897</v>
      </c>
      <c r="G711" s="482" t="s">
        <v>1893</v>
      </c>
      <c r="H711" s="7" t="s">
        <v>1879</v>
      </c>
      <c r="I711" s="255"/>
      <c r="J711" s="255"/>
      <c r="K711" s="593">
        <v>552047</v>
      </c>
      <c r="L711" s="193" t="s">
        <v>81</v>
      </c>
      <c r="M711" s="594" t="s">
        <v>47</v>
      </c>
      <c r="N711" s="52" t="str">
        <f>IF(AND('331-CT'!$E$7=TH!H711,OR(L711="331",M711="331")),"331",IF(AND(OR(L711="131",M711="131"),H711='131-CT'!$E$7),"131",""))</f>
        <v/>
      </c>
      <c r="O711" s="869" t="str">
        <f>IF(AND('341-CT'!$E$9=H711,OR(LEFT(L711,3)=$O$7,LEFT(M711,3)=$O$7)),"x","")</f>
        <v/>
      </c>
      <c r="P711" s="52" t="str">
        <f>IF(AND($B711&gt;='111'!$N$11,$B711&lt;='111'!$O$11,OR($L711=$P$7,$M711=$P$7)),"x","")</f>
        <v>x</v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99"/>
    </row>
    <row r="712" spans="1:28" s="210" customFormat="1" ht="15.75" customHeight="1">
      <c r="A712" s="203" t="str">
        <f>IF(B712&lt;&gt;"",IF(AND(B712&gt;=_TM1,B712&lt;=_TM2,OR(TH!L712="1111",TH!M712="1111")),TH!D712,""),"")</f>
        <v/>
      </c>
      <c r="B712" s="36">
        <f>IF(C712&lt;&gt;"",MONTH(C712),"")</f>
        <v>5</v>
      </c>
      <c r="C712" s="183">
        <f>E712</f>
        <v>42149</v>
      </c>
      <c r="D712" s="190" t="s">
        <v>1324</v>
      </c>
      <c r="E712" s="727">
        <v>42149</v>
      </c>
      <c r="F712" s="40" t="s">
        <v>1905</v>
      </c>
      <c r="G712" s="482" t="s">
        <v>1893</v>
      </c>
      <c r="H712" s="7" t="s">
        <v>1902</v>
      </c>
      <c r="I712" s="255"/>
      <c r="J712" s="255"/>
      <c r="K712" s="593">
        <v>99560000</v>
      </c>
      <c r="L712" s="193" t="s">
        <v>1911</v>
      </c>
      <c r="M712" s="594" t="s">
        <v>47</v>
      </c>
      <c r="N712" s="52" t="str">
        <f>IF(AND('331-CT'!$E$7=TH!H712,OR(L712="331",M712="331")),"331",IF(AND(OR(L712="131",M712="131"),H712='131-CT'!$E$7),"131",""))</f>
        <v/>
      </c>
      <c r="O712" s="869" t="str">
        <f>IF(AND('341-CT'!$E$9=H712,OR(LEFT(L712,3)=$O$7,LEFT(M712,3)=$O$7)),"x","")</f>
        <v/>
      </c>
      <c r="P712" s="52" t="str">
        <f>IF(AND($B712&gt;='111'!$N$11,$B712&lt;='111'!$O$11,OR($L712=$P$7,$M712=$P$7)),"x","")</f>
        <v>x</v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99"/>
    </row>
    <row r="713" spans="1:28" s="210" customFormat="1" ht="15.75" customHeight="1">
      <c r="A713" s="203" t="str">
        <f>IF(B713&lt;&gt;"",IF(AND(B713&gt;=_TM1,B713&lt;=_TM2,OR(TH!L713="1111",TH!M713="1111")),TH!D713,""),"")</f>
        <v/>
      </c>
      <c r="B713" s="36">
        <f>IF(C713&lt;&gt;"",MONTH(C713),"")</f>
        <v>5</v>
      </c>
      <c r="C713" s="183">
        <f>E713</f>
        <v>42149</v>
      </c>
      <c r="D713" s="190" t="s">
        <v>1324</v>
      </c>
      <c r="E713" s="727">
        <v>42149</v>
      </c>
      <c r="F713" s="191" t="s">
        <v>1897</v>
      </c>
      <c r="G713" s="482" t="s">
        <v>1893</v>
      </c>
      <c r="H713" s="7" t="s">
        <v>1902</v>
      </c>
      <c r="I713" s="255"/>
      <c r="J713" s="255"/>
      <c r="K713" s="593">
        <v>561408</v>
      </c>
      <c r="L713" s="193" t="s">
        <v>81</v>
      </c>
      <c r="M713" s="594" t="s">
        <v>47</v>
      </c>
      <c r="N713" s="52" t="str">
        <f>IF(AND('331-CT'!$E$7=TH!H713,OR(L713="331",M713="331")),"331",IF(AND(OR(L713="131",M713="131"),H713='131-CT'!$E$7),"131",""))</f>
        <v/>
      </c>
      <c r="O713" s="869" t="str">
        <f>IF(AND('341-CT'!$E$9=H713,OR(LEFT(L713,3)=$O$7,LEFT(M713,3)=$O$7)),"x","")</f>
        <v/>
      </c>
      <c r="P713" s="52" t="str">
        <f>IF(AND($B713&gt;='111'!$N$11,$B713&lt;='111'!$O$11,OR($L713=$P$7,$M713=$P$7)),"x","")</f>
        <v>x</v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99"/>
    </row>
    <row r="714" spans="1:28" s="210" customFormat="1" ht="15.75" customHeight="1">
      <c r="A714" s="203" t="str">
        <f>IF(B714&lt;&gt;"",IF(AND(B714&gt;=_TM1,B714&lt;=_TM2,OR(TH!L714="1111",TH!M714="1111")),TH!D714,""),"")</f>
        <v/>
      </c>
      <c r="B714" s="36">
        <f>IF(C714&lt;&gt;"",MONTH(C714),"")</f>
        <v>5</v>
      </c>
      <c r="C714" s="183">
        <f>E714</f>
        <v>42149</v>
      </c>
      <c r="D714" s="190" t="s">
        <v>1324</v>
      </c>
      <c r="E714" s="727">
        <v>42149</v>
      </c>
      <c r="F714" s="191" t="s">
        <v>1906</v>
      </c>
      <c r="G714" s="482" t="s">
        <v>1893</v>
      </c>
      <c r="H714" s="192"/>
      <c r="I714" s="255"/>
      <c r="J714" s="255"/>
      <c r="K714" s="593">
        <v>1731169</v>
      </c>
      <c r="L714" s="594" t="s">
        <v>83</v>
      </c>
      <c r="M714" s="594" t="s">
        <v>24</v>
      </c>
      <c r="N714" s="52" t="str">
        <f>IF(AND('331-CT'!$E$7=TH!H714,OR(L714="331",M714="331")),"331",IF(AND(OR(L714="131",M714="131"),H714='131-CT'!$E$7),"131",""))</f>
        <v/>
      </c>
      <c r="O714" s="86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>x</v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99"/>
    </row>
    <row r="715" spans="1:28" s="210" customFormat="1" ht="15.75" customHeight="1">
      <c r="A715" s="203" t="str">
        <f>IF(B715&lt;&gt;"",IF(AND(B715&gt;=_TM1,B715&lt;=_TM2,OR(TH!L715="1111",TH!M715="1111")),TH!D715,""),"")</f>
        <v/>
      </c>
      <c r="B715" s="36">
        <f>IF(C715&lt;&gt;"",MONTH(C715),"")</f>
        <v>5</v>
      </c>
      <c r="C715" s="183">
        <f>E715</f>
        <v>42150</v>
      </c>
      <c r="D715" s="183" t="s">
        <v>1551</v>
      </c>
      <c r="E715" s="190">
        <v>42150</v>
      </c>
      <c r="F715" s="191" t="s">
        <v>516</v>
      </c>
      <c r="G715" s="482" t="s">
        <v>684</v>
      </c>
      <c r="H715" s="7" t="s">
        <v>444</v>
      </c>
      <c r="I715" s="255">
        <v>750</v>
      </c>
      <c r="J715" s="255">
        <v>10000</v>
      </c>
      <c r="K715" s="593">
        <f>ROUND(I715*J715,0)</f>
        <v>7500000</v>
      </c>
      <c r="L715" s="594" t="s">
        <v>259</v>
      </c>
      <c r="M715" s="594" t="s">
        <v>174</v>
      </c>
      <c r="N715" s="52" t="str">
        <f>IF(AND('331-CT'!$E$7=TH!H715,OR(L715="331",M715="331")),"331",IF(AND(OR(L715="131",M715="131"),H715='131-CT'!$E$7),"131",""))</f>
        <v/>
      </c>
      <c r="O715" s="86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99"/>
      <c r="AB715" s="585"/>
    </row>
    <row r="716" spans="1:28" s="210" customFormat="1" ht="15.75" customHeight="1">
      <c r="A716" s="203" t="str">
        <f>IF(B716&lt;&gt;"",IF(AND(B716&gt;=_TM1,B716&lt;=_TM2,OR(TH!L716="1111",TH!M716="1111")),TH!D716,""),"")</f>
        <v/>
      </c>
      <c r="B716" s="36">
        <f>IF(C716&lt;&gt;"",MONTH(C716),"")</f>
        <v>5</v>
      </c>
      <c r="C716" s="183">
        <f>E716</f>
        <v>42150</v>
      </c>
      <c r="D716" s="183" t="s">
        <v>1551</v>
      </c>
      <c r="E716" s="190">
        <v>42150</v>
      </c>
      <c r="F716" s="191" t="s">
        <v>402</v>
      </c>
      <c r="G716" s="482" t="s">
        <v>684</v>
      </c>
      <c r="H716" s="7" t="s">
        <v>444</v>
      </c>
      <c r="I716" s="255"/>
      <c r="J716" s="255"/>
      <c r="K716" s="593">
        <v>750000</v>
      </c>
      <c r="L716" s="594" t="s">
        <v>259</v>
      </c>
      <c r="M716" s="594" t="s">
        <v>371</v>
      </c>
      <c r="N716" s="52" t="str">
        <f>IF(AND('331-CT'!$E$7=TH!H716,OR(L716="331",M716="331")),"331",IF(AND(OR(L716="131",M716="131"),H716='131-CT'!$E$7),"131",""))</f>
        <v/>
      </c>
      <c r="O716" s="86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99"/>
      <c r="AB716" s="585"/>
    </row>
    <row r="717" spans="1:28" s="210" customFormat="1" ht="15.75" customHeight="1">
      <c r="A717" s="203" t="str">
        <f>IF(B717&lt;&gt;"",IF(AND(B717&gt;=_TM1,B717&lt;=_TM2,OR(TH!L717="1111",TH!M717="1111")),TH!D717,""),"")</f>
        <v/>
      </c>
      <c r="B717" s="36">
        <f>IF(C717&lt;&gt;"",MONTH(C717),"")</f>
        <v>5</v>
      </c>
      <c r="C717" s="183">
        <f>E717</f>
        <v>42150</v>
      </c>
      <c r="D717" s="190" t="s">
        <v>1984</v>
      </c>
      <c r="E717" s="727">
        <v>42150</v>
      </c>
      <c r="F717" s="296" t="s">
        <v>1357</v>
      </c>
      <c r="G717" s="482" t="s">
        <v>1417</v>
      </c>
      <c r="H717" s="7" t="s">
        <v>1391</v>
      </c>
      <c r="I717" s="255">
        <v>2465</v>
      </c>
      <c r="J717" s="255">
        <v>7300</v>
      </c>
      <c r="K717" s="593">
        <f>ROUND(I717*J717,0)</f>
        <v>17994500</v>
      </c>
      <c r="L717" s="594" t="s">
        <v>159</v>
      </c>
      <c r="M717" s="594" t="s">
        <v>8</v>
      </c>
      <c r="N717" s="52" t="str">
        <f>IF(AND('331-CT'!$E$7=TH!H717,OR(L717="331",M717="331")),"331",IF(AND(OR(L717="131",M717="131"),H717='131-CT'!$E$7),"131",""))</f>
        <v/>
      </c>
      <c r="O717" s="86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99"/>
    </row>
    <row r="718" spans="1:28" s="210" customFormat="1" ht="15.75" customHeight="1">
      <c r="A718" s="203" t="str">
        <f>IF(B718&lt;&gt;"",IF(AND(B718&gt;=_TM1,B718&lt;=_TM2,OR(TH!L718="1111",TH!M718="1111")),TH!D718,""),"")</f>
        <v/>
      </c>
      <c r="B718" s="36">
        <f>IF(C718&lt;&gt;"",MONTH(C718),"")</f>
        <v>5</v>
      </c>
      <c r="C718" s="183">
        <f>E718</f>
        <v>42150</v>
      </c>
      <c r="D718" s="190" t="s">
        <v>1984</v>
      </c>
      <c r="E718" s="727">
        <v>42150</v>
      </c>
      <c r="F718" s="296" t="s">
        <v>1393</v>
      </c>
      <c r="G718" s="482" t="s">
        <v>1417</v>
      </c>
      <c r="H718" s="7" t="s">
        <v>1391</v>
      </c>
      <c r="I718" s="255"/>
      <c r="J718" s="255"/>
      <c r="K718" s="593">
        <v>1799450</v>
      </c>
      <c r="L718" s="594" t="s">
        <v>9</v>
      </c>
      <c r="M718" s="594" t="s">
        <v>8</v>
      </c>
      <c r="N718" s="52" t="str">
        <f>IF(AND('331-CT'!$E$7=TH!H718,OR(L718="331",M718="331")),"331",IF(AND(OR(L718="131",M718="131"),H718='131-CT'!$E$7),"131",""))</f>
        <v/>
      </c>
      <c r="O718" s="86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99"/>
    </row>
    <row r="719" spans="1:28" s="210" customFormat="1" ht="15.75" customHeight="1">
      <c r="A719" s="203" t="str">
        <f>IF(B719&lt;&gt;"",IF(AND(B719&gt;=_TM1,B719&lt;=_TM2,OR(TH!L719="1111",TH!M719="1111")),TH!D719,""),"")</f>
        <v/>
      </c>
      <c r="B719" s="36">
        <f>IF(C719&lt;&gt;"",MONTH(C719),"")</f>
        <v>5</v>
      </c>
      <c r="C719" s="183">
        <f>E719</f>
        <v>42150</v>
      </c>
      <c r="D719" s="190" t="s">
        <v>1984</v>
      </c>
      <c r="E719" s="727">
        <v>42150</v>
      </c>
      <c r="F719" s="296" t="s">
        <v>1326</v>
      </c>
      <c r="G719" s="482" t="s">
        <v>1417</v>
      </c>
      <c r="H719" s="7" t="s">
        <v>1391</v>
      </c>
      <c r="I719" s="255"/>
      <c r="J719" s="255"/>
      <c r="K719" s="593">
        <v>19793950</v>
      </c>
      <c r="L719" s="594" t="s">
        <v>8</v>
      </c>
      <c r="M719" s="594" t="s">
        <v>47</v>
      </c>
      <c r="N719" s="52" t="str">
        <f>IF(AND('331-CT'!$E$7=TH!H719,OR(L719="331",M719="331")),"331",IF(AND(OR(L719="131",M719="131"),H719='131-CT'!$E$7),"131",""))</f>
        <v/>
      </c>
      <c r="O719" s="869" t="str">
        <f>IF(AND('341-CT'!$E$9=H719,OR(LEFT(L719,3)=$O$7,LEFT(M719,3)=$O$7)),"x","")</f>
        <v/>
      </c>
      <c r="P719" s="52" t="str">
        <f>IF(AND($B719&gt;='111'!$N$11,$B719&lt;='111'!$O$11,OR($L719=$P$7,$M719=$P$7)),"x","")</f>
        <v>x</v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99"/>
    </row>
    <row r="720" spans="1:28" s="210" customFormat="1" ht="15.75" customHeight="1">
      <c r="A720" s="203" t="str">
        <f>IF(B720&lt;&gt;"",IF(AND(B720&gt;=_TM1,B720&lt;=_TM2,OR(TH!L720="1111",TH!M720="1111")),TH!D720,""),"")</f>
        <v/>
      </c>
      <c r="B720" s="36">
        <f>IF(C720&lt;&gt;"",MONTH(C720),"")</f>
        <v>5</v>
      </c>
      <c r="C720" s="183">
        <f>E720</f>
        <v>42150</v>
      </c>
      <c r="D720" s="190" t="s">
        <v>1324</v>
      </c>
      <c r="E720" s="727">
        <v>42150</v>
      </c>
      <c r="F720" s="191" t="s">
        <v>1908</v>
      </c>
      <c r="G720" s="482" t="s">
        <v>1907</v>
      </c>
      <c r="H720" s="192" t="s">
        <v>1909</v>
      </c>
      <c r="I720" s="255"/>
      <c r="J720" s="255"/>
      <c r="K720" s="593">
        <v>1667693000</v>
      </c>
      <c r="L720" s="193" t="s">
        <v>24</v>
      </c>
      <c r="M720" s="193" t="s">
        <v>1899</v>
      </c>
      <c r="N720" s="52" t="str">
        <f>IF(AND('331-CT'!$E$7=TH!H720,OR(L720="331",M720="331")),"331",IF(AND(OR(L720="131",M720="131"),H720='131-CT'!$E$7),"131",""))</f>
        <v/>
      </c>
      <c r="O720" s="86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99"/>
    </row>
    <row r="721" spans="1:28" s="210" customFormat="1" ht="15.75" customHeight="1">
      <c r="A721" s="203" t="str">
        <f>IF(B721&lt;&gt;"",IF(AND(B721&gt;=_TM1,B721&lt;=_TM2,OR(TH!L721="1111",TH!M721="1111")),TH!D721,""),"")</f>
        <v/>
      </c>
      <c r="B721" s="36">
        <f>IF(C721&lt;&gt;"",MONTH(C721),"")</f>
        <v>5</v>
      </c>
      <c r="C721" s="183">
        <f>E721</f>
        <v>42150</v>
      </c>
      <c r="D721" s="190" t="s">
        <v>1324</v>
      </c>
      <c r="E721" s="727">
        <v>42150</v>
      </c>
      <c r="F721" s="191" t="s">
        <v>1896</v>
      </c>
      <c r="G721" s="482" t="s">
        <v>1907</v>
      </c>
      <c r="H721" s="192" t="s">
        <v>1337</v>
      </c>
      <c r="I721" s="255"/>
      <c r="J721" s="255"/>
      <c r="K721" s="593">
        <v>1000000</v>
      </c>
      <c r="L721" s="193" t="s">
        <v>24</v>
      </c>
      <c r="M721" s="594" t="s">
        <v>47</v>
      </c>
      <c r="N721" s="52" t="str">
        <f>IF(AND('331-CT'!$E$7=TH!H721,OR(L721="331",M721="331")),"331",IF(AND(OR(L721="131",M721="131"),H721='131-CT'!$E$7),"131",""))</f>
        <v/>
      </c>
      <c r="O721" s="869" t="str">
        <f>IF(AND('341-CT'!$E$9=H721,OR(LEFT(L721,3)=$O$7,LEFT(M721,3)=$O$7)),"x","")</f>
        <v/>
      </c>
      <c r="P721" s="52" t="str">
        <f>IF(AND($B721&gt;='111'!$N$11,$B721&lt;='111'!$O$11,OR($L721=$P$7,$M721=$P$7)),"x","")</f>
        <v>x</v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99"/>
    </row>
    <row r="722" spans="1:28" s="210" customFormat="1" ht="15.75" customHeight="1">
      <c r="A722" s="203" t="str">
        <f>IF(B722&lt;&gt;"",IF(AND(B722&gt;=_TM1,B722&lt;=_TM2,OR(TH!L722="1111",TH!M722="1111")),TH!D722,""),"")</f>
        <v/>
      </c>
      <c r="B722" s="36">
        <f>IF(C722&lt;&gt;"",MONTH(C722),"")</f>
        <v>5</v>
      </c>
      <c r="C722" s="183">
        <f>E722</f>
        <v>42150</v>
      </c>
      <c r="D722" s="190" t="s">
        <v>1324</v>
      </c>
      <c r="E722" s="727">
        <v>42150</v>
      </c>
      <c r="F722" s="296" t="s">
        <v>1326</v>
      </c>
      <c r="G722" s="482" t="s">
        <v>1907</v>
      </c>
      <c r="H722" s="7" t="s">
        <v>1397</v>
      </c>
      <c r="I722" s="255"/>
      <c r="J722" s="255"/>
      <c r="K722" s="593">
        <v>116240000</v>
      </c>
      <c r="L722" s="594" t="s">
        <v>8</v>
      </c>
      <c r="M722" s="594" t="s">
        <v>24</v>
      </c>
      <c r="N722" s="52" t="str">
        <f>IF(AND('331-CT'!$E$7=TH!H722,OR(L722="331",M722="331")),"331",IF(AND(OR(L722="131",M722="131"),H722='131-CT'!$E$7),"131",""))</f>
        <v/>
      </c>
      <c r="O722" s="86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99"/>
    </row>
    <row r="723" spans="1:28" s="210" customFormat="1" ht="15.75" customHeight="1">
      <c r="A723" s="203" t="str">
        <f>IF(B723&lt;&gt;"",IF(AND(B723&gt;=_TM1,B723&lt;=_TM2,OR(TH!L723="1111",TH!M723="1111")),TH!D723,""),"")</f>
        <v/>
      </c>
      <c r="B723" s="36">
        <f>IF(C723&lt;&gt;"",MONTH(C723),"")</f>
        <v>5</v>
      </c>
      <c r="C723" s="183">
        <f>E723</f>
        <v>42150</v>
      </c>
      <c r="D723" s="190" t="s">
        <v>1324</v>
      </c>
      <c r="E723" s="727">
        <v>42150</v>
      </c>
      <c r="F723" s="191" t="s">
        <v>1327</v>
      </c>
      <c r="G723" s="482" t="s">
        <v>1907</v>
      </c>
      <c r="H723" s="192"/>
      <c r="I723" s="255"/>
      <c r="J723" s="255"/>
      <c r="K723" s="593">
        <v>34872</v>
      </c>
      <c r="L723" s="594" t="s">
        <v>83</v>
      </c>
      <c r="M723" s="594" t="s">
        <v>24</v>
      </c>
      <c r="N723" s="52" t="str">
        <f>IF(AND('331-CT'!$E$7=TH!H723,OR(L723="331",M723="331")),"331",IF(AND(OR(L723="131",M723="131"),H723='131-CT'!$E$7),"131",""))</f>
        <v/>
      </c>
      <c r="O723" s="86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>x</v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99"/>
    </row>
    <row r="724" spans="1:28" s="210" customFormat="1" ht="15.75" customHeight="1">
      <c r="A724" s="203" t="str">
        <f>IF(B724&lt;&gt;"",IF(AND(B724&gt;=_TM1,B724&lt;=_TM2,OR(TH!L724="1111",TH!M724="1111")),TH!D724,""),"")</f>
        <v/>
      </c>
      <c r="B724" s="36">
        <f>IF(C724&lt;&gt;"",MONTH(C724),"")</f>
        <v>5</v>
      </c>
      <c r="C724" s="183">
        <f>E724</f>
        <v>42150</v>
      </c>
      <c r="D724" s="190" t="s">
        <v>1324</v>
      </c>
      <c r="E724" s="727">
        <v>42150</v>
      </c>
      <c r="F724" s="191" t="s">
        <v>1914</v>
      </c>
      <c r="G724" s="482" t="s">
        <v>1907</v>
      </c>
      <c r="H724" s="192"/>
      <c r="I724" s="255"/>
      <c r="J724" s="255"/>
      <c r="K724" s="593">
        <v>3487</v>
      </c>
      <c r="L724" s="594" t="s">
        <v>9</v>
      </c>
      <c r="M724" s="594" t="s">
        <v>24</v>
      </c>
      <c r="N724" s="52" t="str">
        <f>IF(AND('331-CT'!$E$7=TH!H724,OR(L724="331",M724="331")),"331",IF(AND(OR(L724="131",M724="131"),H724='131-CT'!$E$7),"131",""))</f>
        <v/>
      </c>
      <c r="O724" s="86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99"/>
    </row>
    <row r="725" spans="1:28" s="210" customFormat="1" ht="15.75" customHeight="1">
      <c r="A725" s="203" t="str">
        <f>IF(B725&lt;&gt;"",IF(AND(B725&gt;=_TM1,B725&lt;=_TM2,OR(TH!L725="1111",TH!M725="1111")),TH!D725,""),"")</f>
        <v/>
      </c>
      <c r="B725" s="826">
        <f>IF(C725&lt;&gt;"",MONTH(C725),"")</f>
        <v>5</v>
      </c>
      <c r="C725" s="827">
        <f>E725</f>
        <v>42150</v>
      </c>
      <c r="D725" s="828" t="s">
        <v>1324</v>
      </c>
      <c r="E725" s="882">
        <v>42150</v>
      </c>
      <c r="F725" s="883" t="s">
        <v>1903</v>
      </c>
      <c r="G725" s="830" t="s">
        <v>1907</v>
      </c>
      <c r="H725" s="831"/>
      <c r="I725" s="832"/>
      <c r="J725" s="832"/>
      <c r="K725" s="833">
        <v>1400000000</v>
      </c>
      <c r="L725" s="834" t="s">
        <v>47</v>
      </c>
      <c r="M725" s="834" t="s">
        <v>24</v>
      </c>
      <c r="N725" s="52" t="str">
        <f>IF(AND('331-CT'!$E$7=TH!H725,OR(L725="331",M725="331")),"331",IF(AND(OR(L725="131",M725="131"),H725='131-CT'!$E$7),"131",""))</f>
        <v/>
      </c>
      <c r="O725" s="869" t="str">
        <f>IF(AND('341-CT'!$E$9=H725,OR(LEFT(L725,3)=$O$7,LEFT(M725,3)=$O$7)),"x","")</f>
        <v/>
      </c>
      <c r="P725" s="52" t="str">
        <f>IF(AND($B725&gt;='111'!$N$11,$B725&lt;='111'!$O$11,OR($L725=$P$7,$M725=$P$7)),"x","")</f>
        <v>x</v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35"/>
      <c r="AB725" s="836"/>
    </row>
    <row r="726" spans="1:28" s="210" customFormat="1" ht="15.75" customHeight="1">
      <c r="A726" s="203" t="str">
        <f>IF(B726&lt;&gt;"",IF(AND(B726&gt;=_TM1,B726&lt;=_TM2,OR(TH!L726="1111",TH!M726="1111")),TH!D726,""),"")</f>
        <v/>
      </c>
      <c r="B726" s="36">
        <f>IF(C726&lt;&gt;"",MONTH(C726),"")</f>
        <v>5</v>
      </c>
      <c r="C726" s="183">
        <f>E726</f>
        <v>42150</v>
      </c>
      <c r="D726" s="190" t="s">
        <v>1324</v>
      </c>
      <c r="E726" s="727">
        <v>42150</v>
      </c>
      <c r="F726" s="296" t="s">
        <v>1326</v>
      </c>
      <c r="G726" s="482" t="s">
        <v>1907</v>
      </c>
      <c r="H726" s="7" t="s">
        <v>1391</v>
      </c>
      <c r="I726" s="255"/>
      <c r="J726" s="255"/>
      <c r="K726" s="593">
        <v>151453000</v>
      </c>
      <c r="L726" s="594" t="s">
        <v>8</v>
      </c>
      <c r="M726" s="594" t="s">
        <v>24</v>
      </c>
      <c r="N726" s="52" t="str">
        <f>IF(AND('331-CT'!$E$7=TH!H726,OR(L726="331",M726="331")),"331",IF(AND(OR(L726="131",M726="131"),H726='131-CT'!$E$7),"131",""))</f>
        <v/>
      </c>
      <c r="O726" s="86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99"/>
    </row>
    <row r="727" spans="1:28" s="210" customFormat="1" ht="15.75" customHeight="1">
      <c r="A727" s="203" t="str">
        <f>IF(B727&lt;&gt;"",IF(AND(B727&gt;=_TM1,B727&lt;=_TM2,OR(TH!L727="1111",TH!M727="1111")),TH!D727,""),"")</f>
        <v/>
      </c>
      <c r="B727" s="36">
        <f>IF(C727&lt;&gt;"",MONTH(C727),"")</f>
        <v>5</v>
      </c>
      <c r="C727" s="183">
        <f>E727</f>
        <v>42150</v>
      </c>
      <c r="D727" s="190" t="s">
        <v>1324</v>
      </c>
      <c r="E727" s="727">
        <v>42150</v>
      </c>
      <c r="F727" s="191" t="s">
        <v>1327</v>
      </c>
      <c r="G727" s="482" t="s">
        <v>1907</v>
      </c>
      <c r="H727" s="192"/>
      <c r="I727" s="255"/>
      <c r="J727" s="255"/>
      <c r="K727" s="7">
        <v>75727</v>
      </c>
      <c r="L727" s="594" t="s">
        <v>83</v>
      </c>
      <c r="M727" s="594" t="s">
        <v>24</v>
      </c>
      <c r="N727" s="52" t="str">
        <f>IF(AND('331-CT'!$E$7=TH!H727,OR(L727="331",M727="331")),"331",IF(AND(OR(L727="131",M727="131"),H727='131-CT'!$E$7),"131",""))</f>
        <v/>
      </c>
      <c r="O727" s="86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>x</v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99"/>
    </row>
    <row r="728" spans="1:28" s="210" customFormat="1" ht="15.75" customHeight="1">
      <c r="A728" s="203" t="str">
        <f>IF(B728&lt;&gt;"",IF(AND(B728&gt;=_TM1,B728&lt;=_TM2,OR(TH!L728="1111",TH!M728="1111")),TH!D728,""),"")</f>
        <v/>
      </c>
      <c r="B728" s="36">
        <f>IF(C728&lt;&gt;"",MONTH(C728),"")</f>
        <v>5</v>
      </c>
      <c r="C728" s="183">
        <f>E728</f>
        <v>42150</v>
      </c>
      <c r="D728" s="190" t="s">
        <v>1324</v>
      </c>
      <c r="E728" s="727">
        <v>42150</v>
      </c>
      <c r="F728" s="191" t="s">
        <v>1914</v>
      </c>
      <c r="G728" s="482" t="s">
        <v>1907</v>
      </c>
      <c r="H728" s="192"/>
      <c r="I728" s="255"/>
      <c r="J728" s="255"/>
      <c r="K728" s="593">
        <v>7573</v>
      </c>
      <c r="L728" s="594" t="s">
        <v>9</v>
      </c>
      <c r="M728" s="594" t="s">
        <v>24</v>
      </c>
      <c r="N728" s="52" t="str">
        <f>IF(AND('331-CT'!$E$7=TH!H728,OR(L728="331",M728="331")),"331",IF(AND(OR(L728="131",M728="131"),H728='131-CT'!$E$7),"131",""))</f>
        <v/>
      </c>
      <c r="O728" s="86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99"/>
    </row>
    <row r="729" spans="1:28" s="210" customFormat="1" ht="15.75" customHeight="1">
      <c r="A729" s="203" t="str">
        <f>IF(B729&lt;&gt;"",IF(AND(B729&gt;=_TM1,B729&lt;=_TM2,OR(TH!L729="1111",TH!M729="1111")),TH!D729,""),"")</f>
        <v/>
      </c>
      <c r="B729" s="36">
        <f>IF(C729&lt;&gt;"",MONTH(C729),"")</f>
        <v>5</v>
      </c>
      <c r="C729" s="183">
        <f>E729</f>
        <v>42150</v>
      </c>
      <c r="D729" s="190" t="s">
        <v>1324</v>
      </c>
      <c r="E729" s="727">
        <v>42150</v>
      </c>
      <c r="F729" s="191" t="s">
        <v>1915</v>
      </c>
      <c r="G729" s="482" t="s">
        <v>1907</v>
      </c>
      <c r="H729" s="192"/>
      <c r="I729" s="255"/>
      <c r="J729" s="255"/>
      <c r="K729" s="593">
        <v>100000</v>
      </c>
      <c r="L729" s="594" t="s">
        <v>83</v>
      </c>
      <c r="M729" s="594" t="s">
        <v>24</v>
      </c>
      <c r="N729" s="52" t="str">
        <f>IF(AND('331-CT'!$E$7=TH!H729,OR(L729="331",M729="331")),"331",IF(AND(OR(L729="131",M729="131"),H729='131-CT'!$E$7),"131",""))</f>
        <v/>
      </c>
      <c r="O729" s="86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>x</v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99"/>
    </row>
    <row r="730" spans="1:28" s="210" customFormat="1" ht="15.75" customHeight="1">
      <c r="A730" s="203" t="str">
        <f>IF(B730&lt;&gt;"",IF(AND(B730&gt;=_TM1,B730&lt;=_TM2,OR(TH!L730="1111",TH!M730="1111")),TH!D730,""),"")</f>
        <v/>
      </c>
      <c r="B730" s="36">
        <f>IF(C730&lt;&gt;"",MONTH(C730),"")</f>
        <v>5</v>
      </c>
      <c r="C730" s="183">
        <f>E730</f>
        <v>42150</v>
      </c>
      <c r="D730" s="190" t="s">
        <v>1324</v>
      </c>
      <c r="E730" s="727">
        <v>42150</v>
      </c>
      <c r="F730" s="191" t="s">
        <v>1916</v>
      </c>
      <c r="G730" s="482" t="s">
        <v>1907</v>
      </c>
      <c r="H730" s="192"/>
      <c r="I730" s="255"/>
      <c r="J730" s="255"/>
      <c r="K730" s="593">
        <v>10000</v>
      </c>
      <c r="L730" s="594" t="s">
        <v>9</v>
      </c>
      <c r="M730" s="594" t="s">
        <v>24</v>
      </c>
      <c r="N730" s="52" t="str">
        <f>IF(AND('331-CT'!$E$7=TH!H730,OR(L730="331",M730="331")),"331",IF(AND(OR(L730="131",M730="131"),H730='131-CT'!$E$7),"131",""))</f>
        <v/>
      </c>
      <c r="O730" s="86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99"/>
    </row>
    <row r="731" spans="1:28" s="210" customFormat="1" ht="15.75" customHeight="1">
      <c r="A731" s="203" t="str">
        <f>IF(B731&lt;&gt;"",IF(AND(B731&gt;=_TM1,B731&lt;=_TM2,OR(TH!L731="1111",TH!M731="1111")),TH!D731,""),"")</f>
        <v/>
      </c>
      <c r="B731" s="36">
        <f>IF(C731&lt;&gt;"",MONTH(C731),"")</f>
        <v>5</v>
      </c>
      <c r="C731" s="183">
        <f>E731</f>
        <v>42150</v>
      </c>
      <c r="D731" s="190" t="s">
        <v>1324</v>
      </c>
      <c r="E731" s="727">
        <v>42150</v>
      </c>
      <c r="F731" s="191" t="s">
        <v>1917</v>
      </c>
      <c r="G731" s="482" t="s">
        <v>1907</v>
      </c>
      <c r="H731" s="192"/>
      <c r="I731" s="255"/>
      <c r="J731" s="255"/>
      <c r="K731" s="593">
        <v>50000</v>
      </c>
      <c r="L731" s="594" t="s">
        <v>83</v>
      </c>
      <c r="M731" s="594" t="s">
        <v>24</v>
      </c>
      <c r="N731" s="52" t="str">
        <f>IF(AND('331-CT'!$E$7=TH!H731,OR(L731="331",M731="331")),"331",IF(AND(OR(L731="131",M731="131"),H731='131-CT'!$E$7),"131",""))</f>
        <v/>
      </c>
      <c r="O731" s="86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>x</v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99"/>
    </row>
    <row r="732" spans="1:28" s="210" customFormat="1" ht="15.75" customHeight="1">
      <c r="A732" s="203" t="str">
        <f>IF(B732&lt;&gt;"",IF(AND(B732&gt;=_TM1,B732&lt;=_TM2,OR(TH!L732="1111",TH!M732="1111")),TH!D732,""),"")</f>
        <v/>
      </c>
      <c r="B732" s="36">
        <f>IF(C732&lt;&gt;"",MONTH(C732),"")</f>
        <v>5</v>
      </c>
      <c r="C732" s="183">
        <f>E732</f>
        <v>42150</v>
      </c>
      <c r="D732" s="190" t="s">
        <v>1324</v>
      </c>
      <c r="E732" s="727">
        <v>42150</v>
      </c>
      <c r="F732" s="191" t="s">
        <v>1918</v>
      </c>
      <c r="G732" s="482" t="s">
        <v>1907</v>
      </c>
      <c r="H732" s="192"/>
      <c r="I732" s="255"/>
      <c r="J732" s="255"/>
      <c r="K732" s="593">
        <v>5000</v>
      </c>
      <c r="L732" s="594" t="s">
        <v>9</v>
      </c>
      <c r="M732" s="594" t="s">
        <v>24</v>
      </c>
      <c r="N732" s="52" t="str">
        <f>IF(AND('331-CT'!$E$7=TH!H732,OR(L732="331",M732="331")),"331",IF(AND(OR(L732="131",M732="131"),H732='131-CT'!$E$7),"131",""))</f>
        <v/>
      </c>
      <c r="O732" s="86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99"/>
    </row>
    <row r="733" spans="1:28" s="210" customFormat="1" ht="15.75" customHeight="1">
      <c r="A733" s="203" t="str">
        <f>IF(B733&lt;&gt;"",IF(AND(B733&gt;=_TM1,B733&lt;=_TM2,OR(TH!L733="1111",TH!M733="1111")),TH!D733,""),"")</f>
        <v/>
      </c>
      <c r="B733" s="36">
        <f>IF(C733&lt;&gt;"",MONTH(C733),"")</f>
        <v>5</v>
      </c>
      <c r="C733" s="183">
        <f>E733</f>
        <v>42151</v>
      </c>
      <c r="D733" s="183" t="s">
        <v>1552</v>
      </c>
      <c r="E733" s="190">
        <v>42151</v>
      </c>
      <c r="F733" s="191" t="s">
        <v>685</v>
      </c>
      <c r="G733" s="482" t="s">
        <v>686</v>
      </c>
      <c r="H733" s="7" t="s">
        <v>1934</v>
      </c>
      <c r="I733" s="255">
        <v>300</v>
      </c>
      <c r="J733" s="255">
        <v>8882</v>
      </c>
      <c r="K733" s="593">
        <f>ROUND(I733*J733,0)</f>
        <v>2664600</v>
      </c>
      <c r="L733" s="594" t="s">
        <v>259</v>
      </c>
      <c r="M733" s="594" t="s">
        <v>174</v>
      </c>
      <c r="N733" s="52" t="str">
        <f>IF(AND('331-CT'!$E$7=TH!H733,OR(L733="331",M733="331")),"331",IF(AND(OR(L733="131",M733="131"),H733='131-CT'!$E$7),"131",""))</f>
        <v/>
      </c>
      <c r="O733" s="86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99"/>
      <c r="AB733" s="585"/>
    </row>
    <row r="734" spans="1:28" s="210" customFormat="1" ht="15.75" customHeight="1">
      <c r="A734" s="203" t="str">
        <f>IF(B734&lt;&gt;"",IF(AND(B734&gt;=_TM1,B734&lt;=_TM2,OR(TH!L734="1111",TH!M734="1111")),TH!D734,""),"")</f>
        <v/>
      </c>
      <c r="B734" s="36">
        <f>IF(C734&lt;&gt;"",MONTH(C734),"")</f>
        <v>5</v>
      </c>
      <c r="C734" s="183">
        <f>E734</f>
        <v>42151</v>
      </c>
      <c r="D734" s="183" t="s">
        <v>1552</v>
      </c>
      <c r="E734" s="190">
        <v>42151</v>
      </c>
      <c r="F734" s="191" t="s">
        <v>687</v>
      </c>
      <c r="G734" s="482" t="s">
        <v>686</v>
      </c>
      <c r="H734" s="7" t="s">
        <v>1934</v>
      </c>
      <c r="I734" s="255">
        <v>440</v>
      </c>
      <c r="J734" s="255">
        <v>11930</v>
      </c>
      <c r="K734" s="593">
        <f>ROUND(I734*J734,0)</f>
        <v>5249200</v>
      </c>
      <c r="L734" s="594" t="s">
        <v>259</v>
      </c>
      <c r="M734" s="594" t="s">
        <v>174</v>
      </c>
      <c r="N734" s="52" t="str">
        <f>IF(AND('331-CT'!$E$7=TH!H734,OR(L734="331",M734="331")),"331",IF(AND(OR(L734="131",M734="131"),H734='131-CT'!$E$7),"131",""))</f>
        <v/>
      </c>
      <c r="O734" s="86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99"/>
    </row>
    <row r="735" spans="1:28" s="210" customFormat="1" ht="15.75" customHeight="1">
      <c r="A735" s="203" t="str">
        <f>IF(B735&lt;&gt;"",IF(AND(B735&gt;=_TM1,B735&lt;=_TM2,OR(TH!L735="1111",TH!M735="1111")),TH!D735,""),"")</f>
        <v/>
      </c>
      <c r="B735" s="36">
        <f>IF(C735&lt;&gt;"",MONTH(C735),"")</f>
        <v>5</v>
      </c>
      <c r="C735" s="183">
        <f>E735</f>
        <v>42151</v>
      </c>
      <c r="D735" s="183" t="s">
        <v>1552</v>
      </c>
      <c r="E735" s="190">
        <v>42151</v>
      </c>
      <c r="F735" s="191" t="s">
        <v>688</v>
      </c>
      <c r="G735" s="482" t="s">
        <v>686</v>
      </c>
      <c r="H735" s="7" t="s">
        <v>1934</v>
      </c>
      <c r="I735" s="255">
        <v>200</v>
      </c>
      <c r="J735" s="255">
        <v>13368</v>
      </c>
      <c r="K735" s="593">
        <f>ROUND(I735*J735,0)</f>
        <v>2673600</v>
      </c>
      <c r="L735" s="594" t="s">
        <v>259</v>
      </c>
      <c r="M735" s="594" t="s">
        <v>174</v>
      </c>
      <c r="N735" s="52" t="str">
        <f>IF(AND('331-CT'!$E$7=TH!H735,OR(L735="331",M735="331")),"331",IF(AND(OR(L735="131",M735="131"),H735='131-CT'!$E$7),"131",""))</f>
        <v/>
      </c>
      <c r="O735" s="86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99"/>
    </row>
    <row r="736" spans="1:28" s="210" customFormat="1" ht="15.75" customHeight="1">
      <c r="A736" s="203" t="str">
        <f>IF(B736&lt;&gt;"",IF(AND(B736&gt;=_TM1,B736&lt;=_TM2,OR(TH!L736="1111",TH!M736="1111")),TH!D736,""),"")</f>
        <v/>
      </c>
      <c r="B736" s="36">
        <f>IF(C736&lt;&gt;"",MONTH(C736),"")</f>
        <v>5</v>
      </c>
      <c r="C736" s="183">
        <f>E736</f>
        <v>42151</v>
      </c>
      <c r="D736" s="183" t="s">
        <v>1552</v>
      </c>
      <c r="E736" s="190">
        <v>42151</v>
      </c>
      <c r="F736" s="191" t="s">
        <v>689</v>
      </c>
      <c r="G736" s="482" t="s">
        <v>686</v>
      </c>
      <c r="H736" s="7" t="s">
        <v>1934</v>
      </c>
      <c r="I736" s="255">
        <v>25</v>
      </c>
      <c r="J736" s="255">
        <v>11830</v>
      </c>
      <c r="K736" s="593">
        <f>ROUND(I736*J736,0)</f>
        <v>295750</v>
      </c>
      <c r="L736" s="594" t="s">
        <v>259</v>
      </c>
      <c r="M736" s="594" t="s">
        <v>174</v>
      </c>
      <c r="N736" s="52" t="str">
        <f>IF(AND('331-CT'!$E$7=TH!H736,OR(L736="331",M736="331")),"331",IF(AND(OR(L736="131",M736="131"),H736='131-CT'!$E$7),"131",""))</f>
        <v/>
      </c>
      <c r="O736" s="86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99"/>
    </row>
    <row r="737" spans="1:28" s="210" customFormat="1" ht="15.75" customHeight="1">
      <c r="A737" s="203" t="str">
        <f>IF(B737&lt;&gt;"",IF(AND(B737&gt;=_TM1,B737&lt;=_TM2,OR(TH!L737="1111",TH!M737="1111")),TH!D737,""),"")</f>
        <v/>
      </c>
      <c r="B737" s="36">
        <f>IF(C737&lt;&gt;"",MONTH(C737),"")</f>
        <v>5</v>
      </c>
      <c r="C737" s="183">
        <f>E737</f>
        <v>42151</v>
      </c>
      <c r="D737" s="183" t="s">
        <v>1552</v>
      </c>
      <c r="E737" s="190">
        <v>42151</v>
      </c>
      <c r="F737" s="191" t="s">
        <v>690</v>
      </c>
      <c r="G737" s="482" t="s">
        <v>686</v>
      </c>
      <c r="H737" s="7" t="s">
        <v>1934</v>
      </c>
      <c r="I737" s="255">
        <v>25</v>
      </c>
      <c r="J737" s="255">
        <v>18218</v>
      </c>
      <c r="K737" s="593">
        <f>ROUND(I737*J737,0)</f>
        <v>455450</v>
      </c>
      <c r="L737" s="594" t="s">
        <v>259</v>
      </c>
      <c r="M737" s="594" t="s">
        <v>174</v>
      </c>
      <c r="N737" s="52" t="str">
        <f>IF(AND('331-CT'!$E$7=TH!H737,OR(L737="331",M737="331")),"331",IF(AND(OR(L737="131",M737="131"),H737='131-CT'!$E$7),"131",""))</f>
        <v/>
      </c>
      <c r="O737" s="86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99"/>
    </row>
    <row r="738" spans="1:28" s="210" customFormat="1" ht="15.75" customHeight="1">
      <c r="A738" s="203" t="str">
        <f>IF(B738&lt;&gt;"",IF(AND(B738&gt;=_TM1,B738&lt;=_TM2,OR(TH!L738="1111",TH!M738="1111")),TH!D738,""),"")</f>
        <v/>
      </c>
      <c r="B738" s="36">
        <f>IF(C738&lt;&gt;"",MONTH(C738),"")</f>
        <v>5</v>
      </c>
      <c r="C738" s="183">
        <f>E738</f>
        <v>42151</v>
      </c>
      <c r="D738" s="183" t="s">
        <v>1552</v>
      </c>
      <c r="E738" s="190">
        <v>42151</v>
      </c>
      <c r="F738" s="191" t="s">
        <v>691</v>
      </c>
      <c r="G738" s="482" t="s">
        <v>686</v>
      </c>
      <c r="H738" s="7" t="s">
        <v>1934</v>
      </c>
      <c r="I738" s="255">
        <v>20</v>
      </c>
      <c r="J738" s="255">
        <v>10629</v>
      </c>
      <c r="K738" s="593">
        <f>ROUND(I738*J738,0)</f>
        <v>212580</v>
      </c>
      <c r="L738" s="594" t="s">
        <v>259</v>
      </c>
      <c r="M738" s="594" t="s">
        <v>174</v>
      </c>
      <c r="N738" s="52" t="str">
        <f>IF(AND('331-CT'!$E$7=TH!H738,OR(L738="331",M738="331")),"331",IF(AND(OR(L738="131",M738="131"),H738='131-CT'!$E$7),"131",""))</f>
        <v/>
      </c>
      <c r="O738" s="86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99"/>
      <c r="AB738" s="585"/>
    </row>
    <row r="739" spans="1:28" s="210" customFormat="1" ht="15.75" customHeight="1">
      <c r="A739" s="203" t="str">
        <f>IF(B739&lt;&gt;"",IF(AND(B739&gt;=_TM1,B739&lt;=_TM2,OR(TH!L739="1111",TH!M739="1111")),TH!D739,""),"")</f>
        <v/>
      </c>
      <c r="B739" s="36">
        <f>IF(C739&lt;&gt;"",MONTH(C739),"")</f>
        <v>5</v>
      </c>
      <c r="C739" s="183">
        <f>E739</f>
        <v>42151</v>
      </c>
      <c r="D739" s="183" t="s">
        <v>1552</v>
      </c>
      <c r="E739" s="190">
        <v>42151</v>
      </c>
      <c r="F739" s="191" t="s">
        <v>692</v>
      </c>
      <c r="G739" s="482" t="s">
        <v>686</v>
      </c>
      <c r="H739" s="7" t="s">
        <v>1934</v>
      </c>
      <c r="I739" s="255">
        <v>50</v>
      </c>
      <c r="J739" s="255">
        <v>16243</v>
      </c>
      <c r="K739" s="593">
        <f>ROUND(I739*J739,0)</f>
        <v>812150</v>
      </c>
      <c r="L739" s="594" t="s">
        <v>259</v>
      </c>
      <c r="M739" s="594" t="s">
        <v>174</v>
      </c>
      <c r="N739" s="52" t="str">
        <f>IF(AND('331-CT'!$E$7=TH!H739,OR(L739="331",M739="331")),"331",IF(AND(OR(L739="131",M739="131"),H739='131-CT'!$E$7),"131",""))</f>
        <v/>
      </c>
      <c r="O739" s="86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99"/>
      <c r="AB739" s="585"/>
    </row>
    <row r="740" spans="1:28" s="210" customFormat="1" ht="15.75" customHeight="1">
      <c r="A740" s="203" t="str">
        <f>IF(B740&lt;&gt;"",IF(AND(B740&gt;=_TM1,B740&lt;=_TM2,OR(TH!L740="1111",TH!M740="1111")),TH!D740,""),"")</f>
        <v/>
      </c>
      <c r="B740" s="36">
        <f>IF(C740&lt;&gt;"",MONTH(C740),"")</f>
        <v>5</v>
      </c>
      <c r="C740" s="183">
        <f>E740</f>
        <v>42151</v>
      </c>
      <c r="D740" s="183" t="s">
        <v>1552</v>
      </c>
      <c r="E740" s="190">
        <v>42151</v>
      </c>
      <c r="F740" s="191" t="s">
        <v>693</v>
      </c>
      <c r="G740" s="482" t="s">
        <v>686</v>
      </c>
      <c r="H740" s="7" t="s">
        <v>1934</v>
      </c>
      <c r="I740" s="255">
        <v>25</v>
      </c>
      <c r="J740" s="255">
        <v>13759</v>
      </c>
      <c r="K740" s="593">
        <f>ROUND(I740*J740,0)</f>
        <v>343975</v>
      </c>
      <c r="L740" s="594" t="s">
        <v>259</v>
      </c>
      <c r="M740" s="594" t="s">
        <v>174</v>
      </c>
      <c r="N740" s="52" t="str">
        <f>IF(AND('331-CT'!$E$7=TH!H740,OR(L740="331",M740="331")),"331",IF(AND(OR(L740="131",M740="131"),H740='131-CT'!$E$7),"131",""))</f>
        <v/>
      </c>
      <c r="O740" s="86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99"/>
      <c r="AB740" s="585"/>
    </row>
    <row r="741" spans="1:28" s="210" customFormat="1" ht="15.75" customHeight="1">
      <c r="A741" s="203" t="str">
        <f>IF(B741&lt;&gt;"",IF(AND(B741&gt;=_TM1,B741&lt;=_TM2,OR(TH!L741="1111",TH!M741="1111")),TH!D741,""),"")</f>
        <v/>
      </c>
      <c r="B741" s="36">
        <f>IF(C741&lt;&gt;"",MONTH(C741),"")</f>
        <v>5</v>
      </c>
      <c r="C741" s="183">
        <f>E741</f>
        <v>42151</v>
      </c>
      <c r="D741" s="183" t="s">
        <v>1552</v>
      </c>
      <c r="E741" s="190">
        <v>42151</v>
      </c>
      <c r="F741" s="191" t="s">
        <v>694</v>
      </c>
      <c r="G741" s="482" t="s">
        <v>686</v>
      </c>
      <c r="H741" s="7" t="s">
        <v>1934</v>
      </c>
      <c r="I741" s="255">
        <v>25</v>
      </c>
      <c r="J741" s="255">
        <v>13377</v>
      </c>
      <c r="K741" s="593">
        <f>ROUND(I741*J741,0)</f>
        <v>334425</v>
      </c>
      <c r="L741" s="594" t="s">
        <v>259</v>
      </c>
      <c r="M741" s="594" t="s">
        <v>174</v>
      </c>
      <c r="N741" s="52" t="str">
        <f>IF(AND('331-CT'!$E$7=TH!H741,OR(L741="331",M741="331")),"331",IF(AND(OR(L741="131",M741="131"),H741='131-CT'!$E$7),"131",""))</f>
        <v/>
      </c>
      <c r="O741" s="86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99"/>
      <c r="AB741" s="585"/>
    </row>
    <row r="742" spans="1:28" s="210" customFormat="1" ht="15.75" customHeight="1">
      <c r="A742" s="203" t="str">
        <f>IF(B742&lt;&gt;"",IF(AND(B742&gt;=_TM1,B742&lt;=_TM2,OR(TH!L742="1111",TH!M742="1111")),TH!D742,""),"")</f>
        <v/>
      </c>
      <c r="B742" s="36">
        <f>IF(C742&lt;&gt;"",MONTH(C742),"")</f>
        <v>5</v>
      </c>
      <c r="C742" s="183">
        <f>E742</f>
        <v>42151</v>
      </c>
      <c r="D742" s="183" t="s">
        <v>1552</v>
      </c>
      <c r="E742" s="190">
        <v>42151</v>
      </c>
      <c r="F742" s="191" t="s">
        <v>695</v>
      </c>
      <c r="G742" s="482" t="s">
        <v>686</v>
      </c>
      <c r="H742" s="7" t="s">
        <v>1934</v>
      </c>
      <c r="I742" s="255">
        <v>40</v>
      </c>
      <c r="J742" s="255">
        <v>15523</v>
      </c>
      <c r="K742" s="593">
        <f>ROUND(I742*J742,0)</f>
        <v>620920</v>
      </c>
      <c r="L742" s="594" t="s">
        <v>259</v>
      </c>
      <c r="M742" s="594" t="s">
        <v>174</v>
      </c>
      <c r="N742" s="52" t="str">
        <f>IF(AND('331-CT'!$E$7=TH!H742,OR(L742="331",M742="331")),"331",IF(AND(OR(L742="131",M742="131"),H742='131-CT'!$E$7),"131",""))</f>
        <v/>
      </c>
      <c r="O742" s="86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99"/>
      <c r="AB742" s="585"/>
    </row>
    <row r="743" spans="1:28" s="210" customFormat="1" ht="15.75" customHeight="1">
      <c r="A743" s="203" t="str">
        <f>IF(B743&lt;&gt;"",IF(AND(B743&gt;=_TM1,B743&lt;=_TM2,OR(TH!L743="1111",TH!M743="1111")),TH!D743,""),"")</f>
        <v/>
      </c>
      <c r="B743" s="36">
        <f>IF(C743&lt;&gt;"",MONTH(C743),"")</f>
        <v>5</v>
      </c>
      <c r="C743" s="183">
        <f>E743</f>
        <v>42151</v>
      </c>
      <c r="D743" s="183" t="s">
        <v>1552</v>
      </c>
      <c r="E743" s="190">
        <v>42151</v>
      </c>
      <c r="F743" s="191" t="s">
        <v>574</v>
      </c>
      <c r="G743" s="482" t="s">
        <v>686</v>
      </c>
      <c r="H743" s="7" t="s">
        <v>1934</v>
      </c>
      <c r="I743" s="255"/>
      <c r="J743" s="255"/>
      <c r="K743" s="593">
        <v>1366265</v>
      </c>
      <c r="L743" s="594" t="s">
        <v>259</v>
      </c>
      <c r="M743" s="594" t="s">
        <v>371</v>
      </c>
      <c r="N743" s="52" t="str">
        <f>IF(AND('331-CT'!$E$7=TH!H743,OR(L743="331",M743="331")),"331",IF(AND(OR(L743="131",M743="131"),H743='131-CT'!$E$7),"131",""))</f>
        <v/>
      </c>
      <c r="O743" s="86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99"/>
      <c r="AB743" s="585"/>
    </row>
    <row r="744" spans="1:28" s="210" customFormat="1" ht="15.75" customHeight="1">
      <c r="A744" s="203" t="str">
        <f>IF(B744&lt;&gt;"",IF(AND(B744&gt;=_TM1,B744&lt;=_TM2,OR(TH!L744="1111",TH!M744="1111")),TH!D744,""),"")</f>
        <v/>
      </c>
      <c r="B744" s="36">
        <f>IF(C744&lt;&gt;"",MONTH(C744),"")</f>
        <v>5</v>
      </c>
      <c r="C744" s="183">
        <f>E744</f>
        <v>42151</v>
      </c>
      <c r="D744" s="183" t="s">
        <v>1552</v>
      </c>
      <c r="E744" s="190">
        <v>42151</v>
      </c>
      <c r="F744" s="191" t="s">
        <v>1320</v>
      </c>
      <c r="G744" s="482" t="s">
        <v>2054</v>
      </c>
      <c r="H744" s="7" t="s">
        <v>1934</v>
      </c>
      <c r="I744" s="255"/>
      <c r="J744" s="255"/>
      <c r="K744" s="593">
        <f>19382818+15028915</f>
        <v>34411733</v>
      </c>
      <c r="L744" s="594" t="s">
        <v>47</v>
      </c>
      <c r="M744" s="594" t="s">
        <v>259</v>
      </c>
      <c r="N744" s="52" t="str">
        <f>IF(AND('331-CT'!$E$7=TH!H744,OR(L744="331",M744="331")),"331",IF(AND(OR(L744="131",M744="131"),H744='131-CT'!$E$7),"131",""))</f>
        <v/>
      </c>
      <c r="O744" s="869" t="str">
        <f>IF(AND('341-CT'!$E$9=H744,OR(LEFT(L744,3)=$O$7,LEFT(M744,3)=$O$7)),"x","")</f>
        <v/>
      </c>
      <c r="P744" s="52" t="str">
        <f>IF(AND($B744&gt;='111'!$N$11,$B744&lt;='111'!$O$11,OR($L744=$P$7,$M744=$P$7)),"x","")</f>
        <v>x</v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99"/>
      <c r="AB744" s="585"/>
    </row>
    <row r="745" spans="1:28" s="210" customFormat="1" ht="15.75" customHeight="1">
      <c r="A745" s="203" t="str">
        <f>IF(B745&lt;&gt;"",IF(AND(B745&gt;=_TM1,B745&lt;=_TM2,OR(TH!L745="1111",TH!M745="1111")),TH!D745,""),"")</f>
        <v/>
      </c>
      <c r="B745" s="36">
        <f>IF(C745&lt;&gt;"",MONTH(C745),"")</f>
        <v>5</v>
      </c>
      <c r="C745" s="183">
        <f>E745</f>
        <v>42151</v>
      </c>
      <c r="D745" s="183" t="s">
        <v>1553</v>
      </c>
      <c r="E745" s="190">
        <v>42151</v>
      </c>
      <c r="F745" s="191" t="s">
        <v>696</v>
      </c>
      <c r="G745" s="482" t="s">
        <v>697</v>
      </c>
      <c r="H745" s="7" t="s">
        <v>528</v>
      </c>
      <c r="I745" s="255">
        <v>1112</v>
      </c>
      <c r="J745" s="255">
        <v>11785</v>
      </c>
      <c r="K745" s="593">
        <f>ROUND(I745*J745,0)</f>
        <v>13104920</v>
      </c>
      <c r="L745" s="594" t="s">
        <v>259</v>
      </c>
      <c r="M745" s="594" t="s">
        <v>174</v>
      </c>
      <c r="N745" s="52" t="str">
        <f>IF(AND('331-CT'!$E$7=TH!H745,OR(L745="331",M745="331")),"331",IF(AND(OR(L745="131",M745="131"),H745='131-CT'!$E$7),"131",""))</f>
        <v/>
      </c>
      <c r="O745" s="86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99"/>
      <c r="AB745" s="585"/>
    </row>
    <row r="746" spans="1:28" s="210" customFormat="1" ht="15.75" customHeight="1">
      <c r="A746" s="203" t="str">
        <f>IF(B746&lt;&gt;"",IF(AND(B746&gt;=_TM1,B746&lt;=_TM2,OR(TH!L746="1111",TH!M746="1111")),TH!D746,""),"")</f>
        <v/>
      </c>
      <c r="B746" s="36">
        <f>IF(C746&lt;&gt;"",MONTH(C746),"")</f>
        <v>5</v>
      </c>
      <c r="C746" s="183">
        <f>E746</f>
        <v>42151</v>
      </c>
      <c r="D746" s="183" t="s">
        <v>1553</v>
      </c>
      <c r="E746" s="190">
        <v>42151</v>
      </c>
      <c r="F746" s="191" t="s">
        <v>574</v>
      </c>
      <c r="G746" s="482" t="s">
        <v>697</v>
      </c>
      <c r="H746" s="7" t="s">
        <v>528</v>
      </c>
      <c r="I746" s="255"/>
      <c r="J746" s="255"/>
      <c r="K746" s="593">
        <v>1310492</v>
      </c>
      <c r="L746" s="594" t="s">
        <v>259</v>
      </c>
      <c r="M746" s="594" t="s">
        <v>371</v>
      </c>
      <c r="N746" s="52" t="str">
        <f>IF(AND('331-CT'!$E$7=TH!H746,OR(L746="331",M746="331")),"331",IF(AND(OR(L746="131",M746="131"),H746='131-CT'!$E$7),"131",""))</f>
        <v/>
      </c>
      <c r="O746" s="86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99"/>
      <c r="AB746" s="585"/>
    </row>
    <row r="747" spans="1:28" s="210" customFormat="1" ht="15.75" customHeight="1">
      <c r="A747" s="203" t="str">
        <f>IF(B747&lt;&gt;"",IF(AND(B747&gt;=_TM1,B747&lt;=_TM2,OR(TH!L747="1111",TH!M747="1111")),TH!D747,""),"")</f>
        <v/>
      </c>
      <c r="B747" s="36">
        <f>IF(C747&lt;&gt;"",MONTH(C747),"")</f>
        <v>5</v>
      </c>
      <c r="C747" s="183">
        <f>E747</f>
        <v>42151</v>
      </c>
      <c r="D747" s="183" t="s">
        <v>1554</v>
      </c>
      <c r="E747" s="190">
        <v>42151</v>
      </c>
      <c r="F747" s="191" t="s">
        <v>698</v>
      </c>
      <c r="G747" s="482" t="s">
        <v>699</v>
      </c>
      <c r="H747" s="7" t="s">
        <v>633</v>
      </c>
      <c r="I747" s="255">
        <v>331</v>
      </c>
      <c r="J747" s="255">
        <v>7170</v>
      </c>
      <c r="K747" s="593">
        <f>ROUND(I747*J747,0)</f>
        <v>2373270</v>
      </c>
      <c r="L747" s="594" t="s">
        <v>259</v>
      </c>
      <c r="M747" s="594" t="s">
        <v>174</v>
      </c>
      <c r="N747" s="52" t="str">
        <f>IF(AND('331-CT'!$E$7=TH!H747,OR(L747="331",M747="331")),"331",IF(AND(OR(L747="131",M747="131"),H747='131-CT'!$E$7),"131",""))</f>
        <v/>
      </c>
      <c r="O747" s="86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99"/>
      <c r="AB747" s="585"/>
    </row>
    <row r="748" spans="1:28" s="210" customFormat="1" ht="15.75" customHeight="1">
      <c r="A748" s="203" t="str">
        <f>IF(B748&lt;&gt;"",IF(AND(B748&gt;=_TM1,B748&lt;=_TM2,OR(TH!L748="1111",TH!M748="1111")),TH!D748,""),"")</f>
        <v/>
      </c>
      <c r="B748" s="36">
        <f>IF(C748&lt;&gt;"",MONTH(C748),"")</f>
        <v>5</v>
      </c>
      <c r="C748" s="183">
        <f>E748</f>
        <v>42151</v>
      </c>
      <c r="D748" s="183" t="s">
        <v>1554</v>
      </c>
      <c r="E748" s="190">
        <v>42151</v>
      </c>
      <c r="F748" s="191" t="s">
        <v>700</v>
      </c>
      <c r="G748" s="482" t="s">
        <v>699</v>
      </c>
      <c r="H748" s="7" t="s">
        <v>633</v>
      </c>
      <c r="I748" s="255">
        <v>308</v>
      </c>
      <c r="J748" s="255">
        <v>6720</v>
      </c>
      <c r="K748" s="593">
        <f>ROUND(I748*J748,0)</f>
        <v>2069760</v>
      </c>
      <c r="L748" s="594" t="s">
        <v>259</v>
      </c>
      <c r="M748" s="594" t="s">
        <v>174</v>
      </c>
      <c r="N748" s="52" t="str">
        <f>IF(AND('331-CT'!$E$7=TH!H748,OR(L748="331",M748="331")),"331",IF(AND(OR(L748="131",M748="131"),H748='131-CT'!$E$7),"131",""))</f>
        <v/>
      </c>
      <c r="O748" s="86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99"/>
      <c r="AB748" s="585"/>
    </row>
    <row r="749" spans="1:28" s="210" customFormat="1" ht="15.75" customHeight="1">
      <c r="A749" s="203" t="str">
        <f>IF(B749&lt;&gt;"",IF(AND(B749&gt;=_TM1,B749&lt;=_TM2,OR(TH!L749="1111",TH!M749="1111")),TH!D749,""),"")</f>
        <v/>
      </c>
      <c r="B749" s="36">
        <f>IF(C749&lt;&gt;"",MONTH(C749),"")</f>
        <v>5</v>
      </c>
      <c r="C749" s="183">
        <f>E749</f>
        <v>42151</v>
      </c>
      <c r="D749" s="183" t="s">
        <v>1554</v>
      </c>
      <c r="E749" s="190">
        <v>42151</v>
      </c>
      <c r="F749" s="191" t="s">
        <v>701</v>
      </c>
      <c r="G749" s="482" t="s">
        <v>699</v>
      </c>
      <c r="H749" s="7" t="s">
        <v>633</v>
      </c>
      <c r="I749" s="255">
        <v>312</v>
      </c>
      <c r="J749" s="255">
        <v>6690</v>
      </c>
      <c r="K749" s="593">
        <f>ROUND(I749*J749,0)</f>
        <v>2087280</v>
      </c>
      <c r="L749" s="594" t="s">
        <v>259</v>
      </c>
      <c r="M749" s="594" t="s">
        <v>174</v>
      </c>
      <c r="N749" s="52" t="str">
        <f>IF(AND('331-CT'!$E$7=TH!H749,OR(L749="331",M749="331")),"331",IF(AND(OR(L749="131",M749="131"),H749='131-CT'!$E$7),"131",""))</f>
        <v/>
      </c>
      <c r="O749" s="86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99"/>
      <c r="AB749" s="585"/>
    </row>
    <row r="750" spans="1:28" s="210" customFormat="1" ht="15.75" customHeight="1">
      <c r="A750" s="203" t="str">
        <f>IF(B750&lt;&gt;"",IF(AND(B750&gt;=_TM1,B750&lt;=_TM2,OR(TH!L750="1111",TH!M750="1111")),TH!D750,""),"")</f>
        <v/>
      </c>
      <c r="B750" s="36">
        <f>IF(C750&lt;&gt;"",MONTH(C750),"")</f>
        <v>5</v>
      </c>
      <c r="C750" s="183">
        <f>E750</f>
        <v>42151</v>
      </c>
      <c r="D750" s="183" t="s">
        <v>1554</v>
      </c>
      <c r="E750" s="190">
        <v>42151</v>
      </c>
      <c r="F750" s="191" t="s">
        <v>702</v>
      </c>
      <c r="G750" s="482" t="s">
        <v>699</v>
      </c>
      <c r="H750" s="7" t="s">
        <v>633</v>
      </c>
      <c r="I750" s="255">
        <v>313</v>
      </c>
      <c r="J750" s="255">
        <v>6800</v>
      </c>
      <c r="K750" s="593">
        <f>ROUND(I750*J750,0)</f>
        <v>2128400</v>
      </c>
      <c r="L750" s="594" t="s">
        <v>259</v>
      </c>
      <c r="M750" s="594" t="s">
        <v>174</v>
      </c>
      <c r="N750" s="52" t="str">
        <f>IF(AND('331-CT'!$E$7=TH!H750,OR(L750="331",M750="331")),"331",IF(AND(OR(L750="131",M750="131"),H750='131-CT'!$E$7),"131",""))</f>
        <v/>
      </c>
      <c r="O750" s="86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99"/>
      <c r="AB750" s="585"/>
    </row>
    <row r="751" spans="1:28" s="210" customFormat="1" ht="15.75" customHeight="1">
      <c r="A751" s="203" t="str">
        <f>IF(B751&lt;&gt;"",IF(AND(B751&gt;=_TM1,B751&lt;=_TM2,OR(TH!L751="1111",TH!M751="1111")),TH!D751,""),"")</f>
        <v/>
      </c>
      <c r="B751" s="36">
        <f>IF(C751&lt;&gt;"",MONTH(C751),"")</f>
        <v>5</v>
      </c>
      <c r="C751" s="183">
        <f>E751</f>
        <v>42151</v>
      </c>
      <c r="D751" s="183" t="s">
        <v>1554</v>
      </c>
      <c r="E751" s="190">
        <v>42151</v>
      </c>
      <c r="F751" s="191" t="s">
        <v>703</v>
      </c>
      <c r="G751" s="482" t="s">
        <v>699</v>
      </c>
      <c r="H751" s="7" t="s">
        <v>633</v>
      </c>
      <c r="I751" s="255">
        <v>507</v>
      </c>
      <c r="J751" s="255">
        <v>5400</v>
      </c>
      <c r="K751" s="593">
        <f>ROUND(I751*J751,0)</f>
        <v>2737800</v>
      </c>
      <c r="L751" s="594" t="s">
        <v>259</v>
      </c>
      <c r="M751" s="594" t="s">
        <v>174</v>
      </c>
      <c r="N751" s="52" t="str">
        <f>IF(AND('331-CT'!$E$7=TH!H751,OR(L751="331",M751="331")),"331",IF(AND(OR(L751="131",M751="131"),H751='131-CT'!$E$7),"131",""))</f>
        <v/>
      </c>
      <c r="O751" s="86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99"/>
      <c r="AB751" s="585"/>
    </row>
    <row r="752" spans="1:28" s="210" customFormat="1" ht="15.75" customHeight="1">
      <c r="A752" s="203" t="str">
        <f>IF(B752&lt;&gt;"",IF(AND(B752&gt;=_TM1,B752&lt;=_TM2,OR(TH!L752="1111",TH!M752="1111")),TH!D752,""),"")</f>
        <v/>
      </c>
      <c r="B752" s="36">
        <f>IF(C752&lt;&gt;"",MONTH(C752),"")</f>
        <v>5</v>
      </c>
      <c r="C752" s="183">
        <f>E752</f>
        <v>42151</v>
      </c>
      <c r="D752" s="183" t="s">
        <v>1554</v>
      </c>
      <c r="E752" s="190">
        <v>42151</v>
      </c>
      <c r="F752" s="191" t="s">
        <v>402</v>
      </c>
      <c r="G752" s="482" t="s">
        <v>699</v>
      </c>
      <c r="H752" s="7" t="s">
        <v>633</v>
      </c>
      <c r="I752" s="255"/>
      <c r="J752" s="255"/>
      <c r="K752" s="593">
        <v>1139651</v>
      </c>
      <c r="L752" s="594" t="s">
        <v>259</v>
      </c>
      <c r="M752" s="594" t="s">
        <v>371</v>
      </c>
      <c r="N752" s="52" t="str">
        <f>IF(AND('331-CT'!$E$7=TH!H752,OR(L752="331",M752="331")),"331",IF(AND(OR(L752="131",M752="131"),H752='131-CT'!$E$7),"131",""))</f>
        <v/>
      </c>
      <c r="O752" s="86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99"/>
      <c r="AB752" s="585"/>
    </row>
    <row r="753" spans="1:28" s="210" customFormat="1" ht="15.75" customHeight="1">
      <c r="A753" s="203" t="str">
        <f>IF(B753&lt;&gt;"",IF(AND(B753&gt;=_TM1,B753&lt;=_TM2,OR(TH!L753="1111",TH!M753="1111")),TH!D753,""),"")</f>
        <v/>
      </c>
      <c r="B753" s="36">
        <f>IF(C753&lt;&gt;"",MONTH(C753),"")</f>
        <v>5</v>
      </c>
      <c r="C753" s="183">
        <f>E753</f>
        <v>42151</v>
      </c>
      <c r="D753" s="183" t="s">
        <v>1554</v>
      </c>
      <c r="E753" s="190">
        <v>42151</v>
      </c>
      <c r="F753" s="191" t="s">
        <v>1320</v>
      </c>
      <c r="G753" s="482" t="s">
        <v>2032</v>
      </c>
      <c r="H753" s="7" t="s">
        <v>633</v>
      </c>
      <c r="I753" s="255"/>
      <c r="J753" s="255"/>
      <c r="K753" s="593">
        <f>15075467+12536161</f>
        <v>27611628</v>
      </c>
      <c r="L753" s="594" t="s">
        <v>47</v>
      </c>
      <c r="M753" s="594" t="s">
        <v>259</v>
      </c>
      <c r="N753" s="52" t="str">
        <f>IF(AND('331-CT'!$E$7=TH!H753,OR(L753="331",M753="331")),"331",IF(AND(OR(L753="131",M753="131"),H753='131-CT'!$E$7),"131",""))</f>
        <v/>
      </c>
      <c r="O753" s="869" t="str">
        <f>IF(AND('341-CT'!$E$9=H753,OR(LEFT(L753,3)=$O$7,LEFT(M753,3)=$O$7)),"x","")</f>
        <v/>
      </c>
      <c r="P753" s="52" t="str">
        <f>IF(AND($B753&gt;='111'!$N$11,$B753&lt;='111'!$O$11,OR($L753=$P$7,$M753=$P$7)),"x","")</f>
        <v>x</v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99"/>
      <c r="AB753" s="585"/>
    </row>
    <row r="754" spans="1:28" s="210" customFormat="1" ht="15.75" customHeight="1">
      <c r="A754" s="203" t="str">
        <f>IF(B754&lt;&gt;"",IF(AND(B754&gt;=_TM1,B754&lt;=_TM2,OR(TH!L754="1111",TH!M754="1111")),TH!D754,""),"")</f>
        <v/>
      </c>
      <c r="B754" s="36">
        <f>IF(C754&lt;&gt;"",MONTH(C754),"")</f>
        <v>5</v>
      </c>
      <c r="C754" s="183">
        <f>E754</f>
        <v>42151</v>
      </c>
      <c r="D754" s="183" t="s">
        <v>1555</v>
      </c>
      <c r="E754" s="190">
        <v>42151</v>
      </c>
      <c r="F754" s="191" t="s">
        <v>451</v>
      </c>
      <c r="G754" s="482" t="s">
        <v>704</v>
      </c>
      <c r="H754" s="7" t="s">
        <v>453</v>
      </c>
      <c r="I754" s="255">
        <v>338</v>
      </c>
      <c r="J754" s="255">
        <v>12900</v>
      </c>
      <c r="K754" s="593">
        <f>ROUND(I754*J754,0)</f>
        <v>4360200</v>
      </c>
      <c r="L754" s="594" t="s">
        <v>259</v>
      </c>
      <c r="M754" s="594" t="s">
        <v>174</v>
      </c>
      <c r="N754" s="52" t="str">
        <f>IF(AND('331-CT'!$E$7=TH!H754,OR(L754="331",M754="331")),"331",IF(AND(OR(L754="131",M754="131"),H754='131-CT'!$E$7),"131",""))</f>
        <v/>
      </c>
      <c r="O754" s="86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99"/>
      <c r="AB754" s="585"/>
    </row>
    <row r="755" spans="1:28" s="210" customFormat="1" ht="15.75" customHeight="1">
      <c r="A755" s="203" t="str">
        <f>IF(B755&lt;&gt;"",IF(AND(B755&gt;=_TM1,B755&lt;=_TM2,OR(TH!L755="1111",TH!M755="1111")),TH!D755,""),"")</f>
        <v/>
      </c>
      <c r="B755" s="36">
        <f>IF(C755&lt;&gt;"",MONTH(C755),"")</f>
        <v>5</v>
      </c>
      <c r="C755" s="183">
        <f>E755</f>
        <v>42151</v>
      </c>
      <c r="D755" s="183" t="s">
        <v>1555</v>
      </c>
      <c r="E755" s="190">
        <v>42151</v>
      </c>
      <c r="F755" s="191" t="s">
        <v>595</v>
      </c>
      <c r="G755" s="482" t="s">
        <v>704</v>
      </c>
      <c r="H755" s="7" t="s">
        <v>453</v>
      </c>
      <c r="I755" s="255">
        <v>210</v>
      </c>
      <c r="J755" s="255">
        <v>6400</v>
      </c>
      <c r="K755" s="593">
        <f>ROUND(I755*J755,0)</f>
        <v>1344000</v>
      </c>
      <c r="L755" s="594" t="s">
        <v>259</v>
      </c>
      <c r="M755" s="594" t="s">
        <v>174</v>
      </c>
      <c r="N755" s="52" t="str">
        <f>IF(AND('331-CT'!$E$7=TH!H755,OR(L755="331",M755="331")),"331",IF(AND(OR(L755="131",M755="131"),H755='131-CT'!$E$7),"131",""))</f>
        <v/>
      </c>
      <c r="O755" s="86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99"/>
      <c r="AB755" s="585"/>
    </row>
    <row r="756" spans="1:28" s="210" customFormat="1" ht="15.75" customHeight="1">
      <c r="A756" s="203" t="str">
        <f>IF(B756&lt;&gt;"",IF(AND(B756&gt;=_TM1,B756&lt;=_TM2,OR(TH!L756="1111",TH!M756="1111")),TH!D756,""),"")</f>
        <v/>
      </c>
      <c r="B756" s="36">
        <f>IF(C756&lt;&gt;"",MONTH(C756),"")</f>
        <v>5</v>
      </c>
      <c r="C756" s="183">
        <f>E756</f>
        <v>42151</v>
      </c>
      <c r="D756" s="183" t="s">
        <v>1555</v>
      </c>
      <c r="E756" s="190">
        <v>42151</v>
      </c>
      <c r="F756" s="191" t="s">
        <v>539</v>
      </c>
      <c r="G756" s="482" t="s">
        <v>704</v>
      </c>
      <c r="H756" s="7" t="s">
        <v>453</v>
      </c>
      <c r="I756" s="255">
        <v>213</v>
      </c>
      <c r="J756" s="255">
        <v>9400</v>
      </c>
      <c r="K756" s="593">
        <f>ROUND(I756*J756,0)</f>
        <v>2002200</v>
      </c>
      <c r="L756" s="594" t="s">
        <v>259</v>
      </c>
      <c r="M756" s="594" t="s">
        <v>174</v>
      </c>
      <c r="N756" s="52" t="str">
        <f>IF(AND('331-CT'!$E$7=TH!H756,OR(L756="331",M756="331")),"331",IF(AND(OR(L756="131",M756="131"),H756='131-CT'!$E$7),"131",""))</f>
        <v/>
      </c>
      <c r="O756" s="86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99"/>
      <c r="AB756" s="585"/>
    </row>
    <row r="757" spans="1:28" s="210" customFormat="1" ht="15.75" customHeight="1">
      <c r="A757" s="203" t="str">
        <f>IF(B757&lt;&gt;"",IF(AND(B757&gt;=_TM1,B757&lt;=_TM2,OR(TH!L757="1111",TH!M757="1111")),TH!D757,""),"")</f>
        <v/>
      </c>
      <c r="B757" s="36">
        <f>IF(C757&lt;&gt;"",MONTH(C757),"")</f>
        <v>5</v>
      </c>
      <c r="C757" s="183">
        <f>E757</f>
        <v>42151</v>
      </c>
      <c r="D757" s="183" t="s">
        <v>1555</v>
      </c>
      <c r="E757" s="190">
        <v>42151</v>
      </c>
      <c r="F757" s="191" t="s">
        <v>538</v>
      </c>
      <c r="G757" s="482" t="s">
        <v>704</v>
      </c>
      <c r="H757" s="7" t="s">
        <v>453</v>
      </c>
      <c r="I757" s="255">
        <v>300</v>
      </c>
      <c r="J757" s="255">
        <v>9300</v>
      </c>
      <c r="K757" s="593">
        <f>ROUND(I757*J757,0)</f>
        <v>2790000</v>
      </c>
      <c r="L757" s="594" t="s">
        <v>259</v>
      </c>
      <c r="M757" s="594" t="s">
        <v>174</v>
      </c>
      <c r="N757" s="52" t="str">
        <f>IF(AND('331-CT'!$E$7=TH!H757,OR(L757="331",M757="331")),"331",IF(AND(OR(L757="131",M757="131"),H757='131-CT'!$E$7),"131",""))</f>
        <v/>
      </c>
      <c r="O757" s="86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99"/>
      <c r="AB757" s="585"/>
    </row>
    <row r="758" spans="1:28" s="210" customFormat="1" ht="15.75" customHeight="1">
      <c r="A758" s="203" t="str">
        <f>IF(B758&lt;&gt;"",IF(AND(B758&gt;=_TM1,B758&lt;=_TM2,OR(TH!L758="1111",TH!M758="1111")),TH!D758,""),"")</f>
        <v/>
      </c>
      <c r="B758" s="36">
        <f>IF(C758&lt;&gt;"",MONTH(C758),"")</f>
        <v>5</v>
      </c>
      <c r="C758" s="183">
        <f>E758</f>
        <v>42151</v>
      </c>
      <c r="D758" s="183" t="s">
        <v>1555</v>
      </c>
      <c r="E758" s="190">
        <v>42151</v>
      </c>
      <c r="F758" s="191" t="s">
        <v>402</v>
      </c>
      <c r="G758" s="482" t="s">
        <v>704</v>
      </c>
      <c r="H758" s="7" t="s">
        <v>453</v>
      </c>
      <c r="I758" s="255"/>
      <c r="J758" s="255"/>
      <c r="K758" s="593">
        <v>1049640</v>
      </c>
      <c r="L758" s="594" t="s">
        <v>259</v>
      </c>
      <c r="M758" s="594" t="s">
        <v>371</v>
      </c>
      <c r="N758" s="52" t="str">
        <f>IF(AND('331-CT'!$E$7=TH!H758,OR(L758="331",M758="331")),"331",IF(AND(OR(L758="131",M758="131"),H758='131-CT'!$E$7),"131",""))</f>
        <v/>
      </c>
      <c r="O758" s="86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99"/>
      <c r="AB758" s="585"/>
    </row>
    <row r="759" spans="1:28" s="210" customFormat="1" ht="15.75" customHeight="1">
      <c r="A759" s="203" t="str">
        <f>IF(B759&lt;&gt;"",IF(AND(B759&gt;=_TM1,B759&lt;=_TM2,OR(TH!L759="1111",TH!M759="1111")),TH!D759,""),"")</f>
        <v/>
      </c>
      <c r="B759" s="36">
        <f>IF(C759&lt;&gt;"",MONTH(C759),"")</f>
        <v>5</v>
      </c>
      <c r="C759" s="183">
        <f>E759</f>
        <v>42151</v>
      </c>
      <c r="D759" s="183" t="s">
        <v>1556</v>
      </c>
      <c r="E759" s="190">
        <v>42151</v>
      </c>
      <c r="F759" s="191" t="s">
        <v>705</v>
      </c>
      <c r="G759" s="482" t="s">
        <v>706</v>
      </c>
      <c r="H759" s="7" t="s">
        <v>707</v>
      </c>
      <c r="I759" s="255">
        <v>204</v>
      </c>
      <c r="J759" s="255">
        <v>14550</v>
      </c>
      <c r="K759" s="593">
        <f>ROUND(I759*J759,0)</f>
        <v>2968200</v>
      </c>
      <c r="L759" s="594" t="s">
        <v>259</v>
      </c>
      <c r="M759" s="594" t="s">
        <v>174</v>
      </c>
      <c r="N759" s="52" t="str">
        <f>IF(AND('331-CT'!$E$7=TH!H759,OR(L759="331",M759="331")),"331",IF(AND(OR(L759="131",M759="131"),H759='131-CT'!$E$7),"131",""))</f>
        <v/>
      </c>
      <c r="O759" s="86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99"/>
      <c r="AB759" s="585"/>
    </row>
    <row r="760" spans="1:28" s="210" customFormat="1" ht="15.75" customHeight="1">
      <c r="A760" s="203" t="str">
        <f>IF(B760&lt;&gt;"",IF(AND(B760&gt;=_TM1,B760&lt;=_TM2,OR(TH!L760="1111",TH!M760="1111")),TH!D760,""),"")</f>
        <v/>
      </c>
      <c r="B760" s="36">
        <f>IF(C760&lt;&gt;"",MONTH(C760),"")</f>
        <v>5</v>
      </c>
      <c r="C760" s="183">
        <f>E760</f>
        <v>42151</v>
      </c>
      <c r="D760" s="183" t="s">
        <v>1556</v>
      </c>
      <c r="E760" s="190">
        <v>42151</v>
      </c>
      <c r="F760" s="191" t="s">
        <v>708</v>
      </c>
      <c r="G760" s="482" t="s">
        <v>706</v>
      </c>
      <c r="H760" s="7" t="s">
        <v>707</v>
      </c>
      <c r="I760" s="255">
        <v>200</v>
      </c>
      <c r="J760" s="255">
        <v>12400</v>
      </c>
      <c r="K760" s="593">
        <f>ROUND(I760*J760,0)</f>
        <v>2480000</v>
      </c>
      <c r="L760" s="594" t="s">
        <v>259</v>
      </c>
      <c r="M760" s="594" t="s">
        <v>174</v>
      </c>
      <c r="N760" s="52" t="str">
        <f>IF(AND('331-CT'!$E$7=TH!H760,OR(L760="331",M760="331")),"331",IF(AND(OR(L760="131",M760="131"),H760='131-CT'!$E$7),"131",""))</f>
        <v/>
      </c>
      <c r="O760" s="86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99"/>
      <c r="AB760" s="585"/>
    </row>
    <row r="761" spans="1:28" s="210" customFormat="1" ht="15.75" customHeight="1">
      <c r="A761" s="203" t="str">
        <f>IF(B761&lt;&gt;"",IF(AND(B761&gt;=_TM1,B761&lt;=_TM2,OR(TH!L761="1111",TH!M761="1111")),TH!D761,""),"")</f>
        <v/>
      </c>
      <c r="B761" s="36">
        <f>IF(C761&lt;&gt;"",MONTH(C761),"")</f>
        <v>5</v>
      </c>
      <c r="C761" s="183">
        <f>E761</f>
        <v>42151</v>
      </c>
      <c r="D761" s="183" t="s">
        <v>1556</v>
      </c>
      <c r="E761" s="190">
        <v>42151</v>
      </c>
      <c r="F761" s="191" t="s">
        <v>402</v>
      </c>
      <c r="G761" s="482" t="s">
        <v>706</v>
      </c>
      <c r="H761" s="7" t="s">
        <v>707</v>
      </c>
      <c r="I761" s="255"/>
      <c r="J761" s="255"/>
      <c r="K761" s="593">
        <v>544820</v>
      </c>
      <c r="L761" s="594" t="s">
        <v>259</v>
      </c>
      <c r="M761" s="594" t="s">
        <v>371</v>
      </c>
      <c r="N761" s="52" t="str">
        <f>IF(AND('331-CT'!$E$7=TH!H761,OR(L761="331",M761="331")),"331",IF(AND(OR(L761="131",M761="131"),H761='131-CT'!$E$7),"131",""))</f>
        <v/>
      </c>
      <c r="O761" s="86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99"/>
      <c r="AB761" s="585"/>
    </row>
    <row r="762" spans="1:28" s="210" customFormat="1" ht="15.75" customHeight="1">
      <c r="A762" s="203" t="str">
        <f>IF(B762&lt;&gt;"",IF(AND(B762&gt;=_TM1,B762&lt;=_TM2,OR(TH!L762="1111",TH!M762="1111")),TH!D762,""),"")</f>
        <v/>
      </c>
      <c r="B762" s="36">
        <f>IF(C762&lt;&gt;"",MONTH(C762),"")</f>
        <v>5</v>
      </c>
      <c r="C762" s="183">
        <f>E762</f>
        <v>42151</v>
      </c>
      <c r="D762" s="183" t="s">
        <v>1319</v>
      </c>
      <c r="E762" s="190">
        <v>42151</v>
      </c>
      <c r="F762" s="191" t="s">
        <v>1320</v>
      </c>
      <c r="G762" s="482" t="s">
        <v>332</v>
      </c>
      <c r="H762" s="7" t="s">
        <v>400</v>
      </c>
      <c r="I762" s="255"/>
      <c r="J762" s="255"/>
      <c r="K762" s="593">
        <v>15770210</v>
      </c>
      <c r="L762" s="594" t="s">
        <v>24</v>
      </c>
      <c r="M762" s="594" t="s">
        <v>259</v>
      </c>
      <c r="N762" s="52" t="str">
        <f>IF(AND('331-CT'!$E$7=TH!H762,OR(L762="331",M762="331")),"331",IF(AND(OR(L762="131",M762="131"),H762='131-CT'!$E$7),"131",""))</f>
        <v/>
      </c>
      <c r="O762" s="86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>x</v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99"/>
    </row>
    <row r="763" spans="1:28" s="210" customFormat="1" ht="15.75" customHeight="1">
      <c r="A763" s="203" t="str">
        <f>IF(B763&lt;&gt;"",IF(AND(B763&gt;=_TM1,B763&lt;=_TM2,OR(TH!L763="1111",TH!M763="1111")),TH!D763,""),"")</f>
        <v/>
      </c>
      <c r="B763" s="36">
        <f>IF(C763&lt;&gt;"",MONTH(C763),"")</f>
        <v>5</v>
      </c>
      <c r="C763" s="183">
        <f>E763</f>
        <v>42151</v>
      </c>
      <c r="D763" s="183" t="s">
        <v>1319</v>
      </c>
      <c r="E763" s="190">
        <v>42151</v>
      </c>
      <c r="F763" s="191" t="s">
        <v>1320</v>
      </c>
      <c r="G763" s="482" t="s">
        <v>332</v>
      </c>
      <c r="H763" s="7" t="s">
        <v>400</v>
      </c>
      <c r="I763" s="255"/>
      <c r="J763" s="255"/>
      <c r="K763" s="593">
        <v>12038050</v>
      </c>
      <c r="L763" s="594" t="s">
        <v>24</v>
      </c>
      <c r="M763" s="594" t="s">
        <v>259</v>
      </c>
      <c r="N763" s="52" t="str">
        <f>IF(AND('331-CT'!$E$7=TH!H763,OR(L763="331",M763="331")),"331",IF(AND(OR(L763="131",M763="131"),H763='131-CT'!$E$7),"131",""))</f>
        <v/>
      </c>
      <c r="O763" s="86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>x</v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99"/>
    </row>
    <row r="764" spans="1:28" s="210" customFormat="1" ht="15.75" customHeight="1">
      <c r="A764" s="203" t="str">
        <f>IF(B764&lt;&gt;"",IF(AND(B764&gt;=_TM1,B764&lt;=_TM2,OR(TH!L764="1111",TH!M764="1111")),TH!D764,""),"")</f>
        <v/>
      </c>
      <c r="B764" s="36">
        <f>IF(C764&lt;&gt;"",MONTH(C764),"")</f>
        <v>5</v>
      </c>
      <c r="C764" s="183">
        <f>E764</f>
        <v>42151</v>
      </c>
      <c r="D764" s="190" t="s">
        <v>1985</v>
      </c>
      <c r="E764" s="727">
        <v>42151</v>
      </c>
      <c r="F764" s="191" t="s">
        <v>1402</v>
      </c>
      <c r="G764" s="482" t="s">
        <v>1418</v>
      </c>
      <c r="H764" s="7" t="s">
        <v>1397</v>
      </c>
      <c r="I764" s="255">
        <v>3622</v>
      </c>
      <c r="J764" s="255">
        <v>9000</v>
      </c>
      <c r="K764" s="593">
        <f>ROUND(I764*J764,0)</f>
        <v>32598000</v>
      </c>
      <c r="L764" s="594" t="s">
        <v>159</v>
      </c>
      <c r="M764" s="594" t="s">
        <v>8</v>
      </c>
      <c r="N764" s="52" t="str">
        <f>IF(AND('331-CT'!$E$7=TH!H764,OR(L764="331",M764="331")),"331",IF(AND(OR(L764="131",M764="131"),H764='131-CT'!$E$7),"131",""))</f>
        <v/>
      </c>
      <c r="O764" s="86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99"/>
    </row>
    <row r="765" spans="1:28" s="210" customFormat="1" ht="15.75" customHeight="1">
      <c r="A765" s="203" t="str">
        <f>IF(B765&lt;&gt;"",IF(AND(B765&gt;=_TM1,B765&lt;=_TM2,OR(TH!L765="1111",TH!M765="1111")),TH!D765,""),"")</f>
        <v/>
      </c>
      <c r="B765" s="36">
        <f>IF(C765&lt;&gt;"",MONTH(C765),"")</f>
        <v>5</v>
      </c>
      <c r="C765" s="183">
        <f>E765</f>
        <v>42151</v>
      </c>
      <c r="D765" s="190" t="s">
        <v>1985</v>
      </c>
      <c r="E765" s="727">
        <v>42151</v>
      </c>
      <c r="F765" s="191" t="s">
        <v>1379</v>
      </c>
      <c r="G765" s="482" t="s">
        <v>1418</v>
      </c>
      <c r="H765" s="7" t="s">
        <v>1397</v>
      </c>
      <c r="I765" s="255"/>
      <c r="J765" s="255"/>
      <c r="K765" s="593">
        <v>3259800</v>
      </c>
      <c r="L765" s="594" t="s">
        <v>9</v>
      </c>
      <c r="M765" s="594" t="s">
        <v>8</v>
      </c>
      <c r="N765" s="52" t="str">
        <f>IF(AND('331-CT'!$E$7=TH!H765,OR(L765="331",M765="331")),"331",IF(AND(OR(L765="131",M765="131"),H765='131-CT'!$E$7),"131",""))</f>
        <v/>
      </c>
      <c r="O765" s="86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99"/>
    </row>
    <row r="766" spans="1:28" s="210" customFormat="1" ht="15.75" customHeight="1">
      <c r="A766" s="203" t="str">
        <f>IF(B766&lt;&gt;"",IF(AND(B766&gt;=_TM1,B766&lt;=_TM2,OR(TH!L766="1111",TH!M766="1111")),TH!D766,""),"")</f>
        <v/>
      </c>
      <c r="B766" s="36">
        <f>IF(C766&lt;&gt;"",MONTH(C766),"")</f>
        <v>5</v>
      </c>
      <c r="C766" s="183">
        <f>E766</f>
        <v>42151</v>
      </c>
      <c r="D766" s="190" t="s">
        <v>1986</v>
      </c>
      <c r="E766" s="727">
        <v>42151</v>
      </c>
      <c r="F766" s="191" t="s">
        <v>1398</v>
      </c>
      <c r="G766" s="482" t="s">
        <v>1419</v>
      </c>
      <c r="H766" s="7" t="s">
        <v>1397</v>
      </c>
      <c r="I766" s="255">
        <v>1256</v>
      </c>
      <c r="J766" s="255">
        <v>9100</v>
      </c>
      <c r="K766" s="593">
        <f>ROUND(I766*J766,0)</f>
        <v>11429600</v>
      </c>
      <c r="L766" s="594" t="s">
        <v>159</v>
      </c>
      <c r="M766" s="594" t="s">
        <v>8</v>
      </c>
      <c r="N766" s="52" t="str">
        <f>IF(AND('331-CT'!$E$7=TH!H766,OR(L766="331",M766="331")),"331",IF(AND(OR(L766="131",M766="131"),H766='131-CT'!$E$7),"131",""))</f>
        <v/>
      </c>
      <c r="O766" s="86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99"/>
    </row>
    <row r="767" spans="1:28" s="210" customFormat="1" ht="15.75" customHeight="1">
      <c r="A767" s="203" t="str">
        <f>IF(B767&lt;&gt;"",IF(AND(B767&gt;=_TM1,B767&lt;=_TM2,OR(TH!L767="1111",TH!M767="1111")),TH!D767,""),"")</f>
        <v/>
      </c>
      <c r="B767" s="36">
        <f>IF(C767&lt;&gt;"",MONTH(C767),"")</f>
        <v>5</v>
      </c>
      <c r="C767" s="183">
        <f>E767</f>
        <v>42151</v>
      </c>
      <c r="D767" s="190" t="s">
        <v>1986</v>
      </c>
      <c r="E767" s="727">
        <v>42151</v>
      </c>
      <c r="F767" s="191" t="s">
        <v>1402</v>
      </c>
      <c r="G767" s="482" t="s">
        <v>1419</v>
      </c>
      <c r="H767" s="7" t="s">
        <v>1397</v>
      </c>
      <c r="I767" s="255">
        <v>2752</v>
      </c>
      <c r="J767" s="255">
        <v>9000</v>
      </c>
      <c r="K767" s="593">
        <f>ROUND(I767*J767,0)</f>
        <v>24768000</v>
      </c>
      <c r="L767" s="594" t="s">
        <v>159</v>
      </c>
      <c r="M767" s="594" t="s">
        <v>8</v>
      </c>
      <c r="N767" s="52" t="str">
        <f>IF(AND('331-CT'!$E$7=TH!H767,OR(L767="331",M767="331")),"331",IF(AND(OR(L767="131",M767="131"),H767='131-CT'!$E$7),"131",""))</f>
        <v/>
      </c>
      <c r="O767" s="86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99"/>
    </row>
    <row r="768" spans="1:28" s="210" customFormat="1" ht="15.75" customHeight="1">
      <c r="A768" s="203" t="str">
        <f>IF(B768&lt;&gt;"",IF(AND(B768&gt;=_TM1,B768&lt;=_TM2,OR(TH!L768="1111",TH!M768="1111")),TH!D768,""),"")</f>
        <v/>
      </c>
      <c r="B768" s="36">
        <f>IF(C768&lt;&gt;"",MONTH(C768),"")</f>
        <v>5</v>
      </c>
      <c r="C768" s="183">
        <f>E768</f>
        <v>42151</v>
      </c>
      <c r="D768" s="190" t="s">
        <v>1986</v>
      </c>
      <c r="E768" s="727">
        <v>42151</v>
      </c>
      <c r="F768" s="191" t="s">
        <v>1379</v>
      </c>
      <c r="G768" s="482" t="s">
        <v>1419</v>
      </c>
      <c r="H768" s="7" t="s">
        <v>1397</v>
      </c>
      <c r="I768" s="255"/>
      <c r="J768" s="255"/>
      <c r="K768" s="593">
        <v>3619760</v>
      </c>
      <c r="L768" s="594" t="s">
        <v>9</v>
      </c>
      <c r="M768" s="594" t="s">
        <v>8</v>
      </c>
      <c r="N768" s="52" t="str">
        <f>IF(AND('331-CT'!$E$7=TH!H768,OR(L768="331",M768="331")),"331",IF(AND(OR(L768="131",M768="131"),H768='131-CT'!$E$7),"131",""))</f>
        <v/>
      </c>
      <c r="O768" s="86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99"/>
    </row>
    <row r="769" spans="1:28" s="210" customFormat="1" ht="15.75" customHeight="1">
      <c r="A769" s="203" t="str">
        <f>IF(B769&lt;&gt;"",IF(AND(B769&gt;=_TM1,B769&lt;=_TM2,OR(TH!L769="1111",TH!M769="1111")),TH!D769,""),"")</f>
        <v/>
      </c>
      <c r="B769" s="36">
        <f>IF(C769&lt;&gt;"",MONTH(C769),"")</f>
        <v>5</v>
      </c>
      <c r="C769" s="183">
        <f>E769</f>
        <v>42151</v>
      </c>
      <c r="D769" s="190" t="s">
        <v>1987</v>
      </c>
      <c r="E769" s="727">
        <v>42151</v>
      </c>
      <c r="F769" s="296" t="s">
        <v>1357</v>
      </c>
      <c r="G769" s="482" t="s">
        <v>1420</v>
      </c>
      <c r="H769" s="7" t="s">
        <v>1391</v>
      </c>
      <c r="I769" s="255">
        <v>2450</v>
      </c>
      <c r="J769" s="255">
        <v>7300</v>
      </c>
      <c r="K769" s="593">
        <f>ROUND(I769*J769,0)</f>
        <v>17885000</v>
      </c>
      <c r="L769" s="594" t="s">
        <v>159</v>
      </c>
      <c r="M769" s="594" t="s">
        <v>8</v>
      </c>
      <c r="N769" s="52" t="str">
        <f>IF(AND('331-CT'!$E$7=TH!H769,OR(L769="331",M769="331")),"331",IF(AND(OR(L769="131",M769="131"),H769='131-CT'!$E$7),"131",""))</f>
        <v/>
      </c>
      <c r="O769" s="86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99"/>
    </row>
    <row r="770" spans="1:28" s="210" customFormat="1" ht="15.75" customHeight="1">
      <c r="A770" s="203" t="str">
        <f>IF(B770&lt;&gt;"",IF(AND(B770&gt;=_TM1,B770&lt;=_TM2,OR(TH!L770="1111",TH!M770="1111")),TH!D770,""),"")</f>
        <v/>
      </c>
      <c r="B770" s="36">
        <f>IF(C770&lt;&gt;"",MONTH(C770),"")</f>
        <v>5</v>
      </c>
      <c r="C770" s="183">
        <f>E770</f>
        <v>42151</v>
      </c>
      <c r="D770" s="190" t="s">
        <v>1987</v>
      </c>
      <c r="E770" s="727">
        <v>42151</v>
      </c>
      <c r="F770" s="296" t="s">
        <v>1393</v>
      </c>
      <c r="G770" s="482" t="s">
        <v>1420</v>
      </c>
      <c r="H770" s="7" t="s">
        <v>1391</v>
      </c>
      <c r="I770" s="255"/>
      <c r="J770" s="255"/>
      <c r="K770" s="593">
        <v>1788500</v>
      </c>
      <c r="L770" s="594" t="s">
        <v>9</v>
      </c>
      <c r="M770" s="594" t="s">
        <v>8</v>
      </c>
      <c r="N770" s="52" t="str">
        <f>IF(AND('331-CT'!$E$7=TH!H770,OR(L770="331",M770="331")),"331",IF(AND(OR(L770="131",M770="131"),H770='131-CT'!$E$7),"131",""))</f>
        <v/>
      </c>
      <c r="O770" s="86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99"/>
    </row>
    <row r="771" spans="1:28" s="210" customFormat="1" ht="15.75" customHeight="1">
      <c r="A771" s="203" t="str">
        <f>IF(B771&lt;&gt;"",IF(AND(B771&gt;=_TM1,B771&lt;=_TM2,OR(TH!L771="1111",TH!M771="1111")),TH!D771,""),"")</f>
        <v/>
      </c>
      <c r="B771" s="36">
        <f>IF(C771&lt;&gt;"",MONTH(C771),"")</f>
        <v>5</v>
      </c>
      <c r="C771" s="183">
        <f>E771</f>
        <v>42151</v>
      </c>
      <c r="D771" s="190" t="s">
        <v>1987</v>
      </c>
      <c r="E771" s="727">
        <v>42151</v>
      </c>
      <c r="F771" s="296" t="s">
        <v>1326</v>
      </c>
      <c r="G771" s="482" t="s">
        <v>1420</v>
      </c>
      <c r="H771" s="7" t="s">
        <v>1391</v>
      </c>
      <c r="I771" s="255"/>
      <c r="J771" s="255"/>
      <c r="K771" s="593">
        <v>19673500</v>
      </c>
      <c r="L771" s="594" t="s">
        <v>8</v>
      </c>
      <c r="M771" s="594" t="s">
        <v>47</v>
      </c>
      <c r="N771" s="52" t="str">
        <f>IF(AND('331-CT'!$E$7=TH!H771,OR(L771="331",M771="331")),"331",IF(AND(OR(L771="131",M771="131"),H771='131-CT'!$E$7),"131",""))</f>
        <v/>
      </c>
      <c r="O771" s="869" t="str">
        <f>IF(AND('341-CT'!$E$9=H771,OR(LEFT(L771,3)=$O$7,LEFT(M771,3)=$O$7)),"x","")</f>
        <v/>
      </c>
      <c r="P771" s="52" t="str">
        <f>IF(AND($B771&gt;='111'!$N$11,$B771&lt;='111'!$O$11,OR($L771=$P$7,$M771=$P$7)),"x","")</f>
        <v>x</v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99"/>
    </row>
    <row r="772" spans="1:28" s="210" customFormat="1" ht="15.75" customHeight="1">
      <c r="A772" s="203" t="str">
        <f>IF(B772&lt;&gt;"",IF(AND(B772&gt;=_TM1,B772&lt;=_TM2,OR(TH!L772="1111",TH!M772="1111")),TH!D772,""),"")</f>
        <v/>
      </c>
      <c r="B772" s="36">
        <f>IF(C772&lt;&gt;"",MONTH(C772),"")</f>
        <v>5</v>
      </c>
      <c r="C772" s="183">
        <f>E772</f>
        <v>42152</v>
      </c>
      <c r="D772" s="183" t="s">
        <v>1557</v>
      </c>
      <c r="E772" s="190">
        <v>42152</v>
      </c>
      <c r="F772" s="191" t="s">
        <v>709</v>
      </c>
      <c r="G772" s="482" t="s">
        <v>710</v>
      </c>
      <c r="H772" s="7" t="s">
        <v>707</v>
      </c>
      <c r="I772" s="255">
        <v>200</v>
      </c>
      <c r="J772" s="255">
        <v>15100</v>
      </c>
      <c r="K772" s="593">
        <f>ROUND(I772*J772,0)</f>
        <v>3020000</v>
      </c>
      <c r="L772" s="594" t="s">
        <v>259</v>
      </c>
      <c r="M772" s="594" t="s">
        <v>174</v>
      </c>
      <c r="N772" s="52" t="str">
        <f>IF(AND('331-CT'!$E$7=TH!H772,OR(L772="331",M772="331")),"331",IF(AND(OR(L772="131",M772="131"),H772='131-CT'!$E$7),"131",""))</f>
        <v/>
      </c>
      <c r="O772" s="86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99"/>
      <c r="AB772" s="585"/>
    </row>
    <row r="773" spans="1:28" s="210" customFormat="1" ht="15.75" customHeight="1">
      <c r="A773" s="203" t="str">
        <f>IF(B773&lt;&gt;"",IF(AND(B773&gt;=_TM1,B773&lt;=_TM2,OR(TH!L773="1111",TH!M773="1111")),TH!D773,""),"")</f>
        <v/>
      </c>
      <c r="B773" s="36">
        <f>IF(C773&lt;&gt;"",MONTH(C773),"")</f>
        <v>5</v>
      </c>
      <c r="C773" s="183">
        <f>E773</f>
        <v>42152</v>
      </c>
      <c r="D773" s="183" t="s">
        <v>1557</v>
      </c>
      <c r="E773" s="190">
        <v>42152</v>
      </c>
      <c r="F773" s="191" t="s">
        <v>402</v>
      </c>
      <c r="G773" s="482" t="s">
        <v>710</v>
      </c>
      <c r="H773" s="7" t="s">
        <v>707</v>
      </c>
      <c r="I773" s="255"/>
      <c r="J773" s="255"/>
      <c r="K773" s="593">
        <v>302000</v>
      </c>
      <c r="L773" s="594" t="s">
        <v>259</v>
      </c>
      <c r="M773" s="594" t="s">
        <v>371</v>
      </c>
      <c r="N773" s="52" t="str">
        <f>IF(AND('331-CT'!$E$7=TH!H773,OR(L773="331",M773="331")),"331",IF(AND(OR(L773="131",M773="131"),H773='131-CT'!$E$7),"131",""))</f>
        <v/>
      </c>
      <c r="O773" s="86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99"/>
      <c r="AB773" s="585"/>
    </row>
    <row r="774" spans="1:28" s="210" customFormat="1" ht="15.75" customHeight="1">
      <c r="A774" s="203" t="str">
        <f>IF(B774&lt;&gt;"",IF(AND(B774&gt;=_TM1,B774&lt;=_TM2,OR(TH!L774="1111",TH!M774="1111")),TH!D774,""),"")</f>
        <v/>
      </c>
      <c r="B774" s="36">
        <f>IF(C774&lt;&gt;"",MONTH(C774),"")</f>
        <v>5</v>
      </c>
      <c r="C774" s="183">
        <f>E774</f>
        <v>42152</v>
      </c>
      <c r="D774" s="183" t="s">
        <v>1557</v>
      </c>
      <c r="E774" s="190">
        <v>42152</v>
      </c>
      <c r="F774" s="191" t="s">
        <v>1320</v>
      </c>
      <c r="G774" s="482" t="s">
        <v>2027</v>
      </c>
      <c r="H774" s="7" t="s">
        <v>707</v>
      </c>
      <c r="I774" s="255"/>
      <c r="J774" s="255"/>
      <c r="K774" s="593">
        <v>9315020</v>
      </c>
      <c r="L774" s="594" t="s">
        <v>47</v>
      </c>
      <c r="M774" s="594" t="s">
        <v>259</v>
      </c>
      <c r="N774" s="52" t="str">
        <f>IF(AND('331-CT'!$E$7=TH!H774,OR(L774="331",M774="331")),"331",IF(AND(OR(L774="131",M774="131"),H774='131-CT'!$E$7),"131",""))</f>
        <v/>
      </c>
      <c r="O774" s="869" t="str">
        <f>IF(AND('341-CT'!$E$9=H774,OR(LEFT(L774,3)=$O$7,LEFT(M774,3)=$O$7)),"x","")</f>
        <v/>
      </c>
      <c r="P774" s="52" t="str">
        <f>IF(AND($B774&gt;='111'!$N$11,$B774&lt;='111'!$O$11,OR($L774=$P$7,$M774=$P$7)),"x","")</f>
        <v>x</v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99"/>
      <c r="AB774" s="585"/>
    </row>
    <row r="775" spans="1:28" s="210" customFormat="1" ht="15.75" customHeight="1">
      <c r="A775" s="203" t="str">
        <f>IF(B775&lt;&gt;"",IF(AND(B775&gt;=_TM1,B775&lt;=_TM2,OR(TH!L775="1111",TH!M775="1111")),TH!D775,""),"")</f>
        <v/>
      </c>
      <c r="B775" s="36">
        <f>IF(C775&lt;&gt;"",MONTH(C775),"")</f>
        <v>5</v>
      </c>
      <c r="C775" s="183">
        <f>E775</f>
        <v>42152</v>
      </c>
      <c r="D775" s="183" t="s">
        <v>1558</v>
      </c>
      <c r="E775" s="190">
        <v>42152</v>
      </c>
      <c r="F775" s="191" t="s">
        <v>711</v>
      </c>
      <c r="G775" s="482" t="s">
        <v>712</v>
      </c>
      <c r="H775" s="7" t="s">
        <v>832</v>
      </c>
      <c r="I775" s="255">
        <v>250</v>
      </c>
      <c r="J775" s="255">
        <v>10600</v>
      </c>
      <c r="K775" s="593">
        <f>ROUND(I775*J775,0)</f>
        <v>2650000</v>
      </c>
      <c r="L775" s="594" t="s">
        <v>259</v>
      </c>
      <c r="M775" s="594" t="s">
        <v>174</v>
      </c>
      <c r="N775" s="52" t="str">
        <f>IF(AND('331-CT'!$E$7=TH!H775,OR(L775="331",M775="331")),"331",IF(AND(OR(L775="131",M775="131"),H775='131-CT'!$E$7),"131",""))</f>
        <v/>
      </c>
      <c r="O775" s="86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99"/>
      <c r="AB775" s="585"/>
    </row>
    <row r="776" spans="1:28" s="210" customFormat="1" ht="15.75" customHeight="1">
      <c r="A776" s="203" t="str">
        <f>IF(B776&lt;&gt;"",IF(AND(B776&gt;=_TM1,B776&lt;=_TM2,OR(TH!L776="1111",TH!M776="1111")),TH!D776,""),"")</f>
        <v/>
      </c>
      <c r="B776" s="36">
        <f>IF(C776&lt;&gt;"",MONTH(C776),"")</f>
        <v>5</v>
      </c>
      <c r="C776" s="183">
        <f>E776</f>
        <v>42152</v>
      </c>
      <c r="D776" s="183" t="s">
        <v>1558</v>
      </c>
      <c r="E776" s="190">
        <v>42152</v>
      </c>
      <c r="F776" s="191" t="s">
        <v>402</v>
      </c>
      <c r="G776" s="482" t="s">
        <v>712</v>
      </c>
      <c r="H776" s="7" t="s">
        <v>832</v>
      </c>
      <c r="I776" s="255"/>
      <c r="J776" s="255"/>
      <c r="K776" s="593">
        <v>265000</v>
      </c>
      <c r="L776" s="594" t="s">
        <v>259</v>
      </c>
      <c r="M776" s="594" t="s">
        <v>371</v>
      </c>
      <c r="N776" s="52" t="str">
        <f>IF(AND('331-CT'!$E$7=TH!H776,OR(L776="331",M776="331")),"331",IF(AND(OR(L776="131",M776="131"),H776='131-CT'!$E$7),"131",""))</f>
        <v/>
      </c>
      <c r="O776" s="86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99"/>
      <c r="AB776" s="585"/>
    </row>
    <row r="777" spans="1:28" s="210" customFormat="1" ht="15.75" customHeight="1">
      <c r="A777" s="203" t="str">
        <f>IF(B777&lt;&gt;"",IF(AND(B777&gt;=_TM1,B777&lt;=_TM2,OR(TH!L777="1111",TH!M777="1111")),TH!D777,""),"")</f>
        <v/>
      </c>
      <c r="B777" s="36">
        <f>IF(C777&lt;&gt;"",MONTH(C777),"")</f>
        <v>5</v>
      </c>
      <c r="C777" s="183">
        <f>E777</f>
        <v>42152</v>
      </c>
      <c r="D777" s="190" t="s">
        <v>1988</v>
      </c>
      <c r="E777" s="727">
        <v>42152</v>
      </c>
      <c r="F777" s="191" t="s">
        <v>1398</v>
      </c>
      <c r="G777" s="482" t="s">
        <v>1421</v>
      </c>
      <c r="H777" s="7" t="s">
        <v>1397</v>
      </c>
      <c r="I777" s="255">
        <v>2477</v>
      </c>
      <c r="J777" s="255">
        <v>9100</v>
      </c>
      <c r="K777" s="593">
        <f>ROUND(I777*J777,0)</f>
        <v>22540700</v>
      </c>
      <c r="L777" s="594" t="s">
        <v>159</v>
      </c>
      <c r="M777" s="594" t="s">
        <v>8</v>
      </c>
      <c r="N777" s="52" t="str">
        <f>IF(AND('331-CT'!$E$7=TH!H777,OR(L777="331",M777="331")),"331",IF(AND(OR(L777="131",M777="131"),H777='131-CT'!$E$7),"131",""))</f>
        <v/>
      </c>
      <c r="O777" s="86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99"/>
    </row>
    <row r="778" spans="1:28" s="210" customFormat="1" ht="15.75" customHeight="1">
      <c r="A778" s="203" t="str">
        <f>IF(B778&lt;&gt;"",IF(AND(B778&gt;=_TM1,B778&lt;=_TM2,OR(TH!L778="1111",TH!M778="1111")),TH!D778,""),"")</f>
        <v/>
      </c>
      <c r="B778" s="36">
        <f>IF(C778&lt;&gt;"",MONTH(C778),"")</f>
        <v>5</v>
      </c>
      <c r="C778" s="183">
        <f>E778</f>
        <v>42152</v>
      </c>
      <c r="D778" s="190" t="s">
        <v>1988</v>
      </c>
      <c r="E778" s="727">
        <v>42152</v>
      </c>
      <c r="F778" s="191" t="s">
        <v>1402</v>
      </c>
      <c r="G778" s="482" t="s">
        <v>1421</v>
      </c>
      <c r="H778" s="7" t="s">
        <v>1397</v>
      </c>
      <c r="I778" s="255">
        <v>849</v>
      </c>
      <c r="J778" s="255">
        <v>9000</v>
      </c>
      <c r="K778" s="593">
        <f>ROUND(I778*J778,0)</f>
        <v>7641000</v>
      </c>
      <c r="L778" s="594" t="s">
        <v>159</v>
      </c>
      <c r="M778" s="594" t="s">
        <v>8</v>
      </c>
      <c r="N778" s="52" t="str">
        <f>IF(AND('331-CT'!$E$7=TH!H778,OR(L778="331",M778="331")),"331",IF(AND(OR(L778="131",M778="131"),H778='131-CT'!$E$7),"131",""))</f>
        <v/>
      </c>
      <c r="O778" s="86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99"/>
    </row>
    <row r="779" spans="1:28" s="210" customFormat="1" ht="15.75" customHeight="1">
      <c r="A779" s="203" t="str">
        <f>IF(B779&lt;&gt;"",IF(AND(B779&gt;=_TM1,B779&lt;=_TM2,OR(TH!L779="1111",TH!M779="1111")),TH!D779,""),"")</f>
        <v/>
      </c>
      <c r="B779" s="36">
        <f>IF(C779&lt;&gt;"",MONTH(C779),"")</f>
        <v>5</v>
      </c>
      <c r="C779" s="183">
        <f>E779</f>
        <v>42152</v>
      </c>
      <c r="D779" s="190" t="s">
        <v>1988</v>
      </c>
      <c r="E779" s="727">
        <v>42152</v>
      </c>
      <c r="F779" s="191" t="s">
        <v>1379</v>
      </c>
      <c r="G779" s="482" t="s">
        <v>1421</v>
      </c>
      <c r="H779" s="7" t="s">
        <v>1397</v>
      </c>
      <c r="I779" s="255"/>
      <c r="J779" s="255"/>
      <c r="K779" s="593">
        <v>3018170</v>
      </c>
      <c r="L779" s="594" t="s">
        <v>9</v>
      </c>
      <c r="M779" s="594" t="s">
        <v>8</v>
      </c>
      <c r="N779" s="52" t="str">
        <f>IF(AND('331-CT'!$E$7=TH!H779,OR(L779="331",M779="331")),"331",IF(AND(OR(L779="131",M779="131"),H779='131-CT'!$E$7),"131",""))</f>
        <v/>
      </c>
      <c r="O779" s="86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99"/>
    </row>
    <row r="780" spans="1:28" s="210" customFormat="1" ht="15.75" customHeight="1">
      <c r="A780" s="203" t="str">
        <f>IF(B780&lt;&gt;"",IF(AND(B780&gt;=_TM1,B780&lt;=_TM2,OR(TH!L780="1111",TH!M780="1111")),TH!D780,""),"")</f>
        <v/>
      </c>
      <c r="B780" s="36">
        <f>IF(C780&lt;&gt;"",MONTH(C780),"")</f>
        <v>5</v>
      </c>
      <c r="C780" s="183">
        <f>E780</f>
        <v>42152</v>
      </c>
      <c r="D780" s="190" t="s">
        <v>1989</v>
      </c>
      <c r="E780" s="727">
        <v>42152</v>
      </c>
      <c r="F780" s="296" t="s">
        <v>1357</v>
      </c>
      <c r="G780" s="482" t="s">
        <v>1422</v>
      </c>
      <c r="H780" s="7" t="s">
        <v>1391</v>
      </c>
      <c r="I780" s="255">
        <v>2455</v>
      </c>
      <c r="J780" s="255">
        <v>7300</v>
      </c>
      <c r="K780" s="593">
        <f>ROUND(I780*J780,0)</f>
        <v>17921500</v>
      </c>
      <c r="L780" s="594" t="s">
        <v>159</v>
      </c>
      <c r="M780" s="594" t="s">
        <v>8</v>
      </c>
      <c r="N780" s="52" t="str">
        <f>IF(AND('331-CT'!$E$7=TH!H780,OR(L780="331",M780="331")),"331",IF(AND(OR(L780="131",M780="131"),H780='131-CT'!$E$7),"131",""))</f>
        <v/>
      </c>
      <c r="O780" s="86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99"/>
    </row>
    <row r="781" spans="1:28" s="210" customFormat="1" ht="15.75" customHeight="1">
      <c r="A781" s="203" t="str">
        <f>IF(B781&lt;&gt;"",IF(AND(B781&gt;=_TM1,B781&lt;=_TM2,OR(TH!L781="1111",TH!M781="1111")),TH!D781,""),"")</f>
        <v/>
      </c>
      <c r="B781" s="36">
        <f>IF(C781&lt;&gt;"",MONTH(C781),"")</f>
        <v>5</v>
      </c>
      <c r="C781" s="183">
        <f>E781</f>
        <v>42152</v>
      </c>
      <c r="D781" s="190" t="s">
        <v>1989</v>
      </c>
      <c r="E781" s="727">
        <v>42152</v>
      </c>
      <c r="F781" s="296" t="s">
        <v>1393</v>
      </c>
      <c r="G781" s="482" t="s">
        <v>1422</v>
      </c>
      <c r="H781" s="7" t="s">
        <v>1391</v>
      </c>
      <c r="I781" s="255"/>
      <c r="J781" s="255"/>
      <c r="K781" s="593">
        <v>1792150</v>
      </c>
      <c r="L781" s="594" t="s">
        <v>9</v>
      </c>
      <c r="M781" s="594" t="s">
        <v>8</v>
      </c>
      <c r="N781" s="52" t="str">
        <f>IF(AND('331-CT'!$E$7=TH!H781,OR(L781="331",M781="331")),"331",IF(AND(OR(L781="131",M781="131"),H781='131-CT'!$E$7),"131",""))</f>
        <v/>
      </c>
      <c r="O781" s="86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99"/>
    </row>
    <row r="782" spans="1:28" s="210" customFormat="1" ht="15.75" customHeight="1">
      <c r="A782" s="203" t="str">
        <f>IF(B782&lt;&gt;"",IF(AND(B782&gt;=_TM1,B782&lt;=_TM2,OR(TH!L782="1111",TH!M782="1111")),TH!D782,""),"")</f>
        <v/>
      </c>
      <c r="B782" s="36">
        <f>IF(C782&lt;&gt;"",MONTH(C782),"")</f>
        <v>5</v>
      </c>
      <c r="C782" s="183">
        <f>E782</f>
        <v>42152</v>
      </c>
      <c r="D782" s="190" t="s">
        <v>1989</v>
      </c>
      <c r="E782" s="727">
        <v>42152</v>
      </c>
      <c r="F782" s="296" t="s">
        <v>1326</v>
      </c>
      <c r="G782" s="482" t="s">
        <v>1422</v>
      </c>
      <c r="H782" s="7" t="s">
        <v>1391</v>
      </c>
      <c r="I782" s="255"/>
      <c r="J782" s="255"/>
      <c r="K782" s="593">
        <v>19713650</v>
      </c>
      <c r="L782" s="594" t="s">
        <v>8</v>
      </c>
      <c r="M782" s="594" t="s">
        <v>47</v>
      </c>
      <c r="N782" s="52" t="str">
        <f>IF(AND('331-CT'!$E$7=TH!H782,OR(L782="331",M782="331")),"331",IF(AND(OR(L782="131",M782="131"),H782='131-CT'!$E$7),"131",""))</f>
        <v/>
      </c>
      <c r="O782" s="869" t="str">
        <f>IF(AND('341-CT'!$E$9=H782,OR(LEFT(L782,3)=$O$7,LEFT(M782,3)=$O$7)),"x","")</f>
        <v/>
      </c>
      <c r="P782" s="52" t="str">
        <f>IF(AND($B782&gt;='111'!$N$11,$B782&lt;='111'!$O$11,OR($L782=$P$7,$M782=$P$7)),"x","")</f>
        <v>x</v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99"/>
    </row>
    <row r="783" spans="1:28" s="210" customFormat="1" ht="15.75" customHeight="1">
      <c r="A783" s="203" t="str">
        <f>IF(B783&lt;&gt;"",IF(AND(B783&gt;=_TM1,B783&lt;=_TM2,OR(TH!L783="1111",TH!M783="1111")),TH!D783,""),"")</f>
        <v/>
      </c>
      <c r="B783" s="36">
        <f>IF(C783&lt;&gt;"",MONTH(C783),"")</f>
        <v>5</v>
      </c>
      <c r="C783" s="183">
        <f>E783</f>
        <v>42153</v>
      </c>
      <c r="D783" s="183" t="s">
        <v>1319</v>
      </c>
      <c r="E783" s="190">
        <v>42153</v>
      </c>
      <c r="F783" s="191" t="s">
        <v>1320</v>
      </c>
      <c r="G783" s="482" t="s">
        <v>332</v>
      </c>
      <c r="H783" s="7" t="s">
        <v>473</v>
      </c>
      <c r="I783" s="255"/>
      <c r="J783" s="255"/>
      <c r="K783" s="593">
        <v>13423300</v>
      </c>
      <c r="L783" s="594" t="s">
        <v>24</v>
      </c>
      <c r="M783" s="594" t="s">
        <v>259</v>
      </c>
      <c r="N783" s="52" t="str">
        <f>IF(AND('331-CT'!$E$7=TH!H783,OR(L783="331",M783="331")),"331",IF(AND(OR(L783="131",M783="131"),H783='131-CT'!$E$7),"131",""))</f>
        <v/>
      </c>
      <c r="O783" s="86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>x</v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99"/>
    </row>
    <row r="784" spans="1:28" s="210" customFormat="1" ht="15.75" customHeight="1">
      <c r="A784" s="203" t="str">
        <f>IF(B784&lt;&gt;"",IF(AND(B784&gt;=_TM1,B784&lt;=_TM2,OR(TH!L784="1111",TH!M784="1111")),TH!D784,""),"")</f>
        <v/>
      </c>
      <c r="B784" s="36">
        <f>IF(C784&lt;&gt;"",MONTH(C784),"")</f>
        <v>5</v>
      </c>
      <c r="C784" s="183">
        <f>E784</f>
        <v>42153</v>
      </c>
      <c r="D784" s="183" t="s">
        <v>1319</v>
      </c>
      <c r="E784" s="190">
        <v>42153</v>
      </c>
      <c r="F784" s="191" t="s">
        <v>1320</v>
      </c>
      <c r="G784" s="482" t="s">
        <v>332</v>
      </c>
      <c r="H784" s="7" t="s">
        <v>444</v>
      </c>
      <c r="I784" s="255"/>
      <c r="J784" s="255"/>
      <c r="K784" s="593">
        <v>8250000</v>
      </c>
      <c r="L784" s="594" t="s">
        <v>24</v>
      </c>
      <c r="M784" s="594" t="s">
        <v>259</v>
      </c>
      <c r="N784" s="52" t="str">
        <f>IF(AND('331-CT'!$E$7=TH!H784,OR(L784="331",M784="331")),"331",IF(AND(OR(L784="131",M784="131"),H784='131-CT'!$E$7),"131",""))</f>
        <v/>
      </c>
      <c r="O784" s="86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>x</v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99"/>
    </row>
    <row r="785" spans="1:28" s="210" customFormat="1" ht="15.75" customHeight="1">
      <c r="A785" s="203" t="str">
        <f>IF(B785&lt;&gt;"",IF(AND(B785&gt;=_TM1,B785&lt;=_TM2,OR(TH!L785="1111",TH!M785="1111")),TH!D785,""),"")</f>
        <v/>
      </c>
      <c r="B785" s="36">
        <f>IF(C785&lt;&gt;"",MONTH(C785),"")</f>
        <v>5</v>
      </c>
      <c r="C785" s="183">
        <f>E785</f>
        <v>42153</v>
      </c>
      <c r="D785" s="190" t="s">
        <v>1990</v>
      </c>
      <c r="E785" s="727">
        <v>42153</v>
      </c>
      <c r="F785" s="296" t="s">
        <v>1357</v>
      </c>
      <c r="G785" s="482" t="s">
        <v>1423</v>
      </c>
      <c r="H785" s="7" t="s">
        <v>1391</v>
      </c>
      <c r="I785" s="255">
        <v>1918</v>
      </c>
      <c r="J785" s="255">
        <v>7300</v>
      </c>
      <c r="K785" s="593">
        <f>ROUND(I785*J785,0)</f>
        <v>14001400</v>
      </c>
      <c r="L785" s="594" t="s">
        <v>159</v>
      </c>
      <c r="M785" s="594" t="s">
        <v>8</v>
      </c>
      <c r="N785" s="52" t="str">
        <f>IF(AND('331-CT'!$E$7=TH!H785,OR(L785="331",M785="331")),"331",IF(AND(OR(L785="131",M785="131"),H785='131-CT'!$E$7),"131",""))</f>
        <v/>
      </c>
      <c r="O785" s="86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99"/>
    </row>
    <row r="786" spans="1:28" s="210" customFormat="1" ht="15.75" customHeight="1">
      <c r="A786" s="203" t="str">
        <f>IF(B786&lt;&gt;"",IF(AND(B786&gt;=_TM1,B786&lt;=_TM2,OR(TH!L786="1111",TH!M786="1111")),TH!D786,""),"")</f>
        <v/>
      </c>
      <c r="B786" s="36">
        <f>IF(C786&lt;&gt;"",MONTH(C786),"")</f>
        <v>5</v>
      </c>
      <c r="C786" s="183">
        <f>E786</f>
        <v>42153</v>
      </c>
      <c r="D786" s="190" t="s">
        <v>1990</v>
      </c>
      <c r="E786" s="727">
        <v>42153</v>
      </c>
      <c r="F786" s="296" t="s">
        <v>1393</v>
      </c>
      <c r="G786" s="482" t="s">
        <v>1423</v>
      </c>
      <c r="H786" s="7" t="s">
        <v>1391</v>
      </c>
      <c r="I786" s="255"/>
      <c r="J786" s="255"/>
      <c r="K786" s="593">
        <v>1400140</v>
      </c>
      <c r="L786" s="594" t="s">
        <v>9</v>
      </c>
      <c r="M786" s="594" t="s">
        <v>8</v>
      </c>
      <c r="N786" s="52" t="str">
        <f>IF(AND('331-CT'!$E$7=TH!H786,OR(L786="331",M786="331")),"331",IF(AND(OR(L786="131",M786="131"),H786='131-CT'!$E$7),"131",""))</f>
        <v/>
      </c>
      <c r="O786" s="86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99"/>
    </row>
    <row r="787" spans="1:28" s="210" customFormat="1" ht="15.75" customHeight="1">
      <c r="A787" s="203" t="str">
        <f>IF(B787&lt;&gt;"",IF(AND(B787&gt;=_TM1,B787&lt;=_TM2,OR(TH!L787="1111",TH!M787="1111")),TH!D787,""),"")</f>
        <v/>
      </c>
      <c r="B787" s="36">
        <f>IF(C787&lt;&gt;"",MONTH(C787),"")</f>
        <v>5</v>
      </c>
      <c r="C787" s="183">
        <f>E787</f>
        <v>42153</v>
      </c>
      <c r="D787" s="190" t="s">
        <v>1990</v>
      </c>
      <c r="E787" s="727">
        <v>42153</v>
      </c>
      <c r="F787" s="296" t="s">
        <v>1326</v>
      </c>
      <c r="G787" s="482" t="s">
        <v>1423</v>
      </c>
      <c r="H787" s="7" t="s">
        <v>1391</v>
      </c>
      <c r="I787" s="255"/>
      <c r="J787" s="255"/>
      <c r="K787" s="593">
        <v>15401540</v>
      </c>
      <c r="L787" s="594" t="s">
        <v>8</v>
      </c>
      <c r="M787" s="594" t="s">
        <v>47</v>
      </c>
      <c r="N787" s="52" t="str">
        <f>IF(AND('331-CT'!$E$7=TH!H787,OR(L787="331",M787="331")),"331",IF(AND(OR(L787="131",M787="131"),H787='131-CT'!$E$7),"131",""))</f>
        <v/>
      </c>
      <c r="O787" s="869" t="str">
        <f>IF(AND('341-CT'!$E$9=H787,OR(LEFT(L787,3)=$O$7,LEFT(M787,3)=$O$7)),"x","")</f>
        <v/>
      </c>
      <c r="P787" s="52" t="str">
        <f>IF(AND($B787&gt;='111'!$N$11,$B787&lt;='111'!$O$11,OR($L787=$P$7,$M787=$P$7)),"x","")</f>
        <v>x</v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99"/>
    </row>
    <row r="788" spans="1:28" s="210" customFormat="1" ht="15.75" customHeight="1">
      <c r="A788" s="203" t="str">
        <f>IF(B788&lt;&gt;"",IF(AND(B788&gt;=_TM1,B788&lt;=_TM2,OR(TH!L788="1111",TH!M788="1111")),TH!D788,""),"")</f>
        <v/>
      </c>
      <c r="B788" s="36">
        <f>IF(C788&lt;&gt;"",MONTH(C788),"")</f>
        <v>5</v>
      </c>
      <c r="C788" s="183">
        <f>E788</f>
        <v>42154</v>
      </c>
      <c r="D788" s="183" t="s">
        <v>1559</v>
      </c>
      <c r="E788" s="190">
        <v>42154</v>
      </c>
      <c r="F788" s="191" t="s">
        <v>713</v>
      </c>
      <c r="G788" s="482" t="s">
        <v>714</v>
      </c>
      <c r="H788" s="7" t="s">
        <v>715</v>
      </c>
      <c r="I788" s="255">
        <v>595</v>
      </c>
      <c r="J788" s="255">
        <v>9900</v>
      </c>
      <c r="K788" s="593">
        <f>ROUND(I788*J788,0)</f>
        <v>5890500</v>
      </c>
      <c r="L788" s="594" t="s">
        <v>259</v>
      </c>
      <c r="M788" s="594" t="s">
        <v>174</v>
      </c>
      <c r="N788" s="52" t="str">
        <f>IF(AND('331-CT'!$E$7=TH!H788,OR(L788="331",M788="331")),"331",IF(AND(OR(L788="131",M788="131"),H788='131-CT'!$E$7),"131",""))</f>
        <v/>
      </c>
      <c r="O788" s="86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99"/>
      <c r="AB788" s="585"/>
    </row>
    <row r="789" spans="1:28" s="210" customFormat="1" ht="15.75" customHeight="1">
      <c r="A789" s="203" t="str">
        <f>IF(B789&lt;&gt;"",IF(AND(B789&gt;=_TM1,B789&lt;=_TM2,OR(TH!L789="1111",TH!M789="1111")),TH!D789,""),"")</f>
        <v/>
      </c>
      <c r="B789" s="36">
        <f>IF(C789&lt;&gt;"",MONTH(C789),"")</f>
        <v>5</v>
      </c>
      <c r="C789" s="183">
        <f>E789</f>
        <v>42154</v>
      </c>
      <c r="D789" s="183" t="s">
        <v>1559</v>
      </c>
      <c r="E789" s="190">
        <v>42154</v>
      </c>
      <c r="F789" s="191" t="s">
        <v>716</v>
      </c>
      <c r="G789" s="482" t="s">
        <v>714</v>
      </c>
      <c r="H789" s="7" t="s">
        <v>715</v>
      </c>
      <c r="I789" s="255">
        <v>297</v>
      </c>
      <c r="J789" s="255">
        <v>8200</v>
      </c>
      <c r="K789" s="593">
        <f>ROUND(I789*J789,0)</f>
        <v>2435400</v>
      </c>
      <c r="L789" s="594" t="s">
        <v>259</v>
      </c>
      <c r="M789" s="594" t="s">
        <v>174</v>
      </c>
      <c r="N789" s="52" t="str">
        <f>IF(AND('331-CT'!$E$7=TH!H789,OR(L789="331",M789="331")),"331",IF(AND(OR(L789="131",M789="131"),H789='131-CT'!$E$7),"131",""))</f>
        <v/>
      </c>
      <c r="O789" s="86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99"/>
      <c r="AB789" s="585"/>
    </row>
    <row r="790" spans="1:28" s="210" customFormat="1" ht="15.75" customHeight="1">
      <c r="A790" s="203" t="str">
        <f>IF(B790&lt;&gt;"",IF(AND(B790&gt;=_TM1,B790&lt;=_TM2,OR(TH!L790="1111",TH!M790="1111")),TH!D790,""),"")</f>
        <v/>
      </c>
      <c r="B790" s="36">
        <f>IF(C790&lt;&gt;"",MONTH(C790),"")</f>
        <v>5</v>
      </c>
      <c r="C790" s="183">
        <f>E790</f>
        <v>42154</v>
      </c>
      <c r="D790" s="183" t="s">
        <v>1559</v>
      </c>
      <c r="E790" s="190">
        <v>42154</v>
      </c>
      <c r="F790" s="191" t="s">
        <v>717</v>
      </c>
      <c r="G790" s="482" t="s">
        <v>714</v>
      </c>
      <c r="H790" s="7" t="s">
        <v>715</v>
      </c>
      <c r="I790" s="255">
        <v>306</v>
      </c>
      <c r="J790" s="255">
        <v>9200</v>
      </c>
      <c r="K790" s="593">
        <f>ROUND(I790*J790,0)</f>
        <v>2815200</v>
      </c>
      <c r="L790" s="594" t="s">
        <v>259</v>
      </c>
      <c r="M790" s="594" t="s">
        <v>174</v>
      </c>
      <c r="N790" s="52" t="str">
        <f>IF(AND('331-CT'!$E$7=TH!H790,OR(L790="331",M790="331")),"331",IF(AND(OR(L790="131",M790="131"),H790='131-CT'!$E$7),"131",""))</f>
        <v/>
      </c>
      <c r="O790" s="86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99"/>
      <c r="AB790" s="585"/>
    </row>
    <row r="791" spans="1:28" s="210" customFormat="1" ht="15.75" customHeight="1">
      <c r="A791" s="203" t="str">
        <f>IF(B791&lt;&gt;"",IF(AND(B791&gt;=_TM1,B791&lt;=_TM2,OR(TH!L791="1111",TH!M791="1111")),TH!D791,""),"")</f>
        <v/>
      </c>
      <c r="B791" s="36">
        <f>IF(C791&lt;&gt;"",MONTH(C791),"")</f>
        <v>5</v>
      </c>
      <c r="C791" s="183">
        <f>E791</f>
        <v>42154</v>
      </c>
      <c r="D791" s="183" t="s">
        <v>1559</v>
      </c>
      <c r="E791" s="190">
        <v>42154</v>
      </c>
      <c r="F791" s="191" t="s">
        <v>386</v>
      </c>
      <c r="G791" s="482" t="s">
        <v>714</v>
      </c>
      <c r="H791" s="7" t="s">
        <v>715</v>
      </c>
      <c r="I791" s="255">
        <v>207</v>
      </c>
      <c r="J791" s="255">
        <v>12900</v>
      </c>
      <c r="K791" s="593">
        <f>ROUND(I791*J791,0)</f>
        <v>2670300</v>
      </c>
      <c r="L791" s="594" t="s">
        <v>259</v>
      </c>
      <c r="M791" s="594" t="s">
        <v>174</v>
      </c>
      <c r="N791" s="52" t="str">
        <f>IF(AND('331-CT'!$E$7=TH!H791,OR(L791="331",M791="331")),"331",IF(AND(OR(L791="131",M791="131"),H791='131-CT'!$E$7),"131",""))</f>
        <v/>
      </c>
      <c r="O791" s="86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99"/>
      <c r="AB791" s="585"/>
    </row>
    <row r="792" spans="1:28" s="210" customFormat="1" ht="15.75" customHeight="1">
      <c r="A792" s="203" t="str">
        <f>IF(B792&lt;&gt;"",IF(AND(B792&gt;=_TM1,B792&lt;=_TM2,OR(TH!L792="1111",TH!M792="1111")),TH!D792,""),"")</f>
        <v/>
      </c>
      <c r="B792" s="36">
        <f>IF(C792&lt;&gt;"",MONTH(C792),"")</f>
        <v>5</v>
      </c>
      <c r="C792" s="183">
        <f>E792</f>
        <v>42154</v>
      </c>
      <c r="D792" s="183" t="s">
        <v>1559</v>
      </c>
      <c r="E792" s="190">
        <v>42154</v>
      </c>
      <c r="F792" s="296" t="s">
        <v>718</v>
      </c>
      <c r="G792" s="482" t="s">
        <v>714</v>
      </c>
      <c r="H792" s="7" t="s">
        <v>715</v>
      </c>
      <c r="I792" s="255">
        <v>177</v>
      </c>
      <c r="J792" s="255">
        <v>11300</v>
      </c>
      <c r="K792" s="593">
        <f>ROUND(I792*J792,0)</f>
        <v>2000100</v>
      </c>
      <c r="L792" s="594" t="s">
        <v>259</v>
      </c>
      <c r="M792" s="594" t="s">
        <v>174</v>
      </c>
      <c r="N792" s="52" t="str">
        <f>IF(AND('331-CT'!$E$7=TH!H792,OR(L792="331",M792="331")),"331",IF(AND(OR(L792="131",M792="131"),H792='131-CT'!$E$7),"131",""))</f>
        <v/>
      </c>
      <c r="O792" s="86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99"/>
      <c r="AB792" s="585"/>
    </row>
    <row r="793" spans="1:28" s="210" customFormat="1" ht="15.75" customHeight="1">
      <c r="A793" s="203" t="str">
        <f>IF(B793&lt;&gt;"",IF(AND(B793&gt;=_TM1,B793&lt;=_TM2,OR(TH!L793="1111",TH!M793="1111")),TH!D793,""),"")</f>
        <v/>
      </c>
      <c r="B793" s="36">
        <f>IF(C793&lt;&gt;"",MONTH(C793),"")</f>
        <v>5</v>
      </c>
      <c r="C793" s="183">
        <f>E793</f>
        <v>42154</v>
      </c>
      <c r="D793" s="183" t="s">
        <v>1559</v>
      </c>
      <c r="E793" s="190">
        <v>42154</v>
      </c>
      <c r="F793" s="296" t="s">
        <v>402</v>
      </c>
      <c r="G793" s="482" t="s">
        <v>714</v>
      </c>
      <c r="H793" s="7" t="s">
        <v>715</v>
      </c>
      <c r="I793" s="750"/>
      <c r="J793" s="255"/>
      <c r="K793" s="593">
        <v>1581150</v>
      </c>
      <c r="L793" s="594" t="s">
        <v>259</v>
      </c>
      <c r="M793" s="594" t="s">
        <v>371</v>
      </c>
      <c r="N793" s="52" t="str">
        <f>IF(AND('331-CT'!$E$7=TH!H793,OR(L793="331",M793="331")),"331",IF(AND(OR(L793="131",M793="131"),H793='131-CT'!$E$7),"131",""))</f>
        <v/>
      </c>
      <c r="O793" s="86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99"/>
      <c r="AB793" s="585"/>
    </row>
    <row r="794" spans="1:28" s="210" customFormat="1" ht="15.75" customHeight="1">
      <c r="A794" s="203" t="str">
        <f>IF(B794&lt;&gt;"",IF(AND(B794&gt;=_TM1,B794&lt;=_TM2,OR(TH!L794="1111",TH!M794="1111")),TH!D794,""),"")</f>
        <v/>
      </c>
      <c r="B794" s="36">
        <f>IF(C794&lt;&gt;"",MONTH(C794),"")</f>
        <v>5</v>
      </c>
      <c r="C794" s="183">
        <f>E794</f>
        <v>42154</v>
      </c>
      <c r="D794" s="183" t="s">
        <v>1559</v>
      </c>
      <c r="E794" s="190">
        <v>42154</v>
      </c>
      <c r="F794" s="191" t="s">
        <v>1320</v>
      </c>
      <c r="G794" s="482" t="s">
        <v>714</v>
      </c>
      <c r="H794" s="7" t="s">
        <v>715</v>
      </c>
      <c r="I794" s="750"/>
      <c r="J794" s="255"/>
      <c r="K794" s="593">
        <v>17392650</v>
      </c>
      <c r="L794" s="594" t="s">
        <v>47</v>
      </c>
      <c r="M794" s="594" t="s">
        <v>259</v>
      </c>
      <c r="N794" s="52" t="str">
        <f>IF(AND('331-CT'!$E$7=TH!H794,OR(L794="331",M794="331")),"331",IF(AND(OR(L794="131",M794="131"),H794='131-CT'!$E$7),"131",""))</f>
        <v/>
      </c>
      <c r="O794" s="869" t="str">
        <f>IF(AND('341-CT'!$E$9=H794,OR(LEFT(L794,3)=$O$7,LEFT(M794,3)=$O$7)),"x","")</f>
        <v/>
      </c>
      <c r="P794" s="52" t="str">
        <f>IF(AND($B794&gt;='111'!$N$11,$B794&lt;='111'!$O$11,OR($L794=$P$7,$M794=$P$7)),"x","")</f>
        <v>x</v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99"/>
      <c r="AB794" s="585"/>
    </row>
    <row r="795" spans="1:28" s="210" customFormat="1" ht="15.75" customHeight="1">
      <c r="A795" s="203" t="str">
        <f>IF(B795&lt;&gt;"",IF(AND(B795&gt;=_TM1,B795&lt;=_TM2,OR(TH!L795="1111",TH!M795="1111")),TH!D795,""),"")</f>
        <v/>
      </c>
      <c r="B795" s="36">
        <f>IF(C795&lt;&gt;"",MONTH(C795),"")</f>
        <v>5</v>
      </c>
      <c r="C795" s="183">
        <f>E795</f>
        <v>42154</v>
      </c>
      <c r="D795" s="183" t="s">
        <v>1560</v>
      </c>
      <c r="E795" s="190">
        <v>42154</v>
      </c>
      <c r="F795" s="188" t="s">
        <v>602</v>
      </c>
      <c r="G795" s="482" t="s">
        <v>719</v>
      </c>
      <c r="H795" s="7" t="s">
        <v>950</v>
      </c>
      <c r="I795" s="258">
        <v>473</v>
      </c>
      <c r="J795" s="258">
        <v>8980</v>
      </c>
      <c r="K795" s="593">
        <f>ROUND(I795*J795,0)</f>
        <v>4247540</v>
      </c>
      <c r="L795" s="594" t="s">
        <v>259</v>
      </c>
      <c r="M795" s="594" t="s">
        <v>174</v>
      </c>
      <c r="N795" s="52" t="str">
        <f>IF(AND('331-CT'!$E$7=TH!H795,OR(L795="331",M795="331")),"331",IF(AND(OR(L795="131",M795="131"),H795='131-CT'!$E$7),"131",""))</f>
        <v/>
      </c>
      <c r="O795" s="86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99"/>
      <c r="AB795" s="585"/>
    </row>
    <row r="796" spans="1:28" s="210" customFormat="1" ht="15.75" customHeight="1">
      <c r="A796" s="203" t="str">
        <f>IF(B796&lt;&gt;"",IF(AND(B796&gt;=_TM1,B796&lt;=_TM2,OR(TH!L796="1111",TH!M796="1111")),TH!D796,""),"")</f>
        <v/>
      </c>
      <c r="B796" s="36">
        <f>IF(C796&lt;&gt;"",MONTH(C796),"")</f>
        <v>5</v>
      </c>
      <c r="C796" s="183">
        <f>E796</f>
        <v>42154</v>
      </c>
      <c r="D796" s="183" t="s">
        <v>1560</v>
      </c>
      <c r="E796" s="190">
        <v>42154</v>
      </c>
      <c r="F796" s="188" t="s">
        <v>402</v>
      </c>
      <c r="G796" s="482" t="s">
        <v>719</v>
      </c>
      <c r="H796" s="7" t="s">
        <v>950</v>
      </c>
      <c r="I796" s="258"/>
      <c r="J796" s="258"/>
      <c r="K796" s="593">
        <v>424754</v>
      </c>
      <c r="L796" s="594" t="s">
        <v>259</v>
      </c>
      <c r="M796" s="594" t="s">
        <v>371</v>
      </c>
      <c r="N796" s="52" t="str">
        <f>IF(AND('331-CT'!$E$7=TH!H796,OR(L796="331",M796="331")),"331",IF(AND(OR(L796="131",M796="131"),H796='131-CT'!$E$7),"131",""))</f>
        <v/>
      </c>
      <c r="O796" s="86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99"/>
    </row>
    <row r="797" spans="1:28" s="210" customFormat="1" ht="15.75" customHeight="1">
      <c r="A797" s="203" t="str">
        <f>IF(B797&lt;&gt;"",IF(AND(B797&gt;=_TM1,B797&lt;=_TM2,OR(TH!L797="1111",TH!M797="1111")),TH!D797,""),"")</f>
        <v/>
      </c>
      <c r="B797" s="36">
        <f>IF(C797&lt;&gt;"",MONTH(C797),"")</f>
        <v>5</v>
      </c>
      <c r="C797" s="183">
        <f>E797</f>
        <v>42154</v>
      </c>
      <c r="D797" s="183" t="s">
        <v>1561</v>
      </c>
      <c r="E797" s="190">
        <v>42154</v>
      </c>
      <c r="F797" s="188" t="s">
        <v>720</v>
      </c>
      <c r="G797" s="482" t="s">
        <v>721</v>
      </c>
      <c r="H797" s="7" t="s">
        <v>1934</v>
      </c>
      <c r="I797" s="255">
        <v>50</v>
      </c>
      <c r="J797" s="255">
        <v>15365</v>
      </c>
      <c r="K797" s="593">
        <f>ROUND(I797*J797,0)</f>
        <v>768250</v>
      </c>
      <c r="L797" s="594" t="s">
        <v>259</v>
      </c>
      <c r="M797" s="594" t="s">
        <v>174</v>
      </c>
      <c r="N797" s="52" t="str">
        <f>IF(AND('331-CT'!$E$7=TH!H797,OR(L797="331",M797="331")),"331",IF(AND(OR(L797="131",M797="131"),H797='131-CT'!$E$7),"131",""))</f>
        <v/>
      </c>
      <c r="O797" s="86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99"/>
    </row>
    <row r="798" spans="1:28" s="210" customFormat="1" ht="15.75" customHeight="1">
      <c r="A798" s="203" t="str">
        <f>IF(B798&lt;&gt;"",IF(AND(B798&gt;=_TM1,B798&lt;=_TM2,OR(TH!L798="1111",TH!M798="1111")),TH!D798,""),"")</f>
        <v/>
      </c>
      <c r="B798" s="36">
        <f>IF(C798&lt;&gt;"",MONTH(C798),"")</f>
        <v>5</v>
      </c>
      <c r="C798" s="183">
        <f>E798</f>
        <v>42154</v>
      </c>
      <c r="D798" s="183" t="s">
        <v>1561</v>
      </c>
      <c r="E798" s="190">
        <v>42154</v>
      </c>
      <c r="F798" s="40" t="s">
        <v>722</v>
      </c>
      <c r="G798" s="482" t="s">
        <v>721</v>
      </c>
      <c r="H798" s="7" t="s">
        <v>1934</v>
      </c>
      <c r="I798" s="256">
        <v>50</v>
      </c>
      <c r="J798" s="256">
        <v>12672</v>
      </c>
      <c r="K798" s="593">
        <f>ROUND(I798*J798,0)</f>
        <v>633600</v>
      </c>
      <c r="L798" s="594" t="s">
        <v>259</v>
      </c>
      <c r="M798" s="594" t="s">
        <v>174</v>
      </c>
      <c r="N798" s="52" t="str">
        <f>IF(AND('331-CT'!$E$7=TH!H798,OR(L798="331",M798="331")),"331",IF(AND(OR(L798="131",M798="131"),H798='131-CT'!$E$7),"131",""))</f>
        <v/>
      </c>
      <c r="O798" s="86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99"/>
    </row>
    <row r="799" spans="1:28" s="210" customFormat="1" ht="15.75" customHeight="1">
      <c r="A799" s="203" t="str">
        <f>IF(B799&lt;&gt;"",IF(AND(B799&gt;=_TM1,B799&lt;=_TM2,OR(TH!L799="1111",TH!M799="1111")),TH!D799,""),"")</f>
        <v/>
      </c>
      <c r="B799" s="36">
        <f>IF(C799&lt;&gt;"",MONTH(C799),"")</f>
        <v>5</v>
      </c>
      <c r="C799" s="183">
        <f>E799</f>
        <v>42154</v>
      </c>
      <c r="D799" s="183" t="s">
        <v>1561</v>
      </c>
      <c r="E799" s="190">
        <v>42154</v>
      </c>
      <c r="F799" s="40" t="s">
        <v>723</v>
      </c>
      <c r="G799" s="482" t="s">
        <v>721</v>
      </c>
      <c r="H799" s="7" t="s">
        <v>1934</v>
      </c>
      <c r="I799" s="255">
        <v>34</v>
      </c>
      <c r="J799" s="255">
        <v>14246</v>
      </c>
      <c r="K799" s="593">
        <f>ROUND(I799*J799,0)</f>
        <v>484364</v>
      </c>
      <c r="L799" s="594" t="s">
        <v>259</v>
      </c>
      <c r="M799" s="594" t="s">
        <v>174</v>
      </c>
      <c r="N799" s="52" t="str">
        <f>IF(AND('331-CT'!$E$7=TH!H799,OR(L799="331",M799="331")),"331",IF(AND(OR(L799="131",M799="131"),H799='131-CT'!$E$7),"131",""))</f>
        <v/>
      </c>
      <c r="O799" s="86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99"/>
    </row>
    <row r="800" spans="1:28" s="210" customFormat="1" ht="15.75" customHeight="1">
      <c r="A800" s="203" t="str">
        <f>IF(B800&lt;&gt;"",IF(AND(B800&gt;=_TM1,B800&lt;=_TM2,OR(TH!L800="1111",TH!M800="1111")),TH!D800,""),"")</f>
        <v/>
      </c>
      <c r="B800" s="36">
        <f>IF(C800&lt;&gt;"",MONTH(C800),"")</f>
        <v>5</v>
      </c>
      <c r="C800" s="183">
        <f>E800</f>
        <v>42154</v>
      </c>
      <c r="D800" s="183" t="s">
        <v>1561</v>
      </c>
      <c r="E800" s="190">
        <v>42154</v>
      </c>
      <c r="F800" s="40" t="s">
        <v>724</v>
      </c>
      <c r="G800" s="482" t="s">
        <v>721</v>
      </c>
      <c r="H800" s="7" t="s">
        <v>1934</v>
      </c>
      <c r="I800" s="255">
        <v>183</v>
      </c>
      <c r="J800" s="255">
        <v>20771</v>
      </c>
      <c r="K800" s="593">
        <f>ROUND(I800*J800,0)</f>
        <v>3801093</v>
      </c>
      <c r="L800" s="594" t="s">
        <v>259</v>
      </c>
      <c r="M800" s="594" t="s">
        <v>174</v>
      </c>
      <c r="N800" s="52" t="str">
        <f>IF(AND('331-CT'!$E$7=TH!H800,OR(L800="331",M800="331")),"331",IF(AND(OR(L800="131",M800="131"),H800='131-CT'!$E$7),"131",""))</f>
        <v/>
      </c>
      <c r="O800" s="86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99"/>
    </row>
    <row r="801" spans="1:28" s="210" customFormat="1" ht="15.75" customHeight="1">
      <c r="A801" s="203" t="str">
        <f>IF(B801&lt;&gt;"",IF(AND(B801&gt;=_TM1,B801&lt;=_TM2,OR(TH!L801="1111",TH!M801="1111")),TH!D801,""),"")</f>
        <v/>
      </c>
      <c r="B801" s="36">
        <f>IF(C801&lt;&gt;"",MONTH(C801),"")</f>
        <v>5</v>
      </c>
      <c r="C801" s="183">
        <f>E801</f>
        <v>42154</v>
      </c>
      <c r="D801" s="183" t="s">
        <v>1561</v>
      </c>
      <c r="E801" s="190">
        <v>42154</v>
      </c>
      <c r="F801" s="188" t="s">
        <v>725</v>
      </c>
      <c r="G801" s="482" t="s">
        <v>721</v>
      </c>
      <c r="H801" s="7" t="s">
        <v>1934</v>
      </c>
      <c r="I801" s="255">
        <v>450</v>
      </c>
      <c r="J801" s="255">
        <v>9257</v>
      </c>
      <c r="K801" s="593">
        <f>ROUND(I801*J801,0)</f>
        <v>4165650</v>
      </c>
      <c r="L801" s="594" t="s">
        <v>259</v>
      </c>
      <c r="M801" s="594" t="s">
        <v>174</v>
      </c>
      <c r="N801" s="52" t="str">
        <f>IF(AND('331-CT'!$E$7=TH!H801,OR(L801="331",M801="331")),"331",IF(AND(OR(L801="131",M801="131"),H801='131-CT'!$E$7),"131",""))</f>
        <v/>
      </c>
      <c r="O801" s="86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99"/>
    </row>
    <row r="802" spans="1:28" s="210" customFormat="1" ht="15.75" customHeight="1">
      <c r="A802" s="203" t="str">
        <f>IF(B802&lt;&gt;"",IF(AND(B802&gt;=_TM1,B802&lt;=_TM2,OR(TH!L802="1111",TH!M802="1111")),TH!D802,""),"")</f>
        <v/>
      </c>
      <c r="B802" s="36">
        <f>IF(C802&lt;&gt;"",MONTH(C802),"")</f>
        <v>5</v>
      </c>
      <c r="C802" s="183">
        <f>E802</f>
        <v>42154</v>
      </c>
      <c r="D802" s="183" t="s">
        <v>1561</v>
      </c>
      <c r="E802" s="37">
        <v>42154</v>
      </c>
      <c r="F802" s="188" t="s">
        <v>726</v>
      </c>
      <c r="G802" s="595" t="s">
        <v>721</v>
      </c>
      <c r="H802" s="7" t="s">
        <v>1934</v>
      </c>
      <c r="I802" s="255">
        <v>40</v>
      </c>
      <c r="J802" s="255">
        <v>9029</v>
      </c>
      <c r="K802" s="593">
        <f>ROUND(I802*J802,0)</f>
        <v>361160</v>
      </c>
      <c r="L802" s="594" t="s">
        <v>259</v>
      </c>
      <c r="M802" s="594" t="s">
        <v>174</v>
      </c>
      <c r="N802" s="52" t="str">
        <f>IF(AND('331-CT'!$E$7=TH!H802,OR(L802="331",M802="331")),"331",IF(AND(OR(L802="131",M802="131"),H802='131-CT'!$E$7),"131",""))</f>
        <v/>
      </c>
      <c r="O802" s="86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99"/>
    </row>
    <row r="803" spans="1:28" s="210" customFormat="1" ht="15.75" customHeight="1">
      <c r="A803" s="203" t="str">
        <f>IF(B803&lt;&gt;"",IF(AND(B803&gt;=_TM1,B803&lt;=_TM2,OR(TH!L803="1111",TH!M803="1111")),TH!D803,""),"")</f>
        <v/>
      </c>
      <c r="B803" s="36">
        <f>IF(C803&lt;&gt;"",MONTH(C803),"")</f>
        <v>5</v>
      </c>
      <c r="C803" s="183">
        <f>E803</f>
        <v>42154</v>
      </c>
      <c r="D803" s="183" t="s">
        <v>1561</v>
      </c>
      <c r="E803" s="37">
        <v>42154</v>
      </c>
      <c r="F803" s="188" t="s">
        <v>727</v>
      </c>
      <c r="G803" s="595" t="s">
        <v>721</v>
      </c>
      <c r="H803" s="7" t="s">
        <v>1934</v>
      </c>
      <c r="I803" s="255">
        <v>167</v>
      </c>
      <c r="J803" s="255">
        <v>5412</v>
      </c>
      <c r="K803" s="593">
        <f>ROUND(I803*J803,0)</f>
        <v>903804</v>
      </c>
      <c r="L803" s="594" t="s">
        <v>259</v>
      </c>
      <c r="M803" s="594" t="s">
        <v>174</v>
      </c>
      <c r="N803" s="52" t="str">
        <f>IF(AND('331-CT'!$E$7=TH!H803,OR(L803="331",M803="331")),"331",IF(AND(OR(L803="131",M803="131"),H803='131-CT'!$E$7),"131",""))</f>
        <v/>
      </c>
      <c r="O803" s="86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99"/>
    </row>
    <row r="804" spans="1:28" s="210" customFormat="1" ht="15.75" customHeight="1">
      <c r="A804" s="203" t="str">
        <f>IF(B804&lt;&gt;"",IF(AND(B804&gt;=_TM1,B804&lt;=_TM2,OR(TH!L804="1111",TH!M804="1111")),TH!D804,""),"")</f>
        <v/>
      </c>
      <c r="B804" s="36">
        <f>IF(C804&lt;&gt;"",MONTH(C804),"")</f>
        <v>5</v>
      </c>
      <c r="C804" s="183">
        <f>E804</f>
        <v>42154</v>
      </c>
      <c r="D804" s="183" t="s">
        <v>1561</v>
      </c>
      <c r="E804" s="37">
        <v>42154</v>
      </c>
      <c r="F804" s="188" t="s">
        <v>728</v>
      </c>
      <c r="G804" s="595" t="s">
        <v>721</v>
      </c>
      <c r="H804" s="7" t="s">
        <v>1934</v>
      </c>
      <c r="I804" s="255">
        <v>500</v>
      </c>
      <c r="J804" s="255">
        <v>10854</v>
      </c>
      <c r="K804" s="593">
        <f>ROUND(I804*J804,0)</f>
        <v>5427000</v>
      </c>
      <c r="L804" s="594" t="s">
        <v>259</v>
      </c>
      <c r="M804" s="594" t="s">
        <v>174</v>
      </c>
      <c r="N804" s="52" t="str">
        <f>IF(AND('331-CT'!$E$7=TH!H804,OR(L804="331",M804="331")),"331",IF(AND(OR(L804="131",M804="131"),H804='131-CT'!$E$7),"131",""))</f>
        <v/>
      </c>
      <c r="O804" s="86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99"/>
    </row>
    <row r="805" spans="1:28" s="210" customFormat="1" ht="15.75" customHeight="1">
      <c r="A805" s="203" t="str">
        <f>IF(B805&lt;&gt;"",IF(AND(B805&gt;=_TM1,B805&lt;=_TM2,OR(TH!L805="1111",TH!M805="1111")),TH!D805,""),"")</f>
        <v/>
      </c>
      <c r="B805" s="36">
        <f>IF(C805&lt;&gt;"",MONTH(C805),"")</f>
        <v>5</v>
      </c>
      <c r="C805" s="183">
        <f>E805</f>
        <v>42154</v>
      </c>
      <c r="D805" s="183" t="s">
        <v>1561</v>
      </c>
      <c r="E805" s="190">
        <v>42154</v>
      </c>
      <c r="F805" s="191" t="s">
        <v>729</v>
      </c>
      <c r="G805" s="482" t="s">
        <v>721</v>
      </c>
      <c r="H805" s="7" t="s">
        <v>1934</v>
      </c>
      <c r="I805" s="255">
        <v>20</v>
      </c>
      <c r="J805" s="255">
        <v>13531</v>
      </c>
      <c r="K805" s="593">
        <f>ROUND(I805*J805,0)</f>
        <v>270620</v>
      </c>
      <c r="L805" s="594" t="s">
        <v>259</v>
      </c>
      <c r="M805" s="594" t="s">
        <v>174</v>
      </c>
      <c r="N805" s="52" t="str">
        <f>IF(AND('331-CT'!$E$7=TH!H805,OR(L805="331",M805="331")),"331",IF(AND(OR(L805="131",M805="131"),H805='131-CT'!$E$7),"131",""))</f>
        <v/>
      </c>
      <c r="O805" s="86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99"/>
    </row>
    <row r="806" spans="1:28" s="210" customFormat="1" ht="15.75" customHeight="1">
      <c r="A806" s="203" t="str">
        <f>IF(B806&lt;&gt;"",IF(AND(B806&gt;=_TM1,B806&lt;=_TM2,OR(TH!L806="1111",TH!M806="1111")),TH!D806,""),"")</f>
        <v/>
      </c>
      <c r="B806" s="36">
        <f>IF(C806&lt;&gt;"",MONTH(C806),"")</f>
        <v>5</v>
      </c>
      <c r="C806" s="183">
        <f>E806</f>
        <v>42154</v>
      </c>
      <c r="D806" s="183" t="s">
        <v>1561</v>
      </c>
      <c r="E806" s="190">
        <v>42154</v>
      </c>
      <c r="F806" s="191" t="s">
        <v>730</v>
      </c>
      <c r="G806" s="482" t="s">
        <v>721</v>
      </c>
      <c r="H806" s="7" t="s">
        <v>1934</v>
      </c>
      <c r="I806" s="255">
        <v>100</v>
      </c>
      <c r="J806" s="255">
        <v>4088</v>
      </c>
      <c r="K806" s="593">
        <f>ROUND(I806*J806,0)</f>
        <v>408800</v>
      </c>
      <c r="L806" s="594" t="s">
        <v>259</v>
      </c>
      <c r="M806" s="594" t="s">
        <v>174</v>
      </c>
      <c r="N806" s="52" t="str">
        <f>IF(AND('331-CT'!$E$7=TH!H806,OR(L806="331",M806="331")),"331",IF(AND(OR(L806="131",M806="131"),H806='131-CT'!$E$7),"131",""))</f>
        <v/>
      </c>
      <c r="O806" s="86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99"/>
    </row>
    <row r="807" spans="1:28" s="210" customFormat="1" ht="15.75" customHeight="1">
      <c r="A807" s="203" t="str">
        <f>IF(B807&lt;&gt;"",IF(AND(B807&gt;=_TM1,B807&lt;=_TM2,OR(TH!L807="1111",TH!M807="1111")),TH!D807,""),"")</f>
        <v/>
      </c>
      <c r="B807" s="36">
        <f>IF(C807&lt;&gt;"",MONTH(C807),"")</f>
        <v>5</v>
      </c>
      <c r="C807" s="183">
        <f>E807</f>
        <v>42154</v>
      </c>
      <c r="D807" s="183" t="s">
        <v>1561</v>
      </c>
      <c r="E807" s="190">
        <v>42154</v>
      </c>
      <c r="F807" s="191" t="s">
        <v>731</v>
      </c>
      <c r="G807" s="482" t="s">
        <v>721</v>
      </c>
      <c r="H807" s="7" t="s">
        <v>1934</v>
      </c>
      <c r="I807" s="255"/>
      <c r="J807" s="255"/>
      <c r="K807" s="593">
        <v>1722434</v>
      </c>
      <c r="L807" s="594" t="s">
        <v>259</v>
      </c>
      <c r="M807" s="594" t="s">
        <v>371</v>
      </c>
      <c r="N807" s="52" t="str">
        <f>IF(AND('331-CT'!$E$7=TH!H807,OR(L807="331",M807="331")),"331",IF(AND(OR(L807="131",M807="131"),H807='131-CT'!$E$7),"131",""))</f>
        <v/>
      </c>
      <c r="O807" s="86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99"/>
    </row>
    <row r="808" spans="1:28" s="210" customFormat="1" ht="15.75" customHeight="1">
      <c r="A808" s="203" t="str">
        <f>IF(B808&lt;&gt;"",IF(AND(B808&gt;=_TM1,B808&lt;=_TM2,OR(TH!L808="1111",TH!M808="1111")),TH!D808,""),"")</f>
        <v/>
      </c>
      <c r="B808" s="36">
        <f>IF(C808&lt;&gt;"",MONTH(C808),"")</f>
        <v>5</v>
      </c>
      <c r="C808" s="183">
        <f>E808</f>
        <v>42154</v>
      </c>
      <c r="D808" s="183" t="s">
        <v>1562</v>
      </c>
      <c r="E808" s="190">
        <v>42154</v>
      </c>
      <c r="F808" s="191" t="s">
        <v>454</v>
      </c>
      <c r="G808" s="482" t="s">
        <v>732</v>
      </c>
      <c r="H808" s="7" t="s">
        <v>733</v>
      </c>
      <c r="I808" s="255">
        <v>295</v>
      </c>
      <c r="J808" s="255">
        <v>47449</v>
      </c>
      <c r="K808" s="593">
        <f>ROUND(I808*J808,0)</f>
        <v>13997455</v>
      </c>
      <c r="L808" s="594" t="s">
        <v>259</v>
      </c>
      <c r="M808" s="594" t="s">
        <v>174</v>
      </c>
      <c r="N808" s="52" t="str">
        <f>IF(AND('331-CT'!$E$7=TH!H808,OR(L808="331",M808="331")),"331",IF(AND(OR(L808="131",M808="131"),H808='131-CT'!$E$7),"131",""))</f>
        <v/>
      </c>
      <c r="O808" s="86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99"/>
    </row>
    <row r="809" spans="1:28" s="210" customFormat="1" ht="15.75" customHeight="1">
      <c r="A809" s="203" t="str">
        <f>IF(B809&lt;&gt;"",IF(AND(B809&gt;=_TM1,B809&lt;=_TM2,OR(TH!L809="1111",TH!M809="1111")),TH!D809,""),"")</f>
        <v/>
      </c>
      <c r="B809" s="36">
        <f>IF(C809&lt;&gt;"",MONTH(C809),"")</f>
        <v>5</v>
      </c>
      <c r="C809" s="183">
        <f>E809</f>
        <v>42154</v>
      </c>
      <c r="D809" s="183" t="s">
        <v>1562</v>
      </c>
      <c r="E809" s="190">
        <v>42154</v>
      </c>
      <c r="F809" s="191" t="s">
        <v>402</v>
      </c>
      <c r="G809" s="482" t="s">
        <v>732</v>
      </c>
      <c r="H809" s="7" t="s">
        <v>733</v>
      </c>
      <c r="I809" s="255"/>
      <c r="J809" s="255"/>
      <c r="K809" s="593">
        <v>1399746</v>
      </c>
      <c r="L809" s="594" t="s">
        <v>259</v>
      </c>
      <c r="M809" s="594" t="s">
        <v>371</v>
      </c>
      <c r="N809" s="52" t="str">
        <f>IF(AND('331-CT'!$E$7=TH!H809,OR(L809="331",M809="331")),"331",IF(AND(OR(L809="131",M809="131"),H809='131-CT'!$E$7),"131",""))</f>
        <v/>
      </c>
      <c r="O809" s="86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99"/>
    </row>
    <row r="810" spans="1:28" s="210" customFormat="1" ht="15.75" customHeight="1">
      <c r="A810" s="203" t="str">
        <f>IF(B810&lt;&gt;"",IF(AND(B810&gt;=_TM1,B810&lt;=_TM2,OR(TH!L810="1111",TH!M810="1111")),TH!D810,""),"")</f>
        <v/>
      </c>
      <c r="B810" s="36">
        <f>IF(C810&lt;&gt;"",MONTH(C810),"")</f>
        <v>5</v>
      </c>
      <c r="C810" s="183">
        <f>E810</f>
        <v>42154</v>
      </c>
      <c r="D810" s="183" t="s">
        <v>1324</v>
      </c>
      <c r="E810" s="190">
        <v>42154</v>
      </c>
      <c r="F810" s="188" t="s">
        <v>1325</v>
      </c>
      <c r="G810" s="482" t="s">
        <v>332</v>
      </c>
      <c r="H810" s="7" t="s">
        <v>1322</v>
      </c>
      <c r="I810" s="255"/>
      <c r="J810" s="255"/>
      <c r="K810" s="593">
        <v>49500000</v>
      </c>
      <c r="L810" s="594" t="s">
        <v>47</v>
      </c>
      <c r="M810" s="594" t="s">
        <v>24</v>
      </c>
      <c r="N810" s="52" t="str">
        <f>IF(AND('331-CT'!$E$7=TH!H810,OR(L810="331",M810="331")),"331",IF(AND(OR(L810="131",M810="131"),H810='131-CT'!$E$7),"131",""))</f>
        <v/>
      </c>
      <c r="O810" s="869" t="str">
        <f>IF(AND('341-CT'!$E$9=H810,OR(LEFT(L810,3)=$O$7,LEFT(M810,3)=$O$7)),"x","")</f>
        <v/>
      </c>
      <c r="P810" s="52" t="str">
        <f>IF(AND($B810&gt;='111'!$N$11,$B810&lt;='111'!$O$11,OR($L810=$P$7,$M810=$P$7)),"x","")</f>
        <v>x</v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>x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99"/>
    </row>
    <row r="811" spans="1:28" s="210" customFormat="1" ht="15.75" customHeight="1">
      <c r="A811" s="203" t="str">
        <f>IF(B811&lt;&gt;"",IF(AND(B811&gt;=_TM1,B811&lt;=_TM2,OR(TH!L811="1111",TH!M811="1111")),TH!D811,""),"")</f>
        <v/>
      </c>
      <c r="B811" s="36">
        <f>IF(C811&lt;&gt;"",MONTH(C811),"")</f>
        <v>5</v>
      </c>
      <c r="C811" s="183">
        <f>E811</f>
        <v>42154</v>
      </c>
      <c r="D811" s="183" t="s">
        <v>1961</v>
      </c>
      <c r="E811" s="727">
        <v>42154</v>
      </c>
      <c r="F811" s="188" t="s">
        <v>337</v>
      </c>
      <c r="G811" s="482" t="s">
        <v>1424</v>
      </c>
      <c r="H811" s="7" t="s">
        <v>357</v>
      </c>
      <c r="I811" s="255">
        <v>24</v>
      </c>
      <c r="J811" s="255">
        <v>44000</v>
      </c>
      <c r="K811" s="593">
        <f>ROUND(I811*J811,0)</f>
        <v>1056000</v>
      </c>
      <c r="L811" s="193" t="s">
        <v>161</v>
      </c>
      <c r="M811" s="193" t="s">
        <v>8</v>
      </c>
      <c r="N811" s="52" t="str">
        <f>IF(AND('331-CT'!$E$7=TH!H811,OR(L811="331",M811="331")),"331",IF(AND(OR(L811="131",M811="131"),H811='131-CT'!$E$7),"131",""))</f>
        <v/>
      </c>
      <c r="O811" s="86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99"/>
    </row>
    <row r="812" spans="1:28" s="210" customFormat="1" ht="15.75" customHeight="1">
      <c r="A812" s="203" t="str">
        <f>IF(B812&lt;&gt;"",IF(AND(B812&gt;=_TM1,B812&lt;=_TM2,OR(TH!L812="1111",TH!M812="1111")),TH!D812,""),"")</f>
        <v/>
      </c>
      <c r="B812" s="36">
        <f>IF(C812&lt;&gt;"",MONTH(C812),"")</f>
        <v>5</v>
      </c>
      <c r="C812" s="183">
        <f>E812</f>
        <v>42154</v>
      </c>
      <c r="D812" s="183" t="s">
        <v>1961</v>
      </c>
      <c r="E812" s="727">
        <v>42154</v>
      </c>
      <c r="F812" s="188" t="s">
        <v>1366</v>
      </c>
      <c r="G812" s="482" t="s">
        <v>1424</v>
      </c>
      <c r="H812" s="7" t="s">
        <v>357</v>
      </c>
      <c r="I812" s="255"/>
      <c r="J812" s="255"/>
      <c r="K812" s="593">
        <v>105600</v>
      </c>
      <c r="L812" s="193" t="s">
        <v>9</v>
      </c>
      <c r="M812" s="193" t="s">
        <v>8</v>
      </c>
      <c r="N812" s="52" t="str">
        <f>IF(AND('331-CT'!$E$7=TH!H812,OR(L812="331",M812="331")),"331",IF(AND(OR(L812="131",M812="131"),H812='131-CT'!$E$7),"131",""))</f>
        <v/>
      </c>
      <c r="O812" s="86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99"/>
    </row>
    <row r="813" spans="1:28" s="210" customFormat="1" ht="15.75" customHeight="1">
      <c r="A813" s="203" t="str">
        <f>IF(B813&lt;&gt;"",IF(AND(B813&gt;=_TM1,B813&lt;=_TM2,OR(TH!L813="1111",TH!M813="1111")),TH!D813,""),"")</f>
        <v/>
      </c>
      <c r="B813" s="36">
        <f>IF(C813&lt;&gt;"",MONTH(C813),"")</f>
        <v>5</v>
      </c>
      <c r="C813" s="183">
        <f>E813</f>
        <v>42154</v>
      </c>
      <c r="D813" s="183" t="s">
        <v>1961</v>
      </c>
      <c r="E813" s="727">
        <v>42154</v>
      </c>
      <c r="F813" s="296" t="s">
        <v>1326</v>
      </c>
      <c r="G813" s="482" t="s">
        <v>1424</v>
      </c>
      <c r="H813" s="7" t="s">
        <v>357</v>
      </c>
      <c r="I813" s="255"/>
      <c r="J813" s="255"/>
      <c r="K813" s="593">
        <v>1161600</v>
      </c>
      <c r="L813" s="193" t="s">
        <v>8</v>
      </c>
      <c r="M813" s="193" t="s">
        <v>47</v>
      </c>
      <c r="N813" s="52" t="str">
        <f>IF(AND('331-CT'!$E$7=TH!H813,OR(L813="331",M813="331")),"331",IF(AND(OR(L813="131",M813="131"),H813='131-CT'!$E$7),"131",""))</f>
        <v/>
      </c>
      <c r="O813" s="869" t="str">
        <f>IF(AND('341-CT'!$E$9=H813,OR(LEFT(L813,3)=$O$7,LEFT(M813,3)=$O$7)),"x","")</f>
        <v/>
      </c>
      <c r="P813" s="52" t="str">
        <f>IF(AND($B813&gt;='111'!$N$11,$B813&lt;='111'!$O$11,OR($L813=$P$7,$M813=$P$7)),"x","")</f>
        <v>x</v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99"/>
    </row>
    <row r="814" spans="1:28" s="210" customFormat="1" ht="15.75" customHeight="1">
      <c r="A814" s="203" t="str">
        <f>IF(B814&lt;&gt;"",IF(AND(B814&gt;=_TM1,B814&lt;=_TM2,OR(TH!L814="1111",TH!M814="1111")),TH!D814,""),"")</f>
        <v/>
      </c>
      <c r="B814" s="36">
        <f>IF(C814&lt;&gt;"",MONTH(C814),"")</f>
        <v>5</v>
      </c>
      <c r="C814" s="888">
        <f>E814</f>
        <v>42155</v>
      </c>
      <c r="D814" s="888" t="s">
        <v>334</v>
      </c>
      <c r="E814" s="888">
        <v>42155</v>
      </c>
      <c r="F814" s="889" t="s">
        <v>1939</v>
      </c>
      <c r="G814" s="890"/>
      <c r="H814" s="891"/>
      <c r="I814" s="892"/>
      <c r="J814" s="892"/>
      <c r="K814" s="893">
        <v>16625000</v>
      </c>
      <c r="L814" s="894" t="s">
        <v>83</v>
      </c>
      <c r="M814" s="894" t="s">
        <v>262</v>
      </c>
      <c r="N814" s="52" t="str">
        <f>IF(AND('331-CT'!$E$7=TH!H814,OR(L814="331",M814="331")),"331",IF(AND(OR(L814="131",M814="131"),H814='131-CT'!$E$7),"131",""))</f>
        <v/>
      </c>
      <c r="O814" s="86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>x</v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197"/>
      <c r="AB814" s="197"/>
    </row>
    <row r="815" spans="1:28" s="210" customFormat="1" ht="15.75" customHeight="1">
      <c r="A815" s="203" t="str">
        <f>IF(B815&lt;&gt;"",IF(AND(B815&gt;=_TM1,B815&lt;=_TM2,OR(TH!L815="1111",TH!M815="1111")),TH!D815,""),"")</f>
        <v/>
      </c>
      <c r="B815" s="36">
        <f>IF(C815&lt;&gt;"",MONTH(C815),"")</f>
        <v>5</v>
      </c>
      <c r="C815" s="888">
        <f>E815</f>
        <v>42155</v>
      </c>
      <c r="D815" s="888" t="s">
        <v>334</v>
      </c>
      <c r="E815" s="888">
        <v>42155</v>
      </c>
      <c r="F815" s="889" t="s">
        <v>1940</v>
      </c>
      <c r="G815" s="890"/>
      <c r="H815" s="891"/>
      <c r="I815" s="892"/>
      <c r="J815" s="892"/>
      <c r="K815" s="893">
        <v>34425000</v>
      </c>
      <c r="L815" s="894" t="s">
        <v>165</v>
      </c>
      <c r="M815" s="894" t="s">
        <v>262</v>
      </c>
      <c r="N815" s="52" t="str">
        <f>IF(AND('331-CT'!$E$7=TH!H815,OR(L815="331",M815="331")),"331",IF(AND(OR(L815="131",M815="131"),H815='131-CT'!$E$7),"131",""))</f>
        <v/>
      </c>
      <c r="O815" s="86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197"/>
      <c r="AB815" s="197"/>
    </row>
    <row r="816" spans="1:28" s="210" customFormat="1" ht="15.75" customHeight="1">
      <c r="A816" s="203" t="str">
        <f>IF(B816&lt;&gt;"",IF(AND(B816&gt;=_TM1,B816&lt;=_TM2,OR(TH!L816="1111",TH!M816="1111")),TH!D816,""),"")</f>
        <v/>
      </c>
      <c r="B816" s="36">
        <f>IF(C816&lt;&gt;"",MONTH(C816),"")</f>
        <v>5</v>
      </c>
      <c r="C816" s="888">
        <f>E816</f>
        <v>42155</v>
      </c>
      <c r="D816" s="888" t="s">
        <v>334</v>
      </c>
      <c r="E816" s="888">
        <v>42155</v>
      </c>
      <c r="F816" s="889" t="str">
        <f>"Thanh toán tiền lương tháng "&amp;MONTH(E816)&amp;"/"&amp;YEAR(E816)</f>
        <v>Thanh toán tiền lương tháng 5/2015</v>
      </c>
      <c r="G816" s="890"/>
      <c r="H816" s="891"/>
      <c r="I816" s="892"/>
      <c r="J816" s="892"/>
      <c r="K816" s="893">
        <f>K814+K815</f>
        <v>51050000</v>
      </c>
      <c r="L816" s="894" t="s">
        <v>262</v>
      </c>
      <c r="M816" s="894" t="s">
        <v>47</v>
      </c>
      <c r="N816" s="52" t="str">
        <f>IF(AND('331-CT'!$E$7=TH!H816,OR(L816="331",M816="331")),"331",IF(AND(OR(L816="131",M816="131"),H816='131-CT'!$E$7),"131",""))</f>
        <v/>
      </c>
      <c r="O816" s="869" t="str">
        <f>IF(AND('341-CT'!$E$9=H816,OR(LEFT(L816,3)=$O$7,LEFT(M816,3)=$O$7)),"x","")</f>
        <v/>
      </c>
      <c r="P816" s="52" t="str">
        <f>IF(AND($B816&gt;='111'!$N$11,$B816&lt;='111'!$O$11,OR($L816=$P$7,$M816=$P$7)),"x","")</f>
        <v>x</v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197"/>
      <c r="AB816" s="197"/>
    </row>
    <row r="817" spans="1:27" s="210" customFormat="1" ht="15.75" customHeight="1">
      <c r="A817" s="203" t="str">
        <f>IF(B817&lt;&gt;"",IF(AND(B817&gt;=_TM1,B817&lt;=_TM2,OR(TH!L817="1111",TH!M817="1111")),TH!D817,""),"")</f>
        <v/>
      </c>
      <c r="B817" s="36">
        <f>IF(C817&lt;&gt;"",MONTH(C817),"")</f>
        <v>5</v>
      </c>
      <c r="C817" s="183">
        <f>E817</f>
        <v>42155</v>
      </c>
      <c r="D817" s="183" t="s">
        <v>1563</v>
      </c>
      <c r="E817" s="190">
        <v>42155</v>
      </c>
      <c r="F817" s="191" t="s">
        <v>734</v>
      </c>
      <c r="G817" s="482" t="s">
        <v>735</v>
      </c>
      <c r="H817" s="7" t="s">
        <v>733</v>
      </c>
      <c r="I817" s="255">
        <v>102</v>
      </c>
      <c r="J817" s="255">
        <v>38831</v>
      </c>
      <c r="K817" s="593">
        <f>ROUND(I817*J817,0)</f>
        <v>3960762</v>
      </c>
      <c r="L817" s="594" t="s">
        <v>259</v>
      </c>
      <c r="M817" s="594" t="s">
        <v>174</v>
      </c>
      <c r="N817" s="52" t="str">
        <f>IF(AND('331-CT'!$E$7=TH!H817,OR(L817="331",M817="331")),"331",IF(AND(OR(L817="131",M817="131"),H817='131-CT'!$E$7),"131",""))</f>
        <v/>
      </c>
      <c r="O817" s="86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99"/>
    </row>
    <row r="818" spans="1:27" s="210" customFormat="1" ht="15.75" customHeight="1">
      <c r="A818" s="203" t="str">
        <f>IF(B818&lt;&gt;"",IF(AND(B818&gt;=_TM1,B818&lt;=_TM2,OR(TH!L818="1111",TH!M818="1111")),TH!D818,""),"")</f>
        <v/>
      </c>
      <c r="B818" s="36">
        <f>IF(C818&lt;&gt;"",MONTH(C818),"")</f>
        <v>5</v>
      </c>
      <c r="C818" s="183">
        <f>E818</f>
        <v>42155</v>
      </c>
      <c r="D818" s="183" t="s">
        <v>1563</v>
      </c>
      <c r="E818" s="190">
        <v>42155</v>
      </c>
      <c r="F818" s="191" t="s">
        <v>736</v>
      </c>
      <c r="G818" s="482" t="s">
        <v>735</v>
      </c>
      <c r="H818" s="7" t="s">
        <v>733</v>
      </c>
      <c r="I818" s="256">
        <v>418</v>
      </c>
      <c r="J818" s="256">
        <v>7885</v>
      </c>
      <c r="K818" s="593">
        <f>ROUND(I818*J818,0)</f>
        <v>3295930</v>
      </c>
      <c r="L818" s="594" t="s">
        <v>259</v>
      </c>
      <c r="M818" s="594" t="s">
        <v>174</v>
      </c>
      <c r="N818" s="52" t="str">
        <f>IF(AND('331-CT'!$E$7=TH!H818,OR(L818="331",M818="331")),"331",IF(AND(OR(L818="131",M818="131"),H818='131-CT'!$E$7),"131",""))</f>
        <v/>
      </c>
      <c r="O818" s="86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99"/>
    </row>
    <row r="819" spans="1:27" s="210" customFormat="1" ht="15.75" customHeight="1">
      <c r="A819" s="203" t="str">
        <f>IF(B819&lt;&gt;"",IF(AND(B819&gt;=_TM1,B819&lt;=_TM2,OR(TH!L819="1111",TH!M819="1111")),TH!D819,""),"")</f>
        <v/>
      </c>
      <c r="B819" s="36">
        <f>IF(C819&lt;&gt;"",MONTH(C819),"")</f>
        <v>5</v>
      </c>
      <c r="C819" s="183">
        <f>E819</f>
        <v>42155</v>
      </c>
      <c r="D819" s="183" t="s">
        <v>1563</v>
      </c>
      <c r="E819" s="190">
        <v>42155</v>
      </c>
      <c r="F819" s="191" t="s">
        <v>737</v>
      </c>
      <c r="G819" s="482" t="s">
        <v>735</v>
      </c>
      <c r="H819" s="7" t="s">
        <v>733</v>
      </c>
      <c r="I819" s="255">
        <v>28</v>
      </c>
      <c r="J819" s="255">
        <v>8131</v>
      </c>
      <c r="K819" s="593">
        <f>ROUND(I819*J819,0)</f>
        <v>227668</v>
      </c>
      <c r="L819" s="594" t="s">
        <v>259</v>
      </c>
      <c r="M819" s="594" t="s">
        <v>174</v>
      </c>
      <c r="N819" s="52" t="str">
        <f>IF(AND('331-CT'!$E$7=TH!H819,OR(L819="331",M819="331")),"331",IF(AND(OR(L819="131",M819="131"),H819='131-CT'!$E$7),"131",""))</f>
        <v/>
      </c>
      <c r="O819" s="86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99"/>
    </row>
    <row r="820" spans="1:27" s="210" customFormat="1" ht="15.75" customHeight="1">
      <c r="A820" s="203" t="str">
        <f>IF(B820&lt;&gt;"",IF(AND(B820&gt;=_TM1,B820&lt;=_TM2,OR(TH!L820="1111",TH!M820="1111")),TH!D820,""),"")</f>
        <v/>
      </c>
      <c r="B820" s="36">
        <f>IF(C820&lt;&gt;"",MONTH(C820),"")</f>
        <v>5</v>
      </c>
      <c r="C820" s="183">
        <f>E820</f>
        <v>42155</v>
      </c>
      <c r="D820" s="183" t="s">
        <v>1563</v>
      </c>
      <c r="E820" s="190">
        <v>42155</v>
      </c>
      <c r="F820" s="191" t="s">
        <v>738</v>
      </c>
      <c r="G820" s="482" t="s">
        <v>735</v>
      </c>
      <c r="H820" s="7" t="s">
        <v>733</v>
      </c>
      <c r="I820" s="255">
        <v>25</v>
      </c>
      <c r="J820" s="255">
        <v>8378</v>
      </c>
      <c r="K820" s="593">
        <f>ROUND(I820*J820,0)</f>
        <v>209450</v>
      </c>
      <c r="L820" s="594" t="s">
        <v>259</v>
      </c>
      <c r="M820" s="594" t="s">
        <v>174</v>
      </c>
      <c r="N820" s="52" t="str">
        <f>IF(AND('331-CT'!$E$7=TH!H820,OR(L820="331",M820="331")),"331",IF(AND(OR(L820="131",M820="131"),H820='131-CT'!$E$7),"131",""))</f>
        <v/>
      </c>
      <c r="O820" s="86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99"/>
    </row>
    <row r="821" spans="1:27" s="210" customFormat="1" ht="15.75" customHeight="1">
      <c r="A821" s="203" t="str">
        <f>IF(B821&lt;&gt;"",IF(AND(B821&gt;=_TM1,B821&lt;=_TM2,OR(TH!L821="1111",TH!M821="1111")),TH!D821,""),"")</f>
        <v/>
      </c>
      <c r="B821" s="36">
        <f>IF(C821&lt;&gt;"",MONTH(C821),"")</f>
        <v>5</v>
      </c>
      <c r="C821" s="183">
        <f>E821</f>
        <v>42155</v>
      </c>
      <c r="D821" s="183" t="s">
        <v>1563</v>
      </c>
      <c r="E821" s="190">
        <v>42155</v>
      </c>
      <c r="F821" s="191" t="s">
        <v>402</v>
      </c>
      <c r="G821" s="482" t="s">
        <v>735</v>
      </c>
      <c r="H821" s="7" t="s">
        <v>733</v>
      </c>
      <c r="I821" s="255"/>
      <c r="J821" s="255"/>
      <c r="K821" s="593">
        <v>769381</v>
      </c>
      <c r="L821" s="594" t="s">
        <v>259</v>
      </c>
      <c r="M821" s="594" t="s">
        <v>371</v>
      </c>
      <c r="N821" s="52" t="str">
        <f>IF(AND('331-CT'!$E$7=TH!H821,OR(L821="331",M821="331")),"331",IF(AND(OR(L821="131",M821="131"),H821='131-CT'!$E$7),"131",""))</f>
        <v/>
      </c>
      <c r="O821" s="86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99"/>
    </row>
    <row r="822" spans="1:27" s="210" customFormat="1" ht="15.75" customHeight="1">
      <c r="A822" s="203" t="str">
        <f>IF(B822&lt;&gt;"",IF(AND(B822&gt;=_TM1,B822&lt;=_TM2,OR(TH!L822="1111",TH!M822="1111")),TH!D822,""),"")</f>
        <v/>
      </c>
      <c r="B822" s="36">
        <f>IF(C822&lt;&gt;"",MONTH(C822),"")</f>
        <v>5</v>
      </c>
      <c r="C822" s="183">
        <f>E822</f>
        <v>42155</v>
      </c>
      <c r="D822" s="183" t="s">
        <v>1563</v>
      </c>
      <c r="E822" s="190">
        <v>42155</v>
      </c>
      <c r="F822" s="191" t="s">
        <v>1320</v>
      </c>
      <c r="G822" s="482" t="s">
        <v>2036</v>
      </c>
      <c r="H822" s="7" t="s">
        <v>733</v>
      </c>
      <c r="I822" s="255"/>
      <c r="J822" s="255"/>
      <c r="K822" s="593">
        <f>8275999+15397201+8463191</f>
        <v>32136391</v>
      </c>
      <c r="L822" s="594" t="s">
        <v>47</v>
      </c>
      <c r="M822" s="594" t="s">
        <v>259</v>
      </c>
      <c r="N822" s="52" t="str">
        <f>IF(AND('331-CT'!$E$7=TH!H822,OR(L822="331",M822="331")),"331",IF(AND(OR(L822="131",M822="131"),H822='131-CT'!$E$7),"131",""))</f>
        <v/>
      </c>
      <c r="O822" s="869" t="str">
        <f>IF(AND('341-CT'!$E$9=H822,OR(LEFT(L822,3)=$O$7,LEFT(M822,3)=$O$7)),"x","")</f>
        <v/>
      </c>
      <c r="P822" s="52" t="str">
        <f>IF(AND($B822&gt;='111'!$N$11,$B822&lt;='111'!$O$11,OR($L822=$P$7,$M822=$P$7)),"x","")</f>
        <v>x</v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99"/>
    </row>
    <row r="823" spans="1:27" s="210" customFormat="1" ht="15.75" customHeight="1">
      <c r="A823" s="203" t="str">
        <f>IF(B823&lt;&gt;"",IF(AND(B823&gt;=_TM1,B823&lt;=_TM2,OR(TH!L823="1111",TH!M823="1111")),TH!D823,""),"")</f>
        <v/>
      </c>
      <c r="B823" s="36">
        <f>IF(C823&lt;&gt;"",MONTH(C823),"")</f>
        <v>5</v>
      </c>
      <c r="C823" s="183">
        <f>E823</f>
        <v>42155</v>
      </c>
      <c r="D823" s="183" t="s">
        <v>1564</v>
      </c>
      <c r="E823" s="190">
        <v>42155</v>
      </c>
      <c r="F823" s="191" t="s">
        <v>739</v>
      </c>
      <c r="G823" s="482" t="s">
        <v>740</v>
      </c>
      <c r="H823" s="7" t="s">
        <v>1934</v>
      </c>
      <c r="I823" s="255">
        <v>400</v>
      </c>
      <c r="J823" s="255">
        <v>9531</v>
      </c>
      <c r="K823" s="593">
        <f>ROUND(I823*J823,0)</f>
        <v>3812400</v>
      </c>
      <c r="L823" s="594" t="s">
        <v>259</v>
      </c>
      <c r="M823" s="594" t="s">
        <v>174</v>
      </c>
      <c r="N823" s="52" t="str">
        <f>IF(AND('331-CT'!$E$7=TH!H823,OR(L823="331",M823="331")),"331",IF(AND(OR(L823="131",M823="131"),H823='131-CT'!$E$7),"131",""))</f>
        <v/>
      </c>
      <c r="O823" s="86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99"/>
    </row>
    <row r="824" spans="1:27" s="210" customFormat="1" ht="15.75" customHeight="1">
      <c r="A824" s="203" t="str">
        <f>IF(B824&lt;&gt;"",IF(AND(B824&gt;=_TM1,B824&lt;=_TM2,OR(TH!L824="1111",TH!M824="1111")),TH!D824,""),"")</f>
        <v/>
      </c>
      <c r="B824" s="36">
        <f>IF(C824&lt;&gt;"",MONTH(C824),"")</f>
        <v>5</v>
      </c>
      <c r="C824" s="183">
        <f>E824</f>
        <v>42155</v>
      </c>
      <c r="D824" s="183" t="s">
        <v>1564</v>
      </c>
      <c r="E824" s="190">
        <v>42155</v>
      </c>
      <c r="F824" s="191" t="s">
        <v>741</v>
      </c>
      <c r="G824" s="482" t="s">
        <v>740</v>
      </c>
      <c r="H824" s="7" t="s">
        <v>1934</v>
      </c>
      <c r="I824" s="255">
        <v>100</v>
      </c>
      <c r="J824" s="255">
        <v>8973</v>
      </c>
      <c r="K824" s="593">
        <f>ROUND(I824*J824,0)</f>
        <v>897300</v>
      </c>
      <c r="L824" s="594" t="s">
        <v>259</v>
      </c>
      <c r="M824" s="594" t="s">
        <v>174</v>
      </c>
      <c r="N824" s="52" t="str">
        <f>IF(AND('331-CT'!$E$7=TH!H824,OR(L824="331",M824="331")),"331",IF(AND(OR(L824="131",M824="131"),H824='131-CT'!$E$7),"131",""))</f>
        <v/>
      </c>
      <c r="O824" s="86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99"/>
    </row>
    <row r="825" spans="1:27" s="210" customFormat="1" ht="15.75" customHeight="1">
      <c r="A825" s="203" t="str">
        <f>IF(B825&lt;&gt;"",IF(AND(B825&gt;=_TM1,B825&lt;=_TM2,OR(TH!L825="1111",TH!M825="1111")),TH!D825,""),"")</f>
        <v/>
      </c>
      <c r="B825" s="36">
        <f>IF(C825&lt;&gt;"",MONTH(C825),"")</f>
        <v>5</v>
      </c>
      <c r="C825" s="183">
        <f>E825</f>
        <v>42155</v>
      </c>
      <c r="D825" s="183" t="s">
        <v>1564</v>
      </c>
      <c r="E825" s="190">
        <v>42155</v>
      </c>
      <c r="F825" s="191" t="s">
        <v>742</v>
      </c>
      <c r="G825" s="482" t="s">
        <v>740</v>
      </c>
      <c r="H825" s="7" t="s">
        <v>1934</v>
      </c>
      <c r="I825" s="255">
        <v>70</v>
      </c>
      <c r="J825" s="255">
        <v>17836</v>
      </c>
      <c r="K825" s="593">
        <f>ROUND(I825*J825,0)</f>
        <v>1248520</v>
      </c>
      <c r="L825" s="594" t="s">
        <v>259</v>
      </c>
      <c r="M825" s="594" t="s">
        <v>174</v>
      </c>
      <c r="N825" s="52" t="str">
        <f>IF(AND('331-CT'!$E$7=TH!H825,OR(L825="331",M825="331")),"331",IF(AND(OR(L825="131",M825="131"),H825='131-CT'!$E$7),"131",""))</f>
        <v/>
      </c>
      <c r="O825" s="86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99"/>
    </row>
    <row r="826" spans="1:27" s="210" customFormat="1" ht="15.75" customHeight="1">
      <c r="A826" s="203" t="str">
        <f>IF(B826&lt;&gt;"",IF(AND(B826&gt;=_TM1,B826&lt;=_TM2,OR(TH!L826="1111",TH!M826="1111")),TH!D826,""),"")</f>
        <v/>
      </c>
      <c r="B826" s="36">
        <f>IF(C826&lt;&gt;"",MONTH(C826),"")</f>
        <v>5</v>
      </c>
      <c r="C826" s="183">
        <f>E826</f>
        <v>42155</v>
      </c>
      <c r="D826" s="183" t="s">
        <v>1564</v>
      </c>
      <c r="E826" s="190">
        <v>42155</v>
      </c>
      <c r="F826" s="191" t="s">
        <v>743</v>
      </c>
      <c r="G826" s="482" t="s">
        <v>740</v>
      </c>
      <c r="H826" s="7" t="s">
        <v>1934</v>
      </c>
      <c r="I826" s="255">
        <v>60</v>
      </c>
      <c r="J826" s="255">
        <v>2834</v>
      </c>
      <c r="K826" s="593">
        <f>ROUND(I826*J826,0)</f>
        <v>170040</v>
      </c>
      <c r="L826" s="594" t="s">
        <v>259</v>
      </c>
      <c r="M826" s="594" t="s">
        <v>174</v>
      </c>
      <c r="N826" s="52" t="str">
        <f>IF(AND('331-CT'!$E$7=TH!H826,OR(L826="331",M826="331")),"331",IF(AND(OR(L826="131",M826="131"),H826='131-CT'!$E$7),"131",""))</f>
        <v/>
      </c>
      <c r="O826" s="86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99"/>
    </row>
    <row r="827" spans="1:27" s="210" customFormat="1" ht="15.75" customHeight="1">
      <c r="A827" s="203" t="str">
        <f>IF(B827&lt;&gt;"",IF(AND(B827&gt;=_TM1,B827&lt;=_TM2,OR(TH!L827="1111",TH!M827="1111")),TH!D827,""),"")</f>
        <v/>
      </c>
      <c r="B827" s="36">
        <f>IF(C827&lt;&gt;"",MONTH(C827),"")</f>
        <v>5</v>
      </c>
      <c r="C827" s="183">
        <f>E827</f>
        <v>42155</v>
      </c>
      <c r="D827" s="183" t="s">
        <v>1564</v>
      </c>
      <c r="E827" s="190">
        <v>42155</v>
      </c>
      <c r="F827" s="191" t="s">
        <v>744</v>
      </c>
      <c r="G827" s="482" t="s">
        <v>740</v>
      </c>
      <c r="H827" s="7" t="s">
        <v>1934</v>
      </c>
      <c r="I827" s="255">
        <v>27</v>
      </c>
      <c r="J827" s="255">
        <v>12481</v>
      </c>
      <c r="K827" s="593">
        <f>ROUND(I827*J827,0)</f>
        <v>336987</v>
      </c>
      <c r="L827" s="594" t="s">
        <v>259</v>
      </c>
      <c r="M827" s="594" t="s">
        <v>174</v>
      </c>
      <c r="N827" s="52" t="str">
        <f>IF(AND('331-CT'!$E$7=TH!H827,OR(L827="331",M827="331")),"331",IF(AND(OR(L827="131",M827="131"),H827='131-CT'!$E$7),"131",""))</f>
        <v/>
      </c>
      <c r="O827" s="86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99"/>
    </row>
    <row r="828" spans="1:27" s="210" customFormat="1" ht="15.75" customHeight="1">
      <c r="A828" s="203" t="str">
        <f>IF(B828&lt;&gt;"",IF(AND(B828&gt;=_TM1,B828&lt;=_TM2,OR(TH!L828="1111",TH!M828="1111")),TH!D828,""),"")</f>
        <v/>
      </c>
      <c r="B828" s="36">
        <f>IF(C828&lt;&gt;"",MONTH(C828),"")</f>
        <v>5</v>
      </c>
      <c r="C828" s="183">
        <f>E828</f>
        <v>42155</v>
      </c>
      <c r="D828" s="183" t="s">
        <v>1564</v>
      </c>
      <c r="E828" s="190">
        <v>42155</v>
      </c>
      <c r="F828" s="191" t="s">
        <v>745</v>
      </c>
      <c r="G828" s="482" t="s">
        <v>740</v>
      </c>
      <c r="H828" s="7" t="s">
        <v>1934</v>
      </c>
      <c r="I828" s="255">
        <v>200</v>
      </c>
      <c r="J828" s="255">
        <v>9350</v>
      </c>
      <c r="K828" s="593">
        <f>ROUND(I828*J828,0)</f>
        <v>1870000</v>
      </c>
      <c r="L828" s="594" t="s">
        <v>259</v>
      </c>
      <c r="M828" s="594" t="s">
        <v>174</v>
      </c>
      <c r="N828" s="52" t="str">
        <f>IF(AND('331-CT'!$E$7=TH!H828,OR(L828="331",M828="331")),"331",IF(AND(OR(L828="131",M828="131"),H828='131-CT'!$E$7),"131",""))</f>
        <v/>
      </c>
      <c r="O828" s="86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99"/>
    </row>
    <row r="829" spans="1:27" s="210" customFormat="1" ht="15.75" customHeight="1">
      <c r="A829" s="203" t="str">
        <f>IF(B829&lt;&gt;"",IF(AND(B829&gt;=_TM1,B829&lt;=_TM2,OR(TH!L829="1111",TH!M829="1111")),TH!D829,""),"")</f>
        <v/>
      </c>
      <c r="B829" s="36">
        <f>IF(C829&lt;&gt;"",MONTH(C829),"")</f>
        <v>5</v>
      </c>
      <c r="C829" s="183">
        <f>E829</f>
        <v>42155</v>
      </c>
      <c r="D829" s="183" t="s">
        <v>1564</v>
      </c>
      <c r="E829" s="190">
        <v>42155</v>
      </c>
      <c r="F829" s="191" t="s">
        <v>746</v>
      </c>
      <c r="G829" s="482" t="s">
        <v>740</v>
      </c>
      <c r="H829" s="7" t="s">
        <v>1934</v>
      </c>
      <c r="I829" s="255">
        <v>300</v>
      </c>
      <c r="J829" s="255">
        <v>12719</v>
      </c>
      <c r="K829" s="593">
        <f>ROUND(I829*J829,0)</f>
        <v>3815700</v>
      </c>
      <c r="L829" s="594" t="s">
        <v>259</v>
      </c>
      <c r="M829" s="594" t="s">
        <v>174</v>
      </c>
      <c r="N829" s="52" t="str">
        <f>IF(AND('331-CT'!$E$7=TH!H829,OR(L829="331",M829="331")),"331",IF(AND(OR(L829="131",M829="131"),H829='131-CT'!$E$7),"131",""))</f>
        <v/>
      </c>
      <c r="O829" s="86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99"/>
    </row>
    <row r="830" spans="1:27" s="210" customFormat="1" ht="15.75" customHeight="1">
      <c r="A830" s="203" t="str">
        <f>IF(B830&lt;&gt;"",IF(AND(B830&gt;=_TM1,B830&lt;=_TM2,OR(TH!L830="1111",TH!M830="1111")),TH!D830,""),"")</f>
        <v/>
      </c>
      <c r="B830" s="36">
        <f>IF(C830&lt;&gt;"",MONTH(C830),"")</f>
        <v>5</v>
      </c>
      <c r="C830" s="183">
        <f>E830</f>
        <v>42155</v>
      </c>
      <c r="D830" s="183" t="s">
        <v>1564</v>
      </c>
      <c r="E830" s="190">
        <v>42155</v>
      </c>
      <c r="F830" s="191" t="s">
        <v>747</v>
      </c>
      <c r="G830" s="482" t="s">
        <v>740</v>
      </c>
      <c r="H830" s="7" t="s">
        <v>1934</v>
      </c>
      <c r="I830" s="255">
        <v>300</v>
      </c>
      <c r="J830" s="255">
        <v>4050</v>
      </c>
      <c r="K830" s="593">
        <f>ROUND(I830*J830,0)</f>
        <v>1215000</v>
      </c>
      <c r="L830" s="594" t="s">
        <v>259</v>
      </c>
      <c r="M830" s="594" t="s">
        <v>174</v>
      </c>
      <c r="N830" s="52" t="str">
        <f>IF(AND('331-CT'!$E$7=TH!H830,OR(L830="331",M830="331")),"331",IF(AND(OR(L830="131",M830="131"),H830='131-CT'!$E$7),"131",""))</f>
        <v/>
      </c>
      <c r="O830" s="86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99"/>
    </row>
    <row r="831" spans="1:27" s="210" customFormat="1" ht="15.75" customHeight="1">
      <c r="A831" s="203" t="str">
        <f>IF(B831&lt;&gt;"",IF(AND(B831&gt;=_TM1,B831&lt;=_TM2,OR(TH!L831="1111",TH!M831="1111")),TH!D831,""),"")</f>
        <v/>
      </c>
      <c r="B831" s="36">
        <f>IF(C831&lt;&gt;"",MONTH(C831),"")</f>
        <v>5</v>
      </c>
      <c r="C831" s="183">
        <f>E831</f>
        <v>42155</v>
      </c>
      <c r="D831" s="183" t="s">
        <v>1564</v>
      </c>
      <c r="E831" s="190">
        <v>42155</v>
      </c>
      <c r="F831" s="191" t="s">
        <v>748</v>
      </c>
      <c r="G831" s="482" t="s">
        <v>740</v>
      </c>
      <c r="H831" s="7" t="s">
        <v>1934</v>
      </c>
      <c r="I831" s="255">
        <v>100</v>
      </c>
      <c r="J831" s="255">
        <v>11997</v>
      </c>
      <c r="K831" s="593">
        <f>ROUND(I831*J831,0)</f>
        <v>1199700</v>
      </c>
      <c r="L831" s="594" t="s">
        <v>259</v>
      </c>
      <c r="M831" s="594" t="s">
        <v>174</v>
      </c>
      <c r="N831" s="52" t="str">
        <f>IF(AND('331-CT'!$E$7=TH!H831,OR(L831="331",M831="331")),"331",IF(AND(OR(L831="131",M831="131"),H831='131-CT'!$E$7),"131",""))</f>
        <v/>
      </c>
      <c r="O831" s="86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99"/>
    </row>
    <row r="832" spans="1:27" s="210" customFormat="1" ht="15.75" customHeight="1">
      <c r="A832" s="203" t="str">
        <f>IF(B832&lt;&gt;"",IF(AND(B832&gt;=_TM1,B832&lt;=_TM2,OR(TH!L832="1111",TH!M832="1111")),TH!D832,""),"")</f>
        <v/>
      </c>
      <c r="B832" s="36">
        <f>IF(C832&lt;&gt;"",MONTH(C832),"")</f>
        <v>5</v>
      </c>
      <c r="C832" s="183">
        <f>E832</f>
        <v>42155</v>
      </c>
      <c r="D832" s="183" t="s">
        <v>1564</v>
      </c>
      <c r="E832" s="190">
        <v>42155</v>
      </c>
      <c r="F832" s="191" t="s">
        <v>748</v>
      </c>
      <c r="G832" s="482" t="s">
        <v>740</v>
      </c>
      <c r="H832" s="7" t="s">
        <v>1934</v>
      </c>
      <c r="I832" s="255">
        <v>125</v>
      </c>
      <c r="J832" s="255">
        <v>11997</v>
      </c>
      <c r="K832" s="593">
        <f>ROUND(I832*J832,0)</f>
        <v>1499625</v>
      </c>
      <c r="L832" s="594" t="s">
        <v>259</v>
      </c>
      <c r="M832" s="594" t="s">
        <v>174</v>
      </c>
      <c r="N832" s="52" t="str">
        <f>IF(AND('331-CT'!$E$7=TH!H832,OR(L832="331",M832="331")),"331",IF(AND(OR(L832="131",M832="131"),H832='131-CT'!$E$7),"131",""))</f>
        <v/>
      </c>
      <c r="O832" s="86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99"/>
    </row>
    <row r="833" spans="1:27" s="210" customFormat="1" ht="15.75" customHeight="1">
      <c r="A833" s="203" t="str">
        <f>IF(B833&lt;&gt;"",IF(AND(B833&gt;=_TM1,B833&lt;=_TM2,OR(TH!L833="1111",TH!M833="1111")),TH!D833,""),"")</f>
        <v/>
      </c>
      <c r="B833" s="36">
        <f>IF(C833&lt;&gt;"",MONTH(C833),"")</f>
        <v>5</v>
      </c>
      <c r="C833" s="183">
        <f>E833</f>
        <v>42155</v>
      </c>
      <c r="D833" s="183" t="s">
        <v>1564</v>
      </c>
      <c r="E833" s="190">
        <v>42155</v>
      </c>
      <c r="F833" s="191" t="s">
        <v>731</v>
      </c>
      <c r="G833" s="482" t="s">
        <v>740</v>
      </c>
      <c r="H833" s="7" t="s">
        <v>1934</v>
      </c>
      <c r="I833" s="255"/>
      <c r="J833" s="255"/>
      <c r="K833" s="593">
        <v>1606527</v>
      </c>
      <c r="L833" s="594" t="s">
        <v>259</v>
      </c>
      <c r="M833" s="594" t="s">
        <v>371</v>
      </c>
      <c r="N833" s="52" t="str">
        <f>IF(AND('331-CT'!$E$7=TH!H833,OR(L833="331",M833="331")),"331",IF(AND(OR(L833="131",M833="131"),H833='131-CT'!$E$7),"131",""))</f>
        <v/>
      </c>
      <c r="O833" s="86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99"/>
    </row>
    <row r="834" spans="1:27" s="210" customFormat="1" ht="15.75" customHeight="1">
      <c r="A834" s="203" t="str">
        <f>IF(B834&lt;&gt;"",IF(AND(B834&gt;=_TM1,B834&lt;=_TM2,OR(TH!L834="1111",TH!M834="1111")),TH!D834,""),"")</f>
        <v/>
      </c>
      <c r="B834" s="36">
        <f>IF(C834&lt;&gt;"",MONTH(C834),"")</f>
        <v>5</v>
      </c>
      <c r="C834" s="183">
        <f>E834</f>
        <v>42155</v>
      </c>
      <c r="D834" s="183" t="s">
        <v>1564</v>
      </c>
      <c r="E834" s="190">
        <v>42155</v>
      </c>
      <c r="F834" s="191" t="s">
        <v>1320</v>
      </c>
      <c r="G834" s="482" t="s">
        <v>2055</v>
      </c>
      <c r="H834" s="7" t="s">
        <v>1934</v>
      </c>
      <c r="I834" s="255"/>
      <c r="J834" s="255"/>
      <c r="K834" s="593">
        <f>18946775+17671799</f>
        <v>36618574</v>
      </c>
      <c r="L834" s="594" t="s">
        <v>47</v>
      </c>
      <c r="M834" s="594" t="s">
        <v>259</v>
      </c>
      <c r="N834" s="52" t="str">
        <f>IF(AND('331-CT'!$E$7=TH!H834,OR(L834="331",M834="331")),"331",IF(AND(OR(L834="131",M834="131"),H834='131-CT'!$E$7),"131",""))</f>
        <v/>
      </c>
      <c r="O834" s="869" t="str">
        <f>IF(AND('341-CT'!$E$9=H834,OR(LEFT(L834,3)=$O$7,LEFT(M834,3)=$O$7)),"x","")</f>
        <v/>
      </c>
      <c r="P834" s="52" t="str">
        <f>IF(AND($B834&gt;='111'!$N$11,$B834&lt;='111'!$O$11,OR($L834=$P$7,$M834=$P$7)),"x","")</f>
        <v>x</v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99"/>
    </row>
    <row r="835" spans="1:27" s="210" customFormat="1" ht="15.75" customHeight="1">
      <c r="A835" s="203" t="str">
        <f>IF(B835&lt;&gt;"",IF(AND(B835&gt;=_TM1,B835&lt;=_TM2,OR(TH!L835="1111",TH!M835="1111")),TH!D835,""),"")</f>
        <v/>
      </c>
      <c r="B835" s="36">
        <f>IF(C835&lt;&gt;"",MONTH(C835),"")</f>
        <v>6</v>
      </c>
      <c r="C835" s="183">
        <f>E835</f>
        <v>42156</v>
      </c>
      <c r="D835" s="183" t="s">
        <v>1565</v>
      </c>
      <c r="E835" s="190">
        <v>42156</v>
      </c>
      <c r="F835" s="191" t="s">
        <v>536</v>
      </c>
      <c r="G835" s="482" t="s">
        <v>749</v>
      </c>
      <c r="H835" s="192" t="s">
        <v>400</v>
      </c>
      <c r="I835" s="255">
        <v>300</v>
      </c>
      <c r="J835" s="255">
        <v>10670</v>
      </c>
      <c r="K835" s="593">
        <f>ROUND(I835*J835,0)</f>
        <v>3201000</v>
      </c>
      <c r="L835" s="594" t="s">
        <v>259</v>
      </c>
      <c r="M835" s="594" t="s">
        <v>174</v>
      </c>
      <c r="N835" s="52" t="str">
        <f>IF(AND('331-CT'!$E$7=TH!H835,OR(L835="331",M835="331")),"331",IF(AND(OR(L835="131",M835="131"),H835='131-CT'!$E$7),"131",""))</f>
        <v/>
      </c>
      <c r="O835" s="86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99"/>
    </row>
    <row r="836" spans="1:27" s="210" customFormat="1" ht="15.75" customHeight="1">
      <c r="A836" s="203" t="str">
        <f>IF(B836&lt;&gt;"",IF(AND(B836&gt;=_TM1,B836&lt;=_TM2,OR(TH!L836="1111",TH!M836="1111")),TH!D836,""),"")</f>
        <v/>
      </c>
      <c r="B836" s="36">
        <f>IF(C836&lt;&gt;"",MONTH(C836),"")</f>
        <v>6</v>
      </c>
      <c r="C836" s="183">
        <f>E836</f>
        <v>42156</v>
      </c>
      <c r="D836" s="183" t="s">
        <v>1565</v>
      </c>
      <c r="E836" s="183">
        <v>42156</v>
      </c>
      <c r="F836" s="188" t="s">
        <v>398</v>
      </c>
      <c r="G836" s="595" t="s">
        <v>749</v>
      </c>
      <c r="H836" s="192" t="s">
        <v>400</v>
      </c>
      <c r="I836" s="255">
        <v>907</v>
      </c>
      <c r="J836" s="255">
        <v>5050</v>
      </c>
      <c r="K836" s="593">
        <f>ROUND(I836*J836,0)</f>
        <v>4580350</v>
      </c>
      <c r="L836" s="594" t="s">
        <v>259</v>
      </c>
      <c r="M836" s="594" t="s">
        <v>174</v>
      </c>
      <c r="N836" s="52" t="str">
        <f>IF(AND('331-CT'!$E$7=TH!H836,OR(L836="331",M836="331")),"331",IF(AND(OR(L836="131",M836="131"),H836='131-CT'!$E$7),"131",""))</f>
        <v/>
      </c>
      <c r="O836" s="86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99"/>
    </row>
    <row r="837" spans="1:27" s="210" customFormat="1" ht="15.75" customHeight="1">
      <c r="A837" s="203" t="str">
        <f>IF(B837&lt;&gt;"",IF(AND(B837&gt;=_TM1,B837&lt;=_TM2,OR(TH!L837="1111",TH!M837="1111")),TH!D837,""),"")</f>
        <v/>
      </c>
      <c r="B837" s="36">
        <f>IF(C837&lt;&gt;"",MONTH(C837),"")</f>
        <v>6</v>
      </c>
      <c r="C837" s="183">
        <f>E837</f>
        <v>42156</v>
      </c>
      <c r="D837" s="183" t="s">
        <v>1565</v>
      </c>
      <c r="E837" s="190">
        <v>42156</v>
      </c>
      <c r="F837" s="40" t="s">
        <v>402</v>
      </c>
      <c r="G837" s="482" t="s">
        <v>749</v>
      </c>
      <c r="H837" s="7" t="s">
        <v>400</v>
      </c>
      <c r="I837" s="255"/>
      <c r="J837" s="255"/>
      <c r="K837" s="593">
        <v>778135</v>
      </c>
      <c r="L837" s="594" t="s">
        <v>259</v>
      </c>
      <c r="M837" s="594" t="s">
        <v>371</v>
      </c>
      <c r="N837" s="52" t="str">
        <f>IF(AND('331-CT'!$E$7=TH!H837,OR(L837="331",M837="331")),"331",IF(AND(OR(L837="131",M837="131"),H837='131-CT'!$E$7),"131",""))</f>
        <v/>
      </c>
      <c r="O837" s="86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99"/>
    </row>
    <row r="838" spans="1:27" s="210" customFormat="1" ht="15.75" customHeight="1">
      <c r="A838" s="203" t="str">
        <f>IF(B838&lt;&gt;"",IF(AND(B838&gt;=_TM1,B838&lt;=_TM2,OR(TH!L838="1111",TH!M838="1111")),TH!D838,""),"")</f>
        <v/>
      </c>
      <c r="B838" s="36">
        <f>IF(C838&lt;&gt;"",MONTH(C838),"")</f>
        <v>6</v>
      </c>
      <c r="C838" s="183">
        <f>E838</f>
        <v>42157</v>
      </c>
      <c r="D838" s="183" t="s">
        <v>1566</v>
      </c>
      <c r="E838" s="190">
        <v>42157</v>
      </c>
      <c r="F838" s="40" t="s">
        <v>682</v>
      </c>
      <c r="G838" s="482" t="s">
        <v>750</v>
      </c>
      <c r="H838" s="7" t="s">
        <v>834</v>
      </c>
      <c r="I838" s="255">
        <v>534</v>
      </c>
      <c r="J838" s="255">
        <v>4500</v>
      </c>
      <c r="K838" s="593">
        <f>ROUND(I838*J838,0)</f>
        <v>2403000</v>
      </c>
      <c r="L838" s="594" t="s">
        <v>259</v>
      </c>
      <c r="M838" s="594" t="s">
        <v>174</v>
      </c>
      <c r="N838" s="52" t="str">
        <f>IF(AND('331-CT'!$E$7=TH!H838,OR(L838="331",M838="331")),"331",IF(AND(OR(L838="131",M838="131"),H838='131-CT'!$E$7),"131",""))</f>
        <v/>
      </c>
      <c r="O838" s="86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99"/>
    </row>
    <row r="839" spans="1:27" s="210" customFormat="1" ht="15.75" customHeight="1">
      <c r="A839" s="203" t="str">
        <f>IF(B839&lt;&gt;"",IF(AND(B839&gt;=_TM1,B839&lt;=_TM2,OR(TH!L839="1111",TH!M839="1111")),TH!D839,""),"")</f>
        <v/>
      </c>
      <c r="B839" s="36">
        <f>IF(C839&lt;&gt;"",MONTH(C839),"")</f>
        <v>6</v>
      </c>
      <c r="C839" s="183">
        <f>E839</f>
        <v>42157</v>
      </c>
      <c r="D839" s="183" t="s">
        <v>1566</v>
      </c>
      <c r="E839" s="190">
        <v>42157</v>
      </c>
      <c r="F839" s="188" t="s">
        <v>494</v>
      </c>
      <c r="G839" s="482" t="s">
        <v>750</v>
      </c>
      <c r="H839" s="7" t="s">
        <v>834</v>
      </c>
      <c r="I839" s="255">
        <v>504</v>
      </c>
      <c r="J839" s="255">
        <v>5400</v>
      </c>
      <c r="K839" s="593">
        <f>ROUND(I839*J839,0)</f>
        <v>2721600</v>
      </c>
      <c r="L839" s="594" t="s">
        <v>259</v>
      </c>
      <c r="M839" s="594" t="s">
        <v>174</v>
      </c>
      <c r="N839" s="52" t="str">
        <f>IF(AND('331-CT'!$E$7=TH!H839,OR(L839="331",M839="331")),"331",IF(AND(OR(L839="131",M839="131"),H839='131-CT'!$E$7),"131",""))</f>
        <v/>
      </c>
      <c r="O839" s="86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99"/>
    </row>
    <row r="840" spans="1:27" s="210" customFormat="1" ht="15.75" customHeight="1">
      <c r="A840" s="203" t="str">
        <f>IF(B840&lt;&gt;"",IF(AND(B840&gt;=_TM1,B840&lt;=_TM2,OR(TH!L840="1111",TH!M840="1111")),TH!D840,""),"")</f>
        <v/>
      </c>
      <c r="B840" s="36">
        <f>IF(C840&lt;&gt;"",MONTH(C840),"")</f>
        <v>6</v>
      </c>
      <c r="C840" s="183">
        <f>E840</f>
        <v>42157</v>
      </c>
      <c r="D840" s="183" t="s">
        <v>1566</v>
      </c>
      <c r="E840" s="190">
        <v>42157</v>
      </c>
      <c r="F840" s="188" t="s">
        <v>494</v>
      </c>
      <c r="G840" s="482" t="s">
        <v>750</v>
      </c>
      <c r="H840" s="7" t="s">
        <v>834</v>
      </c>
      <c r="I840" s="256">
        <v>1060</v>
      </c>
      <c r="J840" s="256">
        <v>5400</v>
      </c>
      <c r="K840" s="593">
        <f>ROUND(I840*J840,0)</f>
        <v>5724000</v>
      </c>
      <c r="L840" s="594" t="s">
        <v>259</v>
      </c>
      <c r="M840" s="594" t="s">
        <v>174</v>
      </c>
      <c r="N840" s="52" t="str">
        <f>IF(AND('331-CT'!$E$7=TH!H840,OR(L840="331",M840="331")),"331",IF(AND(OR(L840="131",M840="131"),H840='131-CT'!$E$7),"131",""))</f>
        <v/>
      </c>
      <c r="O840" s="86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99"/>
    </row>
    <row r="841" spans="1:27" s="210" customFormat="1" ht="15.75" customHeight="1">
      <c r="A841" s="203" t="str">
        <f>IF(B841&lt;&gt;"",IF(AND(B841&gt;=_TM1,B841&lt;=_TM2,OR(TH!L841="1111",TH!M841="1111")),TH!D841,""),"")</f>
        <v/>
      </c>
      <c r="B841" s="36">
        <f>IF(C841&lt;&gt;"",MONTH(C841),"")</f>
        <v>6</v>
      </c>
      <c r="C841" s="183">
        <f>E841</f>
        <v>42157</v>
      </c>
      <c r="D841" s="183" t="s">
        <v>1566</v>
      </c>
      <c r="E841" s="190">
        <v>42157</v>
      </c>
      <c r="F841" s="40" t="s">
        <v>494</v>
      </c>
      <c r="G841" s="482" t="s">
        <v>750</v>
      </c>
      <c r="H841" s="7" t="s">
        <v>834</v>
      </c>
      <c r="I841" s="255">
        <v>500</v>
      </c>
      <c r="J841" s="255">
        <v>5400</v>
      </c>
      <c r="K841" s="593">
        <f>ROUND(I841*J841,0)</f>
        <v>2700000</v>
      </c>
      <c r="L841" s="594" t="s">
        <v>259</v>
      </c>
      <c r="M841" s="594" t="s">
        <v>174</v>
      </c>
      <c r="N841" s="52" t="str">
        <f>IF(AND('331-CT'!$E$7=TH!H841,OR(L841="331",M841="331")),"331",IF(AND(OR(L841="131",M841="131"),H841='131-CT'!$E$7),"131",""))</f>
        <v/>
      </c>
      <c r="O841" s="86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99"/>
    </row>
    <row r="842" spans="1:27" s="210" customFormat="1" ht="15.75" customHeight="1">
      <c r="A842" s="203" t="str">
        <f>IF(B842&lt;&gt;"",IF(AND(B842&gt;=_TM1,B842&lt;=_TM2,OR(TH!L842="1111",TH!M842="1111")),TH!D842,""),"")</f>
        <v/>
      </c>
      <c r="B842" s="36">
        <f>IF(C842&lt;&gt;"",MONTH(C842),"")</f>
        <v>6</v>
      </c>
      <c r="C842" s="183">
        <f>E842</f>
        <v>42157</v>
      </c>
      <c r="D842" s="183" t="s">
        <v>1566</v>
      </c>
      <c r="E842" s="190">
        <v>42157</v>
      </c>
      <c r="F842" s="40" t="s">
        <v>402</v>
      </c>
      <c r="G842" s="482" t="s">
        <v>750</v>
      </c>
      <c r="H842" s="7" t="s">
        <v>834</v>
      </c>
      <c r="I842" s="255"/>
      <c r="J842" s="255"/>
      <c r="K842" s="593">
        <v>1354860</v>
      </c>
      <c r="L842" s="594" t="s">
        <v>259</v>
      </c>
      <c r="M842" s="594" t="s">
        <v>371</v>
      </c>
      <c r="N842" s="52" t="str">
        <f>IF(AND('331-CT'!$E$7=TH!H842,OR(L842="331",M842="331")),"331",IF(AND(OR(L842="131",M842="131"),H842='131-CT'!$E$7),"131",""))</f>
        <v/>
      </c>
      <c r="O842" s="86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99"/>
    </row>
    <row r="843" spans="1:27" s="210" customFormat="1" ht="15.75" customHeight="1">
      <c r="A843" s="203" t="str">
        <f>IF(B843&lt;&gt;"",IF(AND(B843&gt;=_TM1,B843&lt;=_TM2,OR(TH!L843="1111",TH!M843="1111")),TH!D843,""),"")</f>
        <v/>
      </c>
      <c r="B843" s="36">
        <f>IF(C843&lt;&gt;"",MONTH(C843),"")</f>
        <v>6</v>
      </c>
      <c r="C843" s="183">
        <f>E843</f>
        <v>42157</v>
      </c>
      <c r="D843" s="183" t="s">
        <v>1567</v>
      </c>
      <c r="E843" s="190">
        <v>42157</v>
      </c>
      <c r="F843" s="40" t="s">
        <v>1731</v>
      </c>
      <c r="G843" s="482" t="s">
        <v>751</v>
      </c>
      <c r="H843" s="7" t="s">
        <v>464</v>
      </c>
      <c r="I843" s="255">
        <v>500</v>
      </c>
      <c r="J843" s="255">
        <v>1700</v>
      </c>
      <c r="K843" s="593">
        <f>ROUND(I843*J843,0)</f>
        <v>850000</v>
      </c>
      <c r="L843" s="594" t="s">
        <v>259</v>
      </c>
      <c r="M843" s="594" t="s">
        <v>174</v>
      </c>
      <c r="N843" s="52" t="str">
        <f>IF(AND('331-CT'!$E$7=TH!H843,OR(L843="331",M843="331")),"331",IF(AND(OR(L843="131",M843="131"),H843='131-CT'!$E$7),"131",""))</f>
        <v/>
      </c>
      <c r="O843" s="86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99"/>
    </row>
    <row r="844" spans="1:27" s="210" customFormat="1" ht="15.75" customHeight="1">
      <c r="A844" s="203" t="str">
        <f>IF(B844&lt;&gt;"",IF(AND(B844&gt;=_TM1,B844&lt;=_TM2,OR(TH!L844="1111",TH!M844="1111")),TH!D844,""),"")</f>
        <v/>
      </c>
      <c r="B844" s="36">
        <f>IF(C844&lt;&gt;"",MONTH(C844),"")</f>
        <v>6</v>
      </c>
      <c r="C844" s="183">
        <f>E844</f>
        <v>42157</v>
      </c>
      <c r="D844" s="183" t="s">
        <v>1567</v>
      </c>
      <c r="E844" s="190">
        <v>42157</v>
      </c>
      <c r="F844" s="188" t="s">
        <v>1690</v>
      </c>
      <c r="G844" s="482" t="s">
        <v>751</v>
      </c>
      <c r="H844" s="7" t="s">
        <v>464</v>
      </c>
      <c r="I844" s="255">
        <v>500</v>
      </c>
      <c r="J844" s="255">
        <v>2000</v>
      </c>
      <c r="K844" s="593">
        <f>ROUND(I844*J844,0)</f>
        <v>1000000</v>
      </c>
      <c r="L844" s="594" t="s">
        <v>259</v>
      </c>
      <c r="M844" s="594" t="s">
        <v>174</v>
      </c>
      <c r="N844" s="52" t="str">
        <f>IF(AND('331-CT'!$E$7=TH!H844,OR(L844="331",M844="331")),"331",IF(AND(OR(L844="131",M844="131"),H844='131-CT'!$E$7),"131",""))</f>
        <v/>
      </c>
      <c r="O844" s="86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99"/>
    </row>
    <row r="845" spans="1:27" s="210" customFormat="1" ht="15.75" customHeight="1">
      <c r="A845" s="203" t="str">
        <f>IF(B845&lt;&gt;"",IF(AND(B845&gt;=_TM1,B845&lt;=_TM2,OR(TH!L845="1111",TH!M845="1111")),TH!D845,""),"")</f>
        <v/>
      </c>
      <c r="B845" s="36">
        <f>IF(C845&lt;&gt;"",MONTH(C845),"")</f>
        <v>6</v>
      </c>
      <c r="C845" s="183">
        <f>E845</f>
        <v>42157</v>
      </c>
      <c r="D845" s="183" t="s">
        <v>1567</v>
      </c>
      <c r="E845" s="190">
        <v>42157</v>
      </c>
      <c r="F845" s="296" t="s">
        <v>752</v>
      </c>
      <c r="G845" s="482" t="s">
        <v>751</v>
      </c>
      <c r="H845" s="7" t="s">
        <v>464</v>
      </c>
      <c r="I845" s="255">
        <v>506</v>
      </c>
      <c r="J845" s="255">
        <v>7860</v>
      </c>
      <c r="K845" s="593">
        <f>ROUND(I845*J845,0)</f>
        <v>3977160</v>
      </c>
      <c r="L845" s="594" t="s">
        <v>259</v>
      </c>
      <c r="M845" s="594" t="s">
        <v>174</v>
      </c>
      <c r="N845" s="52" t="str">
        <f>IF(AND('331-CT'!$E$7=TH!H845,OR(L845="331",M845="331")),"331",IF(AND(OR(L845="131",M845="131"),H845='131-CT'!$E$7),"131",""))</f>
        <v/>
      </c>
      <c r="O845" s="86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99"/>
    </row>
    <row r="846" spans="1:27" s="210" customFormat="1" ht="15.75" customHeight="1">
      <c r="A846" s="203" t="str">
        <f>IF(B846&lt;&gt;"",IF(AND(B846&gt;=_TM1,B846&lt;=_TM2,OR(TH!L846="1111",TH!M846="1111")),TH!D846,""),"")</f>
        <v/>
      </c>
      <c r="B846" s="36">
        <f>IF(C846&lt;&gt;"",MONTH(C846),"")</f>
        <v>6</v>
      </c>
      <c r="C846" s="183">
        <f>E846</f>
        <v>42157</v>
      </c>
      <c r="D846" s="183" t="s">
        <v>1567</v>
      </c>
      <c r="E846" s="183">
        <v>42157</v>
      </c>
      <c r="F846" s="188" t="s">
        <v>753</v>
      </c>
      <c r="G846" s="595" t="s">
        <v>751</v>
      </c>
      <c r="H846" s="192" t="s">
        <v>464</v>
      </c>
      <c r="I846" s="255">
        <v>512</v>
      </c>
      <c r="J846" s="255">
        <v>11000</v>
      </c>
      <c r="K846" s="593">
        <f>ROUND(I846*J846,0)</f>
        <v>5632000</v>
      </c>
      <c r="L846" s="594" t="s">
        <v>259</v>
      </c>
      <c r="M846" s="594" t="s">
        <v>174</v>
      </c>
      <c r="N846" s="52" t="str">
        <f>IF(AND('331-CT'!$E$7=TH!H846,OR(L846="331",M846="331")),"331",IF(AND(OR(L846="131",M846="131"),H846='131-CT'!$E$7),"131",""))</f>
        <v/>
      </c>
      <c r="O846" s="86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99"/>
    </row>
    <row r="847" spans="1:27" s="210" customFormat="1" ht="15.75" customHeight="1">
      <c r="A847" s="203" t="str">
        <f>IF(B847&lt;&gt;"",IF(AND(B847&gt;=_TM1,B847&lt;=_TM2,OR(TH!L847="1111",TH!M847="1111")),TH!D847,""),"")</f>
        <v/>
      </c>
      <c r="B847" s="36">
        <f>IF(C847&lt;&gt;"",MONTH(C847),"")</f>
        <v>6</v>
      </c>
      <c r="C847" s="183">
        <f>E847</f>
        <v>42157</v>
      </c>
      <c r="D847" s="183" t="s">
        <v>1567</v>
      </c>
      <c r="E847" s="190">
        <v>42157</v>
      </c>
      <c r="F847" s="191" t="s">
        <v>402</v>
      </c>
      <c r="G847" s="482" t="s">
        <v>751</v>
      </c>
      <c r="H847" s="7" t="s">
        <v>464</v>
      </c>
      <c r="I847" s="256"/>
      <c r="J847" s="256"/>
      <c r="K847" s="593">
        <v>1145916</v>
      </c>
      <c r="L847" s="594" t="s">
        <v>259</v>
      </c>
      <c r="M847" s="594" t="s">
        <v>371</v>
      </c>
      <c r="N847" s="52" t="str">
        <f>IF(AND('331-CT'!$E$7=TH!H847,OR(L847="331",M847="331")),"331",IF(AND(OR(L847="131",M847="131"),H847='131-CT'!$E$7),"131",""))</f>
        <v/>
      </c>
      <c r="O847" s="86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99"/>
    </row>
    <row r="848" spans="1:27" s="210" customFormat="1" ht="15.75" customHeight="1">
      <c r="A848" s="203" t="str">
        <f>IF(B848&lt;&gt;"",IF(AND(B848&gt;=_TM1,B848&lt;=_TM2,OR(TH!L848="1111",TH!M848="1111")),TH!D848,""),"")</f>
        <v/>
      </c>
      <c r="B848" s="36">
        <f>IF(C848&lt;&gt;"",MONTH(C848),"")</f>
        <v>6</v>
      </c>
      <c r="C848" s="183">
        <f>E848</f>
        <v>42157</v>
      </c>
      <c r="D848" s="183" t="s">
        <v>1567</v>
      </c>
      <c r="E848" s="190">
        <v>42157</v>
      </c>
      <c r="F848" s="191" t="s">
        <v>1320</v>
      </c>
      <c r="G848" s="482" t="s">
        <v>2033</v>
      </c>
      <c r="H848" s="7" t="s">
        <v>464</v>
      </c>
      <c r="I848" s="256"/>
      <c r="J848" s="256"/>
      <c r="K848" s="593">
        <f>1852400+1089000+2640000+12605076</f>
        <v>18186476</v>
      </c>
      <c r="L848" s="594" t="s">
        <v>47</v>
      </c>
      <c r="M848" s="594" t="s">
        <v>259</v>
      </c>
      <c r="N848" s="52" t="str">
        <f>IF(AND('331-CT'!$E$7=TH!H848,OR(L848="331",M848="331")),"331",IF(AND(OR(L848="131",M848="131"),H848='131-CT'!$E$7),"131",""))</f>
        <v/>
      </c>
      <c r="O848" s="869" t="str">
        <f>IF(AND('341-CT'!$E$9=H848,OR(LEFT(L848,3)=$O$7,LEFT(M848,3)=$O$7)),"x","")</f>
        <v/>
      </c>
      <c r="P848" s="52" t="str">
        <f>IF(AND($B848&gt;='111'!$N$11,$B848&lt;='111'!$O$11,OR($L848=$P$7,$M848=$P$7)),"x","")</f>
        <v>x</v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99"/>
    </row>
    <row r="849" spans="1:27" s="210" customFormat="1" ht="15.75" customHeight="1">
      <c r="A849" s="203" t="str">
        <f>IF(B849&lt;&gt;"",IF(AND(B849&gt;=_TM1,B849&lt;=_TM2,OR(TH!L849="1111",TH!M849="1111")),TH!D849,""),"")</f>
        <v/>
      </c>
      <c r="B849" s="36">
        <f>IF(C849&lt;&gt;"",MONTH(C849),"")</f>
        <v>6</v>
      </c>
      <c r="C849" s="183">
        <f>E849</f>
        <v>42157</v>
      </c>
      <c r="D849" s="183" t="s">
        <v>1568</v>
      </c>
      <c r="E849" s="190">
        <v>42157</v>
      </c>
      <c r="F849" s="191" t="s">
        <v>1935</v>
      </c>
      <c r="G849" s="482" t="s">
        <v>754</v>
      </c>
      <c r="H849" s="7" t="s">
        <v>755</v>
      </c>
      <c r="I849" s="255">
        <v>1000</v>
      </c>
      <c r="J849" s="255">
        <v>8030</v>
      </c>
      <c r="K849" s="593">
        <f>ROUND(I849*J849,0)</f>
        <v>8030000</v>
      </c>
      <c r="L849" s="594" t="s">
        <v>259</v>
      </c>
      <c r="M849" s="594" t="s">
        <v>174</v>
      </c>
      <c r="N849" s="52" t="str">
        <f>IF(AND('331-CT'!$E$7=TH!H849,OR(L849="331",M849="331")),"331",IF(AND(OR(L849="131",M849="131"),H849='131-CT'!$E$7),"131",""))</f>
        <v/>
      </c>
      <c r="O849" s="86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99"/>
    </row>
    <row r="850" spans="1:27" s="210" customFormat="1" ht="15.75" customHeight="1">
      <c r="A850" s="203" t="str">
        <f>IF(B850&lt;&gt;"",IF(AND(B850&gt;=_TM1,B850&lt;=_TM2,OR(TH!L850="1111",TH!M850="1111")),TH!D850,""),"")</f>
        <v/>
      </c>
      <c r="B850" s="36">
        <f>IF(C850&lt;&gt;"",MONTH(C850),"")</f>
        <v>6</v>
      </c>
      <c r="C850" s="183">
        <f>E850</f>
        <v>42157</v>
      </c>
      <c r="D850" s="183" t="s">
        <v>1568</v>
      </c>
      <c r="E850" s="183">
        <v>42157</v>
      </c>
      <c r="F850" s="188" t="s">
        <v>756</v>
      </c>
      <c r="G850" s="595" t="s">
        <v>754</v>
      </c>
      <c r="H850" s="7" t="s">
        <v>755</v>
      </c>
      <c r="I850" s="255"/>
      <c r="J850" s="255"/>
      <c r="K850" s="593">
        <v>803000</v>
      </c>
      <c r="L850" s="594" t="s">
        <v>259</v>
      </c>
      <c r="M850" s="594" t="s">
        <v>371</v>
      </c>
      <c r="N850" s="52" t="str">
        <f>IF(AND('331-CT'!$E$7=TH!H850,OR(L850="331",M850="331")),"331",IF(AND(OR(L850="131",M850="131"),H850='131-CT'!$E$7),"131",""))</f>
        <v/>
      </c>
      <c r="O850" s="86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99"/>
    </row>
    <row r="851" spans="1:27" s="210" customFormat="1" ht="15.75" customHeight="1">
      <c r="A851" s="203" t="str">
        <f>IF(B851&lt;&gt;"",IF(AND(B851&gt;=_TM1,B851&lt;=_TM2,OR(TH!L851="1111",TH!M851="1111")),TH!D851,""),"")</f>
        <v/>
      </c>
      <c r="B851" s="36">
        <f>IF(C851&lt;&gt;"",MONTH(C851),"")</f>
        <v>6</v>
      </c>
      <c r="C851" s="183">
        <f>E851</f>
        <v>42157</v>
      </c>
      <c r="D851" s="183" t="s">
        <v>1319</v>
      </c>
      <c r="E851" s="190">
        <v>42157</v>
      </c>
      <c r="F851" s="191" t="s">
        <v>1320</v>
      </c>
      <c r="G851" s="482" t="s">
        <v>332</v>
      </c>
      <c r="H851" s="7" t="s">
        <v>872</v>
      </c>
      <c r="I851" s="255"/>
      <c r="J851" s="255"/>
      <c r="K851" s="593">
        <v>7325756</v>
      </c>
      <c r="L851" s="594" t="s">
        <v>24</v>
      </c>
      <c r="M851" s="594" t="s">
        <v>259</v>
      </c>
      <c r="N851" s="52" t="str">
        <f>IF(AND('331-CT'!$E$7=TH!H851,OR(L851="331",M851="331")),"331",IF(AND(OR(L851="131",M851="131"),H851='131-CT'!$E$7),"131",""))</f>
        <v/>
      </c>
      <c r="O851" s="86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>x</v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99"/>
    </row>
    <row r="852" spans="1:27" s="210" customFormat="1" ht="15.75" customHeight="1">
      <c r="A852" s="203" t="str">
        <f>IF(B852&lt;&gt;"",IF(AND(B852&gt;=_TM1,B852&lt;=_TM2,OR(TH!L852="1111",TH!M852="1111")),TH!D852,""),"")</f>
        <v/>
      </c>
      <c r="B852" s="36">
        <f>IF(C852&lt;&gt;"",MONTH(C852),"")</f>
        <v>6</v>
      </c>
      <c r="C852" s="183">
        <f>E852</f>
        <v>42158</v>
      </c>
      <c r="D852" s="183" t="s">
        <v>1569</v>
      </c>
      <c r="E852" s="183">
        <v>42158</v>
      </c>
      <c r="F852" s="191" t="s">
        <v>678</v>
      </c>
      <c r="G852" s="595" t="s">
        <v>757</v>
      </c>
      <c r="H852" s="7" t="s">
        <v>438</v>
      </c>
      <c r="I852" s="255">
        <v>303</v>
      </c>
      <c r="J852" s="255">
        <v>5900</v>
      </c>
      <c r="K852" s="593">
        <f>ROUND(I852*J852,0)</f>
        <v>1787700</v>
      </c>
      <c r="L852" s="594" t="s">
        <v>259</v>
      </c>
      <c r="M852" s="594" t="s">
        <v>174</v>
      </c>
      <c r="N852" s="52" t="str">
        <f>IF(AND('331-CT'!$E$7=TH!H852,OR(L852="331",M852="331")),"331",IF(AND(OR(L852="131",M852="131"),H852='131-CT'!$E$7),"131",""))</f>
        <v/>
      </c>
      <c r="O852" s="86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99"/>
    </row>
    <row r="853" spans="1:27" s="210" customFormat="1" ht="15.75" customHeight="1">
      <c r="A853" s="203" t="str">
        <f>IF(B853&lt;&gt;"",IF(AND(B853&gt;=_TM1,B853&lt;=_TM2,OR(TH!L853="1111",TH!M853="1111")),TH!D853,""),"")</f>
        <v/>
      </c>
      <c r="B853" s="36">
        <f>IF(C853&lt;&gt;"",MONTH(C853),"")</f>
        <v>6</v>
      </c>
      <c r="C853" s="183">
        <f>E853</f>
        <v>42158</v>
      </c>
      <c r="D853" s="183" t="s">
        <v>1569</v>
      </c>
      <c r="E853" s="190">
        <v>42158</v>
      </c>
      <c r="F853" s="188" t="s">
        <v>441</v>
      </c>
      <c r="G853" s="482" t="s">
        <v>757</v>
      </c>
      <c r="H853" s="7" t="s">
        <v>438</v>
      </c>
      <c r="I853" s="256">
        <v>1016</v>
      </c>
      <c r="J853" s="256">
        <v>4400</v>
      </c>
      <c r="K853" s="593">
        <f>ROUND(I853*J853,0)</f>
        <v>4470400</v>
      </c>
      <c r="L853" s="594" t="s">
        <v>259</v>
      </c>
      <c r="M853" s="594" t="s">
        <v>174</v>
      </c>
      <c r="N853" s="52" t="str">
        <f>IF(AND('331-CT'!$E$7=TH!H853,OR(L853="331",M853="331")),"331",IF(AND(OR(L853="131",M853="131"),H853='131-CT'!$E$7),"131",""))</f>
        <v/>
      </c>
      <c r="O853" s="86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99"/>
    </row>
    <row r="854" spans="1:27" s="210" customFormat="1" ht="15.75" customHeight="1">
      <c r="A854" s="203" t="str">
        <f>IF(B854&lt;&gt;"",IF(AND(B854&gt;=_TM1,B854&lt;=_TM2,OR(TH!L854="1111",TH!M854="1111")),TH!D854,""),"")</f>
        <v/>
      </c>
      <c r="B854" s="36">
        <f>IF(C854&lt;&gt;"",MONTH(C854),"")</f>
        <v>6</v>
      </c>
      <c r="C854" s="183">
        <f>E854</f>
        <v>42158</v>
      </c>
      <c r="D854" s="183" t="s">
        <v>1569</v>
      </c>
      <c r="E854" s="190">
        <v>42158</v>
      </c>
      <c r="F854" s="188" t="s">
        <v>402</v>
      </c>
      <c r="G854" s="482" t="s">
        <v>757</v>
      </c>
      <c r="H854" s="7" t="s">
        <v>438</v>
      </c>
      <c r="I854" s="256"/>
      <c r="J854" s="256"/>
      <c r="K854" s="593">
        <v>625810</v>
      </c>
      <c r="L854" s="594" t="s">
        <v>259</v>
      </c>
      <c r="M854" s="594" t="s">
        <v>371</v>
      </c>
      <c r="N854" s="52" t="str">
        <f>IF(AND('331-CT'!$E$7=TH!H854,OR(L854="331",M854="331")),"331",IF(AND(OR(L854="131",M854="131"),H854='131-CT'!$E$7),"131",""))</f>
        <v/>
      </c>
      <c r="O854" s="86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99"/>
    </row>
    <row r="855" spans="1:27" s="210" customFormat="1" ht="15.75" customHeight="1">
      <c r="A855" s="203" t="str">
        <f>IF(B855&lt;&gt;"",IF(AND(B855&gt;=_TM1,B855&lt;=_TM2,OR(TH!L855="1111",TH!M855="1111")),TH!D855,""),"")</f>
        <v/>
      </c>
      <c r="B855" s="36">
        <f>IF(C855&lt;&gt;"",MONTH(C855),"")</f>
        <v>6</v>
      </c>
      <c r="C855" s="183">
        <f>E855</f>
        <v>42158</v>
      </c>
      <c r="D855" s="183" t="s">
        <v>1570</v>
      </c>
      <c r="E855" s="190">
        <v>42158</v>
      </c>
      <c r="F855" s="188" t="s">
        <v>758</v>
      </c>
      <c r="G855" s="482" t="s">
        <v>759</v>
      </c>
      <c r="H855" s="7" t="s">
        <v>412</v>
      </c>
      <c r="I855" s="256">
        <v>200</v>
      </c>
      <c r="J855" s="256">
        <v>7500</v>
      </c>
      <c r="K855" s="593">
        <f>ROUND(I855*J855,0)</f>
        <v>1500000</v>
      </c>
      <c r="L855" s="594" t="s">
        <v>259</v>
      </c>
      <c r="M855" s="594" t="s">
        <v>174</v>
      </c>
      <c r="N855" s="52" t="str">
        <f>IF(AND('331-CT'!$E$7=TH!H855,OR(L855="331",M855="331")),"331",IF(AND(OR(L855="131",M855="131"),H855='131-CT'!$E$7),"131",""))</f>
        <v/>
      </c>
      <c r="O855" s="86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99"/>
    </row>
    <row r="856" spans="1:27" s="210" customFormat="1" ht="15.75" customHeight="1">
      <c r="A856" s="203" t="str">
        <f>IF(B856&lt;&gt;"",IF(AND(B856&gt;=_TM1,B856&lt;=_TM2,OR(TH!L856="1111",TH!M856="1111")),TH!D856,""),"")</f>
        <v/>
      </c>
      <c r="B856" s="36">
        <f>IF(C856&lt;&gt;"",MONTH(C856),"")</f>
        <v>6</v>
      </c>
      <c r="C856" s="183">
        <f>E856</f>
        <v>42158</v>
      </c>
      <c r="D856" s="183" t="s">
        <v>1570</v>
      </c>
      <c r="E856" s="190">
        <v>42158</v>
      </c>
      <c r="F856" s="188" t="s">
        <v>413</v>
      </c>
      <c r="G856" s="482" t="s">
        <v>759</v>
      </c>
      <c r="H856" s="7" t="s">
        <v>412</v>
      </c>
      <c r="I856" s="256">
        <v>500</v>
      </c>
      <c r="J856" s="256">
        <v>10500</v>
      </c>
      <c r="K856" s="593">
        <f>ROUND(I856*J856,0)</f>
        <v>5250000</v>
      </c>
      <c r="L856" s="594" t="s">
        <v>259</v>
      </c>
      <c r="M856" s="594" t="s">
        <v>174</v>
      </c>
      <c r="N856" s="52" t="str">
        <f>IF(AND('331-CT'!$E$7=TH!H856,OR(L856="331",M856="331")),"331",IF(AND(OR(L856="131",M856="131"),H856='131-CT'!$E$7),"131",""))</f>
        <v/>
      </c>
      <c r="O856" s="86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99"/>
    </row>
    <row r="857" spans="1:27" s="210" customFormat="1" ht="15.75" customHeight="1">
      <c r="A857" s="203" t="str">
        <f>IF(B857&lt;&gt;"",IF(AND(B857&gt;=_TM1,B857&lt;=_TM2,OR(TH!L857="1111",TH!M857="1111")),TH!D857,""),"")</f>
        <v/>
      </c>
      <c r="B857" s="36">
        <f>IF(C857&lt;&gt;"",MONTH(C857),"")</f>
        <v>6</v>
      </c>
      <c r="C857" s="183">
        <f>E857</f>
        <v>42158</v>
      </c>
      <c r="D857" s="183" t="s">
        <v>1570</v>
      </c>
      <c r="E857" s="190">
        <v>42158</v>
      </c>
      <c r="F857" s="188" t="s">
        <v>402</v>
      </c>
      <c r="G857" s="482" t="s">
        <v>759</v>
      </c>
      <c r="H857" s="7" t="s">
        <v>412</v>
      </c>
      <c r="I857" s="256"/>
      <c r="J857" s="256"/>
      <c r="K857" s="593">
        <v>675000</v>
      </c>
      <c r="L857" s="594" t="s">
        <v>259</v>
      </c>
      <c r="M857" s="594" t="s">
        <v>371</v>
      </c>
      <c r="N857" s="52" t="str">
        <f>IF(AND('331-CT'!$E$7=TH!H857,OR(L857="331",M857="331")),"331",IF(AND(OR(L857="131",M857="131"),H857='131-CT'!$E$7),"131",""))</f>
        <v/>
      </c>
      <c r="O857" s="86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99"/>
    </row>
    <row r="858" spans="1:27" s="210" customFormat="1" ht="15.75" customHeight="1">
      <c r="A858" s="203" t="str">
        <f>IF(B858&lt;&gt;"",IF(AND(B858&gt;=_TM1,B858&lt;=_TM2,OR(TH!L858="1111",TH!M858="1111")),TH!D858,""),"")</f>
        <v/>
      </c>
      <c r="B858" s="36">
        <f>IF(C858&lt;&gt;"",MONTH(C858),"")</f>
        <v>6</v>
      </c>
      <c r="C858" s="183">
        <f>E858</f>
        <v>42159</v>
      </c>
      <c r="D858" s="183" t="s">
        <v>1571</v>
      </c>
      <c r="E858" s="190">
        <v>42159</v>
      </c>
      <c r="F858" s="188" t="s">
        <v>760</v>
      </c>
      <c r="G858" s="482" t="s">
        <v>761</v>
      </c>
      <c r="H858" s="7" t="s">
        <v>762</v>
      </c>
      <c r="I858" s="256">
        <v>500</v>
      </c>
      <c r="J858" s="256">
        <v>6400</v>
      </c>
      <c r="K858" s="593">
        <f>ROUND(I858*J858,0)</f>
        <v>3200000</v>
      </c>
      <c r="L858" s="594" t="s">
        <v>259</v>
      </c>
      <c r="M858" s="594" t="s">
        <v>174</v>
      </c>
      <c r="N858" s="52" t="str">
        <f>IF(AND('331-CT'!$E$7=TH!H858,OR(L858="331",M858="331")),"331",IF(AND(OR(L858="131",M858="131"),H858='131-CT'!$E$7),"131",""))</f>
        <v/>
      </c>
      <c r="O858" s="86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99"/>
    </row>
    <row r="859" spans="1:27" s="210" customFormat="1" ht="15.75" customHeight="1">
      <c r="A859" s="203" t="str">
        <f>IF(B859&lt;&gt;"",IF(AND(B859&gt;=_TM1,B859&lt;=_TM2,OR(TH!L859="1111",TH!M859="1111")),TH!D859,""),"")</f>
        <v/>
      </c>
      <c r="B859" s="36">
        <f>IF(C859&lt;&gt;"",MONTH(C859),"")</f>
        <v>6</v>
      </c>
      <c r="C859" s="183">
        <f>E859</f>
        <v>42159</v>
      </c>
      <c r="D859" s="183" t="s">
        <v>1571</v>
      </c>
      <c r="E859" s="190">
        <v>42159</v>
      </c>
      <c r="F859" s="188" t="s">
        <v>402</v>
      </c>
      <c r="G859" s="482" t="s">
        <v>761</v>
      </c>
      <c r="H859" s="7" t="s">
        <v>762</v>
      </c>
      <c r="I859" s="255"/>
      <c r="J859" s="255"/>
      <c r="K859" s="38">
        <v>320000</v>
      </c>
      <c r="L859" s="594" t="s">
        <v>259</v>
      </c>
      <c r="M859" s="594" t="s">
        <v>371</v>
      </c>
      <c r="N859" s="52" t="str">
        <f>IF(AND('331-CT'!$E$7=TH!H859,OR(L859="331",M859="331")),"331",IF(AND(OR(L859="131",M859="131"),H859='131-CT'!$E$7),"131",""))</f>
        <v/>
      </c>
      <c r="O859" s="86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99"/>
    </row>
    <row r="860" spans="1:27" s="210" customFormat="1" ht="15.75" customHeight="1">
      <c r="A860" s="203" t="str">
        <f>IF(B860&lt;&gt;"",IF(AND(B860&gt;=_TM1,B860&lt;=_TM2,OR(TH!L860="1111",TH!M860="1111")),TH!D860,""),"")</f>
        <v/>
      </c>
      <c r="B860" s="36">
        <f>IF(C860&lt;&gt;"",MONTH(C860),"")</f>
        <v>6</v>
      </c>
      <c r="C860" s="183">
        <f>E860</f>
        <v>42159</v>
      </c>
      <c r="D860" s="183" t="s">
        <v>1572</v>
      </c>
      <c r="E860" s="190">
        <v>42159</v>
      </c>
      <c r="F860" s="188" t="s">
        <v>474</v>
      </c>
      <c r="G860" s="482" t="s">
        <v>763</v>
      </c>
      <c r="H860" s="7" t="s">
        <v>764</v>
      </c>
      <c r="I860" s="255">
        <v>330</v>
      </c>
      <c r="J860" s="255">
        <v>14000</v>
      </c>
      <c r="K860" s="593">
        <f>ROUND(I860*J860,0)</f>
        <v>4620000</v>
      </c>
      <c r="L860" s="594" t="s">
        <v>259</v>
      </c>
      <c r="M860" s="594" t="s">
        <v>174</v>
      </c>
      <c r="N860" s="52" t="str">
        <f>IF(AND('331-CT'!$E$7=TH!H860,OR(L860="331",M860="331")),"331",IF(AND(OR(L860="131",M860="131"),H860='131-CT'!$E$7),"131",""))</f>
        <v/>
      </c>
      <c r="O860" s="86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99"/>
    </row>
    <row r="861" spans="1:27" s="210" customFormat="1" ht="15.75" customHeight="1">
      <c r="A861" s="203" t="str">
        <f>IF(B861&lt;&gt;"",IF(AND(B861&gt;=_TM1,B861&lt;=_TM2,OR(TH!L861="1111",TH!M861="1111")),TH!D861,""),"")</f>
        <v/>
      </c>
      <c r="B861" s="36">
        <f>IF(C861&lt;&gt;"",MONTH(C861),"")</f>
        <v>6</v>
      </c>
      <c r="C861" s="183">
        <f>E861</f>
        <v>42159</v>
      </c>
      <c r="D861" s="183" t="s">
        <v>1572</v>
      </c>
      <c r="E861" s="190">
        <v>42159</v>
      </c>
      <c r="F861" s="188" t="s">
        <v>402</v>
      </c>
      <c r="G861" s="482" t="s">
        <v>763</v>
      </c>
      <c r="H861" s="7" t="s">
        <v>764</v>
      </c>
      <c r="I861" s="255"/>
      <c r="J861" s="255"/>
      <c r="K861" s="593">
        <v>462000</v>
      </c>
      <c r="L861" s="594" t="s">
        <v>259</v>
      </c>
      <c r="M861" s="594" t="s">
        <v>371</v>
      </c>
      <c r="N861" s="52" t="str">
        <f>IF(AND('331-CT'!$E$7=TH!H861,OR(L861="331",M861="331")),"331",IF(AND(OR(L861="131",M861="131"),H861='131-CT'!$E$7),"131",""))</f>
        <v/>
      </c>
      <c r="O861" s="86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99"/>
    </row>
    <row r="862" spans="1:27" s="210" customFormat="1" ht="15.75" customHeight="1">
      <c r="A862" s="203" t="str">
        <f>IF(B862&lt;&gt;"",IF(AND(B862&gt;=_TM1,B862&lt;=_TM2,OR(TH!L862="1111",TH!M862="1111")),TH!D862,""),"")</f>
        <v/>
      </c>
      <c r="B862" s="36">
        <f>IF(C862&lt;&gt;"",MONTH(C862),"")</f>
        <v>6</v>
      </c>
      <c r="C862" s="183">
        <f>E862</f>
        <v>42159</v>
      </c>
      <c r="D862" s="183" t="s">
        <v>1319</v>
      </c>
      <c r="E862" s="190">
        <v>42159</v>
      </c>
      <c r="F862" s="191" t="s">
        <v>1320</v>
      </c>
      <c r="G862" s="482" t="s">
        <v>332</v>
      </c>
      <c r="H862" s="45" t="s">
        <v>416</v>
      </c>
      <c r="I862" s="255"/>
      <c r="J862" s="255"/>
      <c r="K862" s="593">
        <v>22023376</v>
      </c>
      <c r="L862" s="594" t="s">
        <v>24</v>
      </c>
      <c r="M862" s="594" t="s">
        <v>259</v>
      </c>
      <c r="N862" s="52" t="str">
        <f>IF(AND('331-CT'!$E$7=TH!H862,OR(L862="331",M862="331")),"331",IF(AND(OR(L862="131",M862="131"),H862='131-CT'!$E$7),"131",""))</f>
        <v/>
      </c>
      <c r="O862" s="86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>x</v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99"/>
    </row>
    <row r="863" spans="1:27" s="210" customFormat="1" ht="15.75" customHeight="1">
      <c r="A863" s="203" t="str">
        <f>IF(B863&lt;&gt;"",IF(AND(B863&gt;=_TM1,B863&lt;=_TM2,OR(TH!L863="1111",TH!M863="1111")),TH!D863,""),"")</f>
        <v/>
      </c>
      <c r="B863" s="36">
        <f>IF(C863&lt;&gt;"",MONTH(C863),"")</f>
        <v>6</v>
      </c>
      <c r="C863" s="183">
        <f>E863</f>
        <v>42160</v>
      </c>
      <c r="D863" s="183" t="s">
        <v>1319</v>
      </c>
      <c r="E863" s="190">
        <v>42160</v>
      </c>
      <c r="F863" s="191" t="s">
        <v>1320</v>
      </c>
      <c r="G863" s="482" t="s">
        <v>332</v>
      </c>
      <c r="H863" s="831" t="s">
        <v>851</v>
      </c>
      <c r="I863" s="255"/>
      <c r="J863" s="255"/>
      <c r="K863" s="593">
        <v>8559485</v>
      </c>
      <c r="L863" s="594" t="s">
        <v>24</v>
      </c>
      <c r="M863" s="594" t="s">
        <v>259</v>
      </c>
      <c r="N863" s="52" t="str">
        <f>IF(AND('331-CT'!$E$7=TH!H863,OR(L863="331",M863="331")),"331",IF(AND(OR(L863="131",M863="131"),H863='131-CT'!$E$7),"131",""))</f>
        <v/>
      </c>
      <c r="O863" s="86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>x</v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99"/>
    </row>
    <row r="864" spans="1:27" s="210" customFormat="1" ht="15.75" customHeight="1">
      <c r="A864" s="203" t="str">
        <f>IF(B864&lt;&gt;"",IF(AND(B864&gt;=_TM1,B864&lt;=_TM2,OR(TH!L864="1111",TH!M864="1111")),TH!D864,""),"")</f>
        <v/>
      </c>
      <c r="B864" s="36">
        <f>IF(C864&lt;&gt;"",MONTH(C864),"")</f>
        <v>6</v>
      </c>
      <c r="C864" s="183">
        <f>E864</f>
        <v>42160</v>
      </c>
      <c r="D864" s="183" t="s">
        <v>1324</v>
      </c>
      <c r="E864" s="190">
        <v>42160</v>
      </c>
      <c r="F864" s="188" t="s">
        <v>1325</v>
      </c>
      <c r="G864" s="482" t="s">
        <v>332</v>
      </c>
      <c r="H864" s="7" t="s">
        <v>1322</v>
      </c>
      <c r="I864" s="255"/>
      <c r="J864" s="255"/>
      <c r="K864" s="593">
        <v>29300000</v>
      </c>
      <c r="L864" s="594" t="s">
        <v>47</v>
      </c>
      <c r="M864" s="594" t="s">
        <v>24</v>
      </c>
      <c r="N864" s="52" t="str">
        <f>IF(AND('331-CT'!$E$7=TH!H864,OR(L864="331",M864="331")),"331",IF(AND(OR(L864="131",M864="131"),H864='131-CT'!$E$7),"131",""))</f>
        <v/>
      </c>
      <c r="O864" s="869" t="str">
        <f>IF(AND('341-CT'!$E$9=H864,OR(LEFT(L864,3)=$O$7,LEFT(M864,3)=$O$7)),"x","")</f>
        <v/>
      </c>
      <c r="P864" s="52" t="str">
        <f>IF(AND($B864&gt;='111'!$N$11,$B864&lt;='111'!$O$11,OR($L864=$P$7,$M864=$P$7)),"x","")</f>
        <v>x</v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>x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99"/>
    </row>
    <row r="865" spans="1:27" s="210" customFormat="1" ht="15.75" customHeight="1">
      <c r="A865" s="203" t="str">
        <f>IF(B865&lt;&gt;"",IF(AND(B865&gt;=_TM1,B865&lt;=_TM2,OR(TH!L865="1111",TH!M865="1111")),TH!D865,""),"")</f>
        <v/>
      </c>
      <c r="B865" s="36">
        <f>IF(C865&lt;&gt;"",MONTH(C865),"")</f>
        <v>6</v>
      </c>
      <c r="C865" s="183">
        <f>E865</f>
        <v>42160</v>
      </c>
      <c r="D865" s="183" t="s">
        <v>1324</v>
      </c>
      <c r="E865" s="190">
        <v>42160</v>
      </c>
      <c r="F865" s="188" t="s">
        <v>1329</v>
      </c>
      <c r="G865" s="482" t="s">
        <v>332</v>
      </c>
      <c r="H865" s="7"/>
      <c r="I865" s="255"/>
      <c r="J865" s="255"/>
      <c r="K865" s="593">
        <v>45000</v>
      </c>
      <c r="L865" s="594" t="s">
        <v>83</v>
      </c>
      <c r="M865" s="594" t="s">
        <v>24</v>
      </c>
      <c r="N865" s="52" t="str">
        <f>IF(AND('331-CT'!$E$7=TH!H865,OR(L865="331",M865="331")),"331",IF(AND(OR(L865="131",M865="131"),H865='131-CT'!$E$7),"131",""))</f>
        <v/>
      </c>
      <c r="O865" s="86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>x</v>
      </c>
      <c r="V865" s="52" t="str">
        <f>IF(OR(TH!L865=TH!$V$7,M865=TH!$V$7),"x","")</f>
        <v>x</v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99"/>
    </row>
    <row r="866" spans="1:27" s="210" customFormat="1" ht="15.75" customHeight="1">
      <c r="A866" s="203" t="str">
        <f>IF(B866&lt;&gt;"",IF(AND(B866&gt;=_TM1,B866&lt;=_TM2,OR(TH!L866="1111",TH!M866="1111")),TH!D866,""),"")</f>
        <v/>
      </c>
      <c r="B866" s="36">
        <f>IF(C866&lt;&gt;"",MONTH(C866),"")</f>
        <v>6</v>
      </c>
      <c r="C866" s="183">
        <f>E866</f>
        <v>42160</v>
      </c>
      <c r="D866" s="190" t="s">
        <v>1991</v>
      </c>
      <c r="E866" s="727">
        <v>42160</v>
      </c>
      <c r="F866" s="296" t="s">
        <v>1357</v>
      </c>
      <c r="G866" s="482" t="s">
        <v>1425</v>
      </c>
      <c r="H866" s="7" t="s">
        <v>1391</v>
      </c>
      <c r="I866" s="255">
        <v>2486</v>
      </c>
      <c r="J866" s="255">
        <v>7300</v>
      </c>
      <c r="K866" s="593">
        <f>ROUND(I866*J866,0)</f>
        <v>18147800</v>
      </c>
      <c r="L866" s="594" t="s">
        <v>159</v>
      </c>
      <c r="M866" s="594" t="s">
        <v>8</v>
      </c>
      <c r="N866" s="52" t="str">
        <f>IF(AND('331-CT'!$E$7=TH!H866,OR(L866="331",M866="331")),"331",IF(AND(OR(L866="131",M866="131"),H866='131-CT'!$E$7),"131",""))</f>
        <v/>
      </c>
      <c r="O866" s="86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99"/>
    </row>
    <row r="867" spans="1:27" s="210" customFormat="1" ht="15.75" customHeight="1">
      <c r="A867" s="203" t="str">
        <f>IF(B867&lt;&gt;"",IF(AND(B867&gt;=_TM1,B867&lt;=_TM2,OR(TH!L867="1111",TH!M867="1111")),TH!D867,""),"")</f>
        <v/>
      </c>
      <c r="B867" s="36">
        <f>IF(C867&lt;&gt;"",MONTH(C867),"")</f>
        <v>6</v>
      </c>
      <c r="C867" s="183">
        <f>E867</f>
        <v>42160</v>
      </c>
      <c r="D867" s="190" t="s">
        <v>1991</v>
      </c>
      <c r="E867" s="727">
        <v>42160</v>
      </c>
      <c r="F867" s="296" t="s">
        <v>1393</v>
      </c>
      <c r="G867" s="482" t="s">
        <v>1425</v>
      </c>
      <c r="H867" s="7" t="s">
        <v>1391</v>
      </c>
      <c r="I867" s="255"/>
      <c r="J867" s="255"/>
      <c r="K867" s="593">
        <v>1814780</v>
      </c>
      <c r="L867" s="594" t="s">
        <v>9</v>
      </c>
      <c r="M867" s="594" t="s">
        <v>8</v>
      </c>
      <c r="N867" s="52" t="str">
        <f>IF(AND('331-CT'!$E$7=TH!H867,OR(L867="331",M867="331")),"331",IF(AND(OR(L867="131",M867="131"),H867='131-CT'!$E$7),"131",""))</f>
        <v/>
      </c>
      <c r="O867" s="86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99"/>
    </row>
    <row r="868" spans="1:27" s="210" customFormat="1" ht="15.75" customHeight="1">
      <c r="A868" s="203" t="str">
        <f>IF(B868&lt;&gt;"",IF(AND(B868&gt;=_TM1,B868&lt;=_TM2,OR(TH!L868="1111",TH!M868="1111")),TH!D868,""),"")</f>
        <v/>
      </c>
      <c r="B868" s="36">
        <f>IF(C868&lt;&gt;"",MONTH(C868),"")</f>
        <v>6</v>
      </c>
      <c r="C868" s="183">
        <f>E868</f>
        <v>42160</v>
      </c>
      <c r="D868" s="190" t="s">
        <v>1991</v>
      </c>
      <c r="E868" s="727">
        <v>42160</v>
      </c>
      <c r="F868" s="296" t="s">
        <v>1326</v>
      </c>
      <c r="G868" s="482" t="s">
        <v>1425</v>
      </c>
      <c r="H868" s="7" t="s">
        <v>1391</v>
      </c>
      <c r="I868" s="255"/>
      <c r="J868" s="255"/>
      <c r="K868" s="593">
        <v>19962580</v>
      </c>
      <c r="L868" s="594" t="s">
        <v>8</v>
      </c>
      <c r="M868" s="594" t="s">
        <v>47</v>
      </c>
      <c r="N868" s="52" t="str">
        <f>IF(AND('331-CT'!$E$7=TH!H868,OR(L868="331",M868="331")),"331",IF(AND(OR(L868="131",M868="131"),H868='131-CT'!$E$7),"131",""))</f>
        <v/>
      </c>
      <c r="O868" s="869" t="str">
        <f>IF(AND('341-CT'!$E$9=H868,OR(LEFT(L868,3)=$O$7,LEFT(M868,3)=$O$7)),"x","")</f>
        <v/>
      </c>
      <c r="P868" s="52" t="str">
        <f>IF(AND($B868&gt;='111'!$N$11,$B868&lt;='111'!$O$11,OR($L868=$P$7,$M868=$P$7)),"x","")</f>
        <v>x</v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99"/>
    </row>
    <row r="869" spans="1:27" s="210" customFormat="1" ht="15.75" customHeight="1">
      <c r="A869" s="203" t="str">
        <f>IF(B869&lt;&gt;"",IF(AND(B869&gt;=_TM1,B869&lt;=_TM2,OR(TH!L869="1111",TH!M869="1111")),TH!D869,""),"")</f>
        <v/>
      </c>
      <c r="B869" s="36">
        <f>IF(C869&lt;&gt;"",MONTH(C869),"")</f>
        <v>6</v>
      </c>
      <c r="C869" s="183">
        <f>E869</f>
        <v>42161</v>
      </c>
      <c r="D869" s="183" t="s">
        <v>1573</v>
      </c>
      <c r="E869" s="190">
        <v>42161</v>
      </c>
      <c r="F869" s="188" t="s">
        <v>765</v>
      </c>
      <c r="G869" s="482" t="s">
        <v>766</v>
      </c>
      <c r="H869" s="7" t="s">
        <v>767</v>
      </c>
      <c r="I869" s="255">
        <v>70</v>
      </c>
      <c r="J869" s="255">
        <v>18200</v>
      </c>
      <c r="K869" s="593">
        <f>ROUND(I869*J869,0)</f>
        <v>1274000</v>
      </c>
      <c r="L869" s="594" t="s">
        <v>259</v>
      </c>
      <c r="M869" s="594" t="s">
        <v>174</v>
      </c>
      <c r="N869" s="52" t="str">
        <f>IF(AND('331-CT'!$E$7=TH!H869,OR(L869="331",M869="331")),"331",IF(AND(OR(L869="131",M869="131"),H869='131-CT'!$E$7),"131",""))</f>
        <v/>
      </c>
      <c r="O869" s="86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99"/>
    </row>
    <row r="870" spans="1:27" s="210" customFormat="1" ht="15.75" customHeight="1">
      <c r="A870" s="203" t="str">
        <f>IF(B870&lt;&gt;"",IF(AND(B870&gt;=_TM1,B870&lt;=_TM2,OR(TH!L870="1111",TH!M870="1111")),TH!D870,""),"")</f>
        <v/>
      </c>
      <c r="B870" s="36">
        <f>IF(C870&lt;&gt;"",MONTH(C870),"")</f>
        <v>6</v>
      </c>
      <c r="C870" s="183">
        <f>E870</f>
        <v>42161</v>
      </c>
      <c r="D870" s="183" t="s">
        <v>1573</v>
      </c>
      <c r="E870" s="190">
        <v>42161</v>
      </c>
      <c r="F870" s="188" t="s">
        <v>768</v>
      </c>
      <c r="G870" s="482" t="s">
        <v>766</v>
      </c>
      <c r="H870" s="7" t="s">
        <v>767</v>
      </c>
      <c r="I870" s="255">
        <v>92</v>
      </c>
      <c r="J870" s="255">
        <v>20300</v>
      </c>
      <c r="K870" s="593">
        <f>ROUND(I870*J870,0)</f>
        <v>1867600</v>
      </c>
      <c r="L870" s="594" t="s">
        <v>259</v>
      </c>
      <c r="M870" s="594" t="s">
        <v>174</v>
      </c>
      <c r="N870" s="52" t="str">
        <f>IF(AND('331-CT'!$E$7=TH!H870,OR(L870="331",M870="331")),"331",IF(AND(OR(L870="131",M870="131"),H870='131-CT'!$E$7),"131",""))</f>
        <v/>
      </c>
      <c r="O870" s="86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99"/>
    </row>
    <row r="871" spans="1:27" s="210" customFormat="1" ht="15.75" customHeight="1">
      <c r="A871" s="203" t="str">
        <f>IF(B871&lt;&gt;"",IF(AND(B871&gt;=_TM1,B871&lt;=_TM2,OR(TH!L871="1111",TH!M871="1111")),TH!D871,""),"")</f>
        <v/>
      </c>
      <c r="B871" s="36">
        <f>IF(C871&lt;&gt;"",MONTH(C871),"")</f>
        <v>6</v>
      </c>
      <c r="C871" s="183">
        <f>E871</f>
        <v>42161</v>
      </c>
      <c r="D871" s="183" t="s">
        <v>1573</v>
      </c>
      <c r="E871" s="190">
        <v>42161</v>
      </c>
      <c r="F871" s="188" t="s">
        <v>769</v>
      </c>
      <c r="G871" s="482" t="s">
        <v>766</v>
      </c>
      <c r="H871" s="7" t="s">
        <v>767</v>
      </c>
      <c r="I871" s="255">
        <v>67</v>
      </c>
      <c r="J871" s="255">
        <v>22600</v>
      </c>
      <c r="K871" s="593">
        <f>ROUND(I871*J871,0)</f>
        <v>1514200</v>
      </c>
      <c r="L871" s="594" t="s">
        <v>259</v>
      </c>
      <c r="M871" s="594" t="s">
        <v>174</v>
      </c>
      <c r="N871" s="52" t="str">
        <f>IF(AND('331-CT'!$E$7=TH!H871,OR(L871="331",M871="331")),"331",IF(AND(OR(L871="131",M871="131"),H871='131-CT'!$E$7),"131",""))</f>
        <v/>
      </c>
      <c r="O871" s="86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99"/>
    </row>
    <row r="872" spans="1:27" s="210" customFormat="1" ht="15.75" customHeight="1">
      <c r="A872" s="203" t="str">
        <f>IF(B872&lt;&gt;"",IF(AND(B872&gt;=_TM1,B872&lt;=_TM2,OR(TH!L872="1111",TH!M872="1111")),TH!D872,""),"")</f>
        <v/>
      </c>
      <c r="B872" s="36">
        <f>IF(C872&lt;&gt;"",MONTH(C872),"")</f>
        <v>6</v>
      </c>
      <c r="C872" s="183">
        <f>E872</f>
        <v>42161</v>
      </c>
      <c r="D872" s="183" t="s">
        <v>1573</v>
      </c>
      <c r="E872" s="190">
        <v>42161</v>
      </c>
      <c r="F872" s="188" t="s">
        <v>770</v>
      </c>
      <c r="G872" s="482" t="s">
        <v>766</v>
      </c>
      <c r="H872" s="7" t="s">
        <v>767</v>
      </c>
      <c r="I872" s="255">
        <v>100</v>
      </c>
      <c r="J872" s="255">
        <v>30800</v>
      </c>
      <c r="K872" s="593">
        <f>ROUND(I872*J872,0)</f>
        <v>3080000</v>
      </c>
      <c r="L872" s="594" t="s">
        <v>259</v>
      </c>
      <c r="M872" s="594" t="s">
        <v>174</v>
      </c>
      <c r="N872" s="52" t="str">
        <f>IF(AND('331-CT'!$E$7=TH!H872,OR(L872="331",M872="331")),"331",IF(AND(OR(L872="131",M872="131"),H872='131-CT'!$E$7),"131",""))</f>
        <v/>
      </c>
      <c r="O872" s="86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99"/>
    </row>
    <row r="873" spans="1:27" s="210" customFormat="1" ht="15.75" customHeight="1">
      <c r="A873" s="203" t="str">
        <f>IF(B873&lt;&gt;"",IF(AND(B873&gt;=_TM1,B873&lt;=_TM2,OR(TH!L873="1111",TH!M873="1111")),TH!D873,""),"")</f>
        <v/>
      </c>
      <c r="B873" s="36">
        <f>IF(C873&lt;&gt;"",MONTH(C873),"")</f>
        <v>6</v>
      </c>
      <c r="C873" s="183">
        <f>E873</f>
        <v>42161</v>
      </c>
      <c r="D873" s="183" t="s">
        <v>1573</v>
      </c>
      <c r="E873" s="190">
        <v>42161</v>
      </c>
      <c r="F873" s="188" t="s">
        <v>402</v>
      </c>
      <c r="G873" s="482" t="s">
        <v>766</v>
      </c>
      <c r="H873" s="7" t="s">
        <v>767</v>
      </c>
      <c r="I873" s="255"/>
      <c r="J873" s="255"/>
      <c r="K873" s="38">
        <v>773580</v>
      </c>
      <c r="L873" s="594" t="s">
        <v>259</v>
      </c>
      <c r="M873" s="594" t="s">
        <v>371</v>
      </c>
      <c r="N873" s="52" t="str">
        <f>IF(AND('331-CT'!$E$7=TH!H873,OR(L873="331",M873="331")),"331",IF(AND(OR(L873="131",M873="131"),H873='131-CT'!$E$7),"131",""))</f>
        <v/>
      </c>
      <c r="O873" s="86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99"/>
    </row>
    <row r="874" spans="1:27" s="210" customFormat="1" ht="15.75" customHeight="1">
      <c r="A874" s="203" t="str">
        <f>IF(B874&lt;&gt;"",IF(AND(B874&gt;=_TM1,B874&lt;=_TM2,OR(TH!L874="1111",TH!M874="1111")),TH!D874,""),"")</f>
        <v/>
      </c>
      <c r="B874" s="36">
        <f>IF(C874&lt;&gt;"",MONTH(C874),"")</f>
        <v>6</v>
      </c>
      <c r="C874" s="183">
        <f>E874</f>
        <v>42161</v>
      </c>
      <c r="D874" s="183" t="s">
        <v>1573</v>
      </c>
      <c r="E874" s="190">
        <v>42161</v>
      </c>
      <c r="F874" s="191" t="s">
        <v>1320</v>
      </c>
      <c r="G874" s="482" t="s">
        <v>766</v>
      </c>
      <c r="H874" s="7" t="s">
        <v>767</v>
      </c>
      <c r="I874" s="255"/>
      <c r="J874" s="255"/>
      <c r="K874" s="38">
        <v>8509380</v>
      </c>
      <c r="L874" s="594" t="s">
        <v>47</v>
      </c>
      <c r="M874" s="594" t="s">
        <v>259</v>
      </c>
      <c r="N874" s="52" t="str">
        <f>IF(AND('331-CT'!$E$7=TH!H874,OR(L874="331",M874="331")),"331",IF(AND(OR(L874="131",M874="131"),H874='131-CT'!$E$7),"131",""))</f>
        <v/>
      </c>
      <c r="O874" s="869" t="str">
        <f>IF(AND('341-CT'!$E$9=H874,OR(LEFT(L874,3)=$O$7,LEFT(M874,3)=$O$7)),"x","")</f>
        <v/>
      </c>
      <c r="P874" s="52" t="str">
        <f>IF(AND($B874&gt;='111'!$N$11,$B874&lt;='111'!$O$11,OR($L874=$P$7,$M874=$P$7)),"x","")</f>
        <v>x</v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99"/>
    </row>
    <row r="875" spans="1:27" s="210" customFormat="1" ht="15.75" customHeight="1">
      <c r="A875" s="203" t="str">
        <f>IF(B875&lt;&gt;"",IF(AND(B875&gt;=_TM1,B875&lt;=_TM2,OR(TH!L875="1111",TH!M875="1111")),TH!D875,""),"")</f>
        <v/>
      </c>
      <c r="B875" s="36">
        <f>IF(C875&lt;&gt;"",MONTH(C875),"")</f>
        <v>6</v>
      </c>
      <c r="C875" s="183">
        <f>E875</f>
        <v>42161</v>
      </c>
      <c r="D875" s="190" t="s">
        <v>1992</v>
      </c>
      <c r="E875" s="727">
        <v>42161</v>
      </c>
      <c r="F875" s="296" t="s">
        <v>1357</v>
      </c>
      <c r="G875" s="482" t="s">
        <v>1426</v>
      </c>
      <c r="H875" s="7" t="s">
        <v>1391</v>
      </c>
      <c r="I875" s="255">
        <v>2346</v>
      </c>
      <c r="J875" s="255">
        <v>7300</v>
      </c>
      <c r="K875" s="593">
        <f>ROUND(I875*J875,0)</f>
        <v>17125800</v>
      </c>
      <c r="L875" s="594" t="s">
        <v>159</v>
      </c>
      <c r="M875" s="594" t="s">
        <v>8</v>
      </c>
      <c r="N875" s="52" t="str">
        <f>IF(AND('331-CT'!$E$7=TH!H875,OR(L875="331",M875="331")),"331",IF(AND(OR(L875="131",M875="131"),H875='131-CT'!$E$7),"131",""))</f>
        <v/>
      </c>
      <c r="O875" s="86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99"/>
    </row>
    <row r="876" spans="1:27" s="210" customFormat="1" ht="15.75" customHeight="1">
      <c r="A876" s="203" t="str">
        <f>IF(B876&lt;&gt;"",IF(AND(B876&gt;=_TM1,B876&lt;=_TM2,OR(TH!L876="1111",TH!M876="1111")),TH!D876,""),"")</f>
        <v/>
      </c>
      <c r="B876" s="36">
        <f>IF(C876&lt;&gt;"",MONTH(C876),"")</f>
        <v>6</v>
      </c>
      <c r="C876" s="183">
        <f>E876</f>
        <v>42161</v>
      </c>
      <c r="D876" s="190" t="s">
        <v>1992</v>
      </c>
      <c r="E876" s="727">
        <v>42161</v>
      </c>
      <c r="F876" s="296" t="s">
        <v>1393</v>
      </c>
      <c r="G876" s="482" t="s">
        <v>1426</v>
      </c>
      <c r="H876" s="7" t="s">
        <v>1391</v>
      </c>
      <c r="I876" s="255"/>
      <c r="J876" s="255"/>
      <c r="K876" s="593">
        <v>1712580</v>
      </c>
      <c r="L876" s="594" t="s">
        <v>9</v>
      </c>
      <c r="M876" s="594" t="s">
        <v>8</v>
      </c>
      <c r="N876" s="52" t="str">
        <f>IF(AND('331-CT'!$E$7=TH!H876,OR(L876="331",M876="331")),"331",IF(AND(OR(L876="131",M876="131"),H876='131-CT'!$E$7),"131",""))</f>
        <v/>
      </c>
      <c r="O876" s="86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99"/>
    </row>
    <row r="877" spans="1:27" s="210" customFormat="1" ht="15.75" customHeight="1">
      <c r="A877" s="203" t="str">
        <f>IF(B877&lt;&gt;"",IF(AND(B877&gt;=_TM1,B877&lt;=_TM2,OR(TH!L877="1111",TH!M877="1111")),TH!D877,""),"")</f>
        <v/>
      </c>
      <c r="B877" s="36">
        <f>IF(C877&lt;&gt;"",MONTH(C877),"")</f>
        <v>6</v>
      </c>
      <c r="C877" s="183">
        <f>E877</f>
        <v>42161</v>
      </c>
      <c r="D877" s="190" t="s">
        <v>1992</v>
      </c>
      <c r="E877" s="727">
        <v>42161</v>
      </c>
      <c r="F877" s="296" t="s">
        <v>1326</v>
      </c>
      <c r="G877" s="482" t="s">
        <v>1426</v>
      </c>
      <c r="H877" s="7" t="s">
        <v>1391</v>
      </c>
      <c r="I877" s="255"/>
      <c r="J877" s="255"/>
      <c r="K877" s="593">
        <v>18838380</v>
      </c>
      <c r="L877" s="594" t="s">
        <v>8</v>
      </c>
      <c r="M877" s="594" t="s">
        <v>47</v>
      </c>
      <c r="N877" s="52" t="str">
        <f>IF(AND('331-CT'!$E$7=TH!H877,OR(L877="331",M877="331")),"331",IF(AND(OR(L877="131",M877="131"),H877='131-CT'!$E$7),"131",""))</f>
        <v/>
      </c>
      <c r="O877" s="869" t="str">
        <f>IF(AND('341-CT'!$E$9=H877,OR(LEFT(L877,3)=$O$7,LEFT(M877,3)=$O$7)),"x","")</f>
        <v/>
      </c>
      <c r="P877" s="52" t="str">
        <f>IF(AND($B877&gt;='111'!$N$11,$B877&lt;='111'!$O$11,OR($L877=$P$7,$M877=$P$7)),"x","")</f>
        <v>x</v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99"/>
    </row>
    <row r="878" spans="1:27" s="210" customFormat="1" ht="15.75" customHeight="1">
      <c r="A878" s="203" t="str">
        <f>IF(B878&lt;&gt;"",IF(AND(B878&gt;=_TM1,B878&lt;=_TM2,OR(TH!L878="1111",TH!M878="1111")),TH!D878,""),"")</f>
        <v/>
      </c>
      <c r="B878" s="36">
        <f>IF(C878&lt;&gt;"",MONTH(C878),"")</f>
        <v>6</v>
      </c>
      <c r="C878" s="183">
        <f>E878</f>
        <v>42163</v>
      </c>
      <c r="D878" s="183" t="s">
        <v>1574</v>
      </c>
      <c r="E878" s="183">
        <v>42163</v>
      </c>
      <c r="F878" s="188" t="s">
        <v>413</v>
      </c>
      <c r="G878" s="595" t="s">
        <v>771</v>
      </c>
      <c r="H878" s="192" t="s">
        <v>412</v>
      </c>
      <c r="I878" s="255">
        <v>309</v>
      </c>
      <c r="J878" s="255">
        <v>10500</v>
      </c>
      <c r="K878" s="593">
        <f>ROUND(I878*J878,0)</f>
        <v>3244500</v>
      </c>
      <c r="L878" s="594" t="s">
        <v>259</v>
      </c>
      <c r="M878" s="594" t="s">
        <v>174</v>
      </c>
      <c r="N878" s="52" t="str">
        <f>IF(AND('331-CT'!$E$7=TH!H878,OR(L878="331",M878="331")),"331",IF(AND(OR(L878="131",M878="131"),H878='131-CT'!$E$7),"131",""))</f>
        <v/>
      </c>
      <c r="O878" s="86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99"/>
    </row>
    <row r="879" spans="1:27" s="210" customFormat="1" ht="15.75" customHeight="1">
      <c r="A879" s="203" t="str">
        <f>IF(B879&lt;&gt;"",IF(AND(B879&gt;=_TM1,B879&lt;=_TM2,OR(TH!L879="1111",TH!M879="1111")),TH!D879,""),"")</f>
        <v/>
      </c>
      <c r="B879" s="36">
        <f>IF(C879&lt;&gt;"",MONTH(C879),"")</f>
        <v>6</v>
      </c>
      <c r="C879" s="183">
        <f>E879</f>
        <v>42163</v>
      </c>
      <c r="D879" s="183" t="s">
        <v>1574</v>
      </c>
      <c r="E879" s="190">
        <v>42163</v>
      </c>
      <c r="F879" s="188" t="s">
        <v>413</v>
      </c>
      <c r="G879" s="482" t="s">
        <v>771</v>
      </c>
      <c r="H879" s="192" t="s">
        <v>412</v>
      </c>
      <c r="I879" s="255">
        <v>300</v>
      </c>
      <c r="J879" s="255">
        <v>10500</v>
      </c>
      <c r="K879" s="593">
        <f>ROUND(I879*J879,0)</f>
        <v>3150000</v>
      </c>
      <c r="L879" s="594" t="s">
        <v>259</v>
      </c>
      <c r="M879" s="594" t="s">
        <v>174</v>
      </c>
      <c r="N879" s="52" t="str">
        <f>IF(AND('331-CT'!$E$7=TH!H879,OR(L879="331",M879="331")),"331",IF(AND(OR(L879="131",M879="131"),H879='131-CT'!$E$7),"131",""))</f>
        <v/>
      </c>
      <c r="O879" s="86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99"/>
    </row>
    <row r="880" spans="1:27" s="210" customFormat="1" ht="15.75" customHeight="1">
      <c r="A880" s="203" t="str">
        <f>IF(B880&lt;&gt;"",IF(AND(B880&gt;=_TM1,B880&lt;=_TM2,OR(TH!L880="1111",TH!M880="1111")),TH!D880,""),"")</f>
        <v/>
      </c>
      <c r="B880" s="36">
        <f>IF(C880&lt;&gt;"",MONTH(C880),"")</f>
        <v>6</v>
      </c>
      <c r="C880" s="183">
        <f>E880</f>
        <v>42163</v>
      </c>
      <c r="D880" s="183" t="s">
        <v>1574</v>
      </c>
      <c r="E880" s="190">
        <v>42163</v>
      </c>
      <c r="F880" s="188" t="s">
        <v>413</v>
      </c>
      <c r="G880" s="482" t="s">
        <v>771</v>
      </c>
      <c r="H880" s="192" t="s">
        <v>412</v>
      </c>
      <c r="I880" s="255">
        <v>300</v>
      </c>
      <c r="J880" s="255">
        <v>10500</v>
      </c>
      <c r="K880" s="593">
        <f>ROUND(I880*J880,0)</f>
        <v>3150000</v>
      </c>
      <c r="L880" s="594" t="s">
        <v>259</v>
      </c>
      <c r="M880" s="594" t="s">
        <v>174</v>
      </c>
      <c r="N880" s="52" t="str">
        <f>IF(AND('331-CT'!$E$7=TH!H880,OR(L880="331",M880="331")),"331",IF(AND(OR(L880="131",M880="131"),H880='131-CT'!$E$7),"131",""))</f>
        <v/>
      </c>
      <c r="O880" s="86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99"/>
    </row>
    <row r="881" spans="1:27" s="210" customFormat="1" ht="15.75" customHeight="1">
      <c r="A881" s="203" t="str">
        <f>IF(B881&lt;&gt;"",IF(AND(B881&gt;=_TM1,B881&lt;=_TM2,OR(TH!L881="1111",TH!M881="1111")),TH!D881,""),"")</f>
        <v/>
      </c>
      <c r="B881" s="36">
        <f>IF(C881&lt;&gt;"",MONTH(C881),"")</f>
        <v>6</v>
      </c>
      <c r="C881" s="183">
        <f>E881</f>
        <v>42163</v>
      </c>
      <c r="D881" s="183" t="s">
        <v>1574</v>
      </c>
      <c r="E881" s="190">
        <v>42163</v>
      </c>
      <c r="F881" s="191" t="s">
        <v>402</v>
      </c>
      <c r="G881" s="482" t="s">
        <v>771</v>
      </c>
      <c r="H881" s="192" t="s">
        <v>412</v>
      </c>
      <c r="I881" s="255"/>
      <c r="J881" s="255"/>
      <c r="K881" s="38">
        <v>954450</v>
      </c>
      <c r="L881" s="594" t="s">
        <v>259</v>
      </c>
      <c r="M881" s="594" t="s">
        <v>371</v>
      </c>
      <c r="N881" s="52" t="str">
        <f>IF(AND('331-CT'!$E$7=TH!H881,OR(L881="331",M881="331")),"331",IF(AND(OR(L881="131",M881="131"),H881='131-CT'!$E$7),"131",""))</f>
        <v/>
      </c>
      <c r="O881" s="86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99"/>
    </row>
    <row r="882" spans="1:27" s="210" customFormat="1" ht="15.75" customHeight="1">
      <c r="A882" s="203" t="str">
        <f>IF(B882&lt;&gt;"",IF(AND(B882&gt;=_TM1,B882&lt;=_TM2,OR(TH!L882="1111",TH!M882="1111")),TH!D882,""),"")</f>
        <v/>
      </c>
      <c r="B882" s="36">
        <f>IF(C882&lt;&gt;"",MONTH(C882),"")</f>
        <v>6</v>
      </c>
      <c r="C882" s="183">
        <f>E882</f>
        <v>42163</v>
      </c>
      <c r="D882" s="183" t="s">
        <v>1575</v>
      </c>
      <c r="E882" s="190">
        <v>42163</v>
      </c>
      <c r="F882" s="188" t="s">
        <v>772</v>
      </c>
      <c r="G882" s="482" t="s">
        <v>773</v>
      </c>
      <c r="H882" s="7" t="s">
        <v>774</v>
      </c>
      <c r="I882" s="255">
        <v>502</v>
      </c>
      <c r="J882" s="255">
        <v>3750</v>
      </c>
      <c r="K882" s="593">
        <f>ROUND(I882*J882,0)</f>
        <v>1882500</v>
      </c>
      <c r="L882" s="594" t="s">
        <v>259</v>
      </c>
      <c r="M882" s="594" t="s">
        <v>174</v>
      </c>
      <c r="N882" s="52" t="str">
        <f>IF(AND('331-CT'!$E$7=TH!H882,OR(L882="331",M882="331")),"331",IF(AND(OR(L882="131",M882="131"),H882='131-CT'!$E$7),"131",""))</f>
        <v/>
      </c>
      <c r="O882" s="86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99"/>
    </row>
    <row r="883" spans="1:27" s="210" customFormat="1" ht="15.75" customHeight="1">
      <c r="A883" s="203" t="str">
        <f>IF(B883&lt;&gt;"",IF(AND(B883&gt;=_TM1,B883&lt;=_TM2,OR(TH!L883="1111",TH!M883="1111")),TH!D883,""),"")</f>
        <v/>
      </c>
      <c r="B883" s="36">
        <f>IF(C883&lt;&gt;"",MONTH(C883),"")</f>
        <v>6</v>
      </c>
      <c r="C883" s="183">
        <f>E883</f>
        <v>42163</v>
      </c>
      <c r="D883" s="183" t="s">
        <v>1575</v>
      </c>
      <c r="E883" s="190">
        <v>42163</v>
      </c>
      <c r="F883" s="188" t="s">
        <v>772</v>
      </c>
      <c r="G883" s="482" t="s">
        <v>773</v>
      </c>
      <c r="H883" s="7" t="s">
        <v>774</v>
      </c>
      <c r="I883" s="750">
        <v>516</v>
      </c>
      <c r="J883" s="255">
        <v>3750</v>
      </c>
      <c r="K883" s="593">
        <f>ROUND(I883*J883,0)</f>
        <v>1935000</v>
      </c>
      <c r="L883" s="594" t="s">
        <v>259</v>
      </c>
      <c r="M883" s="594" t="s">
        <v>174</v>
      </c>
      <c r="N883" s="52" t="str">
        <f>IF(AND('331-CT'!$E$7=TH!H883,OR(L883="331",M883="331")),"331",IF(AND(OR(L883="131",M883="131"),H883='131-CT'!$E$7),"131",""))</f>
        <v/>
      </c>
      <c r="O883" s="86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99"/>
    </row>
    <row r="884" spans="1:27" s="210" customFormat="1" ht="15.75" customHeight="1">
      <c r="A884" s="203" t="str">
        <f>IF(B884&lt;&gt;"",IF(AND(B884&gt;=_TM1,B884&lt;=_TM2,OR(TH!L884="1111",TH!M884="1111")),TH!D884,""),"")</f>
        <v/>
      </c>
      <c r="B884" s="36">
        <f>IF(C884&lt;&gt;"",MONTH(C884),"")</f>
        <v>6</v>
      </c>
      <c r="C884" s="183">
        <f>E884</f>
        <v>42163</v>
      </c>
      <c r="D884" s="183" t="s">
        <v>1575</v>
      </c>
      <c r="E884" s="190">
        <v>42163</v>
      </c>
      <c r="F884" s="188" t="s">
        <v>402</v>
      </c>
      <c r="G884" s="482" t="s">
        <v>773</v>
      </c>
      <c r="H884" s="7" t="s">
        <v>774</v>
      </c>
      <c r="I884" s="255"/>
      <c r="J884" s="255"/>
      <c r="K884" s="593">
        <v>381750</v>
      </c>
      <c r="L884" s="594" t="s">
        <v>259</v>
      </c>
      <c r="M884" s="594" t="s">
        <v>371</v>
      </c>
      <c r="N884" s="52" t="str">
        <f>IF(AND('331-CT'!$E$7=TH!H884,OR(L884="331",M884="331")),"331",IF(AND(OR(L884="131",M884="131"),H884='131-CT'!$E$7),"131",""))</f>
        <v/>
      </c>
      <c r="O884" s="86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99"/>
    </row>
    <row r="885" spans="1:27" s="210" customFormat="1" ht="15.75" customHeight="1">
      <c r="A885" s="203" t="str">
        <f>IF(B885&lt;&gt;"",IF(AND(B885&gt;=_TM1,B885&lt;=_TM2,OR(TH!L885="1111",TH!M885="1111")),TH!D885,""),"")</f>
        <v/>
      </c>
      <c r="B885" s="36">
        <f>IF(C885&lt;&gt;"",MONTH(C885),"")</f>
        <v>6</v>
      </c>
      <c r="C885" s="183">
        <f>E885</f>
        <v>42163</v>
      </c>
      <c r="D885" s="190" t="s">
        <v>1993</v>
      </c>
      <c r="E885" s="727">
        <v>42163</v>
      </c>
      <c r="F885" s="296" t="s">
        <v>1357</v>
      </c>
      <c r="G885" s="482" t="s">
        <v>1427</v>
      </c>
      <c r="H885" s="7" t="s">
        <v>1391</v>
      </c>
      <c r="I885" s="255">
        <v>2358</v>
      </c>
      <c r="J885" s="255">
        <v>7300</v>
      </c>
      <c r="K885" s="593">
        <f>ROUND(I885*J885,0)</f>
        <v>17213400</v>
      </c>
      <c r="L885" s="594" t="s">
        <v>159</v>
      </c>
      <c r="M885" s="594" t="s">
        <v>8</v>
      </c>
      <c r="N885" s="52" t="str">
        <f>IF(AND('331-CT'!$E$7=TH!H885,OR(L885="331",M885="331")),"331",IF(AND(OR(L885="131",M885="131"),H885='131-CT'!$E$7),"131",""))</f>
        <v/>
      </c>
      <c r="O885" s="86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99"/>
    </row>
    <row r="886" spans="1:27" s="210" customFormat="1" ht="15.75" customHeight="1">
      <c r="A886" s="203" t="str">
        <f>IF(B886&lt;&gt;"",IF(AND(B886&gt;=_TM1,B886&lt;=_TM2,OR(TH!L886="1111",TH!M886="1111")),TH!D886,""),"")</f>
        <v/>
      </c>
      <c r="B886" s="36">
        <f>IF(C886&lt;&gt;"",MONTH(C886),"")</f>
        <v>6</v>
      </c>
      <c r="C886" s="183">
        <f>E886</f>
        <v>42163</v>
      </c>
      <c r="D886" s="190" t="s">
        <v>1993</v>
      </c>
      <c r="E886" s="727">
        <v>42163</v>
      </c>
      <c r="F886" s="296" t="s">
        <v>1393</v>
      </c>
      <c r="G886" s="482" t="s">
        <v>1427</v>
      </c>
      <c r="H886" s="7" t="s">
        <v>1391</v>
      </c>
      <c r="I886" s="255"/>
      <c r="J886" s="255"/>
      <c r="K886" s="593">
        <v>1721340</v>
      </c>
      <c r="L886" s="594" t="s">
        <v>9</v>
      </c>
      <c r="M886" s="594" t="s">
        <v>8</v>
      </c>
      <c r="N886" s="52" t="str">
        <f>IF(AND('331-CT'!$E$7=TH!H886,OR(L886="331",M886="331")),"331",IF(AND(OR(L886="131",M886="131"),H886='131-CT'!$E$7),"131",""))</f>
        <v/>
      </c>
      <c r="O886" s="86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99"/>
    </row>
    <row r="887" spans="1:27" s="210" customFormat="1" ht="15.75" customHeight="1">
      <c r="A887" s="203" t="str">
        <f>IF(B887&lt;&gt;"",IF(AND(B887&gt;=_TM1,B887&lt;=_TM2,OR(TH!L887="1111",TH!M887="1111")),TH!D887,""),"")</f>
        <v/>
      </c>
      <c r="B887" s="36">
        <f>IF(C887&lt;&gt;"",MONTH(C887),"")</f>
        <v>6</v>
      </c>
      <c r="C887" s="183">
        <f>E887</f>
        <v>42163</v>
      </c>
      <c r="D887" s="190" t="s">
        <v>1993</v>
      </c>
      <c r="E887" s="727">
        <v>42163</v>
      </c>
      <c r="F887" s="296" t="s">
        <v>1326</v>
      </c>
      <c r="G887" s="482" t="s">
        <v>1427</v>
      </c>
      <c r="H887" s="7" t="s">
        <v>1391</v>
      </c>
      <c r="I887" s="255"/>
      <c r="J887" s="255"/>
      <c r="K887" s="593">
        <v>18934740</v>
      </c>
      <c r="L887" s="594" t="s">
        <v>8</v>
      </c>
      <c r="M887" s="594" t="s">
        <v>47</v>
      </c>
      <c r="N887" s="52" t="str">
        <f>IF(AND('331-CT'!$E$7=TH!H887,OR(L887="331",M887="331")),"331",IF(AND(OR(L887="131",M887="131"),H887='131-CT'!$E$7),"131",""))</f>
        <v/>
      </c>
      <c r="O887" s="869" t="str">
        <f>IF(AND('341-CT'!$E$9=H887,OR(LEFT(L887,3)=$O$7,LEFT(M887,3)=$O$7)),"x","")</f>
        <v/>
      </c>
      <c r="P887" s="52" t="str">
        <f>IF(AND($B887&gt;='111'!$N$11,$B887&lt;='111'!$O$11,OR($L887=$P$7,$M887=$P$7)),"x","")</f>
        <v>x</v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99"/>
    </row>
    <row r="888" spans="1:27" s="210" customFormat="1" ht="15.75" customHeight="1">
      <c r="A888" s="203" t="str">
        <f>IF(B888&lt;&gt;"",IF(AND(B888&gt;=_TM1,B888&lt;=_TM2,OR(TH!L888="1111",TH!M888="1111")),TH!D888,""),"")</f>
        <v/>
      </c>
      <c r="B888" s="36">
        <f>IF(C888&lt;&gt;"",MONTH(C888),"")</f>
        <v>6</v>
      </c>
      <c r="C888" s="183">
        <f>E888</f>
        <v>42164</v>
      </c>
      <c r="D888" s="190" t="s">
        <v>1994</v>
      </c>
      <c r="E888" s="727">
        <v>42164</v>
      </c>
      <c r="F888" s="296" t="s">
        <v>1357</v>
      </c>
      <c r="G888" s="482" t="s">
        <v>1428</v>
      </c>
      <c r="H888" s="7" t="s">
        <v>1391</v>
      </c>
      <c r="I888" s="255">
        <v>1886</v>
      </c>
      <c r="J888" s="255">
        <v>7300</v>
      </c>
      <c r="K888" s="593">
        <f>ROUND(I888*J888,0)</f>
        <v>13767800</v>
      </c>
      <c r="L888" s="594" t="s">
        <v>159</v>
      </c>
      <c r="M888" s="594" t="s">
        <v>8</v>
      </c>
      <c r="N888" s="52" t="str">
        <f>IF(AND('331-CT'!$E$7=TH!H888,OR(L888="331",M888="331")),"331",IF(AND(OR(L888="131",M888="131"),H888='131-CT'!$E$7),"131",""))</f>
        <v/>
      </c>
      <c r="O888" s="86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99"/>
    </row>
    <row r="889" spans="1:27" s="210" customFormat="1" ht="15.75" customHeight="1">
      <c r="A889" s="203" t="str">
        <f>IF(B889&lt;&gt;"",IF(AND(B889&gt;=_TM1,B889&lt;=_TM2,OR(TH!L889="1111",TH!M889="1111")),TH!D889,""),"")</f>
        <v/>
      </c>
      <c r="B889" s="36">
        <f>IF(C889&lt;&gt;"",MONTH(C889),"")</f>
        <v>6</v>
      </c>
      <c r="C889" s="183">
        <f>E889</f>
        <v>42164</v>
      </c>
      <c r="D889" s="190" t="s">
        <v>1994</v>
      </c>
      <c r="E889" s="727">
        <v>42164</v>
      </c>
      <c r="F889" s="296" t="s">
        <v>1393</v>
      </c>
      <c r="G889" s="482" t="s">
        <v>1428</v>
      </c>
      <c r="H889" s="7" t="s">
        <v>1391</v>
      </c>
      <c r="I889" s="255"/>
      <c r="J889" s="255"/>
      <c r="K889" s="593">
        <v>1376780</v>
      </c>
      <c r="L889" s="594" t="s">
        <v>9</v>
      </c>
      <c r="M889" s="594" t="s">
        <v>8</v>
      </c>
      <c r="N889" s="52" t="str">
        <f>IF(AND('331-CT'!$E$7=TH!H889,OR(L889="331",M889="331")),"331",IF(AND(OR(L889="131",M889="131"),H889='131-CT'!$E$7),"131",""))</f>
        <v/>
      </c>
      <c r="O889" s="86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99"/>
    </row>
    <row r="890" spans="1:27" s="210" customFormat="1" ht="15.75" customHeight="1">
      <c r="A890" s="203" t="str">
        <f>IF(B890&lt;&gt;"",IF(AND(B890&gt;=_TM1,B890&lt;=_TM2,OR(TH!L890="1111",TH!M890="1111")),TH!D890,""),"")</f>
        <v/>
      </c>
      <c r="B890" s="36">
        <f>IF(C890&lt;&gt;"",MONTH(C890),"")</f>
        <v>6</v>
      </c>
      <c r="C890" s="183">
        <f>E890</f>
        <v>42164</v>
      </c>
      <c r="D890" s="190" t="s">
        <v>1994</v>
      </c>
      <c r="E890" s="727">
        <v>42164</v>
      </c>
      <c r="F890" s="296" t="s">
        <v>1326</v>
      </c>
      <c r="G890" s="482" t="s">
        <v>1428</v>
      </c>
      <c r="H890" s="7" t="s">
        <v>1391</v>
      </c>
      <c r="I890" s="255"/>
      <c r="J890" s="255"/>
      <c r="K890" s="593">
        <v>15144580</v>
      </c>
      <c r="L890" s="594" t="s">
        <v>8</v>
      </c>
      <c r="M890" s="594" t="s">
        <v>47</v>
      </c>
      <c r="N890" s="52" t="str">
        <f>IF(AND('331-CT'!$E$7=TH!H890,OR(L890="331",M890="331")),"331",IF(AND(OR(L890="131",M890="131"),H890='131-CT'!$E$7),"131",""))</f>
        <v/>
      </c>
      <c r="O890" s="869" t="str">
        <f>IF(AND('341-CT'!$E$9=H890,OR(LEFT(L890,3)=$O$7,LEFT(M890,3)=$O$7)),"x","")</f>
        <v/>
      </c>
      <c r="P890" s="52" t="str">
        <f>IF(AND($B890&gt;='111'!$N$11,$B890&lt;='111'!$O$11,OR($L890=$P$7,$M890=$P$7)),"x","")</f>
        <v>x</v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99"/>
    </row>
    <row r="891" spans="1:27" s="210" customFormat="1" ht="15.75" customHeight="1">
      <c r="A891" s="203" t="str">
        <f>IF(B891&lt;&gt;"",IF(AND(B891&gt;=_TM1,B891&lt;=_TM2,OR(TH!L891="1111",TH!M891="1111")),TH!D891,""),"")</f>
        <v/>
      </c>
      <c r="B891" s="36">
        <f>IF(C891&lt;&gt;"",MONTH(C891),"")</f>
        <v>6</v>
      </c>
      <c r="C891" s="183">
        <f>E891</f>
        <v>42165</v>
      </c>
      <c r="D891" s="183" t="s">
        <v>1319</v>
      </c>
      <c r="E891" s="190">
        <v>42165</v>
      </c>
      <c r="F891" s="191" t="s">
        <v>1323</v>
      </c>
      <c r="G891" s="482" t="s">
        <v>332</v>
      </c>
      <c r="H891" s="7" t="s">
        <v>1328</v>
      </c>
      <c r="I891" s="255"/>
      <c r="J891" s="255"/>
      <c r="K891" s="593">
        <v>15000</v>
      </c>
      <c r="L891" s="594" t="s">
        <v>24</v>
      </c>
      <c r="M891" s="594" t="s">
        <v>47</v>
      </c>
      <c r="N891" s="52" t="str">
        <f>IF(AND('331-CT'!$E$7=TH!H891,OR(L891="331",M891="331")),"331",IF(AND(OR(L891="131",M891="131"),H891='131-CT'!$E$7),"131",""))</f>
        <v/>
      </c>
      <c r="O891" s="869" t="str">
        <f>IF(AND('341-CT'!$E$9=H891,OR(LEFT(L891,3)=$O$7,LEFT(M891,3)=$O$7)),"x","")</f>
        <v/>
      </c>
      <c r="P891" s="52" t="str">
        <f>IF(AND($B891&gt;='111'!$N$11,$B891&lt;='111'!$O$11,OR($L891=$P$7,$M891=$P$7)),"x","")</f>
        <v>x</v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>x</v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99"/>
    </row>
    <row r="892" spans="1:27" s="210" customFormat="1" ht="15.75" customHeight="1">
      <c r="A892" s="203" t="str">
        <f>IF(B892&lt;&gt;"",IF(AND(B892&gt;=_TM1,B892&lt;=_TM2,OR(TH!L892="1111",TH!M892="1111")),TH!D892,""),"")</f>
        <v/>
      </c>
      <c r="B892" s="36">
        <f>IF(C892&lt;&gt;"",MONTH(C892),"")</f>
        <v>6</v>
      </c>
      <c r="C892" s="183">
        <f>E892</f>
        <v>42165</v>
      </c>
      <c r="D892" s="183" t="s">
        <v>1324</v>
      </c>
      <c r="E892" s="190">
        <v>42165</v>
      </c>
      <c r="F892" s="188" t="s">
        <v>1325</v>
      </c>
      <c r="G892" s="482" t="s">
        <v>332</v>
      </c>
      <c r="H892" s="7" t="s">
        <v>1328</v>
      </c>
      <c r="I892" s="255"/>
      <c r="J892" s="255"/>
      <c r="K892" s="593">
        <v>8000000</v>
      </c>
      <c r="L892" s="594" t="s">
        <v>47</v>
      </c>
      <c r="M892" s="594" t="s">
        <v>24</v>
      </c>
      <c r="N892" s="52" t="str">
        <f>IF(AND('331-CT'!$E$7=TH!H892,OR(L892="331",M892="331")),"331",IF(AND(OR(L892="131",M892="131"),H892='131-CT'!$E$7),"131",""))</f>
        <v/>
      </c>
      <c r="O892" s="869" t="str">
        <f>IF(AND('341-CT'!$E$9=H892,OR(LEFT(L892,3)=$O$7,LEFT(M892,3)=$O$7)),"x","")</f>
        <v/>
      </c>
      <c r="P892" s="52" t="str">
        <f>IF(AND($B892&gt;='111'!$N$11,$B892&lt;='111'!$O$11,OR($L892=$P$7,$M892=$P$7)),"x","")</f>
        <v>x</v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>x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99"/>
    </row>
    <row r="893" spans="1:27" s="210" customFormat="1" ht="15.75" customHeight="1">
      <c r="A893" s="203" t="str">
        <f>IF(B893&lt;&gt;"",IF(AND(B893&gt;=_TM1,B893&lt;=_TM2,OR(TH!L893="1111",TH!M893="1111")),TH!D893,""),"")</f>
        <v/>
      </c>
      <c r="B893" s="36">
        <f>IF(C893&lt;&gt;"",MONTH(C893),"")</f>
        <v>6</v>
      </c>
      <c r="C893" s="183">
        <f>E893</f>
        <v>42165</v>
      </c>
      <c r="D893" s="183" t="s">
        <v>1324</v>
      </c>
      <c r="E893" s="190">
        <v>42165</v>
      </c>
      <c r="F893" s="188" t="s">
        <v>1330</v>
      </c>
      <c r="G893" s="482" t="s">
        <v>332</v>
      </c>
      <c r="H893" s="7"/>
      <c r="I893" s="255"/>
      <c r="J893" s="255"/>
      <c r="K893" s="593">
        <v>15000</v>
      </c>
      <c r="L893" s="594" t="s">
        <v>83</v>
      </c>
      <c r="M893" s="594" t="s">
        <v>24</v>
      </c>
      <c r="N893" s="52" t="str">
        <f>IF(AND('331-CT'!$E$7=TH!H893,OR(L893="331",M893="331")),"331",IF(AND(OR(L893="131",M893="131"),H893='131-CT'!$E$7),"131",""))</f>
        <v/>
      </c>
      <c r="O893" s="86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>x</v>
      </c>
      <c r="V893" s="52" t="str">
        <f>IF(OR(TH!L893=TH!$V$7,M893=TH!$V$7),"x","")</f>
        <v>x</v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99"/>
    </row>
    <row r="894" spans="1:27" s="210" customFormat="1" ht="15.75" customHeight="1">
      <c r="A894" s="203" t="str">
        <f>IF(B894&lt;&gt;"",IF(AND(B894&gt;=_TM1,B894&lt;=_TM2,OR(TH!L894="1111",TH!M894="1111")),TH!D894,""),"")</f>
        <v/>
      </c>
      <c r="B894" s="36">
        <f>IF(C894&lt;&gt;"",MONTH(C894),"")</f>
        <v>6</v>
      </c>
      <c r="C894" s="183">
        <f>E894</f>
        <v>42167</v>
      </c>
      <c r="D894" s="183" t="s">
        <v>1576</v>
      </c>
      <c r="E894" s="190">
        <v>42167</v>
      </c>
      <c r="F894" s="188" t="s">
        <v>494</v>
      </c>
      <c r="G894" s="482" t="s">
        <v>775</v>
      </c>
      <c r="H894" s="7" t="s">
        <v>834</v>
      </c>
      <c r="I894" s="255">
        <v>1080</v>
      </c>
      <c r="J894" s="255">
        <v>5400</v>
      </c>
      <c r="K894" s="593">
        <f>ROUND(I894*J894,0)</f>
        <v>5832000</v>
      </c>
      <c r="L894" s="594" t="s">
        <v>259</v>
      </c>
      <c r="M894" s="594" t="s">
        <v>174</v>
      </c>
      <c r="N894" s="52" t="str">
        <f>IF(AND('331-CT'!$E$7=TH!H894,OR(L894="331",M894="331")),"331",IF(AND(OR(L894="131",M894="131"),H894='131-CT'!$E$7),"131",""))</f>
        <v/>
      </c>
      <c r="O894" s="86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99"/>
    </row>
    <row r="895" spans="1:27" s="210" customFormat="1" ht="15.75" customHeight="1">
      <c r="A895" s="203" t="str">
        <f>IF(B895&lt;&gt;"",IF(AND(B895&gt;=_TM1,B895&lt;=_TM2,OR(TH!L895="1111",TH!M895="1111")),TH!D895,""),"")</f>
        <v/>
      </c>
      <c r="B895" s="36">
        <f>IF(C895&lt;&gt;"",MONTH(C895),"")</f>
        <v>6</v>
      </c>
      <c r="C895" s="183">
        <f>E895</f>
        <v>42167</v>
      </c>
      <c r="D895" s="183" t="s">
        <v>1576</v>
      </c>
      <c r="E895" s="190">
        <v>42167</v>
      </c>
      <c r="F895" s="40" t="s">
        <v>402</v>
      </c>
      <c r="G895" s="482" t="s">
        <v>775</v>
      </c>
      <c r="H895" s="7" t="s">
        <v>834</v>
      </c>
      <c r="I895" s="255"/>
      <c r="J895" s="255"/>
      <c r="K895" s="593">
        <v>583200</v>
      </c>
      <c r="L895" s="594" t="s">
        <v>259</v>
      </c>
      <c r="M895" s="594" t="s">
        <v>371</v>
      </c>
      <c r="N895" s="52" t="str">
        <f>IF(AND('331-CT'!$E$7=TH!H895,OR(L895="331",M895="331")),"331",IF(AND(OR(L895="131",M895="131"),H895='131-CT'!$E$7),"131",""))</f>
        <v/>
      </c>
      <c r="O895" s="86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99"/>
    </row>
    <row r="896" spans="1:27" s="210" customFormat="1" ht="15.75" customHeight="1">
      <c r="A896" s="203" t="str">
        <f>IF(B896&lt;&gt;"",IF(AND(B896&gt;=_TM1,B896&lt;=_TM2,OR(TH!L896="1111",TH!M896="1111")),TH!D896,""),"")</f>
        <v/>
      </c>
      <c r="B896" s="36">
        <f>IF(C896&lt;&gt;"",MONTH(C896),"")</f>
        <v>6</v>
      </c>
      <c r="C896" s="183">
        <f>E896</f>
        <v>42167</v>
      </c>
      <c r="D896" s="183" t="s">
        <v>1576</v>
      </c>
      <c r="E896" s="190">
        <v>42167</v>
      </c>
      <c r="F896" s="191" t="s">
        <v>1320</v>
      </c>
      <c r="G896" s="482" t="s">
        <v>2047</v>
      </c>
      <c r="H896" s="7" t="s">
        <v>834</v>
      </c>
      <c r="I896" s="255"/>
      <c r="J896" s="255"/>
      <c r="K896" s="593">
        <f>14903460+6415200</f>
        <v>21318660</v>
      </c>
      <c r="L896" s="594" t="s">
        <v>47</v>
      </c>
      <c r="M896" s="594" t="s">
        <v>259</v>
      </c>
      <c r="N896" s="52" t="str">
        <f>IF(AND('331-CT'!$E$7=TH!H896,OR(L896="331",M896="331")),"331",IF(AND(OR(L896="131",M896="131"),H896='131-CT'!$E$7),"131",""))</f>
        <v/>
      </c>
      <c r="O896" s="869" t="str">
        <f>IF(AND('341-CT'!$E$9=H896,OR(LEFT(L896,3)=$O$7,LEFT(M896,3)=$O$7)),"x","")</f>
        <v/>
      </c>
      <c r="P896" s="52" t="str">
        <f>IF(AND($B896&gt;='111'!$N$11,$B896&lt;='111'!$O$11,OR($L896=$P$7,$M896=$P$7)),"x","")</f>
        <v>x</v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99"/>
    </row>
    <row r="897" spans="1:27" s="210" customFormat="1" ht="15.75" customHeight="1">
      <c r="A897" s="203" t="str">
        <f>IF(B897&lt;&gt;"",IF(AND(B897&gt;=_TM1,B897&lt;=_TM2,OR(TH!L897="1111",TH!M897="1111")),TH!D897,""),"")</f>
        <v/>
      </c>
      <c r="B897" s="36">
        <f>IF(C897&lt;&gt;"",MONTH(C897),"")</f>
        <v>6</v>
      </c>
      <c r="C897" s="183">
        <f>E897</f>
        <v>42167</v>
      </c>
      <c r="D897" s="183" t="s">
        <v>1319</v>
      </c>
      <c r="E897" s="190">
        <v>42167</v>
      </c>
      <c r="F897" s="191" t="s">
        <v>1320</v>
      </c>
      <c r="G897" s="482" t="s">
        <v>332</v>
      </c>
      <c r="H897" s="7" t="s">
        <v>407</v>
      </c>
      <c r="I897" s="255"/>
      <c r="J897" s="255"/>
      <c r="K897" s="593">
        <v>28681202</v>
      </c>
      <c r="L897" s="594" t="s">
        <v>24</v>
      </c>
      <c r="M897" s="594" t="s">
        <v>259</v>
      </c>
      <c r="N897" s="52" t="str">
        <f>IF(AND('331-CT'!$E$7=TH!H897,OR(L897="331",M897="331")),"331",IF(AND(OR(L897="131",M897="131"),H897='131-CT'!$E$7),"131",""))</f>
        <v/>
      </c>
      <c r="O897" s="86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>x</v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99"/>
    </row>
    <row r="898" spans="1:27" s="210" customFormat="1" ht="15.75" customHeight="1">
      <c r="A898" s="203" t="str">
        <f>IF(B898&lt;&gt;"",IF(AND(B898&gt;=_TM1,B898&lt;=_TM2,OR(TH!L898="1111",TH!M898="1111")),TH!D898,""),"")</f>
        <v/>
      </c>
      <c r="B898" s="36">
        <f>IF(C898&lt;&gt;"",MONTH(C898),"")</f>
        <v>6</v>
      </c>
      <c r="C898" s="183">
        <f>E898</f>
        <v>42167</v>
      </c>
      <c r="D898" s="183" t="s">
        <v>1319</v>
      </c>
      <c r="E898" s="190">
        <v>42167</v>
      </c>
      <c r="F898" s="191" t="s">
        <v>1320</v>
      </c>
      <c r="G898" s="482" t="s">
        <v>332</v>
      </c>
      <c r="H898" s="7" t="s">
        <v>645</v>
      </c>
      <c r="I898" s="255"/>
      <c r="J898" s="255"/>
      <c r="K898" s="593">
        <v>2288000</v>
      </c>
      <c r="L898" s="594" t="s">
        <v>24</v>
      </c>
      <c r="M898" s="594" t="s">
        <v>259</v>
      </c>
      <c r="N898" s="52" t="str">
        <f>IF(AND('331-CT'!$E$7=TH!H898,OR(L898="331",M898="331")),"331",IF(AND(OR(L898="131",M898="131"),H898='131-CT'!$E$7),"131",""))</f>
        <v/>
      </c>
      <c r="O898" s="86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>x</v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99"/>
    </row>
    <row r="899" spans="1:27" s="210" customFormat="1" ht="15.75" customHeight="1">
      <c r="A899" s="203" t="str">
        <f>IF(B899&lt;&gt;"",IF(AND(B899&gt;=_TM1,B899&lt;=_TM2,OR(TH!L899="1111",TH!M899="1111")),TH!D899,""),"")</f>
        <v/>
      </c>
      <c r="B899" s="36">
        <f>IF(C899&lt;&gt;"",MONTH(C899),"")</f>
        <v>6</v>
      </c>
      <c r="C899" s="183">
        <f>E899</f>
        <v>42167</v>
      </c>
      <c r="D899" s="183" t="s">
        <v>1324</v>
      </c>
      <c r="E899" s="190">
        <v>42167</v>
      </c>
      <c r="F899" s="188" t="s">
        <v>1325</v>
      </c>
      <c r="G899" s="482" t="s">
        <v>332</v>
      </c>
      <c r="H899" s="7" t="s">
        <v>1331</v>
      </c>
      <c r="I899" s="255"/>
      <c r="J899" s="255"/>
      <c r="K899" s="593">
        <v>28600000</v>
      </c>
      <c r="L899" s="594" t="s">
        <v>47</v>
      </c>
      <c r="M899" s="594" t="s">
        <v>24</v>
      </c>
      <c r="N899" s="52" t="str">
        <f>IF(AND('331-CT'!$E$7=TH!H899,OR(L899="331",M899="331")),"331",IF(AND(OR(L899="131",M899="131"),H899='131-CT'!$E$7),"131",""))</f>
        <v/>
      </c>
      <c r="O899" s="869" t="str">
        <f>IF(AND('341-CT'!$E$9=H899,OR(LEFT(L899,3)=$O$7,LEFT(M899,3)=$O$7)),"x","")</f>
        <v/>
      </c>
      <c r="P899" s="52" t="str">
        <f>IF(AND($B899&gt;='111'!$N$11,$B899&lt;='111'!$O$11,OR($L899=$P$7,$M899=$P$7)),"x","")</f>
        <v>x</v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>x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99"/>
    </row>
    <row r="900" spans="1:27" s="210" customFormat="1" ht="15.75" customHeight="1">
      <c r="A900" s="203" t="str">
        <f>IF(B900&lt;&gt;"",IF(AND(B900&gt;=_TM1,B900&lt;=_TM2,OR(TH!L900="1111",TH!M900="1111")),TH!D900,""),"")</f>
        <v/>
      </c>
      <c r="B900" s="36">
        <f>IF(C900&lt;&gt;"",MONTH(C900),"")</f>
        <v>6</v>
      </c>
      <c r="C900" s="183">
        <f>E900</f>
        <v>42167</v>
      </c>
      <c r="D900" s="190" t="s">
        <v>1995</v>
      </c>
      <c r="E900" s="727">
        <v>42167</v>
      </c>
      <c r="F900" s="296" t="s">
        <v>1357</v>
      </c>
      <c r="G900" s="482" t="s">
        <v>1429</v>
      </c>
      <c r="H900" s="7" t="s">
        <v>1391</v>
      </c>
      <c r="I900" s="255">
        <v>1762</v>
      </c>
      <c r="J900" s="255">
        <v>7300</v>
      </c>
      <c r="K900" s="593">
        <f>ROUND(I900*J900,0)</f>
        <v>12862600</v>
      </c>
      <c r="L900" s="594" t="s">
        <v>159</v>
      </c>
      <c r="M900" s="594" t="s">
        <v>8</v>
      </c>
      <c r="N900" s="52" t="str">
        <f>IF(AND('331-CT'!$E$7=TH!H900,OR(L900="331",M900="331")),"331",IF(AND(OR(L900="131",M900="131"),H900='131-CT'!$E$7),"131",""))</f>
        <v/>
      </c>
      <c r="O900" s="86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99"/>
    </row>
    <row r="901" spans="1:27" s="210" customFormat="1" ht="15.75" customHeight="1">
      <c r="A901" s="203" t="str">
        <f>IF(B901&lt;&gt;"",IF(AND(B901&gt;=_TM1,B901&lt;=_TM2,OR(TH!L901="1111",TH!M901="1111")),TH!D901,""),"")</f>
        <v/>
      </c>
      <c r="B901" s="36">
        <f>IF(C901&lt;&gt;"",MONTH(C901),"")</f>
        <v>6</v>
      </c>
      <c r="C901" s="183">
        <f>E901</f>
        <v>42167</v>
      </c>
      <c r="D901" s="190" t="s">
        <v>1995</v>
      </c>
      <c r="E901" s="727">
        <v>42167</v>
      </c>
      <c r="F901" s="296" t="s">
        <v>1393</v>
      </c>
      <c r="G901" s="482" t="s">
        <v>1429</v>
      </c>
      <c r="H901" s="7" t="s">
        <v>1391</v>
      </c>
      <c r="I901" s="255"/>
      <c r="J901" s="255"/>
      <c r="K901" s="593">
        <v>1286260</v>
      </c>
      <c r="L901" s="594" t="s">
        <v>9</v>
      </c>
      <c r="M901" s="594" t="s">
        <v>8</v>
      </c>
      <c r="N901" s="52" t="str">
        <f>IF(AND('331-CT'!$E$7=TH!H901,OR(L901="331",M901="331")),"331",IF(AND(OR(L901="131",M901="131"),H901='131-CT'!$E$7),"131",""))</f>
        <v/>
      </c>
      <c r="O901" s="86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99"/>
    </row>
    <row r="902" spans="1:27" s="210" customFormat="1" ht="15.75" customHeight="1">
      <c r="A902" s="203" t="str">
        <f>IF(B902&lt;&gt;"",IF(AND(B902&gt;=_TM1,B902&lt;=_TM2,OR(TH!L902="1111",TH!M902="1111")),TH!D902,""),"")</f>
        <v/>
      </c>
      <c r="B902" s="36">
        <f>IF(C902&lt;&gt;"",MONTH(C902),"")</f>
        <v>6</v>
      </c>
      <c r="C902" s="183">
        <f>E902</f>
        <v>42167</v>
      </c>
      <c r="D902" s="190" t="s">
        <v>1995</v>
      </c>
      <c r="E902" s="727">
        <v>42167</v>
      </c>
      <c r="F902" s="296" t="s">
        <v>1326</v>
      </c>
      <c r="G902" s="482" t="s">
        <v>1429</v>
      </c>
      <c r="H902" s="7" t="s">
        <v>1391</v>
      </c>
      <c r="I902" s="255"/>
      <c r="J902" s="255"/>
      <c r="K902" s="593">
        <v>14148860</v>
      </c>
      <c r="L902" s="594" t="s">
        <v>8</v>
      </c>
      <c r="M902" s="594" t="s">
        <v>47</v>
      </c>
      <c r="N902" s="52" t="str">
        <f>IF(AND('331-CT'!$E$7=TH!H902,OR(L902="331",M902="331")),"331",IF(AND(OR(L902="131",M902="131"),H902='131-CT'!$E$7),"131",""))</f>
        <v/>
      </c>
      <c r="O902" s="869" t="str">
        <f>IF(AND('341-CT'!$E$9=H902,OR(LEFT(L902,3)=$O$7,LEFT(M902,3)=$O$7)),"x","")</f>
        <v/>
      </c>
      <c r="P902" s="52" t="str">
        <f>IF(AND($B902&gt;='111'!$N$11,$B902&lt;='111'!$O$11,OR($L902=$P$7,$M902=$P$7)),"x","")</f>
        <v>x</v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99"/>
    </row>
    <row r="903" spans="1:27" s="210" customFormat="1" ht="15.75" customHeight="1">
      <c r="A903" s="203" t="str">
        <f>IF(B903&lt;&gt;"",IF(AND(B903&gt;=_TM1,B903&lt;=_TM2,OR(TH!L903="1111",TH!M903="1111")),TH!D903,""),"")</f>
        <v/>
      </c>
      <c r="B903" s="36">
        <f>IF(C903&lt;&gt;"",MONTH(C903),"")</f>
        <v>6</v>
      </c>
      <c r="C903" s="183">
        <f>E903</f>
        <v>42170</v>
      </c>
      <c r="D903" s="183" t="s">
        <v>1577</v>
      </c>
      <c r="E903" s="190">
        <v>42170</v>
      </c>
      <c r="F903" s="40" t="s">
        <v>474</v>
      </c>
      <c r="G903" s="482" t="s">
        <v>776</v>
      </c>
      <c r="H903" s="7" t="s">
        <v>764</v>
      </c>
      <c r="I903" s="255">
        <v>282</v>
      </c>
      <c r="J903" s="255">
        <v>14000</v>
      </c>
      <c r="K903" s="593">
        <f>ROUND(I903*J903,0)</f>
        <v>3948000</v>
      </c>
      <c r="L903" s="594" t="s">
        <v>259</v>
      </c>
      <c r="M903" s="594" t="s">
        <v>174</v>
      </c>
      <c r="N903" s="52" t="str">
        <f>IF(AND('331-CT'!$E$7=TH!H903,OR(L903="331",M903="331")),"331",IF(AND(OR(L903="131",M903="131"),H903='131-CT'!$E$7),"131",""))</f>
        <v/>
      </c>
      <c r="O903" s="86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99"/>
    </row>
    <row r="904" spans="1:27" s="210" customFormat="1" ht="15.75" customHeight="1">
      <c r="A904" s="203" t="str">
        <f>IF(B904&lt;&gt;"",IF(AND(B904&gt;=_TM1,B904&lt;=_TM2,OR(TH!L904="1111",TH!M904="1111")),TH!D904,""),"")</f>
        <v/>
      </c>
      <c r="B904" s="36">
        <f>IF(C904&lt;&gt;"",MONTH(C904),"")</f>
        <v>6</v>
      </c>
      <c r="C904" s="183">
        <f>E904</f>
        <v>42170</v>
      </c>
      <c r="D904" s="183" t="s">
        <v>1577</v>
      </c>
      <c r="E904" s="190">
        <v>42170</v>
      </c>
      <c r="F904" s="188" t="s">
        <v>402</v>
      </c>
      <c r="G904" s="482" t="s">
        <v>776</v>
      </c>
      <c r="H904" s="7" t="s">
        <v>764</v>
      </c>
      <c r="I904" s="255"/>
      <c r="J904" s="255"/>
      <c r="K904" s="593">
        <v>394800</v>
      </c>
      <c r="L904" s="594" t="s">
        <v>259</v>
      </c>
      <c r="M904" s="594" t="s">
        <v>371</v>
      </c>
      <c r="N904" s="52" t="str">
        <f>IF(AND('331-CT'!$E$7=TH!H904,OR(L904="331",M904="331")),"331",IF(AND(OR(L904="131",M904="131"),H904='131-CT'!$E$7),"131",""))</f>
        <v/>
      </c>
      <c r="O904" s="86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99"/>
    </row>
    <row r="905" spans="1:27" s="210" customFormat="1" ht="15.75" customHeight="1">
      <c r="A905" s="203" t="str">
        <f>IF(B905&lt;&gt;"",IF(AND(B905&gt;=_TM1,B905&lt;=_TM2,OR(TH!L905="1111",TH!M905="1111")),TH!D905,""),"")</f>
        <v/>
      </c>
      <c r="B905" s="36">
        <f>IF(C905&lt;&gt;"",MONTH(C905),"")</f>
        <v>6</v>
      </c>
      <c r="C905" s="183">
        <f>E905</f>
        <v>42170</v>
      </c>
      <c r="D905" s="183" t="s">
        <v>1578</v>
      </c>
      <c r="E905" s="190">
        <v>42170</v>
      </c>
      <c r="F905" s="40" t="s">
        <v>777</v>
      </c>
      <c r="G905" s="482" t="s">
        <v>778</v>
      </c>
      <c r="H905" s="7" t="s">
        <v>779</v>
      </c>
      <c r="I905" s="255">
        <v>500</v>
      </c>
      <c r="J905" s="255">
        <v>9300</v>
      </c>
      <c r="K905" s="593">
        <f>ROUND(I905*J905,0)</f>
        <v>4650000</v>
      </c>
      <c r="L905" s="594" t="s">
        <v>259</v>
      </c>
      <c r="M905" s="594" t="s">
        <v>174</v>
      </c>
      <c r="N905" s="52" t="str">
        <f>IF(AND('331-CT'!$E$7=TH!H905,OR(L905="331",M905="331")),"331",IF(AND(OR(L905="131",M905="131"),H905='131-CT'!$E$7),"131",""))</f>
        <v/>
      </c>
      <c r="O905" s="86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99"/>
    </row>
    <row r="906" spans="1:27" s="210" customFormat="1" ht="15.75" customHeight="1">
      <c r="A906" s="203" t="str">
        <f>IF(B906&lt;&gt;"",IF(AND(B906&gt;=_TM1,B906&lt;=_TM2,OR(TH!L906="1111",TH!M906="1111")),TH!D906,""),"")</f>
        <v/>
      </c>
      <c r="B906" s="36">
        <f>IF(C906&lt;&gt;"",MONTH(C906),"")</f>
        <v>6</v>
      </c>
      <c r="C906" s="183">
        <f>E906</f>
        <v>42170</v>
      </c>
      <c r="D906" s="183" t="s">
        <v>1578</v>
      </c>
      <c r="E906" s="190">
        <v>42170</v>
      </c>
      <c r="F906" s="191" t="s">
        <v>402</v>
      </c>
      <c r="G906" s="482" t="s">
        <v>778</v>
      </c>
      <c r="H906" s="192" t="s">
        <v>779</v>
      </c>
      <c r="I906" s="255"/>
      <c r="J906" s="255"/>
      <c r="K906" s="593">
        <v>465000</v>
      </c>
      <c r="L906" s="594" t="s">
        <v>259</v>
      </c>
      <c r="M906" s="594" t="s">
        <v>371</v>
      </c>
      <c r="N906" s="52" t="str">
        <f>IF(AND('331-CT'!$E$7=TH!H906,OR(L906="331",M906="331")),"331",IF(AND(OR(L906="131",M906="131"),H906='131-CT'!$E$7),"131",""))</f>
        <v/>
      </c>
      <c r="O906" s="86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99"/>
    </row>
    <row r="907" spans="1:27" s="210" customFormat="1" ht="15.75" customHeight="1">
      <c r="A907" s="203" t="str">
        <f>IF(B907&lt;&gt;"",IF(AND(B907&gt;=_TM1,B907&lt;=_TM2,OR(TH!L907="1111",TH!M907="1111")),TH!D907,""),"")</f>
        <v/>
      </c>
      <c r="B907" s="36">
        <f>IF(C907&lt;&gt;"",MONTH(C907),"")</f>
        <v>6</v>
      </c>
      <c r="C907" s="183">
        <f>E907</f>
        <v>42170</v>
      </c>
      <c r="D907" s="183" t="s">
        <v>1578</v>
      </c>
      <c r="E907" s="190">
        <v>42170</v>
      </c>
      <c r="F907" s="191" t="s">
        <v>1320</v>
      </c>
      <c r="G907" s="482" t="s">
        <v>778</v>
      </c>
      <c r="H907" s="192" t="s">
        <v>779</v>
      </c>
      <c r="I907" s="255"/>
      <c r="J907" s="255"/>
      <c r="K907" s="593">
        <v>5115000</v>
      </c>
      <c r="L907" s="594" t="s">
        <v>47</v>
      </c>
      <c r="M907" s="594" t="s">
        <v>259</v>
      </c>
      <c r="N907" s="52" t="str">
        <f>IF(AND('331-CT'!$E$7=TH!H907,OR(L907="331",M907="331")),"331",IF(AND(OR(L907="131",M907="131"),H907='131-CT'!$E$7),"131",""))</f>
        <v/>
      </c>
      <c r="O907" s="869" t="str">
        <f>IF(AND('341-CT'!$E$9=H907,OR(LEFT(L907,3)=$O$7,LEFT(M907,3)=$O$7)),"x","")</f>
        <v/>
      </c>
      <c r="P907" s="52" t="str">
        <f>IF(AND($B907&gt;='111'!$N$11,$B907&lt;='111'!$O$11,OR($L907=$P$7,$M907=$P$7)),"x","")</f>
        <v>x</v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99"/>
    </row>
    <row r="908" spans="1:27" s="210" customFormat="1" ht="15.75" customHeight="1">
      <c r="A908" s="203" t="str">
        <f>IF(B908&lt;&gt;"",IF(AND(B908&gt;=_TM1,B908&lt;=_TM2,OR(TH!L908="1111",TH!M908="1111")),TH!D908,""),"")</f>
        <v/>
      </c>
      <c r="B908" s="36">
        <f>IF(C908&lt;&gt;"",MONTH(C908),"")</f>
        <v>6</v>
      </c>
      <c r="C908" s="183">
        <f>E908</f>
        <v>42171</v>
      </c>
      <c r="D908" s="183" t="s">
        <v>1579</v>
      </c>
      <c r="E908" s="190">
        <v>42171</v>
      </c>
      <c r="F908" s="191" t="s">
        <v>518</v>
      </c>
      <c r="G908" s="482" t="s">
        <v>780</v>
      </c>
      <c r="H908" s="192" t="s">
        <v>444</v>
      </c>
      <c r="I908" s="255">
        <v>205</v>
      </c>
      <c r="J908" s="255">
        <v>10700</v>
      </c>
      <c r="K908" s="593">
        <f>ROUND(I908*J908,0)</f>
        <v>2193500</v>
      </c>
      <c r="L908" s="594" t="s">
        <v>259</v>
      </c>
      <c r="M908" s="594" t="s">
        <v>174</v>
      </c>
      <c r="N908" s="52" t="str">
        <f>IF(AND('331-CT'!$E$7=TH!H908,OR(L908="331",M908="331")),"331",IF(AND(OR(L908="131",M908="131"),H908='131-CT'!$E$7),"131",""))</f>
        <v/>
      </c>
      <c r="O908" s="86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99"/>
    </row>
    <row r="909" spans="1:27" s="210" customFormat="1" ht="15.75" customHeight="1">
      <c r="A909" s="203" t="str">
        <f>IF(B909&lt;&gt;"",IF(AND(B909&gt;=_TM1,B909&lt;=_TM2,OR(TH!L909="1111",TH!M909="1111")),TH!D909,""),"")</f>
        <v/>
      </c>
      <c r="B909" s="36">
        <f>IF(C909&lt;&gt;"",MONTH(C909),"")</f>
        <v>6</v>
      </c>
      <c r="C909" s="183">
        <f>E909</f>
        <v>42171</v>
      </c>
      <c r="D909" s="183" t="s">
        <v>1579</v>
      </c>
      <c r="E909" s="190">
        <v>42171</v>
      </c>
      <c r="F909" s="188" t="s">
        <v>1661</v>
      </c>
      <c r="G909" s="482" t="s">
        <v>780</v>
      </c>
      <c r="H909" s="7" t="s">
        <v>444</v>
      </c>
      <c r="I909" s="256">
        <v>205</v>
      </c>
      <c r="J909" s="256">
        <v>450</v>
      </c>
      <c r="K909" s="593">
        <f>ROUND(I909*J909,0)</f>
        <v>92250</v>
      </c>
      <c r="L909" s="594" t="s">
        <v>259</v>
      </c>
      <c r="M909" s="594" t="s">
        <v>174</v>
      </c>
      <c r="N909" s="52" t="str">
        <f>IF(AND('331-CT'!$E$7=TH!H909,OR(L909="331",M909="331")),"331",IF(AND(OR(L909="131",M909="131"),H909='131-CT'!$E$7),"131",""))</f>
        <v/>
      </c>
      <c r="O909" s="86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99"/>
    </row>
    <row r="910" spans="1:27" s="210" customFormat="1" ht="15.75" customHeight="1">
      <c r="A910" s="203" t="str">
        <f>IF(B910&lt;&gt;"",IF(AND(B910&gt;=_TM1,B910&lt;=_TM2,OR(TH!L910="1111",TH!M910="1111")),TH!D910,""),"")</f>
        <v/>
      </c>
      <c r="B910" s="36">
        <f>IF(C910&lt;&gt;"",MONTH(C910),"")</f>
        <v>6</v>
      </c>
      <c r="C910" s="183">
        <f>E910</f>
        <v>42171</v>
      </c>
      <c r="D910" s="183" t="s">
        <v>1579</v>
      </c>
      <c r="E910" s="190">
        <v>42171</v>
      </c>
      <c r="F910" s="188" t="s">
        <v>402</v>
      </c>
      <c r="G910" s="482" t="s">
        <v>780</v>
      </c>
      <c r="H910" s="7" t="s">
        <v>444</v>
      </c>
      <c r="I910" s="255"/>
      <c r="J910" s="255"/>
      <c r="K910" s="593">
        <v>228575</v>
      </c>
      <c r="L910" s="594" t="s">
        <v>259</v>
      </c>
      <c r="M910" s="594" t="s">
        <v>371</v>
      </c>
      <c r="N910" s="52" t="str">
        <f>IF(AND('331-CT'!$E$7=TH!H910,OR(L910="331",M910="331")),"331",IF(AND(OR(L910="131",M910="131"),H910='131-CT'!$E$7),"131",""))</f>
        <v/>
      </c>
      <c r="O910" s="86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99"/>
    </row>
    <row r="911" spans="1:27" s="210" customFormat="1" ht="15.75" customHeight="1">
      <c r="A911" s="203" t="str">
        <f>IF(B911&lt;&gt;"",IF(AND(B911&gt;=_TM1,B911&lt;=_TM2,OR(TH!L911="1111",TH!M911="1111")),TH!D911,""),"")</f>
        <v/>
      </c>
      <c r="B911" s="36">
        <f>IF(C911&lt;&gt;"",MONTH(C911),"")</f>
        <v>6</v>
      </c>
      <c r="C911" s="183">
        <f>E911</f>
        <v>42171</v>
      </c>
      <c r="D911" s="183" t="s">
        <v>1580</v>
      </c>
      <c r="E911" s="190">
        <v>42171</v>
      </c>
      <c r="F911" s="188" t="s">
        <v>781</v>
      </c>
      <c r="G911" s="482" t="s">
        <v>782</v>
      </c>
      <c r="H911" s="7" t="s">
        <v>783</v>
      </c>
      <c r="I911" s="255">
        <v>308</v>
      </c>
      <c r="J911" s="255">
        <v>19000</v>
      </c>
      <c r="K911" s="593">
        <f>ROUND(I911*J911,0)</f>
        <v>5852000</v>
      </c>
      <c r="L911" s="594" t="s">
        <v>259</v>
      </c>
      <c r="M911" s="594" t="s">
        <v>174</v>
      </c>
      <c r="N911" s="52" t="str">
        <f>IF(AND('331-CT'!$E$7=TH!H911,OR(L911="331",M911="331")),"331",IF(AND(OR(L911="131",M911="131"),H911='131-CT'!$E$7),"131",""))</f>
        <v/>
      </c>
      <c r="O911" s="86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99"/>
    </row>
    <row r="912" spans="1:27" s="210" customFormat="1" ht="15.75" customHeight="1">
      <c r="A912" s="203" t="str">
        <f>IF(B912&lt;&gt;"",IF(AND(B912&gt;=_TM1,B912&lt;=_TM2,OR(TH!L912="1111",TH!M912="1111")),TH!D912,""),"")</f>
        <v/>
      </c>
      <c r="B912" s="36">
        <f>IF(C912&lt;&gt;"",MONTH(C912),"")</f>
        <v>6</v>
      </c>
      <c r="C912" s="183">
        <f>E912</f>
        <v>42171</v>
      </c>
      <c r="D912" s="183" t="s">
        <v>1580</v>
      </c>
      <c r="E912" s="190">
        <v>42171</v>
      </c>
      <c r="F912" s="188" t="s">
        <v>402</v>
      </c>
      <c r="G912" s="482" t="s">
        <v>782</v>
      </c>
      <c r="H912" s="7" t="s">
        <v>783</v>
      </c>
      <c r="I912" s="256"/>
      <c r="J912" s="256"/>
      <c r="K912" s="593">
        <v>585200</v>
      </c>
      <c r="L912" s="594" t="s">
        <v>259</v>
      </c>
      <c r="M912" s="594" t="s">
        <v>371</v>
      </c>
      <c r="N912" s="52" t="str">
        <f>IF(AND('331-CT'!$E$7=TH!H912,OR(L912="331",M912="331")),"331",IF(AND(OR(L912="131",M912="131"),H912='131-CT'!$E$7),"131",""))</f>
        <v/>
      </c>
      <c r="O912" s="86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99"/>
    </row>
    <row r="913" spans="1:27" s="210" customFormat="1" ht="15.75" customHeight="1">
      <c r="A913" s="203" t="str">
        <f>IF(B913&lt;&gt;"",IF(AND(B913&gt;=_TM1,B913&lt;=_TM2,OR(TH!L913="1111",TH!M913="1111")),TH!D913,""),"")</f>
        <v/>
      </c>
      <c r="B913" s="36">
        <f>IF(C913&lt;&gt;"",MONTH(C913),"")</f>
        <v>6</v>
      </c>
      <c r="C913" s="183">
        <f>E913</f>
        <v>42171</v>
      </c>
      <c r="D913" s="183" t="s">
        <v>1962</v>
      </c>
      <c r="E913" s="727">
        <v>42171</v>
      </c>
      <c r="F913" s="188" t="s">
        <v>356</v>
      </c>
      <c r="G913" s="482" t="s">
        <v>1006</v>
      </c>
      <c r="H913" s="7" t="s">
        <v>1430</v>
      </c>
      <c r="I913" s="255">
        <v>300</v>
      </c>
      <c r="J913" s="255">
        <v>18181</v>
      </c>
      <c r="K913" s="593">
        <f>ROUND(I913*J913,0)</f>
        <v>5454300</v>
      </c>
      <c r="L913" s="594" t="s">
        <v>161</v>
      </c>
      <c r="M913" s="594" t="s">
        <v>8</v>
      </c>
      <c r="N913" s="52" t="str">
        <f>IF(AND('331-CT'!$E$7=TH!H913,OR(L913="331",M913="331")),"331",IF(AND(OR(L913="131",M913="131"),H913='131-CT'!$E$7),"131",""))</f>
        <v/>
      </c>
      <c r="O913" s="86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>x</v>
      </c>
      <c r="Z913" s="52" t="str">
        <f>IF(AND(B913&lt;=NKC!$N$8,B913&gt;=NKC!$M$8),"x","")</f>
        <v/>
      </c>
      <c r="AA913" s="799"/>
    </row>
    <row r="914" spans="1:27" s="210" customFormat="1" ht="15.75" customHeight="1">
      <c r="A914" s="203" t="str">
        <f>IF(B914&lt;&gt;"",IF(AND(B914&gt;=_TM1,B914&lt;=_TM2,OR(TH!L914="1111",TH!M914="1111")),TH!D914,""),"")</f>
        <v/>
      </c>
      <c r="B914" s="36">
        <f>IF(C914&lt;&gt;"",MONTH(C914),"")</f>
        <v>6</v>
      </c>
      <c r="C914" s="183">
        <f>E914</f>
        <v>42171</v>
      </c>
      <c r="D914" s="183" t="s">
        <v>1962</v>
      </c>
      <c r="E914" s="727">
        <v>42171</v>
      </c>
      <c r="F914" s="188" t="s">
        <v>1431</v>
      </c>
      <c r="G914" s="482" t="s">
        <v>1006</v>
      </c>
      <c r="H914" s="7" t="s">
        <v>1430</v>
      </c>
      <c r="I914" s="255"/>
      <c r="J914" s="255"/>
      <c r="K914" s="593">
        <v>545430</v>
      </c>
      <c r="L914" s="594" t="s">
        <v>9</v>
      </c>
      <c r="M914" s="594" t="s">
        <v>8</v>
      </c>
      <c r="N914" s="52" t="str">
        <f>IF(AND('331-CT'!$E$7=TH!H914,OR(L914="331",M914="331")),"331",IF(AND(OR(L914="131",M914="131"),H914='131-CT'!$E$7),"131",""))</f>
        <v/>
      </c>
      <c r="O914" s="86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99"/>
    </row>
    <row r="915" spans="1:27" s="210" customFormat="1" ht="15.75" customHeight="1">
      <c r="A915" s="203" t="str">
        <f>IF(B915&lt;&gt;"",IF(AND(B915&gt;=_TM1,B915&lt;=_TM2,OR(TH!L915="1111",TH!M915="1111")),TH!D915,""),"")</f>
        <v/>
      </c>
      <c r="B915" s="36">
        <f>IF(C915&lt;&gt;"",MONTH(C915),"")</f>
        <v>6</v>
      </c>
      <c r="C915" s="183">
        <f>E915</f>
        <v>42171</v>
      </c>
      <c r="D915" s="183" t="s">
        <v>1962</v>
      </c>
      <c r="E915" s="727">
        <v>42171</v>
      </c>
      <c r="F915" s="296" t="s">
        <v>1326</v>
      </c>
      <c r="G915" s="482" t="s">
        <v>1006</v>
      </c>
      <c r="H915" s="7" t="s">
        <v>1430</v>
      </c>
      <c r="I915" s="255"/>
      <c r="J915" s="255"/>
      <c r="K915" s="593">
        <v>5999730</v>
      </c>
      <c r="L915" s="594" t="s">
        <v>8</v>
      </c>
      <c r="M915" s="594" t="s">
        <v>47</v>
      </c>
      <c r="N915" s="52" t="str">
        <f>IF(AND('331-CT'!$E$7=TH!H915,OR(L915="331",M915="331")),"331",IF(AND(OR(L915="131",M915="131"),H915='131-CT'!$E$7),"131",""))</f>
        <v/>
      </c>
      <c r="O915" s="869" t="str">
        <f>IF(AND('341-CT'!$E$9=H915,OR(LEFT(L915,3)=$O$7,LEFT(M915,3)=$O$7)),"x","")</f>
        <v/>
      </c>
      <c r="P915" s="52" t="str">
        <f>IF(AND($B915&gt;='111'!$N$11,$B915&lt;='111'!$O$11,OR($L915=$P$7,$M915=$P$7)),"x","")</f>
        <v>x</v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99"/>
    </row>
    <row r="916" spans="1:27" s="210" customFormat="1" ht="15.75" customHeight="1">
      <c r="A916" s="203" t="str">
        <f>IF(B916&lt;&gt;"",IF(AND(B916&gt;=_TM1,B916&lt;=_TM2,OR(TH!L916="1111",TH!M916="1111")),TH!D916,""),"")</f>
        <v/>
      </c>
      <c r="B916" s="36">
        <f>IF(C916&lt;&gt;"",MONTH(C916),"")</f>
        <v>6</v>
      </c>
      <c r="C916" s="183">
        <f>E916</f>
        <v>42171</v>
      </c>
      <c r="D916" s="190" t="s">
        <v>1996</v>
      </c>
      <c r="E916" s="727">
        <v>42171</v>
      </c>
      <c r="F916" s="296" t="s">
        <v>1357</v>
      </c>
      <c r="G916" s="482" t="s">
        <v>1432</v>
      </c>
      <c r="H916" s="7" t="s">
        <v>1391</v>
      </c>
      <c r="I916" s="255">
        <v>1796</v>
      </c>
      <c r="J916" s="255">
        <v>7300</v>
      </c>
      <c r="K916" s="593">
        <f>ROUND(I916*J916,0)</f>
        <v>13110800</v>
      </c>
      <c r="L916" s="594" t="s">
        <v>159</v>
      </c>
      <c r="M916" s="594" t="s">
        <v>8</v>
      </c>
      <c r="N916" s="52" t="str">
        <f>IF(AND('331-CT'!$E$7=TH!H916,OR(L916="331",M916="331")),"331",IF(AND(OR(L916="131",M916="131"),H916='131-CT'!$E$7),"131",""))</f>
        <v/>
      </c>
      <c r="O916" s="86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99"/>
    </row>
    <row r="917" spans="1:27" s="210" customFormat="1" ht="15.75" customHeight="1">
      <c r="A917" s="203" t="str">
        <f>IF(B917&lt;&gt;"",IF(AND(B917&gt;=_TM1,B917&lt;=_TM2,OR(TH!L917="1111",TH!M917="1111")),TH!D917,""),"")</f>
        <v/>
      </c>
      <c r="B917" s="36">
        <f>IF(C917&lt;&gt;"",MONTH(C917),"")</f>
        <v>6</v>
      </c>
      <c r="C917" s="183">
        <f>E917</f>
        <v>42171</v>
      </c>
      <c r="D917" s="190" t="s">
        <v>1996</v>
      </c>
      <c r="E917" s="727">
        <v>42171</v>
      </c>
      <c r="F917" s="296" t="s">
        <v>1393</v>
      </c>
      <c r="G917" s="482" t="s">
        <v>1432</v>
      </c>
      <c r="H917" s="7" t="s">
        <v>1391</v>
      </c>
      <c r="I917" s="255"/>
      <c r="J917" s="255"/>
      <c r="K917" s="593">
        <v>1311080</v>
      </c>
      <c r="L917" s="594" t="s">
        <v>9</v>
      </c>
      <c r="M917" s="594" t="s">
        <v>8</v>
      </c>
      <c r="N917" s="52" t="str">
        <f>IF(AND('331-CT'!$E$7=TH!H917,OR(L917="331",M917="331")),"331",IF(AND(OR(L917="131",M917="131"),H917='131-CT'!$E$7),"131",""))</f>
        <v/>
      </c>
      <c r="O917" s="86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99"/>
    </row>
    <row r="918" spans="1:27" s="210" customFormat="1" ht="15.75" customHeight="1">
      <c r="A918" s="203" t="str">
        <f>IF(B918&lt;&gt;"",IF(AND(B918&gt;=_TM1,B918&lt;=_TM2,OR(TH!L918="1111",TH!M918="1111")),TH!D918,""),"")</f>
        <v/>
      </c>
      <c r="B918" s="36">
        <f>IF(C918&lt;&gt;"",MONTH(C918),"")</f>
        <v>6</v>
      </c>
      <c r="C918" s="183">
        <f>E918</f>
        <v>42171</v>
      </c>
      <c r="D918" s="190" t="s">
        <v>1996</v>
      </c>
      <c r="E918" s="727">
        <v>42171</v>
      </c>
      <c r="F918" s="296" t="s">
        <v>1326</v>
      </c>
      <c r="G918" s="482" t="s">
        <v>1432</v>
      </c>
      <c r="H918" s="7" t="s">
        <v>1391</v>
      </c>
      <c r="I918" s="255"/>
      <c r="J918" s="255"/>
      <c r="K918" s="593">
        <v>14421880</v>
      </c>
      <c r="L918" s="594" t="s">
        <v>8</v>
      </c>
      <c r="M918" s="594" t="s">
        <v>47</v>
      </c>
      <c r="N918" s="52" t="str">
        <f>IF(AND('331-CT'!$E$7=TH!H918,OR(L918="331",M918="331")),"331",IF(AND(OR(L918="131",M918="131"),H918='131-CT'!$E$7),"131",""))</f>
        <v/>
      </c>
      <c r="O918" s="869" t="str">
        <f>IF(AND('341-CT'!$E$9=H918,OR(LEFT(L918,3)=$O$7,LEFT(M918,3)=$O$7)),"x","")</f>
        <v/>
      </c>
      <c r="P918" s="52" t="str">
        <f>IF(AND($B918&gt;='111'!$N$11,$B918&lt;='111'!$O$11,OR($L918=$P$7,$M918=$P$7)),"x","")</f>
        <v>x</v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99"/>
    </row>
    <row r="919" spans="1:27" s="210" customFormat="1" ht="15.75" customHeight="1">
      <c r="A919" s="203" t="str">
        <f>IF(B919&lt;&gt;"",IF(AND(B919&gt;=_TM1,B919&lt;=_TM2,OR(TH!L919="1111",TH!M919="1111")),TH!D919,""),"")</f>
        <v/>
      </c>
      <c r="B919" s="36">
        <f>IF(C919&lt;&gt;"",MONTH(C919),"")</f>
        <v>6</v>
      </c>
      <c r="C919" s="183">
        <f>E919</f>
        <v>42172</v>
      </c>
      <c r="D919" s="183" t="s">
        <v>1581</v>
      </c>
      <c r="E919" s="190">
        <v>42172</v>
      </c>
      <c r="F919" s="188" t="s">
        <v>784</v>
      </c>
      <c r="G919" s="482" t="s">
        <v>785</v>
      </c>
      <c r="H919" s="7" t="s">
        <v>786</v>
      </c>
      <c r="I919" s="255">
        <v>286</v>
      </c>
      <c r="J919" s="255">
        <v>7900</v>
      </c>
      <c r="K919" s="593">
        <f>ROUND(I919*J919,0)</f>
        <v>2259400</v>
      </c>
      <c r="L919" s="594" t="s">
        <v>259</v>
      </c>
      <c r="M919" s="594" t="s">
        <v>174</v>
      </c>
      <c r="N919" s="52" t="str">
        <f>IF(AND('331-CT'!$E$7=TH!H919,OR(L919="331",M919="331")),"331",IF(AND(OR(L919="131",M919="131"),H919='131-CT'!$E$7),"131",""))</f>
        <v/>
      </c>
      <c r="O919" s="86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99"/>
    </row>
    <row r="920" spans="1:27" s="210" customFormat="1" ht="15.75" customHeight="1">
      <c r="A920" s="203" t="str">
        <f>IF(B920&lt;&gt;"",IF(AND(B920&gt;=_TM1,B920&lt;=_TM2,OR(TH!L920="1111",TH!M920="1111")),TH!D920,""),"")</f>
        <v/>
      </c>
      <c r="B920" s="36">
        <f>IF(C920&lt;&gt;"",MONTH(C920),"")</f>
        <v>6</v>
      </c>
      <c r="C920" s="183">
        <f>E920</f>
        <v>42172</v>
      </c>
      <c r="D920" s="183" t="s">
        <v>1581</v>
      </c>
      <c r="E920" s="190">
        <v>42172</v>
      </c>
      <c r="F920" s="188" t="s">
        <v>402</v>
      </c>
      <c r="G920" s="482" t="s">
        <v>785</v>
      </c>
      <c r="H920" s="7" t="s">
        <v>786</v>
      </c>
      <c r="I920" s="256"/>
      <c r="J920" s="256"/>
      <c r="K920" s="38">
        <v>225940</v>
      </c>
      <c r="L920" s="594" t="s">
        <v>259</v>
      </c>
      <c r="M920" s="594" t="s">
        <v>371</v>
      </c>
      <c r="N920" s="52" t="str">
        <f>IF(AND('331-CT'!$E$7=TH!H920,OR(L920="331",M920="331")),"331",IF(AND(OR(L920="131",M920="131"),H920='131-CT'!$E$7),"131",""))</f>
        <v/>
      </c>
      <c r="O920" s="86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99"/>
    </row>
    <row r="921" spans="1:27" s="210" customFormat="1" ht="15.75" customHeight="1">
      <c r="A921" s="203" t="str">
        <f>IF(B921&lt;&gt;"",IF(AND(B921&gt;=_TM1,B921&lt;=_TM2,OR(TH!L921="1111",TH!M921="1111")),TH!D921,""),"")</f>
        <v/>
      </c>
      <c r="B921" s="36">
        <f>IF(C921&lt;&gt;"",MONTH(C921),"")</f>
        <v>6</v>
      </c>
      <c r="C921" s="183">
        <f>E921</f>
        <v>42172</v>
      </c>
      <c r="D921" s="183" t="s">
        <v>1581</v>
      </c>
      <c r="E921" s="190">
        <v>42172</v>
      </c>
      <c r="F921" s="191" t="s">
        <v>1320</v>
      </c>
      <c r="G921" s="482" t="s">
        <v>785</v>
      </c>
      <c r="H921" s="7" t="s">
        <v>786</v>
      </c>
      <c r="I921" s="256"/>
      <c r="J921" s="256"/>
      <c r="K921" s="38">
        <v>2485340</v>
      </c>
      <c r="L921" s="594" t="s">
        <v>47</v>
      </c>
      <c r="M921" s="594" t="s">
        <v>259</v>
      </c>
      <c r="N921" s="52" t="str">
        <f>IF(AND('331-CT'!$E$7=TH!H921,OR(L921="331",M921="331")),"331",IF(AND(OR(L921="131",M921="131"),H921='131-CT'!$E$7),"131",""))</f>
        <v/>
      </c>
      <c r="O921" s="869" t="str">
        <f>IF(AND('341-CT'!$E$9=H921,OR(LEFT(L921,3)=$O$7,LEFT(M921,3)=$O$7)),"x","")</f>
        <v/>
      </c>
      <c r="P921" s="52" t="str">
        <f>IF(AND($B921&gt;='111'!$N$11,$B921&lt;='111'!$O$11,OR($L921=$P$7,$M921=$P$7)),"x","")</f>
        <v>x</v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99"/>
    </row>
    <row r="922" spans="1:27" s="210" customFormat="1" ht="15.75" customHeight="1">
      <c r="A922" s="203" t="str">
        <f>IF(B922&lt;&gt;"",IF(AND(B922&gt;=_TM1,B922&lt;=_TM2,OR(TH!L922="1111",TH!M922="1111")),TH!D922,""),"")</f>
        <v/>
      </c>
      <c r="B922" s="36">
        <f>IF(C922&lt;&gt;"",MONTH(C922),"")</f>
        <v>6</v>
      </c>
      <c r="C922" s="183">
        <f>E922</f>
        <v>42172</v>
      </c>
      <c r="D922" s="183" t="s">
        <v>1582</v>
      </c>
      <c r="E922" s="190">
        <v>42172</v>
      </c>
      <c r="F922" s="191" t="s">
        <v>1732</v>
      </c>
      <c r="G922" s="482" t="s">
        <v>787</v>
      </c>
      <c r="H922" s="45" t="s">
        <v>528</v>
      </c>
      <c r="I922" s="255">
        <v>80</v>
      </c>
      <c r="J922" s="255">
        <v>12733</v>
      </c>
      <c r="K922" s="593">
        <f>ROUND(I922*J922,0)</f>
        <v>1018640</v>
      </c>
      <c r="L922" s="594" t="s">
        <v>259</v>
      </c>
      <c r="M922" s="594" t="s">
        <v>174</v>
      </c>
      <c r="N922" s="52" t="str">
        <f>IF(AND('331-CT'!$E$7=TH!H922,OR(L922="331",M922="331")),"331",IF(AND(OR(L922="131",M922="131"),H922='131-CT'!$E$7),"131",""))</f>
        <v/>
      </c>
      <c r="O922" s="86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99"/>
    </row>
    <row r="923" spans="1:27" s="210" customFormat="1" ht="15.75" customHeight="1">
      <c r="A923" s="203" t="str">
        <f>IF(B923&lt;&gt;"",IF(AND(B923&gt;=_TM1,B923&lt;=_TM2,OR(TH!L923="1111",TH!M923="1111")),TH!D923,""),"")</f>
        <v/>
      </c>
      <c r="B923" s="36">
        <f>IF(C923&lt;&gt;"",MONTH(C923),"")</f>
        <v>6</v>
      </c>
      <c r="C923" s="183">
        <f>E923</f>
        <v>42172</v>
      </c>
      <c r="D923" s="183" t="s">
        <v>1582</v>
      </c>
      <c r="E923" s="190">
        <v>42172</v>
      </c>
      <c r="F923" s="191" t="s">
        <v>1733</v>
      </c>
      <c r="G923" s="482" t="s">
        <v>787</v>
      </c>
      <c r="H923" s="45" t="s">
        <v>528</v>
      </c>
      <c r="I923" s="255">
        <v>74</v>
      </c>
      <c r="J923" s="255">
        <v>24012</v>
      </c>
      <c r="K923" s="593">
        <f>ROUND(I923*J923,0)</f>
        <v>1776888</v>
      </c>
      <c r="L923" s="594" t="s">
        <v>259</v>
      </c>
      <c r="M923" s="594" t="s">
        <v>174</v>
      </c>
      <c r="N923" s="52" t="str">
        <f>IF(AND('331-CT'!$E$7=TH!H923,OR(L923="331",M923="331")),"331",IF(AND(OR(L923="131",M923="131"),H923='131-CT'!$E$7),"131",""))</f>
        <v/>
      </c>
      <c r="O923" s="86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99"/>
    </row>
    <row r="924" spans="1:27" s="210" customFormat="1" ht="15.75" customHeight="1">
      <c r="A924" s="203" t="str">
        <f>IF(B924&lt;&gt;"",IF(AND(B924&gt;=_TM1,B924&lt;=_TM2,OR(TH!L924="1111",TH!M924="1111")),TH!D924,""),"")</f>
        <v/>
      </c>
      <c r="B924" s="36">
        <f>IF(C924&lt;&gt;"",MONTH(C924),"")</f>
        <v>6</v>
      </c>
      <c r="C924" s="183">
        <f>E924</f>
        <v>42172</v>
      </c>
      <c r="D924" s="183" t="s">
        <v>1582</v>
      </c>
      <c r="E924" s="190">
        <v>42172</v>
      </c>
      <c r="F924" s="188" t="s">
        <v>1734</v>
      </c>
      <c r="G924" s="482" t="s">
        <v>787</v>
      </c>
      <c r="H924" s="7" t="s">
        <v>528</v>
      </c>
      <c r="I924" s="255">
        <v>205</v>
      </c>
      <c r="J924" s="255">
        <v>10850</v>
      </c>
      <c r="K924" s="593">
        <f>ROUND(I924*J924,0)</f>
        <v>2224250</v>
      </c>
      <c r="L924" s="594" t="s">
        <v>259</v>
      </c>
      <c r="M924" s="594" t="s">
        <v>174</v>
      </c>
      <c r="N924" s="52" t="str">
        <f>IF(AND('331-CT'!$E$7=TH!H924,OR(L924="331",M924="331")),"331",IF(AND(OR(L924="131",M924="131"),H924='131-CT'!$E$7),"131",""))</f>
        <v/>
      </c>
      <c r="O924" s="86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99"/>
    </row>
    <row r="925" spans="1:27" s="210" customFormat="1" ht="15.75" customHeight="1">
      <c r="A925" s="203" t="str">
        <f>IF(B925&lt;&gt;"",IF(AND(B925&gt;=_TM1,B925&lt;=_TM2,OR(TH!L925="1111",TH!M925="1111")),TH!D925,""),"")</f>
        <v/>
      </c>
      <c r="B925" s="36">
        <f>IF(C925&lt;&gt;"",MONTH(C925),"")</f>
        <v>6</v>
      </c>
      <c r="C925" s="183">
        <f>E925</f>
        <v>42172</v>
      </c>
      <c r="D925" s="183" t="s">
        <v>1582</v>
      </c>
      <c r="E925" s="190">
        <v>42172</v>
      </c>
      <c r="F925" s="188" t="s">
        <v>731</v>
      </c>
      <c r="G925" s="482" t="s">
        <v>787</v>
      </c>
      <c r="H925" s="7" t="s">
        <v>528</v>
      </c>
      <c r="I925" s="255"/>
      <c r="J925" s="255"/>
      <c r="K925" s="593">
        <v>501978</v>
      </c>
      <c r="L925" s="594" t="s">
        <v>259</v>
      </c>
      <c r="M925" s="594" t="s">
        <v>371</v>
      </c>
      <c r="N925" s="52" t="str">
        <f>IF(AND('331-CT'!$E$7=TH!H925,OR(L925="331",M925="331")),"331",IF(AND(OR(L925="131",M925="131"),H925='131-CT'!$E$7),"131",""))</f>
        <v/>
      </c>
      <c r="O925" s="86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99"/>
    </row>
    <row r="926" spans="1:27" s="210" customFormat="1" ht="15.75" customHeight="1">
      <c r="A926" s="203" t="str">
        <f>IF(B926&lt;&gt;"",IF(AND(B926&gt;=_TM1,B926&lt;=_TM2,OR(TH!L926="1111",TH!M926="1111")),TH!D926,""),"")</f>
        <v/>
      </c>
      <c r="B926" s="36">
        <f>IF(C926&lt;&gt;"",MONTH(C926),"")</f>
        <v>6</v>
      </c>
      <c r="C926" s="183">
        <f>E926</f>
        <v>42172</v>
      </c>
      <c r="D926" s="183" t="s">
        <v>1582</v>
      </c>
      <c r="E926" s="190">
        <v>42172</v>
      </c>
      <c r="F926" s="191" t="s">
        <v>1320</v>
      </c>
      <c r="G926" s="482" t="s">
        <v>2029</v>
      </c>
      <c r="H926" s="7" t="s">
        <v>528</v>
      </c>
      <c r="I926" s="255"/>
      <c r="J926" s="255"/>
      <c r="K926" s="593">
        <f>5521756+14415412</f>
        <v>19937168</v>
      </c>
      <c r="L926" s="594" t="s">
        <v>47</v>
      </c>
      <c r="M926" s="594" t="s">
        <v>259</v>
      </c>
      <c r="N926" s="52" t="str">
        <f>IF(AND('331-CT'!$E$7=TH!H926,OR(L926="331",M926="331")),"331",IF(AND(OR(L926="131",M926="131"),H926='131-CT'!$E$7),"131",""))</f>
        <v/>
      </c>
      <c r="O926" s="869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99"/>
    </row>
    <row r="927" spans="1:27" s="210" customFormat="1" ht="15.75" customHeight="1">
      <c r="A927" s="203" t="str">
        <f>IF(B927&lt;&gt;"",IF(AND(B927&gt;=_TM1,B927&lt;=_TM2,OR(TH!L927="1111",TH!M927="1111")),TH!D927,""),"")</f>
        <v/>
      </c>
      <c r="B927" s="36">
        <f>IF(C927&lt;&gt;"",MONTH(C927),"")</f>
        <v>6</v>
      </c>
      <c r="C927" s="183">
        <f>E927</f>
        <v>42172</v>
      </c>
      <c r="D927" s="183" t="s">
        <v>1583</v>
      </c>
      <c r="E927" s="190">
        <v>42172</v>
      </c>
      <c r="F927" s="188" t="s">
        <v>1735</v>
      </c>
      <c r="G927" s="482" t="s">
        <v>788</v>
      </c>
      <c r="H927" s="7" t="s">
        <v>1934</v>
      </c>
      <c r="I927" s="255">
        <v>100</v>
      </c>
      <c r="J927" s="255">
        <v>4830</v>
      </c>
      <c r="K927" s="593">
        <f>ROUND(I927*J927,0)</f>
        <v>483000</v>
      </c>
      <c r="L927" s="594" t="s">
        <v>259</v>
      </c>
      <c r="M927" s="594" t="s">
        <v>174</v>
      </c>
      <c r="N927" s="52" t="str">
        <f>IF(AND('331-CT'!$E$7=TH!H927,OR(L927="331",M927="331")),"331",IF(AND(OR(L927="131",M927="131"),H927='131-CT'!$E$7),"131",""))</f>
        <v/>
      </c>
      <c r="O927" s="86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99"/>
    </row>
    <row r="928" spans="1:27" s="210" customFormat="1" ht="15.75" customHeight="1">
      <c r="A928" s="203" t="str">
        <f>IF(B928&lt;&gt;"",IF(AND(B928&gt;=_TM1,B928&lt;=_TM2,OR(TH!L928="1111",TH!M928="1111")),TH!D928,""),"")</f>
        <v/>
      </c>
      <c r="B928" s="36">
        <f>IF(C928&lt;&gt;"",MONTH(C928),"")</f>
        <v>6</v>
      </c>
      <c r="C928" s="183">
        <f>E928</f>
        <v>42172</v>
      </c>
      <c r="D928" s="183" t="s">
        <v>1583</v>
      </c>
      <c r="E928" s="190">
        <v>42172</v>
      </c>
      <c r="F928" s="188" t="s">
        <v>741</v>
      </c>
      <c r="G928" s="482" t="s">
        <v>788</v>
      </c>
      <c r="H928" s="7" t="s">
        <v>1934</v>
      </c>
      <c r="I928" s="255">
        <v>200</v>
      </c>
      <c r="J928" s="255">
        <v>9170</v>
      </c>
      <c r="K928" s="593">
        <f>ROUND(I928*J928,0)</f>
        <v>1834000</v>
      </c>
      <c r="L928" s="594" t="s">
        <v>259</v>
      </c>
      <c r="M928" s="594" t="s">
        <v>174</v>
      </c>
      <c r="N928" s="52" t="str">
        <f>IF(AND('331-CT'!$E$7=TH!H928,OR(L928="331",M928="331")),"331",IF(AND(OR(L928="131",M928="131"),H928='131-CT'!$E$7),"131",""))</f>
        <v/>
      </c>
      <c r="O928" s="86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99"/>
    </row>
    <row r="929" spans="1:27" s="210" customFormat="1" ht="15.75" customHeight="1">
      <c r="A929" s="203" t="str">
        <f>IF(B929&lt;&gt;"",IF(AND(B929&gt;=_TM1,B929&lt;=_TM2,OR(TH!L929="1111",TH!M929="1111")),TH!D929,""),"")</f>
        <v/>
      </c>
      <c r="B929" s="36">
        <f>IF(C929&lt;&gt;"",MONTH(C929),"")</f>
        <v>6</v>
      </c>
      <c r="C929" s="183">
        <f>E929</f>
        <v>42172</v>
      </c>
      <c r="D929" s="183" t="s">
        <v>1583</v>
      </c>
      <c r="E929" s="190">
        <v>42172</v>
      </c>
      <c r="F929" s="188" t="s">
        <v>692</v>
      </c>
      <c r="G929" s="482" t="s">
        <v>788</v>
      </c>
      <c r="H929" s="7" t="s">
        <v>1934</v>
      </c>
      <c r="I929" s="255">
        <v>75</v>
      </c>
      <c r="J929" s="255">
        <v>16601</v>
      </c>
      <c r="K929" s="593">
        <f>ROUND(I929*J929,0)</f>
        <v>1245075</v>
      </c>
      <c r="L929" s="594" t="s">
        <v>259</v>
      </c>
      <c r="M929" s="594" t="s">
        <v>174</v>
      </c>
      <c r="N929" s="52" t="str">
        <f>IF(AND('331-CT'!$E$7=TH!H929,OR(L929="331",M929="331")),"331",IF(AND(OR(L929="131",M929="131"),H929='131-CT'!$E$7),"131",""))</f>
        <v/>
      </c>
      <c r="O929" s="86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99"/>
    </row>
    <row r="930" spans="1:27" s="210" customFormat="1" ht="15.75" customHeight="1">
      <c r="A930" s="203" t="str">
        <f>IF(B930&lt;&gt;"",IF(AND(B930&gt;=_TM1,B930&lt;=_TM2,OR(TH!L930="1111",TH!M930="1111")),TH!D930,""),"")</f>
        <v/>
      </c>
      <c r="B930" s="36">
        <f>IF(C930&lt;&gt;"",MONTH(C930),"")</f>
        <v>6</v>
      </c>
      <c r="C930" s="183">
        <f>E930</f>
        <v>42172</v>
      </c>
      <c r="D930" s="183" t="s">
        <v>1583</v>
      </c>
      <c r="E930" s="190">
        <v>42172</v>
      </c>
      <c r="F930" s="188" t="s">
        <v>692</v>
      </c>
      <c r="G930" s="482" t="s">
        <v>788</v>
      </c>
      <c r="H930" s="7" t="s">
        <v>1934</v>
      </c>
      <c r="I930" s="255">
        <v>30</v>
      </c>
      <c r="J930" s="255">
        <v>16601</v>
      </c>
      <c r="K930" s="593">
        <f>ROUND(I930*J930,0)</f>
        <v>498030</v>
      </c>
      <c r="L930" s="594" t="s">
        <v>259</v>
      </c>
      <c r="M930" s="594" t="s">
        <v>174</v>
      </c>
      <c r="N930" s="52" t="str">
        <f>IF(AND('331-CT'!$E$7=TH!H930,OR(L930="331",M930="331")),"331",IF(AND(OR(L930="131",M930="131"),H930='131-CT'!$E$7),"131",""))</f>
        <v/>
      </c>
      <c r="O930" s="86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99"/>
    </row>
    <row r="931" spans="1:27" s="210" customFormat="1" ht="15.75" customHeight="1">
      <c r="A931" s="203" t="str">
        <f>IF(B931&lt;&gt;"",IF(AND(B931&gt;=_TM1,B931&lt;=_TM2,OR(TH!L931="1111",TH!M931="1111")),TH!D931,""),"")</f>
        <v/>
      </c>
      <c r="B931" s="36">
        <f>IF(C931&lt;&gt;"",MONTH(C931),"")</f>
        <v>6</v>
      </c>
      <c r="C931" s="183">
        <f>E931</f>
        <v>42172</v>
      </c>
      <c r="D931" s="183" t="s">
        <v>1583</v>
      </c>
      <c r="E931" s="190">
        <v>42172</v>
      </c>
      <c r="F931" s="188" t="s">
        <v>1704</v>
      </c>
      <c r="G931" s="482" t="s">
        <v>788</v>
      </c>
      <c r="H931" s="7" t="s">
        <v>1934</v>
      </c>
      <c r="I931" s="255">
        <v>25</v>
      </c>
      <c r="J931" s="255">
        <v>15429</v>
      </c>
      <c r="K931" s="593">
        <f>ROUND(I931*J931,0)</f>
        <v>385725</v>
      </c>
      <c r="L931" s="594" t="s">
        <v>259</v>
      </c>
      <c r="M931" s="594" t="s">
        <v>174</v>
      </c>
      <c r="N931" s="52" t="str">
        <f>IF(AND('331-CT'!$E$7=TH!H931,OR(L931="331",M931="331")),"331",IF(AND(OR(L931="131",M931="131"),H931='131-CT'!$E$7),"131",""))</f>
        <v/>
      </c>
      <c r="O931" s="86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99"/>
    </row>
    <row r="932" spans="1:27" s="210" customFormat="1" ht="15.75" customHeight="1">
      <c r="A932" s="203" t="str">
        <f>IF(B932&lt;&gt;"",IF(AND(B932&gt;=_TM1,B932&lt;=_TM2,OR(TH!L932="1111",TH!M932="1111")),TH!D932,""),"")</f>
        <v/>
      </c>
      <c r="B932" s="36">
        <f>IF(C932&lt;&gt;"",MONTH(C932),"")</f>
        <v>6</v>
      </c>
      <c r="C932" s="183">
        <f>E932</f>
        <v>42172</v>
      </c>
      <c r="D932" s="183" t="s">
        <v>1583</v>
      </c>
      <c r="E932" s="190">
        <v>42172</v>
      </c>
      <c r="F932" s="188" t="s">
        <v>1736</v>
      </c>
      <c r="G932" s="482" t="s">
        <v>788</v>
      </c>
      <c r="H932" s="7" t="s">
        <v>1934</v>
      </c>
      <c r="I932" s="255">
        <v>40</v>
      </c>
      <c r="J932" s="255">
        <v>16740</v>
      </c>
      <c r="K932" s="593">
        <f>ROUND(I932*J932,0)</f>
        <v>669600</v>
      </c>
      <c r="L932" s="594" t="s">
        <v>259</v>
      </c>
      <c r="M932" s="594" t="s">
        <v>174</v>
      </c>
      <c r="N932" s="52" t="str">
        <f>IF(AND('331-CT'!$E$7=TH!H932,OR(L932="331",M932="331")),"331",IF(AND(OR(L932="131",M932="131"),H932='131-CT'!$E$7),"131",""))</f>
        <v/>
      </c>
      <c r="O932" s="86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99"/>
    </row>
    <row r="933" spans="1:27" s="210" customFormat="1" ht="15.75" customHeight="1">
      <c r="A933" s="203" t="str">
        <f>IF(B933&lt;&gt;"",IF(AND(B933&gt;=_TM1,B933&lt;=_TM2,OR(TH!L933="1111",TH!M933="1111")),TH!D933,""),"")</f>
        <v/>
      </c>
      <c r="B933" s="36">
        <f>IF(C933&lt;&gt;"",MONTH(C933),"")</f>
        <v>6</v>
      </c>
      <c r="C933" s="183">
        <f>E933</f>
        <v>42172</v>
      </c>
      <c r="D933" s="183" t="s">
        <v>1583</v>
      </c>
      <c r="E933" s="190">
        <v>42172</v>
      </c>
      <c r="F933" s="191" t="s">
        <v>695</v>
      </c>
      <c r="G933" s="482" t="s">
        <v>788</v>
      </c>
      <c r="H933" s="7" t="s">
        <v>1934</v>
      </c>
      <c r="I933" s="255">
        <v>25</v>
      </c>
      <c r="J933" s="255">
        <v>16405</v>
      </c>
      <c r="K933" s="593">
        <f>ROUND(I933*J933,0)</f>
        <v>410125</v>
      </c>
      <c r="L933" s="594" t="s">
        <v>259</v>
      </c>
      <c r="M933" s="594" t="s">
        <v>174</v>
      </c>
      <c r="N933" s="52" t="str">
        <f>IF(AND('331-CT'!$E$7=TH!H933,OR(L933="331",M933="331")),"331",IF(AND(OR(L933="131",M933="131"),H933='131-CT'!$E$7),"131",""))</f>
        <v/>
      </c>
      <c r="O933" s="86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99"/>
    </row>
    <row r="934" spans="1:27" s="210" customFormat="1" ht="15.75" customHeight="1">
      <c r="A934" s="203" t="str">
        <f>IF(B934&lt;&gt;"",IF(AND(B934&gt;=_TM1,B934&lt;=_TM2,OR(TH!L934="1111",TH!M934="1111")),TH!D934,""),"")</f>
        <v/>
      </c>
      <c r="B934" s="36">
        <f>IF(C934&lt;&gt;"",MONTH(C934),"")</f>
        <v>6</v>
      </c>
      <c r="C934" s="183">
        <f>E934</f>
        <v>42172</v>
      </c>
      <c r="D934" s="183" t="s">
        <v>1583</v>
      </c>
      <c r="E934" s="190">
        <v>42172</v>
      </c>
      <c r="F934" s="191" t="s">
        <v>1737</v>
      </c>
      <c r="G934" s="482" t="s">
        <v>788</v>
      </c>
      <c r="H934" s="7" t="s">
        <v>1934</v>
      </c>
      <c r="I934" s="255">
        <v>50</v>
      </c>
      <c r="J934" s="255">
        <v>15336</v>
      </c>
      <c r="K934" s="593">
        <f>ROUND(I934*J934,0)</f>
        <v>766800</v>
      </c>
      <c r="L934" s="594" t="s">
        <v>259</v>
      </c>
      <c r="M934" s="594" t="s">
        <v>174</v>
      </c>
      <c r="N934" s="52" t="str">
        <f>IF(AND('331-CT'!$E$7=TH!H934,OR(L934="331",M934="331")),"331",IF(AND(OR(L934="131",M934="131"),H934='131-CT'!$E$7),"131",""))</f>
        <v/>
      </c>
      <c r="O934" s="86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99"/>
    </row>
    <row r="935" spans="1:27" s="210" customFormat="1" ht="15.75" customHeight="1">
      <c r="A935" s="203" t="str">
        <f>IF(B935&lt;&gt;"",IF(AND(B935&gt;=_TM1,B935&lt;=_TM2,OR(TH!L935="1111",TH!M935="1111")),TH!D935,""),"")</f>
        <v/>
      </c>
      <c r="B935" s="36">
        <f>IF(C935&lt;&gt;"",MONTH(C935),"")</f>
        <v>6</v>
      </c>
      <c r="C935" s="183">
        <f>E935</f>
        <v>42172</v>
      </c>
      <c r="D935" s="183" t="s">
        <v>1583</v>
      </c>
      <c r="E935" s="190">
        <v>42172</v>
      </c>
      <c r="F935" s="191" t="s">
        <v>1738</v>
      </c>
      <c r="G935" s="482" t="s">
        <v>788</v>
      </c>
      <c r="H935" s="7" t="s">
        <v>1934</v>
      </c>
      <c r="I935" s="256">
        <v>25</v>
      </c>
      <c r="J935" s="256">
        <v>12304</v>
      </c>
      <c r="K935" s="593">
        <f>ROUND(I935*J935,0)</f>
        <v>307600</v>
      </c>
      <c r="L935" s="594" t="s">
        <v>259</v>
      </c>
      <c r="M935" s="594" t="s">
        <v>174</v>
      </c>
      <c r="N935" s="52" t="str">
        <f>IF(AND('331-CT'!$E$7=TH!H935,OR(L935="331",M935="331")),"331",IF(AND(OR(L935="131",M935="131"),H935='131-CT'!$E$7),"131",""))</f>
        <v/>
      </c>
      <c r="O935" s="86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99"/>
    </row>
    <row r="936" spans="1:27" s="210" customFormat="1" ht="15.75" customHeight="1">
      <c r="A936" s="203" t="str">
        <f>IF(B936&lt;&gt;"",IF(AND(B936&gt;=_TM1,B936&lt;=_TM2,OR(TH!L936="1111",TH!M936="1111")),TH!D936,""),"")</f>
        <v/>
      </c>
      <c r="B936" s="36">
        <f>IF(C936&lt;&gt;"",MONTH(C936),"")</f>
        <v>6</v>
      </c>
      <c r="C936" s="183">
        <f>E936</f>
        <v>42172</v>
      </c>
      <c r="D936" s="183" t="s">
        <v>1583</v>
      </c>
      <c r="E936" s="190">
        <v>42172</v>
      </c>
      <c r="F936" s="191" t="s">
        <v>1705</v>
      </c>
      <c r="G936" s="482" t="s">
        <v>788</v>
      </c>
      <c r="H936" s="7" t="s">
        <v>1934</v>
      </c>
      <c r="I936" s="255">
        <v>100</v>
      </c>
      <c r="J936" s="255">
        <v>8458</v>
      </c>
      <c r="K936" s="593">
        <f>ROUND(I936*J936,0)</f>
        <v>845800</v>
      </c>
      <c r="L936" s="594" t="s">
        <v>259</v>
      </c>
      <c r="M936" s="594" t="s">
        <v>174</v>
      </c>
      <c r="N936" s="52" t="str">
        <f>IF(AND('331-CT'!$E$7=TH!H936,OR(L936="331",M936="331")),"331",IF(AND(OR(L936="131",M936="131"),H936='131-CT'!$E$7),"131",""))</f>
        <v/>
      </c>
      <c r="O936" s="86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99"/>
    </row>
    <row r="937" spans="1:27" s="210" customFormat="1" ht="15.75" customHeight="1">
      <c r="A937" s="203" t="str">
        <f>IF(B937&lt;&gt;"",IF(AND(B937&gt;=_TM1,B937&lt;=_TM2,OR(TH!L937="1111",TH!M937="1111")),TH!D937,""),"")</f>
        <v/>
      </c>
      <c r="B937" s="36">
        <f>IF(C937&lt;&gt;"",MONTH(C937),"")</f>
        <v>6</v>
      </c>
      <c r="C937" s="183">
        <f>E937</f>
        <v>42172</v>
      </c>
      <c r="D937" s="183" t="s">
        <v>1583</v>
      </c>
      <c r="E937" s="190">
        <v>42172</v>
      </c>
      <c r="F937" s="191" t="s">
        <v>731</v>
      </c>
      <c r="G937" s="482" t="s">
        <v>788</v>
      </c>
      <c r="H937" s="7" t="s">
        <v>1934</v>
      </c>
      <c r="I937" s="255"/>
      <c r="J937" s="255"/>
      <c r="K937" s="593">
        <v>744576</v>
      </c>
      <c r="L937" s="594" t="s">
        <v>259</v>
      </c>
      <c r="M937" s="594" t="s">
        <v>371</v>
      </c>
      <c r="N937" s="52" t="str">
        <f>IF(AND('331-CT'!$E$7=TH!H937,OR(L937="331",M937="331")),"331",IF(AND(OR(L937="131",M937="131"),H937='131-CT'!$E$7),"131",""))</f>
        <v/>
      </c>
      <c r="O937" s="86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99"/>
    </row>
    <row r="938" spans="1:27" s="210" customFormat="1" ht="15.75" customHeight="1">
      <c r="A938" s="203" t="str">
        <f>IF(B938&lt;&gt;"",IF(AND(B938&gt;=_TM1,B938&lt;=_TM2,OR(TH!L938="1111",TH!M938="1111")),TH!D938,""),"")</f>
        <v/>
      </c>
      <c r="B938" s="36">
        <f>IF(C938&lt;&gt;"",MONTH(C938),"")</f>
        <v>6</v>
      </c>
      <c r="C938" s="183">
        <f>E938</f>
        <v>42172</v>
      </c>
      <c r="D938" s="190" t="s">
        <v>1997</v>
      </c>
      <c r="E938" s="727">
        <v>42172</v>
      </c>
      <c r="F938" s="296" t="s">
        <v>1357</v>
      </c>
      <c r="G938" s="482" t="s">
        <v>1433</v>
      </c>
      <c r="H938" s="7" t="s">
        <v>1391</v>
      </c>
      <c r="I938" s="255">
        <v>2077</v>
      </c>
      <c r="J938" s="255">
        <v>7300</v>
      </c>
      <c r="K938" s="593">
        <f>ROUND(I938*J938,0)</f>
        <v>15162100</v>
      </c>
      <c r="L938" s="594" t="s">
        <v>159</v>
      </c>
      <c r="M938" s="594" t="s">
        <v>8</v>
      </c>
      <c r="N938" s="52" t="str">
        <f>IF(AND('331-CT'!$E$7=TH!H938,OR(L938="331",M938="331")),"331",IF(AND(OR(L938="131",M938="131"),H938='131-CT'!$E$7),"131",""))</f>
        <v/>
      </c>
      <c r="O938" s="86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99"/>
    </row>
    <row r="939" spans="1:27" s="210" customFormat="1" ht="15.75" customHeight="1">
      <c r="A939" s="203" t="str">
        <f>IF(B939&lt;&gt;"",IF(AND(B939&gt;=_TM1,B939&lt;=_TM2,OR(TH!L939="1111",TH!M939="1111")),TH!D939,""),"")</f>
        <v/>
      </c>
      <c r="B939" s="36">
        <f>IF(C939&lt;&gt;"",MONTH(C939),"")</f>
        <v>6</v>
      </c>
      <c r="C939" s="183">
        <f>E939</f>
        <v>42172</v>
      </c>
      <c r="D939" s="190" t="s">
        <v>1997</v>
      </c>
      <c r="E939" s="727">
        <v>42172</v>
      </c>
      <c r="F939" s="296" t="s">
        <v>1393</v>
      </c>
      <c r="G939" s="482" t="s">
        <v>1433</v>
      </c>
      <c r="H939" s="7" t="s">
        <v>1391</v>
      </c>
      <c r="I939" s="255"/>
      <c r="J939" s="255"/>
      <c r="K939" s="593">
        <v>1516210</v>
      </c>
      <c r="L939" s="594" t="s">
        <v>9</v>
      </c>
      <c r="M939" s="594" t="s">
        <v>8</v>
      </c>
      <c r="N939" s="52" t="str">
        <f>IF(AND('331-CT'!$E$7=TH!H939,OR(L939="331",M939="331")),"331",IF(AND(OR(L939="131",M939="131"),H939='131-CT'!$E$7),"131",""))</f>
        <v/>
      </c>
      <c r="O939" s="86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99"/>
    </row>
    <row r="940" spans="1:27" s="210" customFormat="1" ht="15.75" customHeight="1">
      <c r="A940" s="203" t="str">
        <f>IF(B940&lt;&gt;"",IF(AND(B940&gt;=_TM1,B940&lt;=_TM2,OR(TH!L940="1111",TH!M940="1111")),TH!D940,""),"")</f>
        <v/>
      </c>
      <c r="B940" s="36">
        <f>IF(C940&lt;&gt;"",MONTH(C940),"")</f>
        <v>6</v>
      </c>
      <c r="C940" s="183">
        <f>E940</f>
        <v>42172</v>
      </c>
      <c r="D940" s="190" t="s">
        <v>1997</v>
      </c>
      <c r="E940" s="727">
        <v>42172</v>
      </c>
      <c r="F940" s="296" t="s">
        <v>1326</v>
      </c>
      <c r="G940" s="482" t="s">
        <v>1433</v>
      </c>
      <c r="H940" s="7" t="s">
        <v>1391</v>
      </c>
      <c r="I940" s="255"/>
      <c r="J940" s="255"/>
      <c r="K940" s="593">
        <v>16678310</v>
      </c>
      <c r="L940" s="594" t="s">
        <v>8</v>
      </c>
      <c r="M940" s="594" t="s">
        <v>47</v>
      </c>
      <c r="N940" s="52" t="str">
        <f>IF(AND('331-CT'!$E$7=TH!H940,OR(L940="331",M940="331")),"331",IF(AND(OR(L940="131",M940="131"),H940='131-CT'!$E$7),"131",""))</f>
        <v/>
      </c>
      <c r="O940" s="869" t="str">
        <f>IF(AND('341-CT'!$E$9=H940,OR(LEFT(L940,3)=$O$7,LEFT(M940,3)=$O$7)),"x","")</f>
        <v/>
      </c>
      <c r="P940" s="52" t="str">
        <f>IF(AND($B940&gt;='111'!$N$11,$B940&lt;='111'!$O$11,OR($L940=$P$7,$M940=$P$7)),"x","")</f>
        <v>x</v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99"/>
    </row>
    <row r="941" spans="1:27" s="210" customFormat="1" ht="15.75" customHeight="1">
      <c r="A941" s="203" t="str">
        <f>IF(B941&lt;&gt;"",IF(AND(B941&gt;=_TM1,B941&lt;=_TM2,OR(TH!L941="1111",TH!M941="1111")),TH!D941,""),"")</f>
        <v/>
      </c>
      <c r="B941" s="36">
        <f>IF(C941&lt;&gt;"",MONTH(C941),"")</f>
        <v>6</v>
      </c>
      <c r="C941" s="183">
        <f>E941</f>
        <v>42172</v>
      </c>
      <c r="D941" s="190" t="s">
        <v>1324</v>
      </c>
      <c r="E941" s="727">
        <v>42172</v>
      </c>
      <c r="F941" s="191" t="s">
        <v>1919</v>
      </c>
      <c r="G941" s="482" t="s">
        <v>1907</v>
      </c>
      <c r="H941" s="192" t="s">
        <v>1920</v>
      </c>
      <c r="I941" s="255"/>
      <c r="J941" s="255"/>
      <c r="K941" s="593">
        <v>330000000</v>
      </c>
      <c r="L941" s="193" t="s">
        <v>24</v>
      </c>
      <c r="M941" s="193" t="s">
        <v>1899</v>
      </c>
      <c r="N941" s="52" t="str">
        <f>IF(AND('331-CT'!$E$7=TH!H941,OR(L941="331",M941="331")),"331",IF(AND(OR(L941="131",M941="131"),H941='131-CT'!$E$7),"131",""))</f>
        <v/>
      </c>
      <c r="O941" s="86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99"/>
    </row>
    <row r="942" spans="1:27" s="210" customFormat="1" ht="15.75" customHeight="1">
      <c r="A942" s="203" t="str">
        <f>IF(B942&lt;&gt;"",IF(AND(B942&gt;=_TM1,B942&lt;=_TM2,OR(TH!L942="1111",TH!M942="1111")),TH!D942,""),"")</f>
        <v/>
      </c>
      <c r="B942" s="36">
        <f>IF(C942&lt;&gt;"",MONTH(C942),"")</f>
        <v>6</v>
      </c>
      <c r="C942" s="183">
        <f>E942</f>
        <v>42172</v>
      </c>
      <c r="D942" s="190" t="s">
        <v>1324</v>
      </c>
      <c r="E942" s="727">
        <v>42172</v>
      </c>
      <c r="F942" s="296" t="s">
        <v>1326</v>
      </c>
      <c r="G942" s="482" t="s">
        <v>1907</v>
      </c>
      <c r="H942" s="192" t="s">
        <v>1450</v>
      </c>
      <c r="I942" s="255"/>
      <c r="J942" s="255"/>
      <c r="K942" s="593">
        <v>330000000</v>
      </c>
      <c r="L942" s="594" t="s">
        <v>8</v>
      </c>
      <c r="M942" s="594" t="s">
        <v>24</v>
      </c>
      <c r="N942" s="52" t="str">
        <f>IF(AND('331-CT'!$E$7=TH!H942,OR(L942="331",M942="331")),"331",IF(AND(OR(L942="131",M942="131"),H942='131-CT'!$E$7),"131",""))</f>
        <v/>
      </c>
      <c r="O942" s="86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99"/>
    </row>
    <row r="943" spans="1:27" s="210" customFormat="1" ht="15.75" customHeight="1">
      <c r="A943" s="203" t="str">
        <f>IF(B943&lt;&gt;"",IF(AND(B943&gt;=_TM1,B943&lt;=_TM2,OR(TH!L943="1111",TH!M943="1111")),TH!D943,""),"")</f>
        <v/>
      </c>
      <c r="B943" s="36">
        <f>IF(C943&lt;&gt;"",MONTH(C943),"")</f>
        <v>6</v>
      </c>
      <c r="C943" s="183">
        <f>E943</f>
        <v>42172</v>
      </c>
      <c r="D943" s="190" t="s">
        <v>1324</v>
      </c>
      <c r="E943" s="727">
        <v>42172</v>
      </c>
      <c r="F943" s="191" t="s">
        <v>1327</v>
      </c>
      <c r="G943" s="482" t="s">
        <v>1907</v>
      </c>
      <c r="H943" s="192"/>
      <c r="I943" s="255"/>
      <c r="J943" s="255"/>
      <c r="K943" s="593">
        <v>99000</v>
      </c>
      <c r="L943" s="594" t="s">
        <v>83</v>
      </c>
      <c r="M943" s="594" t="s">
        <v>24</v>
      </c>
      <c r="N943" s="52" t="str">
        <f>IF(AND('331-CT'!$E$7=TH!H943,OR(L943="331",M943="331")),"331",IF(AND(OR(L943="131",M943="131"),H943='131-CT'!$E$7),"131",""))</f>
        <v/>
      </c>
      <c r="O943" s="86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>x</v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99"/>
    </row>
    <row r="944" spans="1:27" s="210" customFormat="1" ht="15.75" customHeight="1">
      <c r="A944" s="203" t="str">
        <f>IF(B944&lt;&gt;"",IF(AND(B944&gt;=_TM1,B944&lt;=_TM2,OR(TH!L944="1111",TH!M944="1111")),TH!D944,""),"")</f>
        <v/>
      </c>
      <c r="B944" s="36">
        <f>IF(C944&lt;&gt;"",MONTH(C944),"")</f>
        <v>6</v>
      </c>
      <c r="C944" s="183">
        <f>E944</f>
        <v>42172</v>
      </c>
      <c r="D944" s="190" t="s">
        <v>1324</v>
      </c>
      <c r="E944" s="727">
        <v>42172</v>
      </c>
      <c r="F944" s="191" t="s">
        <v>1914</v>
      </c>
      <c r="G944" s="482" t="s">
        <v>1907</v>
      </c>
      <c r="H944" s="192"/>
      <c r="I944" s="255"/>
      <c r="J944" s="255"/>
      <c r="K944" s="593">
        <v>9900</v>
      </c>
      <c r="L944" s="594" t="s">
        <v>9</v>
      </c>
      <c r="M944" s="594" t="s">
        <v>24</v>
      </c>
      <c r="N944" s="52" t="str">
        <f>IF(AND('331-CT'!$E$7=TH!H944,OR(L944="331",M944="331")),"331",IF(AND(OR(L944="131",M944="131"),H944='131-CT'!$E$7),"131",""))</f>
        <v/>
      </c>
      <c r="O944" s="86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99"/>
    </row>
    <row r="945" spans="1:27" s="210" customFormat="1" ht="15.75" customHeight="1">
      <c r="A945" s="203" t="str">
        <f>IF(B945&lt;&gt;"",IF(AND(B945&gt;=_TM1,B945&lt;=_TM2,OR(TH!L945="1111",TH!M945="1111")),TH!D945,""),"")</f>
        <v/>
      </c>
      <c r="B945" s="36">
        <f>IF(C945&lt;&gt;"",MONTH(C945),"")</f>
        <v>6</v>
      </c>
      <c r="C945" s="183">
        <f>E945</f>
        <v>42173</v>
      </c>
      <c r="D945" s="183" t="s">
        <v>1584</v>
      </c>
      <c r="E945" s="190">
        <v>42173</v>
      </c>
      <c r="F945" s="191" t="s">
        <v>1739</v>
      </c>
      <c r="G945" s="482" t="s">
        <v>789</v>
      </c>
      <c r="H945" s="7" t="s">
        <v>1934</v>
      </c>
      <c r="I945" s="255">
        <v>17</v>
      </c>
      <c r="J945" s="255">
        <v>12462</v>
      </c>
      <c r="K945" s="593">
        <f>ROUND(I945*J945,0)</f>
        <v>211854</v>
      </c>
      <c r="L945" s="594" t="s">
        <v>259</v>
      </c>
      <c r="M945" s="594" t="s">
        <v>174</v>
      </c>
      <c r="N945" s="52" t="str">
        <f>IF(AND('331-CT'!$E$7=TH!H945,OR(L945="331",M945="331")),"331",IF(AND(OR(L945="131",M945="131"),H945='131-CT'!$E$7),"131",""))</f>
        <v/>
      </c>
      <c r="O945" s="86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99"/>
    </row>
    <row r="946" spans="1:27" s="210" customFormat="1" ht="15.75" customHeight="1">
      <c r="A946" s="203" t="str">
        <f>IF(B946&lt;&gt;"",IF(AND(B946&gt;=_TM1,B946&lt;=_TM2,OR(TH!L946="1111",TH!M946="1111")),TH!D946,""),"")</f>
        <v/>
      </c>
      <c r="B946" s="36">
        <f>IF(C946&lt;&gt;"",MONTH(C946),"")</f>
        <v>6</v>
      </c>
      <c r="C946" s="183">
        <f>E946</f>
        <v>42173</v>
      </c>
      <c r="D946" s="183" t="s">
        <v>1584</v>
      </c>
      <c r="E946" s="190">
        <v>42173</v>
      </c>
      <c r="F946" s="191" t="s">
        <v>1715</v>
      </c>
      <c r="G946" s="482" t="s">
        <v>789</v>
      </c>
      <c r="H946" s="7" t="s">
        <v>1934</v>
      </c>
      <c r="I946" s="257">
        <v>200</v>
      </c>
      <c r="J946" s="257">
        <v>12946</v>
      </c>
      <c r="K946" s="593">
        <f>ROUND(I946*J946,0)</f>
        <v>2589200</v>
      </c>
      <c r="L946" s="594" t="s">
        <v>259</v>
      </c>
      <c r="M946" s="594" t="s">
        <v>174</v>
      </c>
      <c r="N946" s="52" t="str">
        <f>IF(AND('331-CT'!$E$7=TH!H946,OR(L946="331",M946="331")),"331",IF(AND(OR(L946="131",M946="131"),H946='131-CT'!$E$7),"131",""))</f>
        <v/>
      </c>
      <c r="O946" s="86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99"/>
    </row>
    <row r="947" spans="1:27" s="210" customFormat="1" ht="15.75" customHeight="1">
      <c r="A947" s="203" t="str">
        <f>IF(B947&lt;&gt;"",IF(AND(B947&gt;=_TM1,B947&lt;=_TM2,OR(TH!L947="1111",TH!M947="1111")),TH!D947,""),"")</f>
        <v/>
      </c>
      <c r="B947" s="36">
        <f>IF(C947&lt;&gt;"",MONTH(C947),"")</f>
        <v>6</v>
      </c>
      <c r="C947" s="183">
        <f>E947</f>
        <v>42173</v>
      </c>
      <c r="D947" s="183" t="s">
        <v>1584</v>
      </c>
      <c r="E947" s="190">
        <v>42173</v>
      </c>
      <c r="F947" s="40" t="s">
        <v>1740</v>
      </c>
      <c r="G947" s="482" t="s">
        <v>789</v>
      </c>
      <c r="H947" s="7" t="s">
        <v>1934</v>
      </c>
      <c r="I947" s="255">
        <v>85</v>
      </c>
      <c r="J947" s="255">
        <v>10301</v>
      </c>
      <c r="K947" s="593">
        <f>ROUND(I947*J947,0)</f>
        <v>875585</v>
      </c>
      <c r="L947" s="594" t="s">
        <v>259</v>
      </c>
      <c r="M947" s="594" t="s">
        <v>174</v>
      </c>
      <c r="N947" s="52" t="str">
        <f>IF(AND('331-CT'!$E$7=TH!H947,OR(L947="331",M947="331")),"331",IF(AND(OR(L947="131",M947="131"),H947='131-CT'!$E$7),"131",""))</f>
        <v/>
      </c>
      <c r="O947" s="86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99"/>
    </row>
    <row r="948" spans="1:27" s="210" customFormat="1" ht="15.75" customHeight="1">
      <c r="A948" s="203" t="str">
        <f>IF(B948&lt;&gt;"",IF(AND(B948&gt;=_TM1,B948&lt;=_TM2,OR(TH!L948="1111",TH!M948="1111")),TH!D948,""),"")</f>
        <v/>
      </c>
      <c r="B948" s="36">
        <f>IF(C948&lt;&gt;"",MONTH(C948),"")</f>
        <v>6</v>
      </c>
      <c r="C948" s="183">
        <f>E948</f>
        <v>42173</v>
      </c>
      <c r="D948" s="183" t="s">
        <v>1584</v>
      </c>
      <c r="E948" s="190">
        <v>42173</v>
      </c>
      <c r="F948" s="40" t="s">
        <v>687</v>
      </c>
      <c r="G948" s="482" t="s">
        <v>789</v>
      </c>
      <c r="H948" s="7" t="s">
        <v>1934</v>
      </c>
      <c r="I948" s="255">
        <v>360</v>
      </c>
      <c r="J948" s="255">
        <v>11930</v>
      </c>
      <c r="K948" s="593">
        <f>ROUND(I948*J948,0)</f>
        <v>4294800</v>
      </c>
      <c r="L948" s="594" t="s">
        <v>259</v>
      </c>
      <c r="M948" s="594" t="s">
        <v>174</v>
      </c>
      <c r="N948" s="52" t="str">
        <f>IF(AND('331-CT'!$E$7=TH!H948,OR(L948="331",M948="331")),"331",IF(AND(OR(L948="131",M948="131"),H948='131-CT'!$E$7),"131",""))</f>
        <v/>
      </c>
      <c r="O948" s="86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99"/>
    </row>
    <row r="949" spans="1:27" s="210" customFormat="1" ht="15.75" customHeight="1">
      <c r="A949" s="203" t="str">
        <f>IF(B949&lt;&gt;"",IF(AND(B949&gt;=_TM1,B949&lt;=_TM2,OR(TH!L949="1111",TH!M949="1111")),TH!D949,""),"")</f>
        <v/>
      </c>
      <c r="B949" s="36">
        <f>IF(C949&lt;&gt;"",MONTH(C949),"")</f>
        <v>6</v>
      </c>
      <c r="C949" s="183">
        <f>E949</f>
        <v>42173</v>
      </c>
      <c r="D949" s="183" t="s">
        <v>1584</v>
      </c>
      <c r="E949" s="190">
        <v>42173</v>
      </c>
      <c r="F949" s="40" t="s">
        <v>1741</v>
      </c>
      <c r="G949" s="482" t="s">
        <v>789</v>
      </c>
      <c r="H949" s="7" t="s">
        <v>1934</v>
      </c>
      <c r="I949" s="255">
        <v>25</v>
      </c>
      <c r="J949" s="255">
        <v>10056</v>
      </c>
      <c r="K949" s="593">
        <f>ROUND(I949*J949,0)</f>
        <v>251400</v>
      </c>
      <c r="L949" s="594" t="s">
        <v>259</v>
      </c>
      <c r="M949" s="594" t="s">
        <v>174</v>
      </c>
      <c r="N949" s="52" t="str">
        <f>IF(AND('331-CT'!$E$7=TH!H949,OR(L949="331",M949="331")),"331",IF(AND(OR(L949="131",M949="131"),H949='131-CT'!$E$7),"131",""))</f>
        <v/>
      </c>
      <c r="O949" s="86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99"/>
    </row>
    <row r="950" spans="1:27" s="210" customFormat="1" ht="15.75" customHeight="1">
      <c r="A950" s="203" t="str">
        <f>IF(B950&lt;&gt;"",IF(AND(B950&gt;=_TM1,B950&lt;=_TM2,OR(TH!L950="1111",TH!M950="1111")),TH!D950,""),"")</f>
        <v/>
      </c>
      <c r="B950" s="36">
        <f>IF(C950&lt;&gt;"",MONTH(C950),"")</f>
        <v>6</v>
      </c>
      <c r="C950" s="183">
        <f>E950</f>
        <v>42173</v>
      </c>
      <c r="D950" s="183" t="s">
        <v>1584</v>
      </c>
      <c r="E950" s="190">
        <v>42173</v>
      </c>
      <c r="F950" s="191" t="s">
        <v>668</v>
      </c>
      <c r="G950" s="482" t="s">
        <v>789</v>
      </c>
      <c r="H950" s="7" t="s">
        <v>1934</v>
      </c>
      <c r="I950" s="255">
        <v>50</v>
      </c>
      <c r="J950" s="255">
        <v>20302</v>
      </c>
      <c r="K950" s="593">
        <f>ROUND(I950*J950,0)</f>
        <v>1015100</v>
      </c>
      <c r="L950" s="594" t="s">
        <v>259</v>
      </c>
      <c r="M950" s="594" t="s">
        <v>174</v>
      </c>
      <c r="N950" s="52" t="str">
        <f>IF(AND('331-CT'!$E$7=TH!H950,OR(L950="331",M950="331")),"331",IF(AND(OR(L950="131",M950="131"),H950='131-CT'!$E$7),"131",""))</f>
        <v/>
      </c>
      <c r="O950" s="86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99"/>
    </row>
    <row r="951" spans="1:27" s="210" customFormat="1" ht="15.75" customHeight="1">
      <c r="A951" s="203" t="str">
        <f>IF(B951&lt;&gt;"",IF(AND(B951&gt;=_TM1,B951&lt;=_TM2,OR(TH!L951="1111",TH!M951="1111")),TH!D951,""),"")</f>
        <v/>
      </c>
      <c r="B951" s="36">
        <f>IF(C951&lt;&gt;"",MONTH(C951),"")</f>
        <v>6</v>
      </c>
      <c r="C951" s="183">
        <f>E951</f>
        <v>42173</v>
      </c>
      <c r="D951" s="183" t="s">
        <v>1584</v>
      </c>
      <c r="E951" s="190">
        <v>42173</v>
      </c>
      <c r="F951" s="40" t="s">
        <v>690</v>
      </c>
      <c r="G951" s="482" t="s">
        <v>789</v>
      </c>
      <c r="H951" s="7" t="s">
        <v>1934</v>
      </c>
      <c r="I951" s="255">
        <v>30</v>
      </c>
      <c r="J951" s="255">
        <v>18218</v>
      </c>
      <c r="K951" s="593">
        <f>ROUND(I951*J951,0)</f>
        <v>546540</v>
      </c>
      <c r="L951" s="594" t="s">
        <v>259</v>
      </c>
      <c r="M951" s="594" t="s">
        <v>174</v>
      </c>
      <c r="N951" s="52" t="str">
        <f>IF(AND('331-CT'!$E$7=TH!H951,OR(L951="331",M951="331")),"331",IF(AND(OR(L951="131",M951="131"),H951='131-CT'!$E$7),"131",""))</f>
        <v/>
      </c>
      <c r="O951" s="86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99"/>
    </row>
    <row r="952" spans="1:27" s="210" customFormat="1" ht="15.75" customHeight="1">
      <c r="A952" s="203" t="str">
        <f>IF(B952&lt;&gt;"",IF(AND(B952&gt;=_TM1,B952&lt;=_TM2,OR(TH!L952="1111",TH!M952="1111")),TH!D952,""),"")</f>
        <v/>
      </c>
      <c r="B952" s="36">
        <f>IF(C952&lt;&gt;"",MONTH(C952),"")</f>
        <v>6</v>
      </c>
      <c r="C952" s="183">
        <f>E952</f>
        <v>42173</v>
      </c>
      <c r="D952" s="183" t="s">
        <v>1584</v>
      </c>
      <c r="E952" s="190">
        <v>42173</v>
      </c>
      <c r="F952" s="40" t="s">
        <v>1742</v>
      </c>
      <c r="G952" s="482" t="s">
        <v>789</v>
      </c>
      <c r="H952" s="7" t="s">
        <v>1934</v>
      </c>
      <c r="I952" s="255">
        <v>25</v>
      </c>
      <c r="J952" s="255">
        <v>12067</v>
      </c>
      <c r="K952" s="593">
        <f>ROUND(I952*J952,0)</f>
        <v>301675</v>
      </c>
      <c r="L952" s="594" t="s">
        <v>259</v>
      </c>
      <c r="M952" s="594" t="s">
        <v>174</v>
      </c>
      <c r="N952" s="52" t="str">
        <f>IF(AND('331-CT'!$E$7=TH!H952,OR(L952="331",M952="331")),"331",IF(AND(OR(L952="131",M952="131"),H952='131-CT'!$E$7),"131",""))</f>
        <v/>
      </c>
      <c r="O952" s="86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99"/>
    </row>
    <row r="953" spans="1:27" s="210" customFormat="1" ht="15.75" customHeight="1">
      <c r="A953" s="203" t="str">
        <f>IF(B953&lt;&gt;"",IF(AND(B953&gt;=_TM1,B953&lt;=_TM2,OR(TH!L953="1111",TH!M953="1111")),TH!D953,""),"")</f>
        <v/>
      </c>
      <c r="B953" s="36">
        <f>IF(C953&lt;&gt;"",MONTH(C953),"")</f>
        <v>6</v>
      </c>
      <c r="C953" s="183">
        <f>E953</f>
        <v>42173</v>
      </c>
      <c r="D953" s="183" t="s">
        <v>1584</v>
      </c>
      <c r="E953" s="190">
        <v>42173</v>
      </c>
      <c r="F953" s="188" t="s">
        <v>742</v>
      </c>
      <c r="G953" s="482" t="s">
        <v>789</v>
      </c>
      <c r="H953" s="7" t="s">
        <v>1934</v>
      </c>
      <c r="I953" s="255">
        <v>50</v>
      </c>
      <c r="J953" s="255">
        <v>17836</v>
      </c>
      <c r="K953" s="593">
        <f>ROUND(I953*J953,0)</f>
        <v>891800</v>
      </c>
      <c r="L953" s="594" t="s">
        <v>259</v>
      </c>
      <c r="M953" s="594" t="s">
        <v>174</v>
      </c>
      <c r="N953" s="52" t="str">
        <f>IF(AND('331-CT'!$E$7=TH!H953,OR(L953="331",M953="331")),"331",IF(AND(OR(L953="131",M953="131"),H953='131-CT'!$E$7),"131",""))</f>
        <v/>
      </c>
      <c r="O953" s="86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99"/>
    </row>
    <row r="954" spans="1:27" s="210" customFormat="1" ht="15.75" customHeight="1">
      <c r="A954" s="203" t="str">
        <f>IF(B954&lt;&gt;"",IF(AND(B954&gt;=_TM1,B954&lt;=_TM2,OR(TH!L954="1111",TH!M954="1111")),TH!D954,""),"")</f>
        <v/>
      </c>
      <c r="B954" s="36">
        <f>IF(C954&lt;&gt;"",MONTH(C954),"")</f>
        <v>6</v>
      </c>
      <c r="C954" s="183">
        <f>E954</f>
        <v>42173</v>
      </c>
      <c r="D954" s="183" t="s">
        <v>1584</v>
      </c>
      <c r="E954" s="190">
        <v>42173</v>
      </c>
      <c r="F954" s="188" t="s">
        <v>1743</v>
      </c>
      <c r="G954" s="482" t="s">
        <v>789</v>
      </c>
      <c r="H954" s="7" t="s">
        <v>1934</v>
      </c>
      <c r="I954" s="255">
        <v>85</v>
      </c>
      <c r="J954" s="255">
        <v>7826</v>
      </c>
      <c r="K954" s="593">
        <f>ROUND(I954*J954,0)</f>
        <v>665210</v>
      </c>
      <c r="L954" s="594" t="s">
        <v>259</v>
      </c>
      <c r="M954" s="594" t="s">
        <v>174</v>
      </c>
      <c r="N954" s="52" t="str">
        <f>IF(AND('331-CT'!$E$7=TH!H954,OR(L954="331",M954="331")),"331",IF(AND(OR(L954="131",M954="131"),H954='131-CT'!$E$7),"131",""))</f>
        <v/>
      </c>
      <c r="O954" s="86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99"/>
    </row>
    <row r="955" spans="1:27" s="210" customFormat="1" ht="15.75" customHeight="1">
      <c r="A955" s="203" t="str">
        <f>IF(B955&lt;&gt;"",IF(AND(B955&gt;=_TM1,B955&lt;=_TM2,OR(TH!L955="1111",TH!M955="1111")),TH!D955,""),"")</f>
        <v/>
      </c>
      <c r="B955" s="36">
        <f>IF(C955&lt;&gt;"",MONTH(C955),"")</f>
        <v>6</v>
      </c>
      <c r="C955" s="183">
        <f>E955</f>
        <v>42173</v>
      </c>
      <c r="D955" s="183" t="s">
        <v>1584</v>
      </c>
      <c r="E955" s="190">
        <v>42173</v>
      </c>
      <c r="F955" s="188" t="s">
        <v>731</v>
      </c>
      <c r="G955" s="482" t="s">
        <v>789</v>
      </c>
      <c r="H955" s="7" t="s">
        <v>1934</v>
      </c>
      <c r="I955" s="255"/>
      <c r="J955" s="255"/>
      <c r="K955" s="593">
        <v>1164316</v>
      </c>
      <c r="L955" s="594" t="s">
        <v>259</v>
      </c>
      <c r="M955" s="594" t="s">
        <v>371</v>
      </c>
      <c r="N955" s="52" t="str">
        <f>IF(AND('331-CT'!$E$7=TH!H955,OR(L955="331",M955="331")),"331",IF(AND(OR(L955="131",M955="131"),H955='131-CT'!$E$7),"131",""))</f>
        <v/>
      </c>
      <c r="O955" s="86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99"/>
    </row>
    <row r="956" spans="1:27" s="210" customFormat="1" ht="15.75" customHeight="1">
      <c r="A956" s="203" t="str">
        <f>IF(B956&lt;&gt;"",IF(AND(B956&gt;=_TM1,B956&lt;=_TM2,OR(TH!L956="1111",TH!M956="1111")),TH!D956,""),"")</f>
        <v/>
      </c>
      <c r="B956" s="36">
        <f>IF(C956&lt;&gt;"",MONTH(C956),"")</f>
        <v>6</v>
      </c>
      <c r="C956" s="183">
        <f>E956</f>
        <v>42173</v>
      </c>
      <c r="D956" s="183" t="s">
        <v>1585</v>
      </c>
      <c r="E956" s="190">
        <v>42173</v>
      </c>
      <c r="F956" s="188" t="s">
        <v>403</v>
      </c>
      <c r="G956" s="482" t="s">
        <v>790</v>
      </c>
      <c r="H956" s="7" t="s">
        <v>976</v>
      </c>
      <c r="I956" s="256">
        <v>1206</v>
      </c>
      <c r="J956" s="256">
        <v>9300</v>
      </c>
      <c r="K956" s="593">
        <f>ROUND(I956*J956,0)</f>
        <v>11215800</v>
      </c>
      <c r="L956" s="594" t="s">
        <v>259</v>
      </c>
      <c r="M956" s="594" t="s">
        <v>174</v>
      </c>
      <c r="N956" s="52" t="str">
        <f>IF(AND('331-CT'!$E$7=TH!H956,OR(L956="331",M956="331")),"331",IF(AND(OR(L956="131",M956="131"),H956='131-CT'!$E$7),"131",""))</f>
        <v/>
      </c>
      <c r="O956" s="86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99"/>
    </row>
    <row r="957" spans="1:27" s="210" customFormat="1" ht="15.75" customHeight="1">
      <c r="A957" s="203" t="str">
        <f>IF(B957&lt;&gt;"",IF(AND(B957&gt;=_TM1,B957&lt;=_TM2,OR(TH!L957="1111",TH!M957="1111")),TH!D957,""),"")</f>
        <v/>
      </c>
      <c r="B957" s="36">
        <f>IF(C957&lt;&gt;"",MONTH(C957),"")</f>
        <v>6</v>
      </c>
      <c r="C957" s="183">
        <f>E957</f>
        <v>42173</v>
      </c>
      <c r="D957" s="183" t="s">
        <v>1585</v>
      </c>
      <c r="E957" s="190">
        <v>42173</v>
      </c>
      <c r="F957" s="191" t="s">
        <v>402</v>
      </c>
      <c r="G957" s="482" t="s">
        <v>790</v>
      </c>
      <c r="H957" s="7" t="s">
        <v>976</v>
      </c>
      <c r="I957" s="255"/>
      <c r="J957" s="255"/>
      <c r="K957" s="38">
        <v>1121580</v>
      </c>
      <c r="L957" s="594" t="s">
        <v>259</v>
      </c>
      <c r="M957" s="594" t="s">
        <v>371</v>
      </c>
      <c r="N957" s="52" t="str">
        <f>IF(AND('331-CT'!$E$7=TH!H957,OR(L957="331",M957="331")),"331",IF(AND(OR(L957="131",M957="131"),H957='131-CT'!$E$7),"131",""))</f>
        <v/>
      </c>
      <c r="O957" s="86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99"/>
    </row>
    <row r="958" spans="1:27" s="210" customFormat="1" ht="15.75" customHeight="1">
      <c r="A958" s="203" t="str">
        <f>IF(B958&lt;&gt;"",IF(AND(B958&gt;=_TM1,B958&lt;=_TM2,OR(TH!L958="1111",TH!M958="1111")),TH!D958,""),"")</f>
        <v/>
      </c>
      <c r="B958" s="36">
        <f>IF(C958&lt;&gt;"",MONTH(C958),"")</f>
        <v>6</v>
      </c>
      <c r="C958" s="183">
        <f>E958</f>
        <v>42173</v>
      </c>
      <c r="D958" s="183" t="s">
        <v>1319</v>
      </c>
      <c r="E958" s="190">
        <v>42173</v>
      </c>
      <c r="F958" s="191" t="s">
        <v>1320</v>
      </c>
      <c r="G958" s="482" t="s">
        <v>332</v>
      </c>
      <c r="H958" s="7" t="s">
        <v>950</v>
      </c>
      <c r="I958" s="255"/>
      <c r="J958" s="255"/>
      <c r="K958" s="593">
        <v>30589251</v>
      </c>
      <c r="L958" s="594" t="s">
        <v>24</v>
      </c>
      <c r="M958" s="594" t="s">
        <v>259</v>
      </c>
      <c r="N958" s="52" t="str">
        <f>IF(AND('331-CT'!$E$7=TH!H958,OR(L958="331",M958="331")),"331",IF(AND(OR(L958="131",M958="131"),H958='131-CT'!$E$7),"131",""))</f>
        <v/>
      </c>
      <c r="O958" s="86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>x</v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99"/>
    </row>
    <row r="959" spans="1:27" s="210" customFormat="1" ht="15.75" customHeight="1">
      <c r="A959" s="203" t="str">
        <f>IF(B959&lt;&gt;"",IF(AND(B959&gt;=_TM1,B959&lt;=_TM2,OR(TH!L959="1111",TH!M959="1111")),TH!D959,""),"")</f>
        <v/>
      </c>
      <c r="B959" s="36">
        <f>IF(C959&lt;&gt;"",MONTH(C959),"")</f>
        <v>6</v>
      </c>
      <c r="C959" s="183">
        <f>E959</f>
        <v>42173</v>
      </c>
      <c r="D959" s="190" t="s">
        <v>1998</v>
      </c>
      <c r="E959" s="727">
        <v>42173</v>
      </c>
      <c r="F959" s="296" t="s">
        <v>1357</v>
      </c>
      <c r="G959" s="482" t="s">
        <v>1434</v>
      </c>
      <c r="H959" s="7" t="s">
        <v>1391</v>
      </c>
      <c r="I959" s="255">
        <v>2244</v>
      </c>
      <c r="J959" s="255">
        <v>7300</v>
      </c>
      <c r="K959" s="593">
        <f>ROUND(I959*J959,0)</f>
        <v>16381200</v>
      </c>
      <c r="L959" s="594" t="s">
        <v>159</v>
      </c>
      <c r="M959" s="594" t="s">
        <v>8</v>
      </c>
      <c r="N959" s="52" t="str">
        <f>IF(AND('331-CT'!$E$7=TH!H959,OR(L959="331",M959="331")),"331",IF(AND(OR(L959="131",M959="131"),H959='131-CT'!$E$7),"131",""))</f>
        <v/>
      </c>
      <c r="O959" s="86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99"/>
    </row>
    <row r="960" spans="1:27" s="210" customFormat="1" ht="15.75" customHeight="1">
      <c r="A960" s="203" t="str">
        <f>IF(B960&lt;&gt;"",IF(AND(B960&gt;=_TM1,B960&lt;=_TM2,OR(TH!L960="1111",TH!M960="1111")),TH!D960,""),"")</f>
        <v/>
      </c>
      <c r="B960" s="36">
        <f>IF(C960&lt;&gt;"",MONTH(C960),"")</f>
        <v>6</v>
      </c>
      <c r="C960" s="183">
        <f>E960</f>
        <v>42173</v>
      </c>
      <c r="D960" s="190" t="s">
        <v>1998</v>
      </c>
      <c r="E960" s="727">
        <v>42173</v>
      </c>
      <c r="F960" s="296" t="s">
        <v>1393</v>
      </c>
      <c r="G960" s="482" t="s">
        <v>1434</v>
      </c>
      <c r="H960" s="7" t="s">
        <v>1391</v>
      </c>
      <c r="I960" s="255"/>
      <c r="J960" s="255"/>
      <c r="K960" s="593">
        <v>1638120</v>
      </c>
      <c r="L960" s="594" t="s">
        <v>9</v>
      </c>
      <c r="M960" s="594" t="s">
        <v>8</v>
      </c>
      <c r="N960" s="52" t="str">
        <f>IF(AND('331-CT'!$E$7=TH!H960,OR(L960="331",M960="331")),"331",IF(AND(OR(L960="131",M960="131"),H960='131-CT'!$E$7),"131",""))</f>
        <v/>
      </c>
      <c r="O960" s="86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99"/>
    </row>
    <row r="961" spans="1:27" s="210" customFormat="1" ht="15.75" customHeight="1">
      <c r="A961" s="203" t="str">
        <f>IF(B961&lt;&gt;"",IF(AND(B961&gt;=_TM1,B961&lt;=_TM2,OR(TH!L961="1111",TH!M961="1111")),TH!D961,""),"")</f>
        <v/>
      </c>
      <c r="B961" s="36">
        <f>IF(C961&lt;&gt;"",MONTH(C961),"")</f>
        <v>6</v>
      </c>
      <c r="C961" s="183">
        <f>E961</f>
        <v>42173</v>
      </c>
      <c r="D961" s="190" t="s">
        <v>1998</v>
      </c>
      <c r="E961" s="727">
        <v>42173</v>
      </c>
      <c r="F961" s="296" t="s">
        <v>1326</v>
      </c>
      <c r="G961" s="482" t="s">
        <v>1434</v>
      </c>
      <c r="H961" s="7" t="s">
        <v>1391</v>
      </c>
      <c r="I961" s="255"/>
      <c r="J961" s="255"/>
      <c r="K961" s="593">
        <v>18019320</v>
      </c>
      <c r="L961" s="594" t="s">
        <v>8</v>
      </c>
      <c r="M961" s="594" t="s">
        <v>47</v>
      </c>
      <c r="N961" s="52" t="str">
        <f>IF(AND('331-CT'!$E$7=TH!H961,OR(L961="331",M961="331")),"331",IF(AND(OR(L961="131",M961="131"),H961='131-CT'!$E$7),"131",""))</f>
        <v/>
      </c>
      <c r="O961" s="869" t="str">
        <f>IF(AND('341-CT'!$E$9=H961,OR(LEFT(L961,3)=$O$7,LEFT(M961,3)=$O$7)),"x","")</f>
        <v/>
      </c>
      <c r="P961" s="52" t="str">
        <f>IF(AND($B961&gt;='111'!$N$11,$B961&lt;='111'!$O$11,OR($L961=$P$7,$M961=$P$7)),"x","")</f>
        <v>x</v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99"/>
    </row>
    <row r="962" spans="1:27" s="210" customFormat="1" ht="15.75" customHeight="1">
      <c r="A962" s="203" t="str">
        <f>IF(B962&lt;&gt;"",IF(AND(B962&gt;=_TM1,B962&lt;=_TM2,OR(TH!L962="1111",TH!M962="1111")),TH!D962,""),"")</f>
        <v/>
      </c>
      <c r="B962" s="36">
        <f>IF(C962&lt;&gt;"",MONTH(C962),"")</f>
        <v>6</v>
      </c>
      <c r="C962" s="183">
        <f>E962</f>
        <v>42173</v>
      </c>
      <c r="D962" s="190"/>
      <c r="E962" s="727">
        <v>42173</v>
      </c>
      <c r="F962" s="296" t="s">
        <v>1436</v>
      </c>
      <c r="G962" s="482" t="s">
        <v>1438</v>
      </c>
      <c r="H962" s="7" t="s">
        <v>1435</v>
      </c>
      <c r="I962" s="255"/>
      <c r="J962" s="255"/>
      <c r="K962" s="593">
        <v>1017727</v>
      </c>
      <c r="L962" s="594" t="s">
        <v>83</v>
      </c>
      <c r="M962" s="594" t="s">
        <v>47</v>
      </c>
      <c r="N962" s="52" t="str">
        <f>IF(AND('331-CT'!$E$7=TH!H962,OR(L962="331",M962="331")),"331",IF(AND(OR(L962="131",M962="131"),H962='131-CT'!$E$7),"131",""))</f>
        <v/>
      </c>
      <c r="O962" s="869" t="str">
        <f>IF(AND('341-CT'!$E$9=H962,OR(LEFT(L962,3)=$O$7,LEFT(M962,3)=$O$7)),"x","")</f>
        <v/>
      </c>
      <c r="P962" s="52" t="str">
        <f>IF(AND($B962&gt;='111'!$N$11,$B962&lt;='111'!$O$11,OR($L962=$P$7,$M962=$P$7)),"x","")</f>
        <v>x</v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>x</v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99"/>
    </row>
    <row r="963" spans="1:27" s="210" customFormat="1" ht="15.75" customHeight="1">
      <c r="A963" s="203" t="str">
        <f>IF(B963&lt;&gt;"",IF(AND(B963&gt;=_TM1,B963&lt;=_TM2,OR(TH!L963="1111",TH!M963="1111")),TH!D963,""),"")</f>
        <v/>
      </c>
      <c r="B963" s="36">
        <f>IF(C963&lt;&gt;"",MONTH(C963),"")</f>
        <v>6</v>
      </c>
      <c r="C963" s="183">
        <f>E963</f>
        <v>42173</v>
      </c>
      <c r="D963" s="183"/>
      <c r="E963" s="727">
        <v>42173</v>
      </c>
      <c r="F963" s="296" t="s">
        <v>1437</v>
      </c>
      <c r="G963" s="482" t="s">
        <v>1438</v>
      </c>
      <c r="H963" s="7" t="s">
        <v>1435</v>
      </c>
      <c r="I963" s="255"/>
      <c r="J963" s="255"/>
      <c r="K963" s="593">
        <v>101773</v>
      </c>
      <c r="L963" s="594" t="s">
        <v>9</v>
      </c>
      <c r="M963" s="594" t="s">
        <v>47</v>
      </c>
      <c r="N963" s="52" t="str">
        <f>IF(AND('331-CT'!$E$7=TH!H963,OR(L963="331",M963="331")),"331",IF(AND(OR(L963="131",M963="131"),H963='131-CT'!$E$7),"131",""))</f>
        <v/>
      </c>
      <c r="O963" s="869" t="str">
        <f>IF(AND('341-CT'!$E$9=H963,OR(LEFT(L963,3)=$O$7,LEFT(M963,3)=$O$7)),"x","")</f>
        <v/>
      </c>
      <c r="P963" s="52" t="str">
        <f>IF(AND($B963&gt;='111'!$N$11,$B963&lt;='111'!$O$11,OR($L963=$P$7,$M963=$P$7)),"x","")</f>
        <v>x</v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99"/>
    </row>
    <row r="964" spans="1:27" s="210" customFormat="1" ht="15.75" customHeight="1">
      <c r="A964" s="203" t="str">
        <f>IF(B964&lt;&gt;"",IF(AND(B964&gt;=_TM1,B964&lt;=_TM2,OR(TH!L964="1111",TH!M964="1111")),TH!D964,""),"")</f>
        <v/>
      </c>
      <c r="B964" s="36">
        <f>IF(C964&lt;&gt;"",MONTH(C964),"")</f>
        <v>6</v>
      </c>
      <c r="C964" s="183">
        <f>E964</f>
        <v>42173</v>
      </c>
      <c r="D964" s="190" t="s">
        <v>1324</v>
      </c>
      <c r="E964" s="727">
        <v>42173</v>
      </c>
      <c r="F964" s="191" t="s">
        <v>1896</v>
      </c>
      <c r="G964" s="482" t="s">
        <v>1907</v>
      </c>
      <c r="H964" s="192" t="s">
        <v>1337</v>
      </c>
      <c r="I964" s="255"/>
      <c r="J964" s="255"/>
      <c r="K964" s="593">
        <v>2000000</v>
      </c>
      <c r="L964" s="193" t="s">
        <v>24</v>
      </c>
      <c r="M964" s="594" t="s">
        <v>47</v>
      </c>
      <c r="N964" s="52" t="str">
        <f>IF(AND('331-CT'!$E$7=TH!H964,OR(L964="331",M964="331")),"331",IF(AND(OR(L964="131",M964="131"),H964='131-CT'!$E$7),"131",""))</f>
        <v/>
      </c>
      <c r="O964" s="869" t="str">
        <f>IF(AND('341-CT'!$E$9=H964,OR(LEFT(L964,3)=$O$7,LEFT(M964,3)=$O$7)),"x","")</f>
        <v/>
      </c>
      <c r="P964" s="52" t="str">
        <f>IF(AND($B964&gt;='111'!$N$11,$B964&lt;='111'!$O$11,OR($L964=$P$7,$M964=$P$7)),"x","")</f>
        <v>x</v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99"/>
    </row>
    <row r="965" spans="1:27" s="210" customFormat="1" ht="15.75" customHeight="1">
      <c r="A965" s="203" t="str">
        <f>IF(B965&lt;&gt;"",IF(AND(B965&gt;=_TM1,B965&lt;=_TM2,OR(TH!L965="1111",TH!M965="1111")),TH!D965,""),"")</f>
        <v/>
      </c>
      <c r="B965" s="36">
        <f>IF(C965&lt;&gt;"",MONTH(C965),"")</f>
        <v>6</v>
      </c>
      <c r="C965" s="183">
        <f>E965</f>
        <v>42173</v>
      </c>
      <c r="D965" s="190" t="s">
        <v>1324</v>
      </c>
      <c r="E965" s="727">
        <v>42173</v>
      </c>
      <c r="F965" s="191" t="s">
        <v>1921</v>
      </c>
      <c r="G965" s="482" t="s">
        <v>1907</v>
      </c>
      <c r="H965" s="192"/>
      <c r="I965" s="255"/>
      <c r="J965" s="255"/>
      <c r="K965" s="593">
        <v>1193939</v>
      </c>
      <c r="L965" s="594" t="s">
        <v>83</v>
      </c>
      <c r="M965" s="594" t="s">
        <v>24</v>
      </c>
      <c r="N965" s="52" t="str">
        <f>IF(AND('331-CT'!$E$7=TH!H965,OR(L965="331",M965="331")),"331",IF(AND(OR(L965="131",M965="131"),H965='131-CT'!$E$7),"131",""))</f>
        <v/>
      </c>
      <c r="O965" s="86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>x</v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99"/>
    </row>
    <row r="966" spans="1:27" s="210" customFormat="1" ht="15.75" customHeight="1">
      <c r="A966" s="203" t="str">
        <f>IF(B966&lt;&gt;"",IF(AND(B966&gt;=_TM1,B966&lt;=_TM2,OR(TH!L966="1111",TH!M966="1111")),TH!D966,""),"")</f>
        <v/>
      </c>
      <c r="B966" s="36">
        <f>IF(C966&lt;&gt;"",MONTH(C966),"")</f>
        <v>6</v>
      </c>
      <c r="C966" s="183">
        <f>E966</f>
        <v>42173</v>
      </c>
      <c r="D966" s="190" t="s">
        <v>1324</v>
      </c>
      <c r="E966" s="727">
        <v>42173</v>
      </c>
      <c r="F966" s="191" t="s">
        <v>1922</v>
      </c>
      <c r="G966" s="482" t="s">
        <v>1907</v>
      </c>
      <c r="H966" s="192"/>
      <c r="I966" s="255"/>
      <c r="J966" s="255"/>
      <c r="K966" s="593">
        <v>119394</v>
      </c>
      <c r="L966" s="594" t="s">
        <v>9</v>
      </c>
      <c r="M966" s="594" t="s">
        <v>24</v>
      </c>
      <c r="N966" s="52" t="str">
        <f>IF(AND('331-CT'!$E$7=TH!H966,OR(L966="331",M966="331")),"331",IF(AND(OR(L966="131",M966="131"),H966='131-CT'!$E$7),"131",""))</f>
        <v/>
      </c>
      <c r="O966" s="86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99"/>
    </row>
    <row r="967" spans="1:27" s="210" customFormat="1" ht="15.75" customHeight="1">
      <c r="A967" s="203" t="str">
        <f>IF(B967&lt;&gt;"",IF(AND(B967&gt;=_TM1,B967&lt;=_TM2,OR(TH!L967="1111",TH!M967="1111")),TH!D967,""),"")</f>
        <v/>
      </c>
      <c r="B967" s="36">
        <f>IF(C967&lt;&gt;"",MONTH(C967),"")</f>
        <v>6</v>
      </c>
      <c r="C967" s="183">
        <f>E967</f>
        <v>42173</v>
      </c>
      <c r="D967" s="190" t="s">
        <v>1324</v>
      </c>
      <c r="E967" s="727">
        <v>42173</v>
      </c>
      <c r="F967" s="191" t="s">
        <v>1921</v>
      </c>
      <c r="G967" s="482" t="s">
        <v>1907</v>
      </c>
      <c r="H967" s="192"/>
      <c r="I967" s="255"/>
      <c r="J967" s="255"/>
      <c r="K967" s="593">
        <v>596970</v>
      </c>
      <c r="L967" s="594" t="s">
        <v>83</v>
      </c>
      <c r="M967" s="594" t="s">
        <v>24</v>
      </c>
      <c r="N967" s="52" t="str">
        <f>IF(AND('331-CT'!$E$7=TH!H967,OR(L967="331",M967="331")),"331",IF(AND(OR(L967="131",M967="131"),H967='131-CT'!$E$7),"131",""))</f>
        <v/>
      </c>
      <c r="O967" s="86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>x</v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99"/>
    </row>
    <row r="968" spans="1:27" s="210" customFormat="1" ht="15.75" customHeight="1">
      <c r="A968" s="203" t="str">
        <f>IF(B968&lt;&gt;"",IF(AND(B968&gt;=_TM1,B968&lt;=_TM2,OR(TH!L968="1111",TH!M968="1111")),TH!D968,""),"")</f>
        <v/>
      </c>
      <c r="B968" s="36">
        <f>IF(C968&lt;&gt;"",MONTH(C968),"")</f>
        <v>6</v>
      </c>
      <c r="C968" s="183">
        <f>E968</f>
        <v>42173</v>
      </c>
      <c r="D968" s="190" t="s">
        <v>1324</v>
      </c>
      <c r="E968" s="727">
        <v>42173</v>
      </c>
      <c r="F968" s="191" t="s">
        <v>1922</v>
      </c>
      <c r="G968" s="482" t="s">
        <v>1907</v>
      </c>
      <c r="H968" s="192"/>
      <c r="I968" s="255"/>
      <c r="J968" s="255"/>
      <c r="K968" s="593">
        <v>59697</v>
      </c>
      <c r="L968" s="594" t="s">
        <v>9</v>
      </c>
      <c r="M968" s="594" t="s">
        <v>24</v>
      </c>
      <c r="N968" s="52" t="str">
        <f>IF(AND('331-CT'!$E$7=TH!H968,OR(L968="331",M968="331")),"331",IF(AND(OR(L968="131",M968="131"),H968='131-CT'!$E$7),"131",""))</f>
        <v/>
      </c>
      <c r="O968" s="86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99"/>
    </row>
    <row r="969" spans="1:27" s="210" customFormat="1" ht="15.75" customHeight="1">
      <c r="A969" s="203" t="str">
        <f>IF(B969&lt;&gt;"",IF(AND(B969&gt;=_TM1,B969&lt;=_TM2,OR(TH!L969="1111",TH!M969="1111")),TH!D969,""),"")</f>
        <v/>
      </c>
      <c r="B969" s="36">
        <f>IF(C969&lt;&gt;"",MONTH(C969),"")</f>
        <v>6</v>
      </c>
      <c r="C969" s="183">
        <f>E969</f>
        <v>42174</v>
      </c>
      <c r="D969" s="183" t="s">
        <v>1586</v>
      </c>
      <c r="E969" s="183">
        <v>42174</v>
      </c>
      <c r="F969" s="188" t="s">
        <v>791</v>
      </c>
      <c r="G969" s="595" t="s">
        <v>792</v>
      </c>
      <c r="H969" s="192" t="s">
        <v>793</v>
      </c>
      <c r="I969" s="255">
        <v>252</v>
      </c>
      <c r="J969" s="255">
        <v>10100</v>
      </c>
      <c r="K969" s="593">
        <f>ROUND(I969*J969,0)</f>
        <v>2545200</v>
      </c>
      <c r="L969" s="594" t="s">
        <v>259</v>
      </c>
      <c r="M969" s="594" t="s">
        <v>174</v>
      </c>
      <c r="N969" s="52" t="str">
        <f>IF(AND('331-CT'!$E$7=TH!H969,OR(L969="331",M969="331")),"331",IF(AND(OR(L969="131",M969="131"),H969='131-CT'!$E$7),"131",""))</f>
        <v/>
      </c>
      <c r="O969" s="86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99"/>
    </row>
    <row r="970" spans="1:27" s="210" customFormat="1" ht="15.75" customHeight="1">
      <c r="A970" s="203" t="str">
        <f>IF(B970&lt;&gt;"",IF(AND(B970&gt;=_TM1,B970&lt;=_TM2,OR(TH!L970="1111",TH!M970="1111")),TH!D970,""),"")</f>
        <v/>
      </c>
      <c r="B970" s="36">
        <f>IF(C970&lt;&gt;"",MONTH(C970),"")</f>
        <v>6</v>
      </c>
      <c r="C970" s="183">
        <f>E970</f>
        <v>42174</v>
      </c>
      <c r="D970" s="183" t="s">
        <v>1586</v>
      </c>
      <c r="E970" s="190">
        <v>42174</v>
      </c>
      <c r="F970" s="191" t="s">
        <v>1667</v>
      </c>
      <c r="G970" s="482" t="s">
        <v>792</v>
      </c>
      <c r="H970" s="192" t="s">
        <v>793</v>
      </c>
      <c r="I970" s="256">
        <v>504</v>
      </c>
      <c r="J970" s="256">
        <v>1700</v>
      </c>
      <c r="K970" s="593">
        <f>ROUND(I970*J970,0)</f>
        <v>856800</v>
      </c>
      <c r="L970" s="594" t="s">
        <v>259</v>
      </c>
      <c r="M970" s="594" t="s">
        <v>174</v>
      </c>
      <c r="N970" s="52" t="str">
        <f>IF(AND('331-CT'!$E$7=TH!H970,OR(L970="331",M970="331")),"331",IF(AND(OR(L970="131",M970="131"),H970='131-CT'!$E$7),"131",""))</f>
        <v/>
      </c>
      <c r="O970" s="86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99"/>
    </row>
    <row r="971" spans="1:27" s="210" customFormat="1" ht="15.75" customHeight="1">
      <c r="A971" s="203" t="str">
        <f>IF(B971&lt;&gt;"",IF(AND(B971&gt;=_TM1,B971&lt;=_TM2,OR(TH!L971="1111",TH!M971="1111")),TH!D971,""),"")</f>
        <v/>
      </c>
      <c r="B971" s="36">
        <f>IF(C971&lt;&gt;"",MONTH(C971),"")</f>
        <v>6</v>
      </c>
      <c r="C971" s="183">
        <f>E971</f>
        <v>42174</v>
      </c>
      <c r="D971" s="183" t="s">
        <v>1586</v>
      </c>
      <c r="E971" s="183">
        <v>42174</v>
      </c>
      <c r="F971" s="188" t="s">
        <v>646</v>
      </c>
      <c r="G971" s="595" t="s">
        <v>792</v>
      </c>
      <c r="H971" s="192" t="s">
        <v>793</v>
      </c>
      <c r="I971" s="255">
        <v>100</v>
      </c>
      <c r="J971" s="255">
        <v>7800</v>
      </c>
      <c r="K971" s="593">
        <f>ROUND(I971*J971,0)</f>
        <v>780000</v>
      </c>
      <c r="L971" s="594" t="s">
        <v>259</v>
      </c>
      <c r="M971" s="594" t="s">
        <v>174</v>
      </c>
      <c r="N971" s="52" t="str">
        <f>IF(AND('331-CT'!$E$7=TH!H971,OR(L971="331",M971="331")),"331",IF(AND(OR(L971="131",M971="131"),H971='131-CT'!$E$7),"131",""))</f>
        <v/>
      </c>
      <c r="O971" s="86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99"/>
    </row>
    <row r="972" spans="1:27" s="210" customFormat="1" ht="15.75" customHeight="1">
      <c r="A972" s="203" t="str">
        <f>IF(B972&lt;&gt;"",IF(AND(B972&gt;=_TM1,B972&lt;=_TM2,OR(TH!L972="1111",TH!M972="1111")),TH!D972,""),"")</f>
        <v/>
      </c>
      <c r="B972" s="36">
        <f>IF(C972&lt;&gt;"",MONTH(C972),"")</f>
        <v>6</v>
      </c>
      <c r="C972" s="183">
        <f>E972</f>
        <v>42174</v>
      </c>
      <c r="D972" s="183" t="s">
        <v>1586</v>
      </c>
      <c r="E972" s="183">
        <v>42174</v>
      </c>
      <c r="F972" s="188" t="s">
        <v>1668</v>
      </c>
      <c r="G972" s="595" t="s">
        <v>792</v>
      </c>
      <c r="H972" s="192" t="s">
        <v>793</v>
      </c>
      <c r="I972" s="255">
        <v>200</v>
      </c>
      <c r="J972" s="255">
        <v>1300</v>
      </c>
      <c r="K972" s="593">
        <f>ROUND(I972*J972,0)</f>
        <v>260000</v>
      </c>
      <c r="L972" s="594" t="s">
        <v>259</v>
      </c>
      <c r="M972" s="594" t="s">
        <v>174</v>
      </c>
      <c r="N972" s="52" t="str">
        <f>IF(AND('331-CT'!$E$7=TH!H972,OR(L972="331",M972="331")),"331",IF(AND(OR(L972="131",M972="131"),H972='131-CT'!$E$7),"131",""))</f>
        <v/>
      </c>
      <c r="O972" s="86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99"/>
    </row>
    <row r="973" spans="1:27" s="210" customFormat="1" ht="15.75" customHeight="1">
      <c r="A973" s="203" t="str">
        <f>IF(B973&lt;&gt;"",IF(AND(B973&gt;=_TM1,B973&lt;=_TM2,OR(TH!L973="1111",TH!M973="1111")),TH!D973,""),"")</f>
        <v/>
      </c>
      <c r="B973" s="36">
        <f>IF(C973&lt;&gt;"",MONTH(C973),"")</f>
        <v>6</v>
      </c>
      <c r="C973" s="183">
        <f>E973</f>
        <v>42174</v>
      </c>
      <c r="D973" s="183" t="s">
        <v>1586</v>
      </c>
      <c r="E973" s="190">
        <v>42174</v>
      </c>
      <c r="F973" s="191" t="s">
        <v>794</v>
      </c>
      <c r="G973" s="482" t="s">
        <v>792</v>
      </c>
      <c r="H973" s="192" t="s">
        <v>793</v>
      </c>
      <c r="I973" s="255">
        <v>160</v>
      </c>
      <c r="J973" s="255">
        <v>9800</v>
      </c>
      <c r="K973" s="593">
        <f>ROUND(I973*J973,0)</f>
        <v>1568000</v>
      </c>
      <c r="L973" s="594" t="s">
        <v>259</v>
      </c>
      <c r="M973" s="594" t="s">
        <v>174</v>
      </c>
      <c r="N973" s="52" t="str">
        <f>IF(AND('331-CT'!$E$7=TH!H973,OR(L973="331",M973="331")),"331",IF(AND(OR(L973="131",M973="131"),H973='131-CT'!$E$7),"131",""))</f>
        <v/>
      </c>
      <c r="O973" s="86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99"/>
    </row>
    <row r="974" spans="1:27" s="210" customFormat="1" ht="15.75" customHeight="1">
      <c r="A974" s="203" t="str">
        <f>IF(B974&lt;&gt;"",IF(AND(B974&gt;=_TM1,B974&lt;=_TM2,OR(TH!L974="1111",TH!M974="1111")),TH!D974,""),"")</f>
        <v/>
      </c>
      <c r="B974" s="36">
        <f>IF(C974&lt;&gt;"",MONTH(C974),"")</f>
        <v>6</v>
      </c>
      <c r="C974" s="183">
        <f>E974</f>
        <v>42174</v>
      </c>
      <c r="D974" s="183" t="s">
        <v>1586</v>
      </c>
      <c r="E974" s="190">
        <v>42174</v>
      </c>
      <c r="F974" s="191" t="s">
        <v>1669</v>
      </c>
      <c r="G974" s="482" t="s">
        <v>792</v>
      </c>
      <c r="H974" s="192" t="s">
        <v>793</v>
      </c>
      <c r="I974" s="255">
        <v>320</v>
      </c>
      <c r="J974" s="255">
        <v>1500</v>
      </c>
      <c r="K974" s="593">
        <f>ROUND(I974*J974,0)</f>
        <v>480000</v>
      </c>
      <c r="L974" s="594" t="s">
        <v>259</v>
      </c>
      <c r="M974" s="594" t="s">
        <v>174</v>
      </c>
      <c r="N974" s="52" t="str">
        <f>IF(AND('331-CT'!$E$7=TH!H974,OR(L974="331",M974="331")),"331",IF(AND(OR(L974="131",M974="131"),H974='131-CT'!$E$7),"131",""))</f>
        <v/>
      </c>
      <c r="O974" s="86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99"/>
    </row>
    <row r="975" spans="1:27" s="210" customFormat="1" ht="15.75" customHeight="1">
      <c r="A975" s="203" t="str">
        <f>IF(B975&lt;&gt;"",IF(AND(B975&gt;=_TM1,B975&lt;=_TM2,OR(TH!L975="1111",TH!M975="1111")),TH!D975,""),"")</f>
        <v/>
      </c>
      <c r="B975" s="36">
        <f>IF(C975&lt;&gt;"",MONTH(C975),"")</f>
        <v>6</v>
      </c>
      <c r="C975" s="183">
        <f>E975</f>
        <v>42174</v>
      </c>
      <c r="D975" s="183" t="s">
        <v>1586</v>
      </c>
      <c r="E975" s="190">
        <v>42174</v>
      </c>
      <c r="F975" s="191" t="s">
        <v>795</v>
      </c>
      <c r="G975" s="482" t="s">
        <v>792</v>
      </c>
      <c r="H975" s="192" t="s">
        <v>793</v>
      </c>
      <c r="I975" s="255">
        <v>160</v>
      </c>
      <c r="J975" s="255">
        <v>12000</v>
      </c>
      <c r="K975" s="593">
        <f>ROUND(I975*J975,0)</f>
        <v>1920000</v>
      </c>
      <c r="L975" s="594" t="s">
        <v>259</v>
      </c>
      <c r="M975" s="594" t="s">
        <v>174</v>
      </c>
      <c r="N975" s="52" t="str">
        <f>IF(AND('331-CT'!$E$7=TH!H975,OR(L975="331",M975="331")),"331",IF(AND(OR(L975="131",M975="131"),H975='131-CT'!$E$7),"131",""))</f>
        <v/>
      </c>
      <c r="O975" s="86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99"/>
    </row>
    <row r="976" spans="1:27" s="210" customFormat="1" ht="15.75" customHeight="1">
      <c r="A976" s="203" t="str">
        <f>IF(B976&lt;&gt;"",IF(AND(B976&gt;=_TM1,B976&lt;=_TM2,OR(TH!L976="1111",TH!M976="1111")),TH!D976,""),"")</f>
        <v/>
      </c>
      <c r="B976" s="36">
        <f>IF(C976&lt;&gt;"",MONTH(C976),"")</f>
        <v>6</v>
      </c>
      <c r="C976" s="183">
        <f>E976</f>
        <v>42174</v>
      </c>
      <c r="D976" s="183" t="s">
        <v>1586</v>
      </c>
      <c r="E976" s="190">
        <v>42174</v>
      </c>
      <c r="F976" s="191" t="s">
        <v>1670</v>
      </c>
      <c r="G976" s="482" t="s">
        <v>792</v>
      </c>
      <c r="H976" s="192" t="s">
        <v>793</v>
      </c>
      <c r="I976" s="255">
        <v>320</v>
      </c>
      <c r="J976" s="255">
        <v>2000</v>
      </c>
      <c r="K976" s="593">
        <f>ROUND(I976*J976,0)</f>
        <v>640000</v>
      </c>
      <c r="L976" s="594" t="s">
        <v>259</v>
      </c>
      <c r="M976" s="594" t="s">
        <v>174</v>
      </c>
      <c r="N976" s="52" t="str">
        <f>IF(AND('331-CT'!$E$7=TH!H976,OR(L976="331",M976="331")),"331",IF(AND(OR(L976="131",M976="131"),H976='131-CT'!$E$7),"131",""))</f>
        <v/>
      </c>
      <c r="O976" s="86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99"/>
    </row>
    <row r="977" spans="1:27" s="210" customFormat="1" ht="15.75" customHeight="1">
      <c r="A977" s="203" t="str">
        <f>IF(B977&lt;&gt;"",IF(AND(B977&gt;=_TM1,B977&lt;=_TM2,OR(TH!L977="1111",TH!M977="1111")),TH!D977,""),"")</f>
        <v/>
      </c>
      <c r="B977" s="36">
        <f>IF(C977&lt;&gt;"",MONTH(C977),"")</f>
        <v>6</v>
      </c>
      <c r="C977" s="183">
        <f>E977</f>
        <v>42174</v>
      </c>
      <c r="D977" s="183" t="s">
        <v>1586</v>
      </c>
      <c r="E977" s="190">
        <v>42174</v>
      </c>
      <c r="F977" s="188" t="s">
        <v>402</v>
      </c>
      <c r="G977" s="482" t="s">
        <v>792</v>
      </c>
      <c r="H977" s="192" t="s">
        <v>793</v>
      </c>
      <c r="I977" s="255"/>
      <c r="J977" s="255"/>
      <c r="K977" s="593">
        <v>905000</v>
      </c>
      <c r="L977" s="594" t="s">
        <v>259</v>
      </c>
      <c r="M977" s="594" t="s">
        <v>371</v>
      </c>
      <c r="N977" s="52" t="str">
        <f>IF(AND('331-CT'!$E$7=TH!H977,OR(L977="331",M977="331")),"331",IF(AND(OR(L977="131",M977="131"),H977='131-CT'!$E$7),"131",""))</f>
        <v/>
      </c>
      <c r="O977" s="86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99"/>
    </row>
    <row r="978" spans="1:27" s="210" customFormat="1" ht="15.75" customHeight="1">
      <c r="A978" s="203" t="str">
        <f>IF(B978&lt;&gt;"",IF(AND(B978&gt;=_TM1,B978&lt;=_TM2,OR(TH!L978="1111",TH!M978="1111")),TH!D978,""),"")</f>
        <v/>
      </c>
      <c r="B978" s="36">
        <f>IF(C978&lt;&gt;"",MONTH(C978),"")</f>
        <v>6</v>
      </c>
      <c r="C978" s="183">
        <f>E978</f>
        <v>42174</v>
      </c>
      <c r="D978" s="183" t="s">
        <v>1586</v>
      </c>
      <c r="E978" s="190">
        <v>42174</v>
      </c>
      <c r="F978" s="191" t="s">
        <v>1320</v>
      </c>
      <c r="G978" s="482" t="s">
        <v>2028</v>
      </c>
      <c r="H978" s="192" t="s">
        <v>793</v>
      </c>
      <c r="I978" s="255"/>
      <c r="J978" s="255"/>
      <c r="K978" s="593">
        <v>19948335</v>
      </c>
      <c r="L978" s="594" t="s">
        <v>47</v>
      </c>
      <c r="M978" s="594" t="s">
        <v>259</v>
      </c>
      <c r="N978" s="52" t="str">
        <f>IF(AND('331-CT'!$E$7=TH!H978,OR(L978="331",M978="331")),"331",IF(AND(OR(L978="131",M978="131"),H978='131-CT'!$E$7),"131",""))</f>
        <v/>
      </c>
      <c r="O978" s="869" t="str">
        <f>IF(AND('341-CT'!$E$9=H978,OR(LEFT(L978,3)=$O$7,LEFT(M978,3)=$O$7)),"x","")</f>
        <v/>
      </c>
      <c r="P978" s="52" t="str">
        <f>IF(AND($B978&gt;='111'!$N$11,$B978&lt;='111'!$O$11,OR($L978=$P$7,$M978=$P$7)),"x","")</f>
        <v>x</v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99"/>
    </row>
    <row r="979" spans="1:27" s="210" customFormat="1" ht="15.75" customHeight="1">
      <c r="A979" s="203" t="str">
        <f>IF(B979&lt;&gt;"",IF(AND(B979&gt;=_TM1,B979&lt;=_TM2,OR(TH!L979="1111",TH!M979="1111")),TH!D979,""),"")</f>
        <v/>
      </c>
      <c r="B979" s="36">
        <f>IF(C979&lt;&gt;"",MONTH(C979),"")</f>
        <v>6</v>
      </c>
      <c r="C979" s="183">
        <f>E979</f>
        <v>42174</v>
      </c>
      <c r="D979" s="183" t="s">
        <v>1586</v>
      </c>
      <c r="E979" s="190">
        <v>42174</v>
      </c>
      <c r="F979" s="188" t="s">
        <v>696</v>
      </c>
      <c r="G979" s="482" t="s">
        <v>796</v>
      </c>
      <c r="H979" s="7" t="s">
        <v>528</v>
      </c>
      <c r="I979" s="255">
        <v>1050</v>
      </c>
      <c r="J979" s="255">
        <v>10931</v>
      </c>
      <c r="K979" s="593">
        <f>ROUND(I979*J979,0)</f>
        <v>11477550</v>
      </c>
      <c r="L979" s="594" t="s">
        <v>259</v>
      </c>
      <c r="M979" s="594" t="s">
        <v>174</v>
      </c>
      <c r="N979" s="52" t="str">
        <f>IF(AND('331-CT'!$E$7=TH!H979,OR(L979="331",M979="331")),"331",IF(AND(OR(L979="131",M979="131"),H979='131-CT'!$E$7),"131",""))</f>
        <v/>
      </c>
      <c r="O979" s="86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99"/>
    </row>
    <row r="980" spans="1:27" s="210" customFormat="1" ht="15.75" customHeight="1">
      <c r="A980" s="203" t="str">
        <f>IF(B980&lt;&gt;"",IF(AND(B980&gt;=_TM1,B980&lt;=_TM2,OR(TH!L980="1111",TH!M980="1111")),TH!D980,""),"")</f>
        <v/>
      </c>
      <c r="B980" s="36">
        <f>IF(C980&lt;&gt;"",MONTH(C980),"")</f>
        <v>6</v>
      </c>
      <c r="C980" s="183">
        <f>E980</f>
        <v>42174</v>
      </c>
      <c r="D980" s="183" t="s">
        <v>1586</v>
      </c>
      <c r="E980" s="183">
        <v>42174</v>
      </c>
      <c r="F980" s="188" t="s">
        <v>1733</v>
      </c>
      <c r="G980" s="595" t="s">
        <v>796</v>
      </c>
      <c r="H980" s="192" t="s">
        <v>528</v>
      </c>
      <c r="I980" s="255">
        <v>200</v>
      </c>
      <c r="J980" s="255">
        <v>23184</v>
      </c>
      <c r="K980" s="593">
        <f>ROUND(I980*J980,0)</f>
        <v>4636800</v>
      </c>
      <c r="L980" s="594" t="s">
        <v>259</v>
      </c>
      <c r="M980" s="594" t="s">
        <v>174</v>
      </c>
      <c r="N980" s="52" t="str">
        <f>IF(AND('331-CT'!$E$7=TH!H980,OR(L980="331",M980="331")),"331",IF(AND(OR(L980="131",M980="131"),H980='131-CT'!$E$7),"131",""))</f>
        <v/>
      </c>
      <c r="O980" s="86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99"/>
    </row>
    <row r="981" spans="1:27" s="210" customFormat="1" ht="15.75" customHeight="1">
      <c r="A981" s="203" t="str">
        <f>IF(B981&lt;&gt;"",IF(AND(B981&gt;=_TM1,B981&lt;=_TM2,OR(TH!L981="1111",TH!M981="1111")),TH!D981,""),"")</f>
        <v/>
      </c>
      <c r="B981" s="36">
        <f>IF(C981&lt;&gt;"",MONTH(C981),"")</f>
        <v>6</v>
      </c>
      <c r="C981" s="183">
        <f>E981</f>
        <v>42174</v>
      </c>
      <c r="D981" s="183" t="s">
        <v>1586</v>
      </c>
      <c r="E981" s="190">
        <v>42174</v>
      </c>
      <c r="F981" s="191" t="s">
        <v>731</v>
      </c>
      <c r="G981" s="482" t="s">
        <v>796</v>
      </c>
      <c r="H981" s="7" t="s">
        <v>528</v>
      </c>
      <c r="I981" s="255"/>
      <c r="J981" s="255"/>
      <c r="K981" s="593">
        <v>1611435</v>
      </c>
      <c r="L981" s="594" t="s">
        <v>259</v>
      </c>
      <c r="M981" s="594" t="s">
        <v>371</v>
      </c>
      <c r="N981" s="52" t="str">
        <f>IF(AND('331-CT'!$E$7=TH!H981,OR(L981="331",M981="331")),"331",IF(AND(OR(L981="131",M981="131"),H981='131-CT'!$E$7),"131",""))</f>
        <v/>
      </c>
      <c r="O981" s="86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99"/>
    </row>
    <row r="982" spans="1:27" s="210" customFormat="1" ht="15.75" customHeight="1">
      <c r="A982" s="203" t="str">
        <f>IF(B982&lt;&gt;"",IF(AND(B982&gt;=_TM1,B982&lt;=_TM2,OR(TH!L982="1111",TH!M982="1111")),TH!D982,""),"")</f>
        <v/>
      </c>
      <c r="B982" s="36">
        <f>IF(C982&lt;&gt;"",MONTH(C982),"")</f>
        <v>6</v>
      </c>
      <c r="C982" s="183">
        <f>E982</f>
        <v>42174</v>
      </c>
      <c r="D982" s="183" t="s">
        <v>1586</v>
      </c>
      <c r="E982" s="190">
        <v>42174</v>
      </c>
      <c r="F982" s="191" t="s">
        <v>1320</v>
      </c>
      <c r="G982" s="482" t="s">
        <v>796</v>
      </c>
      <c r="H982" s="7" t="s">
        <v>528</v>
      </c>
      <c r="I982" s="255"/>
      <c r="J982" s="255"/>
      <c r="K982" s="593">
        <v>17725785</v>
      </c>
      <c r="L982" s="594" t="s">
        <v>47</v>
      </c>
      <c r="M982" s="594" t="s">
        <v>259</v>
      </c>
      <c r="N982" s="52" t="str">
        <f>IF(AND('331-CT'!$E$7=TH!H982,OR(L982="331",M982="331")),"331",IF(AND(OR(L982="131",M982="131"),H982='131-CT'!$E$7),"131",""))</f>
        <v/>
      </c>
      <c r="O982" s="869" t="str">
        <f>IF(AND('341-CT'!$E$9=H982,OR(LEFT(L982,3)=$O$7,LEFT(M982,3)=$O$7)),"x","")</f>
        <v/>
      </c>
      <c r="P982" s="52" t="str">
        <f>IF(AND($B982&gt;='111'!$N$11,$B982&lt;='111'!$O$11,OR($L982=$P$7,$M982=$P$7)),"x","")</f>
        <v>x</v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99"/>
    </row>
    <row r="983" spans="1:27" s="210" customFormat="1" ht="15.75" customHeight="1">
      <c r="A983" s="203" t="str">
        <f>IF(B983&lt;&gt;"",IF(AND(B983&gt;=_TM1,B983&lt;=_TM2,OR(TH!L983="1111",TH!M983="1111")),TH!D983,""),"")</f>
        <v/>
      </c>
      <c r="B983" s="36">
        <f>IF(C983&lt;&gt;"",MONTH(C983),"")</f>
        <v>6</v>
      </c>
      <c r="C983" s="183">
        <f>E983</f>
        <v>42174</v>
      </c>
      <c r="D983" s="183" t="s">
        <v>1587</v>
      </c>
      <c r="E983" s="190">
        <v>42174</v>
      </c>
      <c r="F983" s="191" t="s">
        <v>797</v>
      </c>
      <c r="G983" s="482" t="s">
        <v>798</v>
      </c>
      <c r="H983" s="7" t="s">
        <v>799</v>
      </c>
      <c r="I983" s="255">
        <v>29</v>
      </c>
      <c r="J983" s="255">
        <v>14400</v>
      </c>
      <c r="K983" s="593">
        <f>ROUND(I983*J983,0)</f>
        <v>417600</v>
      </c>
      <c r="L983" s="594" t="s">
        <v>259</v>
      </c>
      <c r="M983" s="594" t="s">
        <v>174</v>
      </c>
      <c r="N983" s="52" t="str">
        <f>IF(AND('331-CT'!$E$7=TH!H983,OR(L983="331",M983="331")),"331",IF(AND(OR(L983="131",M983="131"),H983='131-CT'!$E$7),"131",""))</f>
        <v/>
      </c>
      <c r="O983" s="86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99"/>
    </row>
    <row r="984" spans="1:27" s="210" customFormat="1" ht="15.75" customHeight="1">
      <c r="A984" s="203" t="str">
        <f>IF(B984&lt;&gt;"",IF(AND(B984&gt;=_TM1,B984&lt;=_TM2,OR(TH!L984="1111",TH!M984="1111")),TH!D984,""),"")</f>
        <v/>
      </c>
      <c r="B984" s="36">
        <f>IF(C984&lt;&gt;"",MONTH(C984),"")</f>
        <v>6</v>
      </c>
      <c r="C984" s="183">
        <f>E984</f>
        <v>42174</v>
      </c>
      <c r="D984" s="183" t="s">
        <v>1587</v>
      </c>
      <c r="E984" s="190">
        <v>42174</v>
      </c>
      <c r="F984" s="191" t="s">
        <v>800</v>
      </c>
      <c r="G984" s="482" t="s">
        <v>798</v>
      </c>
      <c r="H984" s="192" t="s">
        <v>799</v>
      </c>
      <c r="I984" s="255">
        <v>30</v>
      </c>
      <c r="J984" s="255">
        <v>17600</v>
      </c>
      <c r="K984" s="593">
        <f>ROUND(I984*J984,0)</f>
        <v>528000</v>
      </c>
      <c r="L984" s="594" t="s">
        <v>259</v>
      </c>
      <c r="M984" s="594" t="s">
        <v>174</v>
      </c>
      <c r="N984" s="52" t="str">
        <f>IF(AND('331-CT'!$E$7=TH!H984,OR(L984="331",M984="331")),"331",IF(AND(OR(L984="131",M984="131"),H984='131-CT'!$E$7),"131",""))</f>
        <v/>
      </c>
      <c r="O984" s="86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99"/>
    </row>
    <row r="985" spans="1:27" s="210" customFormat="1" ht="15.75" customHeight="1">
      <c r="A985" s="203" t="str">
        <f>IF(B985&lt;&gt;"",IF(AND(B985&gt;=_TM1,B985&lt;=_TM2,OR(TH!L985="1111",TH!M985="1111")),TH!D985,""),"")</f>
        <v/>
      </c>
      <c r="B985" s="36">
        <f>IF(C985&lt;&gt;"",MONTH(C985),"")</f>
        <v>6</v>
      </c>
      <c r="C985" s="183">
        <f>E985</f>
        <v>42174</v>
      </c>
      <c r="D985" s="183" t="s">
        <v>1587</v>
      </c>
      <c r="E985" s="190">
        <v>42174</v>
      </c>
      <c r="F985" s="191" t="s">
        <v>801</v>
      </c>
      <c r="G985" s="482" t="s">
        <v>798</v>
      </c>
      <c r="H985" s="192" t="s">
        <v>799</v>
      </c>
      <c r="I985" s="255">
        <v>30</v>
      </c>
      <c r="J985" s="255">
        <v>15250</v>
      </c>
      <c r="K985" s="593">
        <f>ROUND(I985*J985,0)</f>
        <v>457500</v>
      </c>
      <c r="L985" s="594" t="s">
        <v>259</v>
      </c>
      <c r="M985" s="594" t="s">
        <v>174</v>
      </c>
      <c r="N985" s="52" t="str">
        <f>IF(AND('331-CT'!$E$7=TH!H985,OR(L985="331",M985="331")),"331",IF(AND(OR(L985="131",M985="131"),H985='131-CT'!$E$7),"131",""))</f>
        <v/>
      </c>
      <c r="O985" s="86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99"/>
    </row>
    <row r="986" spans="1:27" s="210" customFormat="1" ht="15.75" customHeight="1">
      <c r="A986" s="203" t="str">
        <f>IF(B986&lt;&gt;"",IF(AND(B986&gt;=_TM1,B986&lt;=_TM2,OR(TH!L986="1111",TH!M986="1111")),TH!D986,""),"")</f>
        <v/>
      </c>
      <c r="B986" s="36">
        <f>IF(C986&lt;&gt;"",MONTH(C986),"")</f>
        <v>6</v>
      </c>
      <c r="C986" s="183">
        <f>E986</f>
        <v>42174</v>
      </c>
      <c r="D986" s="183" t="s">
        <v>1587</v>
      </c>
      <c r="E986" s="190">
        <v>42174</v>
      </c>
      <c r="F986" s="188" t="s">
        <v>802</v>
      </c>
      <c r="G986" s="482" t="s">
        <v>798</v>
      </c>
      <c r="H986" s="7" t="s">
        <v>799</v>
      </c>
      <c r="I986" s="255">
        <v>104</v>
      </c>
      <c r="J986" s="255">
        <v>8313</v>
      </c>
      <c r="K986" s="593">
        <f>ROUND(I986*J986,0)</f>
        <v>864552</v>
      </c>
      <c r="L986" s="594" t="s">
        <v>259</v>
      </c>
      <c r="M986" s="594" t="s">
        <v>174</v>
      </c>
      <c r="N986" s="52" t="str">
        <f>IF(AND('331-CT'!$E$7=TH!H986,OR(L986="331",M986="331")),"331",IF(AND(OR(L986="131",M986="131"),H986='131-CT'!$E$7),"131",""))</f>
        <v/>
      </c>
      <c r="O986" s="86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99"/>
    </row>
    <row r="987" spans="1:27" s="210" customFormat="1" ht="15.75" customHeight="1">
      <c r="A987" s="203" t="str">
        <f>IF(B987&lt;&gt;"",IF(AND(B987&gt;=_TM1,B987&lt;=_TM2,OR(TH!L987="1111",TH!M987="1111")),TH!D987,""),"")</f>
        <v/>
      </c>
      <c r="B987" s="36">
        <f>IF(C987&lt;&gt;"",MONTH(C987),"")</f>
        <v>6</v>
      </c>
      <c r="C987" s="183">
        <f>E987</f>
        <v>42174</v>
      </c>
      <c r="D987" s="183" t="s">
        <v>1587</v>
      </c>
      <c r="E987" s="190">
        <v>42174</v>
      </c>
      <c r="F987" s="296" t="s">
        <v>741</v>
      </c>
      <c r="G987" s="482" t="s">
        <v>798</v>
      </c>
      <c r="H987" s="7" t="s">
        <v>799</v>
      </c>
      <c r="I987" s="255">
        <v>263</v>
      </c>
      <c r="J987" s="255">
        <v>9300</v>
      </c>
      <c r="K987" s="593">
        <f>ROUND(I987*J987,0)</f>
        <v>2445900</v>
      </c>
      <c r="L987" s="594" t="s">
        <v>259</v>
      </c>
      <c r="M987" s="594" t="s">
        <v>174</v>
      </c>
      <c r="N987" s="52" t="str">
        <f>IF(AND('331-CT'!$E$7=TH!H987,OR(L987="331",M987="331")),"331",IF(AND(OR(L987="131",M987="131"),H987='131-CT'!$E$7),"131",""))</f>
        <v/>
      </c>
      <c r="O987" s="86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99"/>
    </row>
    <row r="988" spans="1:27" s="210" customFormat="1" ht="15.75" customHeight="1">
      <c r="A988" s="203" t="str">
        <f>IF(B988&lt;&gt;"",IF(AND(B988&gt;=_TM1,B988&lt;=_TM2,OR(TH!L988="1111",TH!M988="1111")),TH!D988,""),"")</f>
        <v/>
      </c>
      <c r="B988" s="36">
        <f>IF(C988&lt;&gt;"",MONTH(C988),"")</f>
        <v>6</v>
      </c>
      <c r="C988" s="183">
        <f>E988</f>
        <v>42174</v>
      </c>
      <c r="D988" s="183" t="s">
        <v>1587</v>
      </c>
      <c r="E988" s="190">
        <v>42174</v>
      </c>
      <c r="F988" s="296" t="s">
        <v>803</v>
      </c>
      <c r="G988" s="482" t="s">
        <v>798</v>
      </c>
      <c r="H988" s="7" t="s">
        <v>799</v>
      </c>
      <c r="I988" s="255">
        <v>51</v>
      </c>
      <c r="J988" s="255">
        <v>5930</v>
      </c>
      <c r="K988" s="593">
        <f>ROUND(I988*J988,0)</f>
        <v>302430</v>
      </c>
      <c r="L988" s="594" t="s">
        <v>259</v>
      </c>
      <c r="M988" s="594" t="s">
        <v>174</v>
      </c>
      <c r="N988" s="52" t="str">
        <f>IF(AND('331-CT'!$E$7=TH!H988,OR(L988="331",M988="331")),"331",IF(AND(OR(L988="131",M988="131"),H988='131-CT'!$E$7),"131",""))</f>
        <v/>
      </c>
      <c r="O988" s="86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99"/>
    </row>
    <row r="989" spans="1:27" s="210" customFormat="1" ht="15.75" customHeight="1">
      <c r="A989" s="203" t="str">
        <f>IF(B989&lt;&gt;"",IF(AND(B989&gt;=_TM1,B989&lt;=_TM2,OR(TH!L989="1111",TH!M989="1111")),TH!D989,""),"")</f>
        <v/>
      </c>
      <c r="B989" s="36">
        <f>IF(C989&lt;&gt;"",MONTH(C989),"")</f>
        <v>6</v>
      </c>
      <c r="C989" s="183">
        <f>E989</f>
        <v>42174</v>
      </c>
      <c r="D989" s="183" t="s">
        <v>1587</v>
      </c>
      <c r="E989" s="190">
        <v>42174</v>
      </c>
      <c r="F989" s="188" t="s">
        <v>804</v>
      </c>
      <c r="G989" s="482" t="s">
        <v>798</v>
      </c>
      <c r="H989" s="7" t="s">
        <v>799</v>
      </c>
      <c r="I989" s="255">
        <v>55</v>
      </c>
      <c r="J989" s="255">
        <v>8210</v>
      </c>
      <c r="K989" s="593">
        <f>ROUND(I989*J989,0)</f>
        <v>451550</v>
      </c>
      <c r="L989" s="594" t="s">
        <v>259</v>
      </c>
      <c r="M989" s="594" t="s">
        <v>174</v>
      </c>
      <c r="N989" s="52" t="str">
        <f>IF(AND('331-CT'!$E$7=TH!H989,OR(L989="331",M989="331")),"331",IF(AND(OR(L989="131",M989="131"),H989='131-CT'!$E$7),"131",""))</f>
        <v/>
      </c>
      <c r="O989" s="86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99"/>
    </row>
    <row r="990" spans="1:27" s="210" customFormat="1" ht="15.75" customHeight="1">
      <c r="A990" s="203" t="str">
        <f>IF(B990&lt;&gt;"",IF(AND(B990&gt;=_TM1,B990&lt;=_TM2,OR(TH!L990="1111",TH!M990="1111")),TH!D990,""),"")</f>
        <v/>
      </c>
      <c r="B990" s="36">
        <f>IF(C990&lt;&gt;"",MONTH(C990),"")</f>
        <v>6</v>
      </c>
      <c r="C990" s="183">
        <f>E990</f>
        <v>42174</v>
      </c>
      <c r="D990" s="183" t="s">
        <v>1587</v>
      </c>
      <c r="E990" s="190">
        <v>42174</v>
      </c>
      <c r="F990" s="296" t="s">
        <v>805</v>
      </c>
      <c r="G990" s="482" t="s">
        <v>798</v>
      </c>
      <c r="H990" s="7" t="s">
        <v>799</v>
      </c>
      <c r="I990" s="255">
        <v>50</v>
      </c>
      <c r="J990" s="255">
        <v>8890</v>
      </c>
      <c r="K990" s="593">
        <f>ROUND(I990*J990,0)</f>
        <v>444500</v>
      </c>
      <c r="L990" s="594" t="s">
        <v>259</v>
      </c>
      <c r="M990" s="594" t="s">
        <v>174</v>
      </c>
      <c r="N990" s="52" t="str">
        <f>IF(AND('331-CT'!$E$7=TH!H990,OR(L990="331",M990="331")),"331",IF(AND(OR(L990="131",M990="131"),H990='131-CT'!$E$7),"131",""))</f>
        <v/>
      </c>
      <c r="O990" s="86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99"/>
    </row>
    <row r="991" spans="1:27" s="210" customFormat="1" ht="15.75" customHeight="1">
      <c r="A991" s="203" t="str">
        <f>IF(B991&lt;&gt;"",IF(AND(B991&gt;=_TM1,B991&lt;=_TM2,OR(TH!L991="1111",TH!M991="1111")),TH!D991,""),"")</f>
        <v/>
      </c>
      <c r="B991" s="36">
        <f>IF(C991&lt;&gt;"",MONTH(C991),"")</f>
        <v>6</v>
      </c>
      <c r="C991" s="183">
        <f>E991</f>
        <v>42174</v>
      </c>
      <c r="D991" s="183" t="s">
        <v>1587</v>
      </c>
      <c r="E991" s="190">
        <v>42174</v>
      </c>
      <c r="F991" s="188" t="s">
        <v>806</v>
      </c>
      <c r="G991" s="482" t="s">
        <v>798</v>
      </c>
      <c r="H991" s="7" t="s">
        <v>799</v>
      </c>
      <c r="I991" s="255">
        <v>30</v>
      </c>
      <c r="J991" s="255">
        <v>20700</v>
      </c>
      <c r="K991" s="593">
        <f>ROUND(I991*J991,0)</f>
        <v>621000</v>
      </c>
      <c r="L991" s="594" t="s">
        <v>259</v>
      </c>
      <c r="M991" s="594" t="s">
        <v>174</v>
      </c>
      <c r="N991" s="52" t="str">
        <f>IF(AND('331-CT'!$E$7=TH!H991,OR(L991="331",M991="331")),"331",IF(AND(OR(L991="131",M991="131"),H991='131-CT'!$E$7),"131",""))</f>
        <v/>
      </c>
      <c r="O991" s="86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99"/>
    </row>
    <row r="992" spans="1:27" s="210" customFormat="1" ht="15.75" customHeight="1">
      <c r="A992" s="203" t="str">
        <f>IF(B992&lt;&gt;"",IF(AND(B992&gt;=_TM1,B992&lt;=_TM2,OR(TH!L992="1111",TH!M992="1111")),TH!D992,""),"")</f>
        <v/>
      </c>
      <c r="B992" s="36">
        <f>IF(C992&lt;&gt;"",MONTH(C992),"")</f>
        <v>6</v>
      </c>
      <c r="C992" s="183">
        <f>E992</f>
        <v>42174</v>
      </c>
      <c r="D992" s="183" t="s">
        <v>1587</v>
      </c>
      <c r="E992" s="190">
        <v>42174</v>
      </c>
      <c r="F992" s="188" t="s">
        <v>807</v>
      </c>
      <c r="G992" s="482" t="s">
        <v>798</v>
      </c>
      <c r="H992" s="7" t="s">
        <v>799</v>
      </c>
      <c r="I992" s="255">
        <v>31</v>
      </c>
      <c r="J992" s="255">
        <v>24300</v>
      </c>
      <c r="K992" s="593">
        <f>ROUND(I992*J992,0)</f>
        <v>753300</v>
      </c>
      <c r="L992" s="594" t="s">
        <v>259</v>
      </c>
      <c r="M992" s="594" t="s">
        <v>174</v>
      </c>
      <c r="N992" s="52" t="str">
        <f>IF(AND('331-CT'!$E$7=TH!H992,OR(L992="331",M992="331")),"331",IF(AND(OR(L992="131",M992="131"),H992='131-CT'!$E$7),"131",""))</f>
        <v/>
      </c>
      <c r="O992" s="86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99"/>
    </row>
    <row r="993" spans="1:27" s="210" customFormat="1" ht="15.75" customHeight="1">
      <c r="A993" s="203" t="str">
        <f>IF(B993&lt;&gt;"",IF(AND(B993&gt;=_TM1,B993&lt;=_TM2,OR(TH!L993="1111",TH!M993="1111")),TH!D993,""),"")</f>
        <v/>
      </c>
      <c r="B993" s="36">
        <f>IF(C993&lt;&gt;"",MONTH(C993),"")</f>
        <v>6</v>
      </c>
      <c r="C993" s="183">
        <f>E993</f>
        <v>42174</v>
      </c>
      <c r="D993" s="183" t="s">
        <v>1587</v>
      </c>
      <c r="E993" s="190">
        <v>42174</v>
      </c>
      <c r="F993" s="188" t="s">
        <v>402</v>
      </c>
      <c r="G993" s="482" t="s">
        <v>798</v>
      </c>
      <c r="H993" s="7" t="s">
        <v>799</v>
      </c>
      <c r="I993" s="255"/>
      <c r="J993" s="255"/>
      <c r="K993" s="593">
        <v>728633</v>
      </c>
      <c r="L993" s="594" t="s">
        <v>259</v>
      </c>
      <c r="M993" s="594" t="s">
        <v>371</v>
      </c>
      <c r="N993" s="52" t="str">
        <f>IF(AND('331-CT'!$E$7=TH!H993,OR(L993="331",M993="331")),"331",IF(AND(OR(L993="131",M993="131"),H993='131-CT'!$E$7),"131",""))</f>
        <v/>
      </c>
      <c r="O993" s="86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99"/>
    </row>
    <row r="994" spans="1:27" s="210" customFormat="1" ht="15.75" customHeight="1">
      <c r="A994" s="203" t="str">
        <f>IF(B994&lt;&gt;"",IF(AND(B994&gt;=_TM1,B994&lt;=_TM2,OR(TH!L994="1111",TH!M994="1111")),TH!D994,""),"")</f>
        <v/>
      </c>
      <c r="B994" s="36">
        <f>IF(C994&lt;&gt;"",MONTH(C994),"")</f>
        <v>6</v>
      </c>
      <c r="C994" s="183">
        <f>E994</f>
        <v>42174</v>
      </c>
      <c r="D994" s="183" t="s">
        <v>1324</v>
      </c>
      <c r="E994" s="190">
        <v>42174</v>
      </c>
      <c r="F994" s="188" t="s">
        <v>1325</v>
      </c>
      <c r="G994" s="482" t="s">
        <v>332</v>
      </c>
      <c r="H994" s="7" t="s">
        <v>1331</v>
      </c>
      <c r="I994" s="255"/>
      <c r="J994" s="255"/>
      <c r="K994" s="593">
        <v>33500000</v>
      </c>
      <c r="L994" s="594" t="s">
        <v>47</v>
      </c>
      <c r="M994" s="594" t="s">
        <v>24</v>
      </c>
      <c r="N994" s="52" t="str">
        <f>IF(AND('331-CT'!$E$7=TH!H994,OR(L994="331",M994="331")),"331",IF(AND(OR(L994="131",M994="131"),H994='131-CT'!$E$7),"131",""))</f>
        <v/>
      </c>
      <c r="O994" s="869" t="str">
        <f>IF(AND('341-CT'!$E$9=H994,OR(LEFT(L994,3)=$O$7,LEFT(M994,3)=$O$7)),"x","")</f>
        <v/>
      </c>
      <c r="P994" s="52" t="str">
        <f>IF(AND($B994&gt;='111'!$N$11,$B994&lt;='111'!$O$11,OR($L994=$P$7,$M994=$P$7)),"x","")</f>
        <v>x</v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>x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99"/>
    </row>
    <row r="995" spans="1:27" s="210" customFormat="1" ht="15.75" customHeight="1">
      <c r="A995" s="203" t="str">
        <f>IF(B995&lt;&gt;"",IF(AND(B995&gt;=_TM1,B995&lt;=_TM2,OR(TH!L995="1111",TH!M995="1111")),TH!D995,""),"")</f>
        <v/>
      </c>
      <c r="B995" s="36">
        <f>IF(C995&lt;&gt;"",MONTH(C995),"")</f>
        <v>6</v>
      </c>
      <c r="C995" s="183">
        <f>E995</f>
        <v>42175</v>
      </c>
      <c r="D995" s="183" t="s">
        <v>1588</v>
      </c>
      <c r="E995" s="190">
        <v>42175</v>
      </c>
      <c r="F995" s="188" t="s">
        <v>808</v>
      </c>
      <c r="G995" s="482" t="s">
        <v>809</v>
      </c>
      <c r="H995" s="7" t="s">
        <v>799</v>
      </c>
      <c r="I995" s="255">
        <v>206</v>
      </c>
      <c r="J995" s="255">
        <v>12800</v>
      </c>
      <c r="K995" s="593">
        <f>ROUND(I995*J995,0)</f>
        <v>2636800</v>
      </c>
      <c r="L995" s="594" t="s">
        <v>259</v>
      </c>
      <c r="M995" s="594" t="s">
        <v>174</v>
      </c>
      <c r="N995" s="52" t="str">
        <f>IF(AND('331-CT'!$E$7=TH!H995,OR(L995="331",M995="331")),"331",IF(AND(OR(L995="131",M995="131"),H995='131-CT'!$E$7),"131",""))</f>
        <v/>
      </c>
      <c r="O995" s="86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99"/>
    </row>
    <row r="996" spans="1:27" s="210" customFormat="1" ht="15.75" customHeight="1">
      <c r="A996" s="203" t="str">
        <f>IF(B996&lt;&gt;"",IF(AND(B996&gt;=_TM1,B996&lt;=_TM2,OR(TH!L996="1111",TH!M996="1111")),TH!D996,""),"")</f>
        <v/>
      </c>
      <c r="B996" s="36">
        <f>IF(C996&lt;&gt;"",MONTH(C996),"")</f>
        <v>6</v>
      </c>
      <c r="C996" s="183">
        <f>E996</f>
        <v>42175</v>
      </c>
      <c r="D996" s="183" t="s">
        <v>1588</v>
      </c>
      <c r="E996" s="183">
        <v>42175</v>
      </c>
      <c r="F996" s="188" t="s">
        <v>810</v>
      </c>
      <c r="G996" s="595" t="s">
        <v>809</v>
      </c>
      <c r="H996" s="192" t="s">
        <v>799</v>
      </c>
      <c r="I996" s="255">
        <v>20</v>
      </c>
      <c r="J996" s="255">
        <v>43000</v>
      </c>
      <c r="K996" s="593">
        <f>ROUND(I996*J996,0)</f>
        <v>860000</v>
      </c>
      <c r="L996" s="594" t="s">
        <v>259</v>
      </c>
      <c r="M996" s="594" t="s">
        <v>174</v>
      </c>
      <c r="N996" s="52" t="str">
        <f>IF(AND('331-CT'!$E$7=TH!H996,OR(L996="331",M996="331")),"331",IF(AND(OR(L996="131",M996="131"),H996='131-CT'!$E$7),"131",""))</f>
        <v/>
      </c>
      <c r="O996" s="86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99"/>
    </row>
    <row r="997" spans="1:27" s="210" customFormat="1" ht="15.75" customHeight="1">
      <c r="A997" s="203" t="str">
        <f>IF(B997&lt;&gt;"",IF(AND(B997&gt;=_TM1,B997&lt;=_TM2,OR(TH!L997="1111",TH!M997="1111")),TH!D997,""),"")</f>
        <v/>
      </c>
      <c r="B997" s="36">
        <f>IF(C997&lt;&gt;"",MONTH(C997),"")</f>
        <v>6</v>
      </c>
      <c r="C997" s="183">
        <f>E997</f>
        <v>42175</v>
      </c>
      <c r="D997" s="183" t="s">
        <v>1588</v>
      </c>
      <c r="E997" s="183">
        <v>42175</v>
      </c>
      <c r="F997" s="188" t="s">
        <v>811</v>
      </c>
      <c r="G997" s="595" t="s">
        <v>809</v>
      </c>
      <c r="H997" s="7" t="s">
        <v>799</v>
      </c>
      <c r="I997" s="255">
        <v>20</v>
      </c>
      <c r="J997" s="255">
        <v>56800</v>
      </c>
      <c r="K997" s="593">
        <f>ROUND(I997*J997,0)</f>
        <v>1136000</v>
      </c>
      <c r="L997" s="594" t="s">
        <v>259</v>
      </c>
      <c r="M997" s="594" t="s">
        <v>174</v>
      </c>
      <c r="N997" s="52" t="str">
        <f>IF(AND('331-CT'!$E$7=TH!H997,OR(L997="331",M997="331")),"331",IF(AND(OR(L997="131",M997="131"),H997='131-CT'!$E$7),"131",""))</f>
        <v/>
      </c>
      <c r="O997" s="86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99"/>
    </row>
    <row r="998" spans="1:27" s="210" customFormat="1" ht="15.75" customHeight="1">
      <c r="A998" s="203" t="str">
        <f>IF(B998&lt;&gt;"",IF(AND(B998&gt;=_TM1,B998&lt;=_TM2,OR(TH!L998="1111",TH!M998="1111")),TH!D998,""),"")</f>
        <v/>
      </c>
      <c r="B998" s="36">
        <f>IF(C998&lt;&gt;"",MONTH(C998),"")</f>
        <v>6</v>
      </c>
      <c r="C998" s="183">
        <f>E998</f>
        <v>42175</v>
      </c>
      <c r="D998" s="183" t="s">
        <v>1588</v>
      </c>
      <c r="E998" s="183">
        <v>42175</v>
      </c>
      <c r="F998" s="188" t="s">
        <v>812</v>
      </c>
      <c r="G998" s="595" t="s">
        <v>809</v>
      </c>
      <c r="H998" s="7" t="s">
        <v>799</v>
      </c>
      <c r="I998" s="255">
        <v>20</v>
      </c>
      <c r="J998" s="255">
        <v>50000</v>
      </c>
      <c r="K998" s="593">
        <f>ROUND(I998*J998,0)</f>
        <v>1000000</v>
      </c>
      <c r="L998" s="594" t="s">
        <v>259</v>
      </c>
      <c r="M998" s="594" t="s">
        <v>174</v>
      </c>
      <c r="N998" s="52" t="str">
        <f>IF(AND('331-CT'!$E$7=TH!H998,OR(L998="331",M998="331")),"331",IF(AND(OR(L998="131",M998="131"),H998='131-CT'!$E$7),"131",""))</f>
        <v/>
      </c>
      <c r="O998" s="86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99"/>
    </row>
    <row r="999" spans="1:27" s="210" customFormat="1" ht="15.75" customHeight="1">
      <c r="A999" s="203" t="str">
        <f>IF(B999&lt;&gt;"",IF(AND(B999&gt;=_TM1,B999&lt;=_TM2,OR(TH!L999="1111",TH!M999="1111")),TH!D999,""),"")</f>
        <v/>
      </c>
      <c r="B999" s="36">
        <f>IF(C999&lt;&gt;"",MONTH(C999),"")</f>
        <v>6</v>
      </c>
      <c r="C999" s="183">
        <f>E999</f>
        <v>42175</v>
      </c>
      <c r="D999" s="183" t="s">
        <v>1588</v>
      </c>
      <c r="E999" s="183">
        <v>42175</v>
      </c>
      <c r="F999" s="188" t="s">
        <v>813</v>
      </c>
      <c r="G999" s="595" t="s">
        <v>809</v>
      </c>
      <c r="H999" s="7" t="s">
        <v>799</v>
      </c>
      <c r="I999" s="255">
        <v>30</v>
      </c>
      <c r="J999" s="255">
        <v>22150</v>
      </c>
      <c r="K999" s="593">
        <f>ROUND(I999*J999,0)</f>
        <v>664500</v>
      </c>
      <c r="L999" s="594" t="s">
        <v>259</v>
      </c>
      <c r="M999" s="594" t="s">
        <v>174</v>
      </c>
      <c r="N999" s="52" t="str">
        <f>IF(AND('331-CT'!$E$7=TH!H999,OR(L999="331",M999="331")),"331",IF(AND(OR(L999="131",M999="131"),H999='131-CT'!$E$7),"131",""))</f>
        <v/>
      </c>
      <c r="O999" s="86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99"/>
    </row>
    <row r="1000" spans="1:27" s="210" customFormat="1" ht="15.75" customHeight="1">
      <c r="A1000" s="203" t="str">
        <f>IF(B1000&lt;&gt;"",IF(AND(B1000&gt;=_TM1,B1000&lt;=_TM2,OR(TH!L1000="1111",TH!M1000="1111")),TH!D1000,""),"")</f>
        <v/>
      </c>
      <c r="B1000" s="36">
        <f>IF(C1000&lt;&gt;"",MONTH(C1000),"")</f>
        <v>6</v>
      </c>
      <c r="C1000" s="183">
        <f>E1000</f>
        <v>42175</v>
      </c>
      <c r="D1000" s="183" t="s">
        <v>1588</v>
      </c>
      <c r="E1000" s="190">
        <v>42175</v>
      </c>
      <c r="F1000" s="188" t="s">
        <v>814</v>
      </c>
      <c r="G1000" s="482" t="s">
        <v>809</v>
      </c>
      <c r="H1000" s="7" t="s">
        <v>799</v>
      </c>
      <c r="I1000" s="255">
        <v>251</v>
      </c>
      <c r="J1000" s="255">
        <v>2500</v>
      </c>
      <c r="K1000" s="593">
        <f>ROUND(I1000*J1000,0)</f>
        <v>627500</v>
      </c>
      <c r="L1000" s="594" t="s">
        <v>259</v>
      </c>
      <c r="M1000" s="594" t="s">
        <v>174</v>
      </c>
      <c r="N1000" s="52" t="str">
        <f>IF(AND('331-CT'!$E$7=TH!H1000,OR(L1000="331",M1000="331")),"331",IF(AND(OR(L1000="131",M1000="131"),H1000='131-CT'!$E$7),"131",""))</f>
        <v/>
      </c>
      <c r="O1000" s="86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99"/>
    </row>
    <row r="1001" spans="1:27" s="210" customFormat="1" ht="15.75" customHeight="1">
      <c r="A1001" s="203" t="str">
        <f>IF(B1001&lt;&gt;"",IF(AND(B1001&gt;=_TM1,B1001&lt;=_TM2,OR(TH!L1001="1111",TH!M1001="1111")),TH!D1001,""),"")</f>
        <v/>
      </c>
      <c r="B1001" s="36">
        <f>IF(C1001&lt;&gt;"",MONTH(C1001),"")</f>
        <v>6</v>
      </c>
      <c r="C1001" s="183">
        <f>E1001</f>
        <v>42175</v>
      </c>
      <c r="D1001" s="183" t="s">
        <v>1588</v>
      </c>
      <c r="E1001" s="190">
        <v>42175</v>
      </c>
      <c r="F1001" s="188" t="s">
        <v>815</v>
      </c>
      <c r="G1001" s="482" t="s">
        <v>809</v>
      </c>
      <c r="H1001" s="7" t="s">
        <v>799</v>
      </c>
      <c r="I1001" s="255">
        <v>31</v>
      </c>
      <c r="J1001" s="255">
        <v>35000</v>
      </c>
      <c r="K1001" s="593">
        <f>ROUND(I1001*J1001,0)</f>
        <v>1085000</v>
      </c>
      <c r="L1001" s="594" t="s">
        <v>259</v>
      </c>
      <c r="M1001" s="594" t="s">
        <v>174</v>
      </c>
      <c r="N1001" s="52" t="str">
        <f>IF(AND('331-CT'!$E$7=TH!H1001,OR(L1001="331",M1001="331")),"331",IF(AND(OR(L1001="131",M1001="131"),H1001='131-CT'!$E$7),"131",""))</f>
        <v/>
      </c>
      <c r="O1001" s="86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99"/>
    </row>
    <row r="1002" spans="1:27" s="210" customFormat="1" ht="15.75" customHeight="1">
      <c r="A1002" s="203" t="str">
        <f>IF(B1002&lt;&gt;"",IF(AND(B1002&gt;=_TM1,B1002&lt;=_TM2,OR(TH!L1002="1111",TH!M1002="1111")),TH!D1002,""),"")</f>
        <v/>
      </c>
      <c r="B1002" s="36">
        <f>IF(C1002&lt;&gt;"",MONTH(C1002),"")</f>
        <v>6</v>
      </c>
      <c r="C1002" s="183">
        <f>E1002</f>
        <v>42175</v>
      </c>
      <c r="D1002" s="183" t="s">
        <v>1588</v>
      </c>
      <c r="E1002" s="190">
        <v>42175</v>
      </c>
      <c r="F1002" s="188" t="s">
        <v>816</v>
      </c>
      <c r="G1002" s="482" t="s">
        <v>809</v>
      </c>
      <c r="H1002" s="7" t="s">
        <v>799</v>
      </c>
      <c r="I1002" s="255">
        <v>30</v>
      </c>
      <c r="J1002" s="255">
        <v>24300</v>
      </c>
      <c r="K1002" s="593">
        <f>ROUND(I1002*J1002,0)</f>
        <v>729000</v>
      </c>
      <c r="L1002" s="594" t="s">
        <v>259</v>
      </c>
      <c r="M1002" s="594" t="s">
        <v>174</v>
      </c>
      <c r="N1002" s="52" t="str">
        <f>IF(AND('331-CT'!$E$7=TH!H1002,OR(L1002="331",M1002="331")),"331",IF(AND(OR(L1002="131",M1002="131"),H1002='131-CT'!$E$7),"131",""))</f>
        <v/>
      </c>
      <c r="O1002" s="86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99"/>
    </row>
    <row r="1003" spans="1:27" s="210" customFormat="1" ht="15.75" customHeight="1">
      <c r="A1003" s="203" t="str">
        <f>IF(B1003&lt;&gt;"",IF(AND(B1003&gt;=_TM1,B1003&lt;=_TM2,OR(TH!L1003="1111",TH!M1003="1111")),TH!D1003,""),"")</f>
        <v/>
      </c>
      <c r="B1003" s="36">
        <f>IF(C1003&lt;&gt;"",MONTH(C1003),"")</f>
        <v>6</v>
      </c>
      <c r="C1003" s="183">
        <f>E1003</f>
        <v>42175</v>
      </c>
      <c r="D1003" s="183" t="s">
        <v>1588</v>
      </c>
      <c r="E1003" s="190">
        <v>42175</v>
      </c>
      <c r="F1003" s="188" t="s">
        <v>817</v>
      </c>
      <c r="G1003" s="482" t="s">
        <v>809</v>
      </c>
      <c r="H1003" s="7" t="s">
        <v>799</v>
      </c>
      <c r="I1003" s="255">
        <v>207</v>
      </c>
      <c r="J1003" s="255">
        <v>10350</v>
      </c>
      <c r="K1003" s="593">
        <f>ROUND(I1003*J1003,0)</f>
        <v>2142450</v>
      </c>
      <c r="L1003" s="594" t="s">
        <v>259</v>
      </c>
      <c r="M1003" s="594" t="s">
        <v>174</v>
      </c>
      <c r="N1003" s="52" t="str">
        <f>IF(AND('331-CT'!$E$7=TH!H1003,OR(L1003="331",M1003="331")),"331",IF(AND(OR(L1003="131",M1003="131"),H1003='131-CT'!$E$7),"131",""))</f>
        <v/>
      </c>
      <c r="O1003" s="86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99"/>
    </row>
    <row r="1004" spans="1:27" s="210" customFormat="1" ht="15.75" customHeight="1">
      <c r="A1004" s="203" t="str">
        <f>IF(B1004&lt;&gt;"",IF(AND(B1004&gt;=_TM1,B1004&lt;=_TM2,OR(TH!L1004="1111",TH!M1004="1111")),TH!D1004,""),"")</f>
        <v/>
      </c>
      <c r="B1004" s="36">
        <f>IF(C1004&lt;&gt;"",MONTH(C1004),"")</f>
        <v>6</v>
      </c>
      <c r="C1004" s="183">
        <f>E1004</f>
        <v>42175</v>
      </c>
      <c r="D1004" s="183" t="s">
        <v>1588</v>
      </c>
      <c r="E1004" s="190">
        <v>42175</v>
      </c>
      <c r="F1004" s="188" t="s">
        <v>818</v>
      </c>
      <c r="G1004" s="482" t="s">
        <v>809</v>
      </c>
      <c r="H1004" s="7" t="s">
        <v>799</v>
      </c>
      <c r="I1004" s="255">
        <v>103</v>
      </c>
      <c r="J1004" s="255">
        <v>6679</v>
      </c>
      <c r="K1004" s="593">
        <f>ROUND(I1004*J1004,0)</f>
        <v>687937</v>
      </c>
      <c r="L1004" s="594" t="s">
        <v>259</v>
      </c>
      <c r="M1004" s="594" t="s">
        <v>174</v>
      </c>
      <c r="N1004" s="52" t="str">
        <f>IF(AND('331-CT'!$E$7=TH!H1004,OR(L1004="331",M1004="331")),"331",IF(AND(OR(L1004="131",M1004="131"),H1004='131-CT'!$E$7),"131",""))</f>
        <v/>
      </c>
      <c r="O1004" s="86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99"/>
    </row>
    <row r="1005" spans="1:27" s="210" customFormat="1" ht="15.75" customHeight="1">
      <c r="A1005" s="203" t="str">
        <f>IF(B1005&lt;&gt;"",IF(AND(B1005&gt;=_TM1,B1005&lt;=_TM2,OR(TH!L1005="1111",TH!M1005="1111")),TH!D1005,""),"")</f>
        <v/>
      </c>
      <c r="B1005" s="36">
        <f>IF(C1005&lt;&gt;"",MONTH(C1005),"")</f>
        <v>6</v>
      </c>
      <c r="C1005" s="183">
        <f>E1005</f>
        <v>42175</v>
      </c>
      <c r="D1005" s="183" t="s">
        <v>1588</v>
      </c>
      <c r="E1005" s="190">
        <v>42175</v>
      </c>
      <c r="F1005" s="188" t="s">
        <v>402</v>
      </c>
      <c r="G1005" s="482" t="s">
        <v>809</v>
      </c>
      <c r="H1005" s="7" t="s">
        <v>799</v>
      </c>
      <c r="I1005" s="255"/>
      <c r="J1005" s="255"/>
      <c r="K1005" s="593">
        <v>1156919</v>
      </c>
      <c r="L1005" s="594" t="s">
        <v>259</v>
      </c>
      <c r="M1005" s="594" t="s">
        <v>371</v>
      </c>
      <c r="N1005" s="52" t="str">
        <f>IF(AND('331-CT'!$E$7=TH!H1005,OR(L1005="331",M1005="331")),"331",IF(AND(OR(L1005="131",M1005="131"),H1005='131-CT'!$E$7),"131",""))</f>
        <v/>
      </c>
      <c r="O1005" s="86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99"/>
    </row>
    <row r="1006" spans="1:27" s="210" customFormat="1" ht="15.75" customHeight="1">
      <c r="A1006" s="203" t="str">
        <f>IF(B1006&lt;&gt;"",IF(AND(B1006&gt;=_TM1,B1006&lt;=_TM2,OR(TH!L1006="1111",TH!M1006="1111")),TH!D1006,""),"")</f>
        <v/>
      </c>
      <c r="B1006" s="36">
        <f>IF(C1006&lt;&gt;"",MONTH(C1006),"")</f>
        <v>6</v>
      </c>
      <c r="C1006" s="183">
        <f>E1006</f>
        <v>42175</v>
      </c>
      <c r="D1006" s="183" t="s">
        <v>1319</v>
      </c>
      <c r="E1006" s="190">
        <v>42175</v>
      </c>
      <c r="F1006" s="191" t="s">
        <v>2024</v>
      </c>
      <c r="G1006" s="482" t="s">
        <v>332</v>
      </c>
      <c r="H1006" s="7" t="s">
        <v>407</v>
      </c>
      <c r="I1006" s="255"/>
      <c r="J1006" s="255"/>
      <c r="K1006" s="593">
        <v>137500</v>
      </c>
      <c r="L1006" s="594" t="s">
        <v>87</v>
      </c>
      <c r="M1006" s="594" t="s">
        <v>259</v>
      </c>
      <c r="N1006" s="52" t="str">
        <f>IF(AND('331-CT'!$E$7=TH!H1006,OR(L1006="331",M1006="331")),"331",IF(AND(OR(L1006="131",M1006="131"),H1006='131-CT'!$E$7),"131",""))</f>
        <v/>
      </c>
      <c r="O1006" s="86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99"/>
    </row>
    <row r="1007" spans="1:27" s="210" customFormat="1" ht="15.75" customHeight="1">
      <c r="A1007" s="203" t="str">
        <f>IF(B1007&lt;&gt;"",IF(AND(B1007&gt;=_TM1,B1007&lt;=_TM2,OR(TH!L1007="1111",TH!M1007="1111")),TH!D1007,""),"")</f>
        <v/>
      </c>
      <c r="B1007" s="36">
        <f>IF(C1007&lt;&gt;"",MONTH(C1007),"")</f>
        <v>6</v>
      </c>
      <c r="C1007" s="183">
        <f>E1007</f>
        <v>42175</v>
      </c>
      <c r="D1007" s="190" t="s">
        <v>1999</v>
      </c>
      <c r="E1007" s="727">
        <v>42175</v>
      </c>
      <c r="F1007" s="191" t="s">
        <v>1398</v>
      </c>
      <c r="G1007" s="482" t="s">
        <v>1485</v>
      </c>
      <c r="H1007" s="7" t="s">
        <v>1397</v>
      </c>
      <c r="I1007" s="255">
        <v>2700</v>
      </c>
      <c r="J1007" s="255">
        <v>9100</v>
      </c>
      <c r="K1007" s="593">
        <f>ROUND(I1007*J1007,0)</f>
        <v>24570000</v>
      </c>
      <c r="L1007" s="594" t="s">
        <v>159</v>
      </c>
      <c r="M1007" s="594" t="s">
        <v>8</v>
      </c>
      <c r="N1007" s="52" t="str">
        <f>IF(AND('331-CT'!$E$7=TH!H1007,OR(L1007="331",M1007="331")),"331",IF(AND(OR(L1007="131",M1007="131"),H1007='131-CT'!$E$7),"131",""))</f>
        <v/>
      </c>
      <c r="O1007" s="86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99"/>
    </row>
    <row r="1008" spans="1:27" s="210" customFormat="1" ht="15.75" customHeight="1">
      <c r="A1008" s="203" t="str">
        <f>IF(B1008&lt;&gt;"",IF(AND(B1008&gt;=_TM1,B1008&lt;=_TM2,OR(TH!L1008="1111",TH!M1008="1111")),TH!D1008,""),"")</f>
        <v/>
      </c>
      <c r="B1008" s="36">
        <f>IF(C1008&lt;&gt;"",MONTH(C1008),"")</f>
        <v>6</v>
      </c>
      <c r="C1008" s="183">
        <f>E1008</f>
        <v>42175</v>
      </c>
      <c r="D1008" s="190" t="s">
        <v>1999</v>
      </c>
      <c r="E1008" s="727">
        <v>42175</v>
      </c>
      <c r="F1008" s="191" t="s">
        <v>1402</v>
      </c>
      <c r="G1008" s="482" t="s">
        <v>1485</v>
      </c>
      <c r="H1008" s="7" t="s">
        <v>1397</v>
      </c>
      <c r="I1008" s="255">
        <v>1554</v>
      </c>
      <c r="J1008" s="255">
        <v>9000</v>
      </c>
      <c r="K1008" s="593">
        <f>ROUND(I1008*J1008,0)</f>
        <v>13986000</v>
      </c>
      <c r="L1008" s="594" t="s">
        <v>159</v>
      </c>
      <c r="M1008" s="594" t="s">
        <v>8</v>
      </c>
      <c r="N1008" s="52" t="str">
        <f>IF(AND('331-CT'!$E$7=TH!H1008,OR(L1008="331",M1008="331")),"331",IF(AND(OR(L1008="131",M1008="131"),H1008='131-CT'!$E$7),"131",""))</f>
        <v/>
      </c>
      <c r="O1008" s="86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99"/>
    </row>
    <row r="1009" spans="1:27" s="210" customFormat="1" ht="15.75" customHeight="1">
      <c r="A1009" s="203" t="str">
        <f>IF(B1009&lt;&gt;"",IF(AND(B1009&gt;=_TM1,B1009&lt;=_TM2,OR(TH!L1009="1111",TH!M1009="1111")),TH!D1009,""),"")</f>
        <v/>
      </c>
      <c r="B1009" s="36">
        <f>IF(C1009&lt;&gt;"",MONTH(C1009),"")</f>
        <v>6</v>
      </c>
      <c r="C1009" s="183">
        <f>E1009</f>
        <v>42175</v>
      </c>
      <c r="D1009" s="190" t="s">
        <v>1999</v>
      </c>
      <c r="E1009" s="727">
        <v>42175</v>
      </c>
      <c r="F1009" s="191" t="s">
        <v>1379</v>
      </c>
      <c r="G1009" s="482" t="s">
        <v>1485</v>
      </c>
      <c r="H1009" s="7" t="s">
        <v>1397</v>
      </c>
      <c r="I1009" s="255"/>
      <c r="J1009" s="255"/>
      <c r="K1009" s="593">
        <v>3855600</v>
      </c>
      <c r="L1009" s="594" t="s">
        <v>9</v>
      </c>
      <c r="M1009" s="594" t="s">
        <v>8</v>
      </c>
      <c r="N1009" s="52" t="str">
        <f>IF(AND('331-CT'!$E$7=TH!H1009,OR(L1009="331",M1009="331")),"331",IF(AND(OR(L1009="131",M1009="131"),H1009='131-CT'!$E$7),"131",""))</f>
        <v/>
      </c>
      <c r="O1009" s="86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99"/>
    </row>
    <row r="1010" spans="1:27" s="210" customFormat="1" ht="15.75" customHeight="1">
      <c r="A1010" s="203" t="str">
        <f>IF(B1010&lt;&gt;"",IF(AND(B1010&gt;=_TM1,B1010&lt;=_TM2,OR(TH!L1010="1111",TH!M1010="1111")),TH!D1010,""),"")</f>
        <v/>
      </c>
      <c r="B1010" s="36">
        <f>IF(C1010&lt;&gt;"",MONTH(C1010),"")</f>
        <v>6</v>
      </c>
      <c r="C1010" s="183">
        <f>E1010</f>
        <v>42175</v>
      </c>
      <c r="D1010" s="190" t="s">
        <v>2000</v>
      </c>
      <c r="E1010" s="727">
        <v>42175</v>
      </c>
      <c r="F1010" s="191" t="s">
        <v>1398</v>
      </c>
      <c r="G1010" s="482" t="s">
        <v>1486</v>
      </c>
      <c r="H1010" s="7" t="s">
        <v>1397</v>
      </c>
      <c r="I1010" s="255">
        <v>1275</v>
      </c>
      <c r="J1010" s="255">
        <v>9100</v>
      </c>
      <c r="K1010" s="593">
        <f>ROUND(I1010*J1010,0)</f>
        <v>11602500</v>
      </c>
      <c r="L1010" s="594" t="s">
        <v>159</v>
      </c>
      <c r="M1010" s="594" t="s">
        <v>8</v>
      </c>
      <c r="N1010" s="52" t="str">
        <f>IF(AND('331-CT'!$E$7=TH!H1010,OR(L1010="331",M1010="331")),"331",IF(AND(OR(L1010="131",M1010="131"),H1010='131-CT'!$E$7),"131",""))</f>
        <v/>
      </c>
      <c r="O1010" s="86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99"/>
    </row>
    <row r="1011" spans="1:27" s="210" customFormat="1" ht="15.75" customHeight="1">
      <c r="A1011" s="203" t="str">
        <f>IF(B1011&lt;&gt;"",IF(AND(B1011&gt;=_TM1,B1011&lt;=_TM2,OR(TH!L1011="1111",TH!M1011="1111")),TH!D1011,""),"")</f>
        <v/>
      </c>
      <c r="B1011" s="36">
        <f>IF(C1011&lt;&gt;"",MONTH(C1011),"")</f>
        <v>6</v>
      </c>
      <c r="C1011" s="183">
        <f>E1011</f>
        <v>42175</v>
      </c>
      <c r="D1011" s="190" t="s">
        <v>2000</v>
      </c>
      <c r="E1011" s="727">
        <v>42175</v>
      </c>
      <c r="F1011" s="191" t="s">
        <v>1402</v>
      </c>
      <c r="G1011" s="482" t="s">
        <v>1486</v>
      </c>
      <c r="H1011" s="7" t="s">
        <v>1397</v>
      </c>
      <c r="I1011" s="255">
        <v>3028</v>
      </c>
      <c r="J1011" s="255">
        <v>9000</v>
      </c>
      <c r="K1011" s="593">
        <f>ROUND(I1011*J1011,0)</f>
        <v>27252000</v>
      </c>
      <c r="L1011" s="594" t="s">
        <v>159</v>
      </c>
      <c r="M1011" s="594" t="s">
        <v>8</v>
      </c>
      <c r="N1011" s="52" t="str">
        <f>IF(AND('331-CT'!$E$7=TH!H1011,OR(L1011="331",M1011="331")),"331",IF(AND(OR(L1011="131",M1011="131"),H1011='131-CT'!$E$7),"131",""))</f>
        <v/>
      </c>
      <c r="O1011" s="86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99"/>
    </row>
    <row r="1012" spans="1:27" s="210" customFormat="1" ht="15.75" customHeight="1">
      <c r="A1012" s="203" t="str">
        <f>IF(B1012&lt;&gt;"",IF(AND(B1012&gt;=_TM1,B1012&lt;=_TM2,OR(TH!L1012="1111",TH!M1012="1111")),TH!D1012,""),"")</f>
        <v/>
      </c>
      <c r="B1012" s="36">
        <f>IF(C1012&lt;&gt;"",MONTH(C1012),"")</f>
        <v>6</v>
      </c>
      <c r="C1012" s="183">
        <f>E1012</f>
        <v>42175</v>
      </c>
      <c r="D1012" s="190" t="s">
        <v>2000</v>
      </c>
      <c r="E1012" s="727">
        <v>42175</v>
      </c>
      <c r="F1012" s="191" t="s">
        <v>1379</v>
      </c>
      <c r="G1012" s="482" t="s">
        <v>1486</v>
      </c>
      <c r="H1012" s="7" t="s">
        <v>1397</v>
      </c>
      <c r="I1012" s="255"/>
      <c r="J1012" s="255"/>
      <c r="K1012" s="593">
        <v>3885450</v>
      </c>
      <c r="L1012" s="594" t="s">
        <v>9</v>
      </c>
      <c r="M1012" s="594" t="s">
        <v>8</v>
      </c>
      <c r="N1012" s="52" t="str">
        <f>IF(AND('331-CT'!$E$7=TH!H1012,OR(L1012="331",M1012="331")),"331",IF(AND(OR(L1012="131",M1012="131"),H1012='131-CT'!$E$7),"131",""))</f>
        <v/>
      </c>
      <c r="O1012" s="86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99"/>
    </row>
    <row r="1013" spans="1:27" s="210" customFormat="1" ht="15.75" customHeight="1">
      <c r="A1013" s="203" t="str">
        <f>IF(B1013&lt;&gt;"",IF(AND(B1013&gt;=_TM1,B1013&lt;=_TM2,OR(TH!L1013="1111",TH!M1013="1111")),TH!D1013,""),"")</f>
        <v/>
      </c>
      <c r="B1013" s="36">
        <f>IF(C1013&lt;&gt;"",MONTH(C1013),"")</f>
        <v>6</v>
      </c>
      <c r="C1013" s="183">
        <f>E1013</f>
        <v>42177</v>
      </c>
      <c r="D1013" s="183" t="s">
        <v>1589</v>
      </c>
      <c r="E1013" s="190">
        <v>42177</v>
      </c>
      <c r="F1013" s="188" t="s">
        <v>398</v>
      </c>
      <c r="G1013" s="482" t="s">
        <v>819</v>
      </c>
      <c r="H1013" s="7" t="s">
        <v>400</v>
      </c>
      <c r="I1013" s="255">
        <v>905</v>
      </c>
      <c r="J1013" s="255">
        <v>5050</v>
      </c>
      <c r="K1013" s="593">
        <f>ROUND(I1013*J1013,0)</f>
        <v>4570250</v>
      </c>
      <c r="L1013" s="594" t="s">
        <v>259</v>
      </c>
      <c r="M1013" s="594" t="s">
        <v>174</v>
      </c>
      <c r="N1013" s="52" t="str">
        <f>IF(AND('331-CT'!$E$7=TH!H1013,OR(L1013="331",M1013="331")),"331",IF(AND(OR(L1013="131",M1013="131"),H1013='131-CT'!$E$7),"131",""))</f>
        <v/>
      </c>
      <c r="O1013" s="86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99"/>
    </row>
    <row r="1014" spans="1:27" s="210" customFormat="1" ht="15.75" customHeight="1">
      <c r="A1014" s="203" t="str">
        <f>IF(B1014&lt;&gt;"",IF(AND(B1014&gt;=_TM1,B1014&lt;=_TM2,OR(TH!L1014="1111",TH!M1014="1111")),TH!D1014,""),"")</f>
        <v/>
      </c>
      <c r="B1014" s="36">
        <f>IF(C1014&lt;&gt;"",MONTH(C1014),"")</f>
        <v>6</v>
      </c>
      <c r="C1014" s="183">
        <f>E1014</f>
        <v>42177</v>
      </c>
      <c r="D1014" s="183" t="s">
        <v>1589</v>
      </c>
      <c r="E1014" s="190">
        <v>42177</v>
      </c>
      <c r="F1014" s="188" t="s">
        <v>446</v>
      </c>
      <c r="G1014" s="482" t="s">
        <v>819</v>
      </c>
      <c r="H1014" s="7" t="s">
        <v>400</v>
      </c>
      <c r="I1014" s="761">
        <v>307</v>
      </c>
      <c r="J1014" s="255">
        <v>5600</v>
      </c>
      <c r="K1014" s="593">
        <f>ROUND(I1014*J1014,0)</f>
        <v>1719200</v>
      </c>
      <c r="L1014" s="594" t="s">
        <v>259</v>
      </c>
      <c r="M1014" s="594" t="s">
        <v>174</v>
      </c>
      <c r="N1014" s="52" t="str">
        <f>IF(AND('331-CT'!$E$7=TH!H1014,OR(L1014="331",M1014="331")),"331",IF(AND(OR(L1014="131",M1014="131"),H1014='131-CT'!$E$7),"131",""))</f>
        <v/>
      </c>
      <c r="O1014" s="86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99"/>
    </row>
    <row r="1015" spans="1:27" s="210" customFormat="1" ht="15.75" customHeight="1">
      <c r="A1015" s="203" t="str">
        <f>IF(B1015&lt;&gt;"",IF(AND(B1015&gt;=_TM1,B1015&lt;=_TM2,OR(TH!L1015="1111",TH!M1015="1111")),TH!D1015,""),"")</f>
        <v/>
      </c>
      <c r="B1015" s="36">
        <f>IF(C1015&lt;&gt;"",MONTH(C1015),"")</f>
        <v>6</v>
      </c>
      <c r="C1015" s="183">
        <f>E1015</f>
        <v>42177</v>
      </c>
      <c r="D1015" s="183" t="s">
        <v>1589</v>
      </c>
      <c r="E1015" s="190">
        <v>42177</v>
      </c>
      <c r="F1015" s="188" t="s">
        <v>501</v>
      </c>
      <c r="G1015" s="482" t="s">
        <v>819</v>
      </c>
      <c r="H1015" s="7" t="s">
        <v>400</v>
      </c>
      <c r="I1015" s="255">
        <v>134</v>
      </c>
      <c r="J1015" s="255">
        <v>9900</v>
      </c>
      <c r="K1015" s="593">
        <f>ROUND(I1015*J1015,0)</f>
        <v>1326600</v>
      </c>
      <c r="L1015" s="594" t="s">
        <v>259</v>
      </c>
      <c r="M1015" s="594" t="s">
        <v>174</v>
      </c>
      <c r="N1015" s="52" t="str">
        <f>IF(AND('331-CT'!$E$7=TH!H1015,OR(L1015="331",M1015="331")),"331",IF(AND(OR(L1015="131",M1015="131"),H1015='131-CT'!$E$7),"131",""))</f>
        <v/>
      </c>
      <c r="O1015" s="86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99"/>
    </row>
    <row r="1016" spans="1:27" s="210" customFormat="1" ht="15.75" customHeight="1">
      <c r="A1016" s="203" t="str">
        <f>IF(B1016&lt;&gt;"",IF(AND(B1016&gt;=_TM1,B1016&lt;=_TM2,OR(TH!L1016="1111",TH!M1016="1111")),TH!D1016,""),"")</f>
        <v/>
      </c>
      <c r="B1016" s="36">
        <f>IF(C1016&lt;&gt;"",MONTH(C1016),"")</f>
        <v>6</v>
      </c>
      <c r="C1016" s="183">
        <f>E1016</f>
        <v>42177</v>
      </c>
      <c r="D1016" s="183" t="s">
        <v>1589</v>
      </c>
      <c r="E1016" s="190">
        <v>42177</v>
      </c>
      <c r="F1016" s="40" t="s">
        <v>402</v>
      </c>
      <c r="G1016" s="482" t="s">
        <v>819</v>
      </c>
      <c r="H1016" s="7" t="s">
        <v>400</v>
      </c>
      <c r="I1016" s="255"/>
      <c r="J1016" s="255"/>
      <c r="K1016" s="593">
        <v>761605</v>
      </c>
      <c r="L1016" s="594" t="s">
        <v>259</v>
      </c>
      <c r="M1016" s="594" t="s">
        <v>371</v>
      </c>
      <c r="N1016" s="52" t="str">
        <f>IF(AND('331-CT'!$E$7=TH!H1016,OR(L1016="331",M1016="331")),"331",IF(AND(OR(L1016="131",M1016="131"),H1016='131-CT'!$E$7),"131",""))</f>
        <v/>
      </c>
      <c r="O1016" s="86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99"/>
    </row>
    <row r="1017" spans="1:27" s="210" customFormat="1" ht="15.75" customHeight="1">
      <c r="A1017" s="203" t="str">
        <f>IF(B1017&lt;&gt;"",IF(AND(B1017&gt;=_TM1,B1017&lt;=_TM2,OR(TH!L1017="1111",TH!M1017="1111")),TH!D1017,""),"")</f>
        <v/>
      </c>
      <c r="B1017" s="36">
        <f>IF(C1017&lt;&gt;"",MONTH(C1017),"")</f>
        <v>6</v>
      </c>
      <c r="C1017" s="183">
        <f>E1017</f>
        <v>42177</v>
      </c>
      <c r="D1017" s="183" t="s">
        <v>1590</v>
      </c>
      <c r="E1017" s="190">
        <v>42177</v>
      </c>
      <c r="F1017" s="40" t="s">
        <v>1744</v>
      </c>
      <c r="G1017" s="482" t="s">
        <v>820</v>
      </c>
      <c r="H1017" s="7" t="s">
        <v>1934</v>
      </c>
      <c r="I1017" s="255">
        <v>85</v>
      </c>
      <c r="J1017" s="255">
        <v>7175</v>
      </c>
      <c r="K1017" s="593">
        <f>ROUND(I1017*J1017,0)</f>
        <v>609875</v>
      </c>
      <c r="L1017" s="594" t="s">
        <v>259</v>
      </c>
      <c r="M1017" s="594" t="s">
        <v>174</v>
      </c>
      <c r="N1017" s="52" t="str">
        <f>IF(AND('331-CT'!$E$7=TH!H1017,OR(L1017="331",M1017="331")),"331",IF(AND(OR(L1017="131",M1017="131"),H1017='131-CT'!$E$7),"131",""))</f>
        <v/>
      </c>
      <c r="O1017" s="86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99"/>
    </row>
    <row r="1018" spans="1:27" s="210" customFormat="1" ht="15.75" customHeight="1">
      <c r="A1018" s="203" t="str">
        <f>IF(B1018&lt;&gt;"",IF(AND(B1018&gt;=_TM1,B1018&lt;=_TM2,OR(TH!L1018="1111",TH!M1018="1111")),TH!D1018,""),"")</f>
        <v/>
      </c>
      <c r="B1018" s="36">
        <f>IF(C1018&lt;&gt;"",MONTH(C1018),"")</f>
        <v>6</v>
      </c>
      <c r="C1018" s="183">
        <f>E1018</f>
        <v>42177</v>
      </c>
      <c r="D1018" s="183" t="s">
        <v>1590</v>
      </c>
      <c r="E1018" s="190">
        <v>42177</v>
      </c>
      <c r="F1018" s="188" t="s">
        <v>1745</v>
      </c>
      <c r="G1018" s="482" t="s">
        <v>820</v>
      </c>
      <c r="H1018" s="7" t="s">
        <v>1934</v>
      </c>
      <c r="I1018" s="750">
        <v>185</v>
      </c>
      <c r="J1018" s="255">
        <v>10556</v>
      </c>
      <c r="K1018" s="593">
        <f>ROUND(I1018*J1018,0)</f>
        <v>1952860</v>
      </c>
      <c r="L1018" s="594" t="s">
        <v>259</v>
      </c>
      <c r="M1018" s="594" t="s">
        <v>174</v>
      </c>
      <c r="N1018" s="52" t="str">
        <f>IF(AND('331-CT'!$E$7=TH!H1018,OR(L1018="331",M1018="331")),"331",IF(AND(OR(L1018="131",M1018="131"),H1018='131-CT'!$E$7),"131",""))</f>
        <v/>
      </c>
      <c r="O1018" s="86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99"/>
    </row>
    <row r="1019" spans="1:27" s="210" customFormat="1" ht="15.75" customHeight="1">
      <c r="A1019" s="203" t="str">
        <f>IF(B1019&lt;&gt;"",IF(AND(B1019&gt;=_TM1,B1019&lt;=_TM2,OR(TH!L1019="1111",TH!M1019="1111")),TH!D1019,""),"")</f>
        <v/>
      </c>
      <c r="B1019" s="36">
        <f>IF(C1019&lt;&gt;"",MONTH(C1019),"")</f>
        <v>6</v>
      </c>
      <c r="C1019" s="183">
        <f>E1019</f>
        <v>42177</v>
      </c>
      <c r="D1019" s="183" t="s">
        <v>1590</v>
      </c>
      <c r="E1019" s="190">
        <v>42177</v>
      </c>
      <c r="F1019" s="296" t="s">
        <v>1746</v>
      </c>
      <c r="G1019" s="482" t="s">
        <v>820</v>
      </c>
      <c r="H1019" s="7" t="s">
        <v>1934</v>
      </c>
      <c r="I1019" s="255">
        <v>185</v>
      </c>
      <c r="J1019" s="255">
        <v>9769</v>
      </c>
      <c r="K1019" s="593">
        <f>ROUND(I1019*J1019,0)</f>
        <v>1807265</v>
      </c>
      <c r="L1019" s="594" t="s">
        <v>259</v>
      </c>
      <c r="M1019" s="594" t="s">
        <v>174</v>
      </c>
      <c r="N1019" s="52" t="str">
        <f>IF(AND('331-CT'!$E$7=TH!H1019,OR(L1019="331",M1019="331")),"331",IF(AND(OR(L1019="131",M1019="131"),H1019='131-CT'!$E$7),"131",""))</f>
        <v/>
      </c>
      <c r="O1019" s="86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99"/>
    </row>
    <row r="1020" spans="1:27" s="210" customFormat="1" ht="15.75" customHeight="1">
      <c r="A1020" s="203" t="str">
        <f>IF(B1020&lt;&gt;"",IF(AND(B1020&gt;=_TM1,B1020&lt;=_TM2,OR(TH!L1020="1111",TH!M1020="1111")),TH!D1020,""),"")</f>
        <v/>
      </c>
      <c r="B1020" s="36">
        <f>IF(C1020&lt;&gt;"",MONTH(C1020),"")</f>
        <v>6</v>
      </c>
      <c r="C1020" s="183">
        <f>E1020</f>
        <v>42177</v>
      </c>
      <c r="D1020" s="183" t="s">
        <v>1590</v>
      </c>
      <c r="E1020" s="190">
        <v>42177</v>
      </c>
      <c r="F1020" s="188" t="s">
        <v>1715</v>
      </c>
      <c r="G1020" s="482" t="s">
        <v>820</v>
      </c>
      <c r="H1020" s="7" t="s">
        <v>1934</v>
      </c>
      <c r="I1020" s="750">
        <v>500</v>
      </c>
      <c r="J1020" s="255">
        <v>13094</v>
      </c>
      <c r="K1020" s="593">
        <f>ROUND(I1020*J1020,0)</f>
        <v>6547000</v>
      </c>
      <c r="L1020" s="594" t="s">
        <v>259</v>
      </c>
      <c r="M1020" s="594" t="s">
        <v>174</v>
      </c>
      <c r="N1020" s="52" t="str">
        <f>IF(AND('331-CT'!$E$7=TH!H1020,OR(L1020="331",M1020="331")),"331",IF(AND(OR(L1020="131",M1020="131"),H1020='131-CT'!$E$7),"131",""))</f>
        <v/>
      </c>
      <c r="O1020" s="86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99"/>
    </row>
    <row r="1021" spans="1:27" s="210" customFormat="1" ht="15.75" customHeight="1">
      <c r="A1021" s="203" t="str">
        <f>IF(B1021&lt;&gt;"",IF(AND(B1021&gt;=_TM1,B1021&lt;=_TM2,OR(TH!L1021="1111",TH!M1021="1111")),TH!D1021,""),"")</f>
        <v/>
      </c>
      <c r="B1021" s="36">
        <f>IF(C1021&lt;&gt;"",MONTH(C1021),"")</f>
        <v>6</v>
      </c>
      <c r="C1021" s="183">
        <f>E1021</f>
        <v>42177</v>
      </c>
      <c r="D1021" s="183" t="s">
        <v>1590</v>
      </c>
      <c r="E1021" s="190">
        <v>42177</v>
      </c>
      <c r="F1021" s="188" t="s">
        <v>1747</v>
      </c>
      <c r="G1021" s="482" t="s">
        <v>820</v>
      </c>
      <c r="H1021" s="7" t="s">
        <v>1934</v>
      </c>
      <c r="I1021" s="255">
        <v>50</v>
      </c>
      <c r="J1021" s="255">
        <v>4355</v>
      </c>
      <c r="K1021" s="593">
        <f>ROUND(I1021*J1021,0)</f>
        <v>217750</v>
      </c>
      <c r="L1021" s="594" t="s">
        <v>259</v>
      </c>
      <c r="M1021" s="594" t="s">
        <v>174</v>
      </c>
      <c r="N1021" s="52" t="str">
        <f>IF(AND('331-CT'!$E$7=TH!H1021,OR(L1021="331",M1021="331")),"331",IF(AND(OR(L1021="131",M1021="131"),H1021='131-CT'!$E$7),"131",""))</f>
        <v/>
      </c>
      <c r="O1021" s="86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99"/>
    </row>
    <row r="1022" spans="1:27" s="210" customFormat="1" ht="15.75" customHeight="1">
      <c r="A1022" s="203" t="str">
        <f>IF(B1022&lt;&gt;"",IF(AND(B1022&gt;=_TM1,B1022&lt;=_TM2,OR(TH!L1022="1111",TH!M1022="1111")),TH!D1022,""),"")</f>
        <v/>
      </c>
      <c r="B1022" s="36">
        <f>IF(C1022&lt;&gt;"",MONTH(C1022),"")</f>
        <v>6</v>
      </c>
      <c r="C1022" s="183">
        <f>E1022</f>
        <v>42177</v>
      </c>
      <c r="D1022" s="183" t="s">
        <v>1590</v>
      </c>
      <c r="E1022" s="190">
        <v>42177</v>
      </c>
      <c r="F1022" s="188" t="s">
        <v>1748</v>
      </c>
      <c r="G1022" s="482" t="s">
        <v>820</v>
      </c>
      <c r="H1022" s="7" t="s">
        <v>1934</v>
      </c>
      <c r="I1022" s="255">
        <v>150</v>
      </c>
      <c r="J1022" s="255">
        <v>10520</v>
      </c>
      <c r="K1022" s="593">
        <f>ROUND(I1022*J1022,0)</f>
        <v>1578000</v>
      </c>
      <c r="L1022" s="594" t="s">
        <v>259</v>
      </c>
      <c r="M1022" s="594" t="s">
        <v>174</v>
      </c>
      <c r="N1022" s="52" t="str">
        <f>IF(AND('331-CT'!$E$7=TH!H1022,OR(L1022="331",M1022="331")),"331",IF(AND(OR(L1022="131",M1022="131"),H1022='131-CT'!$E$7),"131",""))</f>
        <v/>
      </c>
      <c r="O1022" s="86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99"/>
    </row>
    <row r="1023" spans="1:27" s="210" customFormat="1" ht="15.75" customHeight="1">
      <c r="A1023" s="203" t="str">
        <f>IF(B1023&lt;&gt;"",IF(AND(B1023&gt;=_TM1,B1023&lt;=_TM2,OR(TH!L1023="1111",TH!M1023="1111")),TH!D1023,""),"")</f>
        <v/>
      </c>
      <c r="B1023" s="36">
        <f>IF(C1023&lt;&gt;"",MONTH(C1023),"")</f>
        <v>6</v>
      </c>
      <c r="C1023" s="183">
        <f>E1023</f>
        <v>42177</v>
      </c>
      <c r="D1023" s="183" t="s">
        <v>1590</v>
      </c>
      <c r="E1023" s="183">
        <v>42177</v>
      </c>
      <c r="F1023" s="188" t="s">
        <v>731</v>
      </c>
      <c r="G1023" s="595" t="s">
        <v>820</v>
      </c>
      <c r="H1023" s="7" t="s">
        <v>1934</v>
      </c>
      <c r="I1023" s="255"/>
      <c r="J1023" s="255"/>
      <c r="K1023" s="593">
        <v>1271275</v>
      </c>
      <c r="L1023" s="594" t="s">
        <v>259</v>
      </c>
      <c r="M1023" s="594" t="s">
        <v>371</v>
      </c>
      <c r="N1023" s="52" t="str">
        <f>IF(AND('331-CT'!$E$7=TH!H1023,OR(L1023="331",M1023="331")),"331",IF(AND(OR(L1023="131",M1023="131"),H1023='131-CT'!$E$7),"131",""))</f>
        <v/>
      </c>
      <c r="O1023" s="86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99"/>
    </row>
    <row r="1024" spans="1:27" s="210" customFormat="1" ht="15.75" customHeight="1">
      <c r="A1024" s="203" t="str">
        <f>IF(B1024&lt;&gt;"",IF(AND(B1024&gt;=_TM1,B1024&lt;=_TM2,OR(TH!L1024="1111",TH!M1024="1111")),TH!D1024,""),"")</f>
        <v/>
      </c>
      <c r="B1024" s="36">
        <f>IF(C1024&lt;&gt;"",MONTH(C1024),"")</f>
        <v>6</v>
      </c>
      <c r="C1024" s="183">
        <f>E1024</f>
        <v>42177</v>
      </c>
      <c r="D1024" s="183" t="s">
        <v>1590</v>
      </c>
      <c r="E1024" s="183">
        <v>42177</v>
      </c>
      <c r="F1024" s="191" t="s">
        <v>1320</v>
      </c>
      <c r="G1024" s="595" t="s">
        <v>2056</v>
      </c>
      <c r="H1024" s="7" t="s">
        <v>1934</v>
      </c>
      <c r="I1024" s="255"/>
      <c r="J1024" s="255"/>
      <c r="K1024" s="593">
        <f>8190331+12807480+13984025</f>
        <v>34981836</v>
      </c>
      <c r="L1024" s="594" t="s">
        <v>47</v>
      </c>
      <c r="M1024" s="594" t="s">
        <v>259</v>
      </c>
      <c r="N1024" s="52" t="str">
        <f>IF(AND('331-CT'!$E$7=TH!H1024,OR(L1024="331",M1024="331")),"331",IF(AND(OR(L1024="131",M1024="131"),H1024='131-CT'!$E$7),"131",""))</f>
        <v/>
      </c>
      <c r="O1024" s="869" t="str">
        <f>IF(AND('341-CT'!$E$9=H1024,OR(LEFT(L1024,3)=$O$7,LEFT(M1024,3)=$O$7)),"x","")</f>
        <v/>
      </c>
      <c r="P1024" s="52" t="str">
        <f>IF(AND($B1024&gt;='111'!$N$11,$B1024&lt;='111'!$O$11,OR($L1024=$P$7,$M1024=$P$7)),"x","")</f>
        <v>x</v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99"/>
    </row>
    <row r="1025" spans="1:27" s="210" customFormat="1" ht="15.75" customHeight="1">
      <c r="A1025" s="203" t="str">
        <f>IF(B1025&lt;&gt;"",IF(AND(B1025&gt;=_TM1,B1025&lt;=_TM2,OR(TH!L1025="1111",TH!M1025="1111")),TH!D1025,""),"")</f>
        <v/>
      </c>
      <c r="B1025" s="36">
        <f>IF(C1025&lt;&gt;"",MONTH(C1025),"")</f>
        <v>6</v>
      </c>
      <c r="C1025" s="183">
        <f>E1025</f>
        <v>42177</v>
      </c>
      <c r="D1025" s="183" t="s">
        <v>1591</v>
      </c>
      <c r="E1025" s="183">
        <v>42177</v>
      </c>
      <c r="F1025" s="188" t="s">
        <v>821</v>
      </c>
      <c r="G1025" s="595" t="s">
        <v>822</v>
      </c>
      <c r="H1025" s="7" t="s">
        <v>799</v>
      </c>
      <c r="I1025" s="704">
        <v>107</v>
      </c>
      <c r="J1025" s="704">
        <v>5290</v>
      </c>
      <c r="K1025" s="593">
        <f>ROUND(I1025*J1025,0)</f>
        <v>566030</v>
      </c>
      <c r="L1025" s="594" t="s">
        <v>259</v>
      </c>
      <c r="M1025" s="594" t="s">
        <v>174</v>
      </c>
      <c r="N1025" s="52" t="str">
        <f>IF(AND('331-CT'!$E$7=TH!H1025,OR(L1025="331",M1025="331")),"331",IF(AND(OR(L1025="131",M1025="131"),H1025='131-CT'!$E$7),"131",""))</f>
        <v/>
      </c>
      <c r="O1025" s="86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99"/>
    </row>
    <row r="1026" spans="1:27" s="210" customFormat="1" ht="15.75" customHeight="1">
      <c r="A1026" s="203" t="str">
        <f>IF(B1026&lt;&gt;"",IF(AND(B1026&gt;=_TM1,B1026&lt;=_TM2,OR(TH!L1026="1111",TH!M1026="1111")),TH!D1026,""),"")</f>
        <v/>
      </c>
      <c r="B1026" s="36">
        <f>IF(C1026&lt;&gt;"",MONTH(C1026),"")</f>
        <v>6</v>
      </c>
      <c r="C1026" s="183">
        <f>E1026</f>
        <v>42177</v>
      </c>
      <c r="D1026" s="183" t="s">
        <v>1591</v>
      </c>
      <c r="E1026" s="190">
        <v>42177</v>
      </c>
      <c r="F1026" s="188" t="s">
        <v>823</v>
      </c>
      <c r="G1026" s="482" t="s">
        <v>822</v>
      </c>
      <c r="H1026" s="7" t="s">
        <v>799</v>
      </c>
      <c r="I1026" s="766">
        <v>31</v>
      </c>
      <c r="J1026" s="704">
        <v>29000</v>
      </c>
      <c r="K1026" s="593">
        <f>ROUND(I1026*J1026,0)</f>
        <v>899000</v>
      </c>
      <c r="L1026" s="594" t="s">
        <v>259</v>
      </c>
      <c r="M1026" s="594" t="s">
        <v>174</v>
      </c>
      <c r="N1026" s="52" t="str">
        <f>IF(AND('331-CT'!$E$7=TH!H1026,OR(L1026="331",M1026="331")),"331",IF(AND(OR(L1026="131",M1026="131"),H1026='131-CT'!$E$7),"131",""))</f>
        <v/>
      </c>
      <c r="O1026" s="86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99"/>
    </row>
    <row r="1027" spans="1:27" s="210" customFormat="1" ht="15.75" customHeight="1">
      <c r="A1027" s="203" t="str">
        <f>IF(B1027&lt;&gt;"",IF(AND(B1027&gt;=_TM1,B1027&lt;=_TM2,OR(TH!L1027="1111",TH!M1027="1111")),TH!D1027,""),"")</f>
        <v/>
      </c>
      <c r="B1027" s="36">
        <f>IF(C1027&lt;&gt;"",MONTH(C1027),"")</f>
        <v>6</v>
      </c>
      <c r="C1027" s="183">
        <f>E1027</f>
        <v>42177</v>
      </c>
      <c r="D1027" s="183" t="s">
        <v>1591</v>
      </c>
      <c r="E1027" s="190">
        <v>42177</v>
      </c>
      <c r="F1027" s="188" t="s">
        <v>824</v>
      </c>
      <c r="G1027" s="482" t="s">
        <v>822</v>
      </c>
      <c r="H1027" s="7" t="s">
        <v>799</v>
      </c>
      <c r="I1027" s="766">
        <v>31</v>
      </c>
      <c r="J1027" s="704">
        <v>35000</v>
      </c>
      <c r="K1027" s="593">
        <f>ROUND(I1027*J1027,0)</f>
        <v>1085000</v>
      </c>
      <c r="L1027" s="594" t="s">
        <v>259</v>
      </c>
      <c r="M1027" s="594" t="s">
        <v>174</v>
      </c>
      <c r="N1027" s="52" t="str">
        <f>IF(AND('331-CT'!$E$7=TH!H1027,OR(L1027="331",M1027="331")),"331",IF(AND(OR(L1027="131",M1027="131"),H1027='131-CT'!$E$7),"131",""))</f>
        <v/>
      </c>
      <c r="O1027" s="86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99"/>
    </row>
    <row r="1028" spans="1:27" s="210" customFormat="1" ht="15.75" customHeight="1">
      <c r="A1028" s="203" t="str">
        <f>IF(B1028&lt;&gt;"",IF(AND(B1028&gt;=_TM1,B1028&lt;=_TM2,OR(TH!L1028="1111",TH!M1028="1111")),TH!D1028,""),"")</f>
        <v/>
      </c>
      <c r="B1028" s="36">
        <f>IF(C1028&lt;&gt;"",MONTH(C1028),"")</f>
        <v>6</v>
      </c>
      <c r="C1028" s="183">
        <f>E1028</f>
        <v>42177</v>
      </c>
      <c r="D1028" s="183" t="s">
        <v>1591</v>
      </c>
      <c r="E1028" s="190">
        <v>42177</v>
      </c>
      <c r="F1028" s="188" t="s">
        <v>825</v>
      </c>
      <c r="G1028" s="482" t="s">
        <v>822</v>
      </c>
      <c r="H1028" s="7" t="s">
        <v>799</v>
      </c>
      <c r="I1028" s="704">
        <v>60</v>
      </c>
      <c r="J1028" s="704">
        <v>4000</v>
      </c>
      <c r="K1028" s="593">
        <f>ROUND(I1028*J1028,0)</f>
        <v>240000</v>
      </c>
      <c r="L1028" s="594" t="s">
        <v>259</v>
      </c>
      <c r="M1028" s="594" t="s">
        <v>174</v>
      </c>
      <c r="N1028" s="52" t="str">
        <f>IF(AND('331-CT'!$E$7=TH!H1028,OR(L1028="331",M1028="331")),"331",IF(AND(OR(L1028="131",M1028="131"),H1028='131-CT'!$E$7),"131",""))</f>
        <v/>
      </c>
      <c r="O1028" s="86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99"/>
    </row>
    <row r="1029" spans="1:27" s="210" customFormat="1" ht="15.75" customHeight="1">
      <c r="A1029" s="203" t="str">
        <f>IF(B1029&lt;&gt;"",IF(AND(B1029&gt;=_TM1,B1029&lt;=_TM2,OR(TH!L1029="1111",TH!M1029="1111")),TH!D1029,""),"")</f>
        <v/>
      </c>
      <c r="B1029" s="36">
        <f>IF(C1029&lt;&gt;"",MONTH(C1029),"")</f>
        <v>6</v>
      </c>
      <c r="C1029" s="183">
        <f>E1029</f>
        <v>42177</v>
      </c>
      <c r="D1029" s="183" t="s">
        <v>1591</v>
      </c>
      <c r="E1029" s="190">
        <v>42177</v>
      </c>
      <c r="F1029" s="188" t="s">
        <v>826</v>
      </c>
      <c r="G1029" s="482" t="s">
        <v>822</v>
      </c>
      <c r="H1029" s="7" t="s">
        <v>799</v>
      </c>
      <c r="I1029" s="766">
        <v>20</v>
      </c>
      <c r="J1029" s="704">
        <v>48000</v>
      </c>
      <c r="K1029" s="593">
        <f>ROUND(I1029*J1029,0)</f>
        <v>960000</v>
      </c>
      <c r="L1029" s="594" t="s">
        <v>259</v>
      </c>
      <c r="M1029" s="594" t="s">
        <v>174</v>
      </c>
      <c r="N1029" s="52" t="str">
        <f>IF(AND('331-CT'!$E$7=TH!H1029,OR(L1029="331",M1029="331")),"331",IF(AND(OR(L1029="131",M1029="131"),H1029='131-CT'!$E$7),"131",""))</f>
        <v/>
      </c>
      <c r="O1029" s="86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99"/>
    </row>
    <row r="1030" spans="1:27" s="210" customFormat="1" ht="15.75" customHeight="1">
      <c r="A1030" s="203" t="str">
        <f>IF(B1030&lt;&gt;"",IF(AND(B1030&gt;=_TM1,B1030&lt;=_TM2,OR(TH!L1030="1111",TH!M1030="1111")),TH!D1030,""),"")</f>
        <v/>
      </c>
      <c r="B1030" s="36">
        <f>IF(C1030&lt;&gt;"",MONTH(C1030),"")</f>
        <v>6</v>
      </c>
      <c r="C1030" s="183">
        <f>E1030</f>
        <v>42177</v>
      </c>
      <c r="D1030" s="183" t="s">
        <v>1591</v>
      </c>
      <c r="E1030" s="190">
        <v>42177</v>
      </c>
      <c r="F1030" s="188" t="s">
        <v>827</v>
      </c>
      <c r="G1030" s="482" t="s">
        <v>822</v>
      </c>
      <c r="H1030" s="7" t="s">
        <v>799</v>
      </c>
      <c r="I1030" s="766">
        <v>10</v>
      </c>
      <c r="J1030" s="704">
        <v>43000</v>
      </c>
      <c r="K1030" s="593">
        <f>ROUND(I1030*J1030,0)</f>
        <v>430000</v>
      </c>
      <c r="L1030" s="594" t="s">
        <v>259</v>
      </c>
      <c r="M1030" s="594" t="s">
        <v>174</v>
      </c>
      <c r="N1030" s="52" t="str">
        <f>IF(AND('331-CT'!$E$7=TH!H1030,OR(L1030="331",M1030="331")),"331",IF(AND(OR(L1030="131",M1030="131"),H1030='131-CT'!$E$7),"131",""))</f>
        <v/>
      </c>
      <c r="O1030" s="86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99"/>
    </row>
    <row r="1031" spans="1:27" s="210" customFormat="1" ht="15.75" customHeight="1">
      <c r="A1031" s="203" t="str">
        <f>IF(B1031&lt;&gt;"",IF(AND(B1031&gt;=_TM1,B1031&lt;=_TM2,OR(TH!L1031="1111",TH!M1031="1111")),TH!D1031,""),"")</f>
        <v/>
      </c>
      <c r="B1031" s="36">
        <f>IF(C1031&lt;&gt;"",MONTH(C1031),"")</f>
        <v>6</v>
      </c>
      <c r="C1031" s="183">
        <f>E1031</f>
        <v>42177</v>
      </c>
      <c r="D1031" s="183" t="s">
        <v>1591</v>
      </c>
      <c r="E1031" s="190">
        <v>42177</v>
      </c>
      <c r="F1031" s="40" t="s">
        <v>827</v>
      </c>
      <c r="G1031" s="482" t="s">
        <v>822</v>
      </c>
      <c r="H1031" s="7" t="s">
        <v>799</v>
      </c>
      <c r="I1031" s="704">
        <v>10</v>
      </c>
      <c r="J1031" s="704">
        <v>43000</v>
      </c>
      <c r="K1031" s="593">
        <f>ROUND(I1031*J1031,0)</f>
        <v>430000</v>
      </c>
      <c r="L1031" s="594" t="s">
        <v>259</v>
      </c>
      <c r="M1031" s="594" t="s">
        <v>174</v>
      </c>
      <c r="N1031" s="52" t="str">
        <f>IF(AND('331-CT'!$E$7=TH!H1031,OR(L1031="331",M1031="331")),"331",IF(AND(OR(L1031="131",M1031="131"),H1031='131-CT'!$E$7),"131",""))</f>
        <v/>
      </c>
      <c r="O1031" s="86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99"/>
    </row>
    <row r="1032" spans="1:27" s="210" customFormat="1" ht="15.75" customHeight="1">
      <c r="A1032" s="203" t="str">
        <f>IF(B1032&lt;&gt;"",IF(AND(B1032&gt;=_TM1,B1032&lt;=_TM2,OR(TH!L1032="1111",TH!M1032="1111")),TH!D1032,""),"")</f>
        <v/>
      </c>
      <c r="B1032" s="36">
        <f>IF(C1032&lt;&gt;"",MONTH(C1032),"")</f>
        <v>6</v>
      </c>
      <c r="C1032" s="183">
        <f>E1032</f>
        <v>42177</v>
      </c>
      <c r="D1032" s="183" t="s">
        <v>1591</v>
      </c>
      <c r="E1032" s="190">
        <v>42177</v>
      </c>
      <c r="F1032" s="188" t="s">
        <v>826</v>
      </c>
      <c r="G1032" s="482" t="s">
        <v>822</v>
      </c>
      <c r="H1032" s="7" t="s">
        <v>799</v>
      </c>
      <c r="I1032" s="704">
        <v>223</v>
      </c>
      <c r="J1032" s="704">
        <v>2900</v>
      </c>
      <c r="K1032" s="593">
        <f>ROUND(I1032*J1032,0)</f>
        <v>646700</v>
      </c>
      <c r="L1032" s="594" t="s">
        <v>259</v>
      </c>
      <c r="M1032" s="594" t="s">
        <v>174</v>
      </c>
      <c r="N1032" s="52" t="str">
        <f>IF(AND('331-CT'!$E$7=TH!H1032,OR(L1032="331",M1032="331")),"331",IF(AND(OR(L1032="131",M1032="131"),H1032='131-CT'!$E$7),"131",""))</f>
        <v/>
      </c>
      <c r="O1032" s="86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99"/>
    </row>
    <row r="1033" spans="1:27" s="210" customFormat="1" ht="15.75" customHeight="1">
      <c r="A1033" s="203" t="str">
        <f>IF(B1033&lt;&gt;"",IF(AND(B1033&gt;=_TM1,B1033&lt;=_TM2,OR(TH!L1033="1111",TH!M1033="1111")),TH!D1033,""),"")</f>
        <v/>
      </c>
      <c r="B1033" s="36">
        <f>IF(C1033&lt;&gt;"",MONTH(C1033),"")</f>
        <v>6</v>
      </c>
      <c r="C1033" s="183">
        <f>E1033</f>
        <v>42177</v>
      </c>
      <c r="D1033" s="183" t="s">
        <v>1591</v>
      </c>
      <c r="E1033" s="190">
        <v>42177</v>
      </c>
      <c r="F1033" s="188" t="s">
        <v>827</v>
      </c>
      <c r="G1033" s="482" t="s">
        <v>822</v>
      </c>
      <c r="H1033" s="7" t="s">
        <v>799</v>
      </c>
      <c r="I1033" s="704">
        <v>15</v>
      </c>
      <c r="J1033" s="704">
        <v>22150</v>
      </c>
      <c r="K1033" s="593">
        <f>ROUND(I1033*J1033,0)</f>
        <v>332250</v>
      </c>
      <c r="L1033" s="594" t="s">
        <v>259</v>
      </c>
      <c r="M1033" s="594" t="s">
        <v>174</v>
      </c>
      <c r="N1033" s="52" t="str">
        <f>IF(AND('331-CT'!$E$7=TH!H1033,OR(L1033="331",M1033="331")),"331",IF(AND(OR(L1033="131",M1033="131"),H1033='131-CT'!$E$7),"131",""))</f>
        <v/>
      </c>
      <c r="O1033" s="86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99"/>
    </row>
    <row r="1034" spans="1:27" s="210" customFormat="1" ht="15.75" customHeight="1">
      <c r="A1034" s="203" t="str">
        <f>IF(B1034&lt;&gt;"",IF(AND(B1034&gt;=_TM1,B1034&lt;=_TM2,OR(TH!L1034="1111",TH!M1034="1111")),TH!D1034,""),"")</f>
        <v/>
      </c>
      <c r="B1034" s="36">
        <f>IF(C1034&lt;&gt;"",MONTH(C1034),"")</f>
        <v>6</v>
      </c>
      <c r="C1034" s="183">
        <f>E1034</f>
        <v>42177</v>
      </c>
      <c r="D1034" s="183" t="s">
        <v>1591</v>
      </c>
      <c r="E1034" s="190">
        <v>42177</v>
      </c>
      <c r="F1034" s="188" t="s">
        <v>828</v>
      </c>
      <c r="G1034" s="482" t="s">
        <v>822</v>
      </c>
      <c r="H1034" s="7" t="s">
        <v>799</v>
      </c>
      <c r="I1034" s="704">
        <v>21</v>
      </c>
      <c r="J1034" s="704">
        <v>49000</v>
      </c>
      <c r="K1034" s="593">
        <f>ROUND(I1034*J1034,0)</f>
        <v>1029000</v>
      </c>
      <c r="L1034" s="594" t="s">
        <v>259</v>
      </c>
      <c r="M1034" s="594" t="s">
        <v>174</v>
      </c>
      <c r="N1034" s="52" t="str">
        <f>IF(AND('331-CT'!$E$7=TH!H1034,OR(L1034="331",M1034="331")),"331",IF(AND(OR(L1034="131",M1034="131"),H1034='131-CT'!$E$7),"131",""))</f>
        <v/>
      </c>
      <c r="O1034" s="86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99"/>
    </row>
    <row r="1035" spans="1:27" s="210" customFormat="1" ht="15.75" customHeight="1">
      <c r="A1035" s="203" t="str">
        <f>IF(B1035&lt;&gt;"",IF(AND(B1035&gt;=_TM1,B1035&lt;=_TM2,OR(TH!L1035="1111",TH!M1035="1111")),TH!D1035,""),"")</f>
        <v/>
      </c>
      <c r="B1035" s="36">
        <f>IF(C1035&lt;&gt;"",MONTH(C1035),"")</f>
        <v>6</v>
      </c>
      <c r="C1035" s="183">
        <f>E1035</f>
        <v>42177</v>
      </c>
      <c r="D1035" s="183" t="s">
        <v>1591</v>
      </c>
      <c r="E1035" s="183">
        <v>42177</v>
      </c>
      <c r="F1035" s="188" t="s">
        <v>402</v>
      </c>
      <c r="G1035" s="595" t="s">
        <v>822</v>
      </c>
      <c r="H1035" s="7" t="s">
        <v>799</v>
      </c>
      <c r="I1035" s="704"/>
      <c r="J1035" s="704"/>
      <c r="K1035" s="593">
        <v>661798</v>
      </c>
      <c r="L1035" s="594" t="s">
        <v>259</v>
      </c>
      <c r="M1035" s="594" t="s">
        <v>371</v>
      </c>
      <c r="N1035" s="52" t="str">
        <f>IF(AND('331-CT'!$E$7=TH!H1035,OR(L1035="331",M1035="331")),"331",IF(AND(OR(L1035="131",M1035="131"),H1035='131-CT'!$E$7),"131",""))</f>
        <v/>
      </c>
      <c r="O1035" s="86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99"/>
    </row>
    <row r="1036" spans="1:27" s="210" customFormat="1" ht="15.75" customHeight="1">
      <c r="A1036" s="203" t="str">
        <f>IF(B1036&lt;&gt;"",IF(AND(B1036&gt;=_TM1,B1036&lt;=_TM2,OR(TH!L1036="1111",TH!M1036="1111")),TH!D1036,""),"")</f>
        <v/>
      </c>
      <c r="B1036" s="36">
        <f>IF(C1036&lt;&gt;"",MONTH(C1036),"")</f>
        <v>6</v>
      </c>
      <c r="C1036" s="183">
        <f>E1036</f>
        <v>42177</v>
      </c>
      <c r="D1036" s="183" t="s">
        <v>1319</v>
      </c>
      <c r="E1036" s="190">
        <v>42177</v>
      </c>
      <c r="F1036" s="191" t="s">
        <v>1320</v>
      </c>
      <c r="G1036" s="482" t="s">
        <v>332</v>
      </c>
      <c r="H1036" s="7" t="s">
        <v>1934</v>
      </c>
      <c r="I1036" s="704"/>
      <c r="J1036" s="704"/>
      <c r="K1036" s="593">
        <v>45332040</v>
      </c>
      <c r="L1036" s="594" t="s">
        <v>24</v>
      </c>
      <c r="M1036" s="594" t="s">
        <v>259</v>
      </c>
      <c r="N1036" s="52" t="str">
        <f>IF(AND('331-CT'!$E$7=TH!H1036,OR(L1036="331",M1036="331")),"331",IF(AND(OR(L1036="131",M1036="131"),H1036='131-CT'!$E$7),"131",""))</f>
        <v/>
      </c>
      <c r="O1036" s="86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>x</v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99"/>
    </row>
    <row r="1037" spans="1:27" s="210" customFormat="1" ht="15.75" customHeight="1">
      <c r="A1037" s="203" t="str">
        <f>IF(B1037&lt;&gt;"",IF(AND(B1037&gt;=_TM1,B1037&lt;=_TM2,OR(TH!L1037="1111",TH!M1037="1111")),TH!D1037,""),"")</f>
        <v/>
      </c>
      <c r="B1037" s="36">
        <f>IF(C1037&lt;&gt;"",MONTH(C1037),"")</f>
        <v>6</v>
      </c>
      <c r="C1037" s="183">
        <f>E1037</f>
        <v>42177</v>
      </c>
      <c r="D1037" s="183" t="s">
        <v>1324</v>
      </c>
      <c r="E1037" s="190">
        <v>42177</v>
      </c>
      <c r="F1037" s="188" t="s">
        <v>1325</v>
      </c>
      <c r="G1037" s="482" t="s">
        <v>332</v>
      </c>
      <c r="H1037" s="7" t="s">
        <v>1331</v>
      </c>
      <c r="I1037" s="704"/>
      <c r="J1037" s="704"/>
      <c r="K1037" s="593">
        <v>45400000</v>
      </c>
      <c r="L1037" s="594" t="s">
        <v>47</v>
      </c>
      <c r="M1037" s="594" t="s">
        <v>24</v>
      </c>
      <c r="N1037" s="52" t="str">
        <f>IF(AND('331-CT'!$E$7=TH!H1037,OR(L1037="331",M1037="331")),"331",IF(AND(OR(L1037="131",M1037="131"),H1037='131-CT'!$E$7),"131",""))</f>
        <v/>
      </c>
      <c r="O1037" s="869" t="str">
        <f>IF(AND('341-CT'!$E$9=H1037,OR(LEFT(L1037,3)=$O$7,LEFT(M1037,3)=$O$7)),"x","")</f>
        <v/>
      </c>
      <c r="P1037" s="52" t="str">
        <f>IF(AND($B1037&gt;='111'!$N$11,$B1037&lt;='111'!$O$11,OR($L1037=$P$7,$M1037=$P$7)),"x","")</f>
        <v>x</v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>x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99"/>
    </row>
    <row r="1038" spans="1:27" s="210" customFormat="1" ht="15.75" customHeight="1">
      <c r="A1038" s="203" t="str">
        <f>IF(B1038&lt;&gt;"",IF(AND(B1038&gt;=_TM1,B1038&lt;=_TM2,OR(TH!L1038="1111",TH!M1038="1111")),TH!D1038,""),"")</f>
        <v/>
      </c>
      <c r="B1038" s="36">
        <f>IF(C1038&lt;&gt;"",MONTH(C1038),"")</f>
        <v>6</v>
      </c>
      <c r="C1038" s="183">
        <f>E1038</f>
        <v>42177</v>
      </c>
      <c r="D1038" s="190" t="s">
        <v>2001</v>
      </c>
      <c r="E1038" s="727">
        <v>42177</v>
      </c>
      <c r="F1038" s="296" t="s">
        <v>1380</v>
      </c>
      <c r="G1038" s="482" t="s">
        <v>511</v>
      </c>
      <c r="H1038" s="7" t="s">
        <v>1450</v>
      </c>
      <c r="I1038" s="704">
        <v>11655</v>
      </c>
      <c r="J1038" s="704">
        <v>7400</v>
      </c>
      <c r="K1038" s="593">
        <f>ROUND(I1038*J1038,0)</f>
        <v>86247000</v>
      </c>
      <c r="L1038" s="594" t="s">
        <v>159</v>
      </c>
      <c r="M1038" s="594" t="s">
        <v>8</v>
      </c>
      <c r="N1038" s="52" t="str">
        <f>IF(AND('331-CT'!$E$7=TH!H1038,OR(L1038="331",M1038="331")),"331",IF(AND(OR(L1038="131",M1038="131"),H1038='131-CT'!$E$7),"131",""))</f>
        <v/>
      </c>
      <c r="O1038" s="86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>x</v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99"/>
    </row>
    <row r="1039" spans="1:27" s="210" customFormat="1" ht="15.75" customHeight="1">
      <c r="A1039" s="203" t="str">
        <f>IF(B1039&lt;&gt;"",IF(AND(B1039&gt;=_TM1,B1039&lt;=_TM2,OR(TH!L1039="1111",TH!M1039="1111")),TH!D1039,""),"")</f>
        <v/>
      </c>
      <c r="B1039" s="36">
        <f>IF(C1039&lt;&gt;"",MONTH(C1039),"")</f>
        <v>6</v>
      </c>
      <c r="C1039" s="183">
        <f>E1039</f>
        <v>42177</v>
      </c>
      <c r="D1039" s="190" t="s">
        <v>2001</v>
      </c>
      <c r="E1039" s="727">
        <v>42177</v>
      </c>
      <c r="F1039" s="296" t="s">
        <v>1381</v>
      </c>
      <c r="G1039" s="482" t="s">
        <v>511</v>
      </c>
      <c r="H1039" s="7" t="s">
        <v>1450</v>
      </c>
      <c r="I1039" s="704"/>
      <c r="J1039" s="704"/>
      <c r="K1039" s="593">
        <v>8624700</v>
      </c>
      <c r="L1039" s="594" t="s">
        <v>9</v>
      </c>
      <c r="M1039" s="594" t="s">
        <v>8</v>
      </c>
      <c r="N1039" s="52" t="str">
        <f>IF(AND('331-CT'!$E$7=TH!H1039,OR(L1039="331",M1039="331")),"331",IF(AND(OR(L1039="131",M1039="131"),H1039='131-CT'!$E$7),"131",""))</f>
        <v/>
      </c>
      <c r="O1039" s="86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99"/>
    </row>
    <row r="1040" spans="1:27" s="210" customFormat="1" ht="15.75" customHeight="1">
      <c r="A1040" s="203" t="str">
        <f>IF(B1040&lt;&gt;"",IF(AND(B1040&gt;=_TM1,B1040&lt;=_TM2,OR(TH!L1040="1111",TH!M1040="1111")),TH!D1040,""),"")</f>
        <v/>
      </c>
      <c r="B1040" s="36">
        <f>IF(C1040&lt;&gt;"",MONTH(C1040),"")</f>
        <v>6</v>
      </c>
      <c r="C1040" s="183">
        <f>E1040</f>
        <v>42177</v>
      </c>
      <c r="D1040" s="190" t="s">
        <v>2002</v>
      </c>
      <c r="E1040" s="727">
        <v>42177</v>
      </c>
      <c r="F1040" s="191" t="s">
        <v>1398</v>
      </c>
      <c r="G1040" s="482" t="s">
        <v>1483</v>
      </c>
      <c r="H1040" s="7" t="s">
        <v>1397</v>
      </c>
      <c r="I1040" s="704">
        <v>1871</v>
      </c>
      <c r="J1040" s="704">
        <v>9100</v>
      </c>
      <c r="K1040" s="593">
        <f>ROUND(I1040*J1040,0)</f>
        <v>17026100</v>
      </c>
      <c r="L1040" s="594" t="s">
        <v>159</v>
      </c>
      <c r="M1040" s="594" t="s">
        <v>8</v>
      </c>
      <c r="N1040" s="52" t="str">
        <f>IF(AND('331-CT'!$E$7=TH!H1040,OR(L1040="331",M1040="331")),"331",IF(AND(OR(L1040="131",M1040="131"),H1040='131-CT'!$E$7),"131",""))</f>
        <v/>
      </c>
      <c r="O1040" s="86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99"/>
    </row>
    <row r="1041" spans="1:27" s="210" customFormat="1" ht="15.75" customHeight="1">
      <c r="A1041" s="203" t="str">
        <f>IF(B1041&lt;&gt;"",IF(AND(B1041&gt;=_TM1,B1041&lt;=_TM2,OR(TH!L1041="1111",TH!M1041="1111")),TH!D1041,""),"")</f>
        <v/>
      </c>
      <c r="B1041" s="36">
        <f>IF(C1041&lt;&gt;"",MONTH(C1041),"")</f>
        <v>6</v>
      </c>
      <c r="C1041" s="183">
        <f>E1041</f>
        <v>42177</v>
      </c>
      <c r="D1041" s="190" t="s">
        <v>2002</v>
      </c>
      <c r="E1041" s="727">
        <v>42177</v>
      </c>
      <c r="F1041" s="191" t="s">
        <v>1402</v>
      </c>
      <c r="G1041" s="482" t="s">
        <v>1483</v>
      </c>
      <c r="H1041" s="7" t="s">
        <v>1397</v>
      </c>
      <c r="I1041" s="704">
        <v>2553</v>
      </c>
      <c r="J1041" s="704">
        <v>9000</v>
      </c>
      <c r="K1041" s="593">
        <f>ROUND(I1041*J1041,0)</f>
        <v>22977000</v>
      </c>
      <c r="L1041" s="594" t="s">
        <v>159</v>
      </c>
      <c r="M1041" s="594" t="s">
        <v>8</v>
      </c>
      <c r="N1041" s="52" t="str">
        <f>IF(AND('331-CT'!$E$7=TH!H1041,OR(L1041="331",M1041="331")),"331",IF(AND(OR(L1041="131",M1041="131"),H1041='131-CT'!$E$7),"131",""))</f>
        <v/>
      </c>
      <c r="O1041" s="86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99"/>
    </row>
    <row r="1042" spans="1:27" s="210" customFormat="1" ht="15.75" customHeight="1">
      <c r="A1042" s="203" t="str">
        <f>IF(B1042&lt;&gt;"",IF(AND(B1042&gt;=_TM1,B1042&lt;=_TM2,OR(TH!L1042="1111",TH!M1042="1111")),TH!D1042,""),"")</f>
        <v/>
      </c>
      <c r="B1042" s="36">
        <f>IF(C1042&lt;&gt;"",MONTH(C1042),"")</f>
        <v>6</v>
      </c>
      <c r="C1042" s="183">
        <f>E1042</f>
        <v>42177</v>
      </c>
      <c r="D1042" s="190" t="s">
        <v>2002</v>
      </c>
      <c r="E1042" s="727">
        <v>42177</v>
      </c>
      <c r="F1042" s="191" t="s">
        <v>1379</v>
      </c>
      <c r="G1042" s="482" t="s">
        <v>1483</v>
      </c>
      <c r="H1042" s="7" t="s">
        <v>1397</v>
      </c>
      <c r="I1042" s="704"/>
      <c r="J1042" s="704"/>
      <c r="K1042" s="593">
        <v>4000310</v>
      </c>
      <c r="L1042" s="594" t="s">
        <v>9</v>
      </c>
      <c r="M1042" s="594" t="s">
        <v>8</v>
      </c>
      <c r="N1042" s="52" t="str">
        <f>IF(AND('331-CT'!$E$7=TH!H1042,OR(L1042="331",M1042="331")),"331",IF(AND(OR(L1042="131",M1042="131"),H1042='131-CT'!$E$7),"131",""))</f>
        <v/>
      </c>
      <c r="O1042" s="86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99"/>
    </row>
    <row r="1043" spans="1:27" s="210" customFormat="1" ht="15.75" customHeight="1">
      <c r="A1043" s="203" t="str">
        <f>IF(B1043&lt;&gt;"",IF(AND(B1043&gt;=_TM1,B1043&lt;=_TM2,OR(TH!L1043="1111",TH!M1043="1111")),TH!D1043,""),"")</f>
        <v/>
      </c>
      <c r="B1043" s="36">
        <f>IF(C1043&lt;&gt;"",MONTH(C1043),"")</f>
        <v>6</v>
      </c>
      <c r="C1043" s="183">
        <f>E1043</f>
        <v>42178</v>
      </c>
      <c r="D1043" s="183" t="s">
        <v>1592</v>
      </c>
      <c r="E1043" s="190">
        <v>42178</v>
      </c>
      <c r="F1043" s="191" t="s">
        <v>595</v>
      </c>
      <c r="G1043" s="482" t="s">
        <v>829</v>
      </c>
      <c r="H1043" s="192" t="s">
        <v>453</v>
      </c>
      <c r="I1043" s="704">
        <v>205</v>
      </c>
      <c r="J1043" s="704">
        <v>6400</v>
      </c>
      <c r="K1043" s="593">
        <f>ROUND(I1043*J1043,0)</f>
        <v>1312000</v>
      </c>
      <c r="L1043" s="594" t="s">
        <v>259</v>
      </c>
      <c r="M1043" s="594" t="s">
        <v>174</v>
      </c>
      <c r="N1043" s="52" t="str">
        <f>IF(AND('331-CT'!$E$7=TH!H1043,OR(L1043="331",M1043="331")),"331",IF(AND(OR(L1043="131",M1043="131"),H1043='131-CT'!$E$7),"131",""))</f>
        <v/>
      </c>
      <c r="O1043" s="86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99"/>
    </row>
    <row r="1044" spans="1:27" s="210" customFormat="1" ht="15.75" customHeight="1">
      <c r="A1044" s="203" t="str">
        <f>IF(B1044&lt;&gt;"",IF(AND(B1044&gt;=_TM1,B1044&lt;=_TM2,OR(TH!L1044="1111",TH!M1044="1111")),TH!D1044,""),"")</f>
        <v/>
      </c>
      <c r="B1044" s="36">
        <f>IF(C1044&lt;&gt;"",MONTH(C1044),"")</f>
        <v>6</v>
      </c>
      <c r="C1044" s="183">
        <f>E1044</f>
        <v>42178</v>
      </c>
      <c r="D1044" s="183" t="s">
        <v>1592</v>
      </c>
      <c r="E1044" s="190">
        <v>42178</v>
      </c>
      <c r="F1044" s="191" t="s">
        <v>402</v>
      </c>
      <c r="G1044" s="482" t="s">
        <v>829</v>
      </c>
      <c r="H1044" s="192" t="s">
        <v>453</v>
      </c>
      <c r="I1044" s="710"/>
      <c r="J1044" s="710"/>
      <c r="K1044" s="593">
        <v>131200</v>
      </c>
      <c r="L1044" s="594" t="s">
        <v>259</v>
      </c>
      <c r="M1044" s="594" t="s">
        <v>371</v>
      </c>
      <c r="N1044" s="52" t="str">
        <f>IF(AND('331-CT'!$E$7=TH!H1044,OR(L1044="331",M1044="331")),"331",IF(AND(OR(L1044="131",M1044="131"),H1044='131-CT'!$E$7),"131",""))</f>
        <v/>
      </c>
      <c r="O1044" s="86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99"/>
    </row>
    <row r="1045" spans="1:27" s="210" customFormat="1" ht="15.75" customHeight="1">
      <c r="A1045" s="203" t="str">
        <f>IF(B1045&lt;&gt;"",IF(AND(B1045&gt;=_TM1,B1045&lt;=_TM2,OR(TH!L1045="1111",TH!M1045="1111")),TH!D1045,""),"")</f>
        <v/>
      </c>
      <c r="B1045" s="36">
        <f>IF(C1045&lt;&gt;"",MONTH(C1045),"")</f>
        <v>6</v>
      </c>
      <c r="C1045" s="183">
        <f>E1045</f>
        <v>42178</v>
      </c>
      <c r="D1045" s="183" t="s">
        <v>1319</v>
      </c>
      <c r="E1045" s="190">
        <v>42178</v>
      </c>
      <c r="F1045" s="191" t="s">
        <v>1320</v>
      </c>
      <c r="G1045" s="482" t="s">
        <v>332</v>
      </c>
      <c r="H1045" s="7" t="s">
        <v>799</v>
      </c>
      <c r="I1045" s="704"/>
      <c r="J1045" s="704"/>
      <c r="K1045" s="593">
        <v>20124949</v>
      </c>
      <c r="L1045" s="594" t="s">
        <v>24</v>
      </c>
      <c r="M1045" s="594" t="s">
        <v>259</v>
      </c>
      <c r="N1045" s="52" t="str">
        <f>IF(AND('331-CT'!$E$7=TH!H1045,OR(L1045="331",M1045="331")),"331",IF(AND(OR(L1045="131",M1045="131"),H1045='131-CT'!$E$7),"131",""))</f>
        <v/>
      </c>
      <c r="O1045" s="86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>x</v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99"/>
    </row>
    <row r="1046" spans="1:27" s="210" customFormat="1" ht="15.75" customHeight="1">
      <c r="A1046" s="203" t="str">
        <f>IF(B1046&lt;&gt;"",IF(AND(B1046&gt;=_TM1,B1046&lt;=_TM2,OR(TH!L1046="1111",TH!M1046="1111")),TH!D1046,""),"")</f>
        <v/>
      </c>
      <c r="B1046" s="36">
        <f>IF(C1046&lt;&gt;"",MONTH(C1046),"")</f>
        <v>6</v>
      </c>
      <c r="C1046" s="183">
        <f>E1046</f>
        <v>42178</v>
      </c>
      <c r="D1046" s="190" t="s">
        <v>2003</v>
      </c>
      <c r="E1046" s="727">
        <v>42178</v>
      </c>
      <c r="F1046" s="191" t="s">
        <v>1398</v>
      </c>
      <c r="G1046" s="482" t="s">
        <v>1484</v>
      </c>
      <c r="H1046" s="7" t="s">
        <v>1397</v>
      </c>
      <c r="I1046" s="704">
        <v>1169</v>
      </c>
      <c r="J1046" s="704">
        <v>9100</v>
      </c>
      <c r="K1046" s="593">
        <f>ROUND(I1046*J1046,0)</f>
        <v>10637900</v>
      </c>
      <c r="L1046" s="594" t="s">
        <v>159</v>
      </c>
      <c r="M1046" s="594" t="s">
        <v>8</v>
      </c>
      <c r="N1046" s="52" t="str">
        <f>IF(AND('331-CT'!$E$7=TH!H1046,OR(L1046="331",M1046="331")),"331",IF(AND(OR(L1046="131",M1046="131"),H1046='131-CT'!$E$7),"131",""))</f>
        <v/>
      </c>
      <c r="O1046" s="86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99"/>
    </row>
    <row r="1047" spans="1:27" s="210" customFormat="1" ht="15.75" customHeight="1">
      <c r="A1047" s="203" t="str">
        <f>IF(B1047&lt;&gt;"",IF(AND(B1047&gt;=_TM1,B1047&lt;=_TM2,OR(TH!L1047="1111",TH!M1047="1111")),TH!D1047,""),"")</f>
        <v/>
      </c>
      <c r="B1047" s="36">
        <f>IF(C1047&lt;&gt;"",MONTH(C1047),"")</f>
        <v>6</v>
      </c>
      <c r="C1047" s="183">
        <f>E1047</f>
        <v>42178</v>
      </c>
      <c r="D1047" s="190" t="s">
        <v>2003</v>
      </c>
      <c r="E1047" s="727">
        <v>42178</v>
      </c>
      <c r="F1047" s="191" t="s">
        <v>1402</v>
      </c>
      <c r="G1047" s="482" t="s">
        <v>1484</v>
      </c>
      <c r="H1047" s="7" t="s">
        <v>1397</v>
      </c>
      <c r="I1047" s="704">
        <v>1716</v>
      </c>
      <c r="J1047" s="704">
        <v>9000</v>
      </c>
      <c r="K1047" s="593">
        <f>ROUND(I1047*J1047,0)</f>
        <v>15444000</v>
      </c>
      <c r="L1047" s="594" t="s">
        <v>159</v>
      </c>
      <c r="M1047" s="594" t="s">
        <v>8</v>
      </c>
      <c r="N1047" s="52" t="str">
        <f>IF(AND('331-CT'!$E$7=TH!H1047,OR(L1047="331",M1047="331")),"331",IF(AND(OR(L1047="131",M1047="131"),H1047='131-CT'!$E$7),"131",""))</f>
        <v/>
      </c>
      <c r="O1047" s="86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99"/>
    </row>
    <row r="1048" spans="1:27" s="210" customFormat="1" ht="15.75" customHeight="1">
      <c r="A1048" s="203" t="str">
        <f>IF(B1048&lt;&gt;"",IF(AND(B1048&gt;=_TM1,B1048&lt;=_TM2,OR(TH!L1048="1111",TH!M1048="1111")),TH!D1048,""),"")</f>
        <v/>
      </c>
      <c r="B1048" s="36">
        <f>IF(C1048&lt;&gt;"",MONTH(C1048),"")</f>
        <v>6</v>
      </c>
      <c r="C1048" s="183">
        <f>E1048</f>
        <v>42178</v>
      </c>
      <c r="D1048" s="190" t="s">
        <v>2003</v>
      </c>
      <c r="E1048" s="727">
        <v>42178</v>
      </c>
      <c r="F1048" s="191" t="s">
        <v>1379</v>
      </c>
      <c r="G1048" s="482" t="s">
        <v>1484</v>
      </c>
      <c r="H1048" s="7" t="s">
        <v>1397</v>
      </c>
      <c r="I1048" s="704"/>
      <c r="J1048" s="767"/>
      <c r="K1048" s="593">
        <v>2608190</v>
      </c>
      <c r="L1048" s="594" t="s">
        <v>9</v>
      </c>
      <c r="M1048" s="594" t="s">
        <v>8</v>
      </c>
      <c r="N1048" s="52" t="str">
        <f>IF(AND('331-CT'!$E$7=TH!H1048,OR(L1048="331",M1048="331")),"331",IF(AND(OR(L1048="131",M1048="131"),H1048='131-CT'!$E$7),"131",""))</f>
        <v/>
      </c>
      <c r="O1048" s="86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99"/>
    </row>
    <row r="1049" spans="1:27" s="210" customFormat="1" ht="15.75" customHeight="1">
      <c r="A1049" s="203" t="str">
        <f>IF(B1049&lt;&gt;"",IF(AND(B1049&gt;=_TM1,B1049&lt;=_TM2,OR(TH!L1049="1111",TH!M1049="1111")),TH!D1049,""),"")</f>
        <v/>
      </c>
      <c r="B1049" s="36">
        <f>IF(C1049&lt;&gt;"",MONTH(C1049),"")</f>
        <v>6</v>
      </c>
      <c r="C1049" s="183">
        <f>E1049</f>
        <v>42179</v>
      </c>
      <c r="D1049" s="183" t="s">
        <v>1593</v>
      </c>
      <c r="E1049" s="190">
        <v>42179</v>
      </c>
      <c r="F1049" s="191" t="s">
        <v>830</v>
      </c>
      <c r="G1049" s="482" t="s">
        <v>831</v>
      </c>
      <c r="H1049" s="7" t="s">
        <v>832</v>
      </c>
      <c r="I1049" s="704">
        <v>280</v>
      </c>
      <c r="J1049" s="255">
        <v>10600</v>
      </c>
      <c r="K1049" s="593">
        <f>ROUND(I1049*J1049,0)</f>
        <v>2968000</v>
      </c>
      <c r="L1049" s="594" t="s">
        <v>259</v>
      </c>
      <c r="M1049" s="594" t="s">
        <v>174</v>
      </c>
      <c r="N1049" s="52" t="str">
        <f>IF(AND('331-CT'!$E$7=TH!H1049,OR(L1049="331",M1049="331")),"331",IF(AND(OR(L1049="131",M1049="131"),H1049='131-CT'!$E$7),"131",""))</f>
        <v/>
      </c>
      <c r="O1049" s="86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99"/>
    </row>
    <row r="1050" spans="1:27" s="210" customFormat="1" ht="15.75" customHeight="1">
      <c r="A1050" s="203" t="str">
        <f>IF(B1050&lt;&gt;"",IF(AND(B1050&gt;=_TM1,B1050&lt;=_TM2,OR(TH!L1050="1111",TH!M1050="1111")),TH!D1050,""),"")</f>
        <v/>
      </c>
      <c r="B1050" s="36">
        <f>IF(C1050&lt;&gt;"",MONTH(C1050),"")</f>
        <v>6</v>
      </c>
      <c r="C1050" s="183">
        <f>E1050</f>
        <v>42179</v>
      </c>
      <c r="D1050" s="183" t="s">
        <v>1593</v>
      </c>
      <c r="E1050" s="190">
        <v>42179</v>
      </c>
      <c r="F1050" s="191" t="s">
        <v>402</v>
      </c>
      <c r="G1050" s="482" t="s">
        <v>831</v>
      </c>
      <c r="H1050" s="7" t="s">
        <v>832</v>
      </c>
      <c r="I1050" s="710"/>
      <c r="J1050" s="710"/>
      <c r="K1050" s="593">
        <v>296800</v>
      </c>
      <c r="L1050" s="594" t="s">
        <v>259</v>
      </c>
      <c r="M1050" s="594" t="s">
        <v>371</v>
      </c>
      <c r="N1050" s="52" t="str">
        <f>IF(AND('331-CT'!$E$7=TH!H1050,OR(L1050="331",M1050="331")),"331",IF(AND(OR(L1050="131",M1050="131"),H1050='131-CT'!$E$7),"131",""))</f>
        <v/>
      </c>
      <c r="O1050" s="86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99"/>
    </row>
    <row r="1051" spans="1:27" s="210" customFormat="1" ht="15.75" customHeight="1">
      <c r="A1051" s="203" t="str">
        <f>IF(B1051&lt;&gt;"",IF(AND(B1051&gt;=_TM1,B1051&lt;=_TM2,OR(TH!L1051="1111",TH!M1051="1111")),TH!D1051,""),"")</f>
        <v/>
      </c>
      <c r="B1051" s="36">
        <f>IF(C1051&lt;&gt;"",MONTH(C1051),"")</f>
        <v>6</v>
      </c>
      <c r="C1051" s="183">
        <f>E1051</f>
        <v>42179</v>
      </c>
      <c r="D1051" s="183" t="s">
        <v>1319</v>
      </c>
      <c r="E1051" s="190">
        <v>42179</v>
      </c>
      <c r="F1051" s="191" t="s">
        <v>1320</v>
      </c>
      <c r="G1051" s="482" t="s">
        <v>332</v>
      </c>
      <c r="H1051" s="7" t="s">
        <v>438</v>
      </c>
      <c r="I1051" s="704"/>
      <c r="J1051" s="704"/>
      <c r="K1051" s="593">
        <v>6810490</v>
      </c>
      <c r="L1051" s="594" t="s">
        <v>24</v>
      </c>
      <c r="M1051" s="594" t="s">
        <v>259</v>
      </c>
      <c r="N1051" s="52" t="str">
        <f>IF(AND('331-CT'!$E$7=TH!H1051,OR(L1051="331",M1051="331")),"331",IF(AND(OR(L1051="131",M1051="131"),H1051='131-CT'!$E$7),"131",""))</f>
        <v/>
      </c>
      <c r="O1051" s="86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>x</v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99"/>
    </row>
    <row r="1052" spans="1:27" s="210" customFormat="1" ht="15.75" customHeight="1">
      <c r="A1052" s="203" t="str">
        <f>IF(B1052&lt;&gt;"",IF(AND(B1052&gt;=_TM1,B1052&lt;=_TM2,OR(TH!L1052="1111",TH!M1052="1111")),TH!D1052,""),"")</f>
        <v/>
      </c>
      <c r="B1052" s="36">
        <f>IF(C1052&lt;&gt;"",MONTH(C1052),"")</f>
        <v>6</v>
      </c>
      <c r="C1052" s="183">
        <f>E1052</f>
        <v>42179</v>
      </c>
      <c r="D1052" s="183" t="s">
        <v>1324</v>
      </c>
      <c r="E1052" s="190">
        <v>42179</v>
      </c>
      <c r="F1052" s="188" t="s">
        <v>1325</v>
      </c>
      <c r="G1052" s="482" t="s">
        <v>332</v>
      </c>
      <c r="H1052" s="7" t="s">
        <v>1332</v>
      </c>
      <c r="I1052" s="704"/>
      <c r="J1052" s="704"/>
      <c r="K1052" s="593">
        <v>10000000</v>
      </c>
      <c r="L1052" s="594" t="s">
        <v>47</v>
      </c>
      <c r="M1052" s="594" t="s">
        <v>24</v>
      </c>
      <c r="N1052" s="52" t="str">
        <f>IF(AND('331-CT'!$E$7=TH!H1052,OR(L1052="331",M1052="331")),"331",IF(AND(OR(L1052="131",M1052="131"),H1052='131-CT'!$E$7),"131",""))</f>
        <v/>
      </c>
      <c r="O1052" s="869" t="str">
        <f>IF(AND('341-CT'!$E$9=H1052,OR(LEFT(L1052,3)=$O$7,LEFT(M1052,3)=$O$7)),"x","")</f>
        <v/>
      </c>
      <c r="P1052" s="52" t="str">
        <f>IF(AND($B1052&gt;='111'!$N$11,$B1052&lt;='111'!$O$11,OR($L1052=$P$7,$M1052=$P$7)),"x","")</f>
        <v>x</v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>x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99"/>
    </row>
    <row r="1053" spans="1:27" s="210" customFormat="1" ht="15.75" customHeight="1">
      <c r="A1053" s="203" t="str">
        <f>IF(B1053&lt;&gt;"",IF(AND(B1053&gt;=_TM1,B1053&lt;=_TM2,OR(TH!L1053="1111",TH!M1053="1111")),TH!D1053,""),"")</f>
        <v/>
      </c>
      <c r="B1053" s="36">
        <f>IF(C1053&lt;&gt;"",MONTH(C1053),"")</f>
        <v>6</v>
      </c>
      <c r="C1053" s="183">
        <f>E1053</f>
        <v>42179</v>
      </c>
      <c r="D1053" s="183" t="s">
        <v>1324</v>
      </c>
      <c r="E1053" s="190">
        <v>42179</v>
      </c>
      <c r="F1053" s="188" t="s">
        <v>1330</v>
      </c>
      <c r="G1053" s="482" t="s">
        <v>332</v>
      </c>
      <c r="H1053" s="7"/>
      <c r="I1053" s="704"/>
      <c r="J1053" s="704"/>
      <c r="K1053" s="593">
        <v>15000</v>
      </c>
      <c r="L1053" s="594" t="s">
        <v>83</v>
      </c>
      <c r="M1053" s="594" t="s">
        <v>24</v>
      </c>
      <c r="N1053" s="52" t="str">
        <f>IF(AND('331-CT'!$E$7=TH!H1053,OR(L1053="331",M1053="331")),"331",IF(AND(OR(L1053="131",M1053="131"),H1053='131-CT'!$E$7),"131",""))</f>
        <v/>
      </c>
      <c r="O1053" s="86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>x</v>
      </c>
      <c r="V1053" s="52" t="str">
        <f>IF(OR(TH!L1053=TH!$V$7,M1053=TH!$V$7),"x","")</f>
        <v>x</v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99"/>
    </row>
    <row r="1054" spans="1:27" s="210" customFormat="1" ht="15.75" customHeight="1">
      <c r="A1054" s="203" t="str">
        <f>IF(B1054&lt;&gt;"",IF(AND(B1054&gt;=_TM1,B1054&lt;=_TM2,OR(TH!L1054="1111",TH!M1054="1111")),TH!D1054,""),"")</f>
        <v/>
      </c>
      <c r="B1054" s="36">
        <f>IF(C1054&lt;&gt;"",MONTH(C1054),"")</f>
        <v>6</v>
      </c>
      <c r="C1054" s="183">
        <f>E1054</f>
        <v>42179</v>
      </c>
      <c r="D1054" s="190"/>
      <c r="E1054" s="727">
        <v>42179</v>
      </c>
      <c r="F1054" s="764" t="s">
        <v>1382</v>
      </c>
      <c r="G1054" s="482" t="s">
        <v>1439</v>
      </c>
      <c r="H1054" s="7" t="s">
        <v>1383</v>
      </c>
      <c r="I1054" s="704"/>
      <c r="J1054" s="255"/>
      <c r="K1054" s="593">
        <v>1792758</v>
      </c>
      <c r="L1054" s="193" t="s">
        <v>83</v>
      </c>
      <c r="M1054" s="193" t="s">
        <v>47</v>
      </c>
      <c r="N1054" s="52" t="str">
        <f>IF(AND('331-CT'!$E$7=TH!H1054,OR(L1054="331",M1054="331")),"331",IF(AND(OR(L1054="131",M1054="131"),H1054='131-CT'!$E$7),"131",""))</f>
        <v/>
      </c>
      <c r="O1054" s="869" t="str">
        <f>IF(AND('341-CT'!$E$9=H1054,OR(LEFT(L1054,3)=$O$7,LEFT(M1054,3)=$O$7)),"x","")</f>
        <v/>
      </c>
      <c r="P1054" s="52" t="str">
        <f>IF(AND($B1054&gt;='111'!$N$11,$B1054&lt;='111'!$O$11,OR($L1054=$P$7,$M1054=$P$7)),"x","")</f>
        <v>x</v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>x</v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99"/>
    </row>
    <row r="1055" spans="1:27" s="210" customFormat="1" ht="15.75" customHeight="1">
      <c r="A1055" s="203" t="str">
        <f>IF(B1055&lt;&gt;"",IF(AND(B1055&gt;=_TM1,B1055&lt;=_TM2,OR(TH!L1055="1111",TH!M1055="1111")),TH!D1055,""),"")</f>
        <v/>
      </c>
      <c r="B1055" s="36">
        <f>IF(C1055&lt;&gt;"",MONTH(C1055),"")</f>
        <v>6</v>
      </c>
      <c r="C1055" s="183">
        <f>E1055</f>
        <v>42179</v>
      </c>
      <c r="D1055" s="183"/>
      <c r="E1055" s="727">
        <v>42179</v>
      </c>
      <c r="F1055" s="188" t="s">
        <v>1384</v>
      </c>
      <c r="G1055" s="482" t="s">
        <v>1439</v>
      </c>
      <c r="H1055" s="7" t="s">
        <v>1383</v>
      </c>
      <c r="I1055" s="704"/>
      <c r="J1055" s="704"/>
      <c r="K1055" s="593">
        <v>179276</v>
      </c>
      <c r="L1055" s="193" t="s">
        <v>9</v>
      </c>
      <c r="M1055" s="193" t="s">
        <v>47</v>
      </c>
      <c r="N1055" s="52" t="str">
        <f>IF(AND('331-CT'!$E$7=TH!H1055,OR(L1055="331",M1055="331")),"331",IF(AND(OR(L1055="131",M1055="131"),H1055='131-CT'!$E$7),"131",""))</f>
        <v/>
      </c>
      <c r="O1055" s="869" t="str">
        <f>IF(AND('341-CT'!$E$9=H1055,OR(LEFT(L1055,3)=$O$7,LEFT(M1055,3)=$O$7)),"x","")</f>
        <v/>
      </c>
      <c r="P1055" s="52" t="str">
        <f>IF(AND($B1055&gt;='111'!$N$11,$B1055&lt;='111'!$O$11,OR($L1055=$P$7,$M1055=$P$7)),"x","")</f>
        <v>x</v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99"/>
    </row>
    <row r="1056" spans="1:27" s="210" customFormat="1" ht="15.75" customHeight="1">
      <c r="A1056" s="203" t="str">
        <f>IF(B1056&lt;&gt;"",IF(AND(B1056&gt;=_TM1,B1056&lt;=_TM2,OR(TH!L1056="1111",TH!M1056="1111")),TH!D1056,""),"")</f>
        <v/>
      </c>
      <c r="B1056" s="36">
        <f>IF(C1056&lt;&gt;"",MONTH(C1056),"")</f>
        <v>6</v>
      </c>
      <c r="C1056" s="183">
        <f>E1056</f>
        <v>42180</v>
      </c>
      <c r="D1056" s="183" t="s">
        <v>1594</v>
      </c>
      <c r="E1056" s="190">
        <v>42180</v>
      </c>
      <c r="F1056" s="191" t="s">
        <v>494</v>
      </c>
      <c r="G1056" s="482" t="s">
        <v>833</v>
      </c>
      <c r="H1056" s="7" t="s">
        <v>834</v>
      </c>
      <c r="I1056" s="704">
        <v>502</v>
      </c>
      <c r="J1056" s="704">
        <v>5400</v>
      </c>
      <c r="K1056" s="593">
        <f>ROUND(I1056*J1056,0)</f>
        <v>2710800</v>
      </c>
      <c r="L1056" s="594" t="s">
        <v>259</v>
      </c>
      <c r="M1056" s="594" t="s">
        <v>174</v>
      </c>
      <c r="N1056" s="52" t="str">
        <f>IF(AND('331-CT'!$E$7=TH!H1056,OR(L1056="331",M1056="331")),"331",IF(AND(OR(L1056="131",M1056="131"),H1056='131-CT'!$E$7),"131",""))</f>
        <v/>
      </c>
      <c r="O1056" s="86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99"/>
    </row>
    <row r="1057" spans="1:27" s="210" customFormat="1" ht="15.75" customHeight="1">
      <c r="A1057" s="203" t="str">
        <f>IF(B1057&lt;&gt;"",IF(AND(B1057&gt;=_TM1,B1057&lt;=_TM2,OR(TH!L1057="1111",TH!M1057="1111")),TH!D1057,""),"")</f>
        <v/>
      </c>
      <c r="B1057" s="36">
        <f>IF(C1057&lt;&gt;"",MONTH(C1057),"")</f>
        <v>6</v>
      </c>
      <c r="C1057" s="183">
        <f>E1057</f>
        <v>42180</v>
      </c>
      <c r="D1057" s="183" t="s">
        <v>1594</v>
      </c>
      <c r="E1057" s="190">
        <v>42180</v>
      </c>
      <c r="F1057" s="191" t="s">
        <v>494</v>
      </c>
      <c r="G1057" s="482" t="s">
        <v>833</v>
      </c>
      <c r="H1057" s="7" t="s">
        <v>834</v>
      </c>
      <c r="I1057" s="710">
        <v>504</v>
      </c>
      <c r="J1057" s="710">
        <v>5400</v>
      </c>
      <c r="K1057" s="593">
        <f>ROUND(I1057*J1057,0)</f>
        <v>2721600</v>
      </c>
      <c r="L1057" s="594" t="s">
        <v>259</v>
      </c>
      <c r="M1057" s="594" t="s">
        <v>174</v>
      </c>
      <c r="N1057" s="52" t="str">
        <f>IF(AND('331-CT'!$E$7=TH!H1057,OR(L1057="331",M1057="331")),"331",IF(AND(OR(L1057="131",M1057="131"),H1057='131-CT'!$E$7),"131",""))</f>
        <v/>
      </c>
      <c r="O1057" s="86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99"/>
    </row>
    <row r="1058" spans="1:27" s="210" customFormat="1" ht="15.75" customHeight="1">
      <c r="A1058" s="203" t="str">
        <f>IF(B1058&lt;&gt;"",IF(AND(B1058&gt;=_TM1,B1058&lt;=_TM2,OR(TH!L1058="1111",TH!M1058="1111")),TH!D1058,""),"")</f>
        <v/>
      </c>
      <c r="B1058" s="36">
        <f>IF(C1058&lt;&gt;"",MONTH(C1058),"")</f>
        <v>6</v>
      </c>
      <c r="C1058" s="183">
        <f>E1058</f>
        <v>42180</v>
      </c>
      <c r="D1058" s="183" t="s">
        <v>1594</v>
      </c>
      <c r="E1058" s="190">
        <v>42180</v>
      </c>
      <c r="F1058" s="1149" t="s">
        <v>402</v>
      </c>
      <c r="G1058" s="482" t="s">
        <v>833</v>
      </c>
      <c r="H1058" s="7" t="s">
        <v>834</v>
      </c>
      <c r="I1058" s="704"/>
      <c r="J1058" s="255"/>
      <c r="K1058" s="593">
        <v>543240</v>
      </c>
      <c r="L1058" s="594" t="s">
        <v>259</v>
      </c>
      <c r="M1058" s="594" t="s">
        <v>371</v>
      </c>
      <c r="N1058" s="52" t="str">
        <f>IF(AND('331-CT'!$E$7=TH!H1058,OR(L1058="331",M1058="331")),"331",IF(AND(OR(L1058="131",M1058="131"),H1058='131-CT'!$E$7),"131",""))</f>
        <v/>
      </c>
      <c r="O1058" s="86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99"/>
    </row>
    <row r="1059" spans="1:27" s="210" customFormat="1" ht="15.75" customHeight="1">
      <c r="A1059" s="203" t="str">
        <f>IF(B1059&lt;&gt;"",IF(AND(B1059&gt;=_TM1,B1059&lt;=_TM2,OR(TH!L1059="1111",TH!M1059="1111")),TH!D1059,""),"")</f>
        <v/>
      </c>
      <c r="B1059" s="36">
        <f>IF(C1059&lt;&gt;"",MONTH(C1059),"")</f>
        <v>6</v>
      </c>
      <c r="C1059" s="183">
        <f>E1059</f>
        <v>42180</v>
      </c>
      <c r="D1059" s="183" t="s">
        <v>1595</v>
      </c>
      <c r="E1059" s="190">
        <v>42180</v>
      </c>
      <c r="F1059" s="191" t="s">
        <v>1935</v>
      </c>
      <c r="G1059" s="482" t="s">
        <v>835</v>
      </c>
      <c r="H1059" s="192" t="s">
        <v>755</v>
      </c>
      <c r="I1059" s="710">
        <v>5457</v>
      </c>
      <c r="J1059" s="710">
        <v>8030</v>
      </c>
      <c r="K1059" s="593">
        <f>ROUND(I1059*J1059,0)</f>
        <v>43819710</v>
      </c>
      <c r="L1059" s="594" t="s">
        <v>259</v>
      </c>
      <c r="M1059" s="594" t="s">
        <v>174</v>
      </c>
      <c r="N1059" s="52" t="str">
        <f>IF(AND('331-CT'!$E$7=TH!H1059,OR(L1059="331",M1059="331")),"331",IF(AND(OR(L1059="131",M1059="131"),H1059='131-CT'!$E$7),"131",""))</f>
        <v/>
      </c>
      <c r="O1059" s="86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99"/>
    </row>
    <row r="1060" spans="1:27" s="210" customFormat="1" ht="15.75" customHeight="1">
      <c r="A1060" s="203" t="str">
        <f>IF(B1060&lt;&gt;"",IF(AND(B1060&gt;=_TM1,B1060&lt;=_TM2,OR(TH!L1060="1111",TH!M1060="1111")),TH!D1060,""),"")</f>
        <v/>
      </c>
      <c r="B1060" s="36">
        <f>IF(C1060&lt;&gt;"",MONTH(C1060),"")</f>
        <v>6</v>
      </c>
      <c r="C1060" s="183">
        <f>E1060</f>
        <v>42180</v>
      </c>
      <c r="D1060" s="183" t="s">
        <v>1595</v>
      </c>
      <c r="E1060" s="190">
        <v>42180</v>
      </c>
      <c r="F1060" s="188" t="s">
        <v>402</v>
      </c>
      <c r="G1060" s="482" t="s">
        <v>835</v>
      </c>
      <c r="H1060" s="7" t="s">
        <v>755</v>
      </c>
      <c r="I1060" s="704"/>
      <c r="J1060" s="704"/>
      <c r="K1060" s="593">
        <v>4381970</v>
      </c>
      <c r="L1060" s="594" t="s">
        <v>259</v>
      </c>
      <c r="M1060" s="594" t="s">
        <v>371</v>
      </c>
      <c r="N1060" s="52" t="str">
        <f>IF(AND('331-CT'!$E$7=TH!H1060,OR(L1060="331",M1060="331")),"331",IF(AND(OR(L1060="131",M1060="131"),H1060='131-CT'!$E$7),"131",""))</f>
        <v/>
      </c>
      <c r="O1060" s="86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99"/>
    </row>
    <row r="1061" spans="1:27" s="210" customFormat="1" ht="15.75" customHeight="1">
      <c r="A1061" s="203" t="str">
        <f>IF(B1061&lt;&gt;"",IF(AND(B1061&gt;=_TM1,B1061&lt;=_TM2,OR(TH!L1061="1111",TH!M1061="1111")),TH!D1061,""),"")</f>
        <v/>
      </c>
      <c r="B1061" s="36">
        <f>IF(C1061&lt;&gt;"",MONTH(C1061),"")</f>
        <v>6</v>
      </c>
      <c r="C1061" s="183">
        <f>E1061</f>
        <v>42180</v>
      </c>
      <c r="D1061" s="183" t="s">
        <v>1596</v>
      </c>
      <c r="E1061" s="190">
        <v>42180</v>
      </c>
      <c r="F1061" s="188" t="s">
        <v>409</v>
      </c>
      <c r="G1061" s="482" t="s">
        <v>836</v>
      </c>
      <c r="H1061" s="7" t="s">
        <v>837</v>
      </c>
      <c r="I1061" s="704">
        <v>1000</v>
      </c>
      <c r="J1061" s="704">
        <v>7500</v>
      </c>
      <c r="K1061" s="593">
        <f>ROUND(I1061*J1061,0)</f>
        <v>7500000</v>
      </c>
      <c r="L1061" s="594" t="s">
        <v>259</v>
      </c>
      <c r="M1061" s="594" t="s">
        <v>174</v>
      </c>
      <c r="N1061" s="52" t="str">
        <f>IF(AND('331-CT'!$E$7=TH!H1061,OR(L1061="331",M1061="331")),"331",IF(AND(OR(L1061="131",M1061="131"),H1061='131-CT'!$E$7),"131",""))</f>
        <v/>
      </c>
      <c r="O1061" s="86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99"/>
    </row>
    <row r="1062" spans="1:27" s="210" customFormat="1" ht="15.75" customHeight="1">
      <c r="A1062" s="203" t="str">
        <f>IF(B1062&lt;&gt;"",IF(AND(B1062&gt;=_TM1,B1062&lt;=_TM2,OR(TH!L1062="1111",TH!M1062="1111")),TH!D1062,""),"")</f>
        <v/>
      </c>
      <c r="B1062" s="36">
        <f>IF(C1062&lt;&gt;"",MONTH(C1062),"")</f>
        <v>6</v>
      </c>
      <c r="C1062" s="183">
        <f>E1062</f>
        <v>42180</v>
      </c>
      <c r="D1062" s="183" t="s">
        <v>1596</v>
      </c>
      <c r="E1062" s="190">
        <v>42180</v>
      </c>
      <c r="F1062" s="296" t="s">
        <v>402</v>
      </c>
      <c r="G1062" s="482" t="s">
        <v>836</v>
      </c>
      <c r="H1062" s="7" t="s">
        <v>837</v>
      </c>
      <c r="I1062" s="704"/>
      <c r="J1062" s="704"/>
      <c r="K1062" s="593">
        <v>750000</v>
      </c>
      <c r="L1062" s="594" t="s">
        <v>259</v>
      </c>
      <c r="M1062" s="594" t="s">
        <v>371</v>
      </c>
      <c r="N1062" s="52" t="str">
        <f>IF(AND('331-CT'!$E$7=TH!H1062,OR(L1062="331",M1062="331")),"331",IF(AND(OR(L1062="131",M1062="131"),H1062='131-CT'!$E$7),"131",""))</f>
        <v/>
      </c>
      <c r="O1062" s="86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99"/>
    </row>
    <row r="1063" spans="1:27" s="210" customFormat="1" ht="15.75" customHeight="1">
      <c r="A1063" s="203" t="str">
        <f>IF(B1063&lt;&gt;"",IF(AND(B1063&gt;=_TM1,B1063&lt;=_TM2,OR(TH!L1063="1111",TH!M1063="1111")),TH!D1063,""),"")</f>
        <v/>
      </c>
      <c r="B1063" s="36">
        <f>IF(C1063&lt;&gt;"",MONTH(C1063),"")</f>
        <v>6</v>
      </c>
      <c r="C1063" s="183">
        <f>E1063</f>
        <v>42180</v>
      </c>
      <c r="D1063" s="183" t="s">
        <v>1597</v>
      </c>
      <c r="E1063" s="190">
        <v>42180</v>
      </c>
      <c r="F1063" s="188" t="s">
        <v>1702</v>
      </c>
      <c r="G1063" s="482" t="s">
        <v>838</v>
      </c>
      <c r="H1063" s="7" t="s">
        <v>1934</v>
      </c>
      <c r="I1063" s="704">
        <v>2000</v>
      </c>
      <c r="J1063" s="704">
        <v>7582</v>
      </c>
      <c r="K1063" s="593">
        <f>ROUND(I1063*J1063,0)</f>
        <v>15164000</v>
      </c>
      <c r="L1063" s="594" t="s">
        <v>259</v>
      </c>
      <c r="M1063" s="594" t="s">
        <v>174</v>
      </c>
      <c r="N1063" s="52" t="str">
        <f>IF(AND('331-CT'!$E$7=TH!H1063,OR(L1063="331",M1063="331")),"331",IF(AND(OR(L1063="131",M1063="131"),H1063='131-CT'!$E$7),"131",""))</f>
        <v/>
      </c>
      <c r="O1063" s="86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99"/>
    </row>
    <row r="1064" spans="1:27" s="210" customFormat="1" ht="15.75" customHeight="1">
      <c r="A1064" s="203" t="str">
        <f>IF(B1064&lt;&gt;"",IF(AND(B1064&gt;=_TM1,B1064&lt;=_TM2,OR(TH!L1064="1111",TH!M1064="1111")),TH!D1064,""),"")</f>
        <v/>
      </c>
      <c r="B1064" s="36">
        <f>IF(C1064&lt;&gt;"",MONTH(C1064),"")</f>
        <v>6</v>
      </c>
      <c r="C1064" s="183">
        <f>E1064</f>
        <v>42180</v>
      </c>
      <c r="D1064" s="183" t="s">
        <v>1597</v>
      </c>
      <c r="E1064" s="190">
        <v>42180</v>
      </c>
      <c r="F1064" s="40" t="s">
        <v>731</v>
      </c>
      <c r="G1064" s="482" t="s">
        <v>838</v>
      </c>
      <c r="H1064" s="7" t="s">
        <v>1934</v>
      </c>
      <c r="I1064" s="704"/>
      <c r="J1064" s="704"/>
      <c r="K1064" s="593">
        <v>1516400</v>
      </c>
      <c r="L1064" s="594" t="s">
        <v>259</v>
      </c>
      <c r="M1064" s="594" t="s">
        <v>371</v>
      </c>
      <c r="N1064" s="52" t="str">
        <f>IF(AND('331-CT'!$E$7=TH!H1064,OR(L1064="331",M1064="331")),"331",IF(AND(OR(L1064="131",M1064="131"),H1064='131-CT'!$E$7),"131",""))</f>
        <v/>
      </c>
      <c r="O1064" s="86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99"/>
    </row>
    <row r="1065" spans="1:27" s="210" customFormat="1" ht="15.75" customHeight="1">
      <c r="A1065" s="203" t="str">
        <f>IF(B1065&lt;&gt;"",IF(AND(B1065&gt;=_TM1,B1065&lt;=_TM2,OR(TH!L1065="1111",TH!M1065="1111")),TH!D1065,""),"")</f>
        <v/>
      </c>
      <c r="B1065" s="36">
        <f>IF(C1065&lt;&gt;"",MONTH(C1065),"")</f>
        <v>6</v>
      </c>
      <c r="C1065" s="183">
        <f>E1065</f>
        <v>42180</v>
      </c>
      <c r="D1065" s="183" t="s">
        <v>1598</v>
      </c>
      <c r="E1065" s="190">
        <v>42180</v>
      </c>
      <c r="F1065" s="188" t="s">
        <v>839</v>
      </c>
      <c r="G1065" s="482" t="s">
        <v>840</v>
      </c>
      <c r="H1065" s="7" t="s">
        <v>733</v>
      </c>
      <c r="I1065" s="704">
        <v>27</v>
      </c>
      <c r="J1065" s="767">
        <v>35936</v>
      </c>
      <c r="K1065" s="593">
        <f>ROUND(I1065*J1065,0)</f>
        <v>970272</v>
      </c>
      <c r="L1065" s="594" t="s">
        <v>259</v>
      </c>
      <c r="M1065" s="594" t="s">
        <v>174</v>
      </c>
      <c r="N1065" s="52" t="str">
        <f>IF(AND('331-CT'!$E$7=TH!H1065,OR(L1065="331",M1065="331")),"331",IF(AND(OR(L1065="131",M1065="131"),H1065='131-CT'!$E$7),"131",""))</f>
        <v/>
      </c>
      <c r="O1065" s="86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99"/>
    </row>
    <row r="1066" spans="1:27" s="210" customFormat="1" ht="15.75" customHeight="1">
      <c r="A1066" s="203" t="str">
        <f>IF(B1066&lt;&gt;"",IF(AND(B1066&gt;=_TM1,B1066&lt;=_TM2,OR(TH!L1066="1111",TH!M1066="1111")),TH!D1066,""),"")</f>
        <v/>
      </c>
      <c r="B1066" s="36">
        <f>IF(C1066&lt;&gt;"",MONTH(C1066),"")</f>
        <v>6</v>
      </c>
      <c r="C1066" s="183">
        <f>E1066</f>
        <v>42180</v>
      </c>
      <c r="D1066" s="183" t="s">
        <v>1598</v>
      </c>
      <c r="E1066" s="190">
        <v>42180</v>
      </c>
      <c r="F1066" s="40" t="s">
        <v>841</v>
      </c>
      <c r="G1066" s="482" t="s">
        <v>840</v>
      </c>
      <c r="H1066" s="7" t="s">
        <v>733</v>
      </c>
      <c r="I1066" s="704">
        <v>45</v>
      </c>
      <c r="J1066" s="255">
        <v>40718</v>
      </c>
      <c r="K1066" s="593">
        <f>ROUND(I1066*J1066,0)</f>
        <v>1832310</v>
      </c>
      <c r="L1066" s="594" t="s">
        <v>259</v>
      </c>
      <c r="M1066" s="594" t="s">
        <v>174</v>
      </c>
      <c r="N1066" s="52" t="str">
        <f>IF(AND('331-CT'!$E$7=TH!H1066,OR(L1066="331",M1066="331")),"331",IF(AND(OR(L1066="131",M1066="131"),H1066='131-CT'!$E$7),"131",""))</f>
        <v/>
      </c>
      <c r="O1066" s="86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99"/>
    </row>
    <row r="1067" spans="1:27" s="210" customFormat="1" ht="15.75" customHeight="1">
      <c r="A1067" s="203" t="str">
        <f>IF(B1067&lt;&gt;"",IF(AND(B1067&gt;=_TM1,B1067&lt;=_TM2,OR(TH!L1067="1111",TH!M1067="1111")),TH!D1067,""),"")</f>
        <v/>
      </c>
      <c r="B1067" s="36">
        <f>IF(C1067&lt;&gt;"",MONTH(C1067),"")</f>
        <v>6</v>
      </c>
      <c r="C1067" s="183">
        <f>E1067</f>
        <v>42180</v>
      </c>
      <c r="D1067" s="183" t="s">
        <v>1598</v>
      </c>
      <c r="E1067" s="190">
        <v>42180</v>
      </c>
      <c r="F1067" s="40" t="s">
        <v>454</v>
      </c>
      <c r="G1067" s="482" t="s">
        <v>840</v>
      </c>
      <c r="H1067" s="7" t="s">
        <v>733</v>
      </c>
      <c r="I1067" s="704">
        <v>149</v>
      </c>
      <c r="J1067" s="704">
        <v>47449</v>
      </c>
      <c r="K1067" s="593">
        <f>ROUND(I1067*J1067,0)</f>
        <v>7069901</v>
      </c>
      <c r="L1067" s="594" t="s">
        <v>259</v>
      </c>
      <c r="M1067" s="594" t="s">
        <v>174</v>
      </c>
      <c r="N1067" s="52" t="str">
        <f>IF(AND('331-CT'!$E$7=TH!H1067,OR(L1067="331",M1067="331")),"331",IF(AND(OR(L1067="131",M1067="131"),H1067='131-CT'!$E$7),"131",""))</f>
        <v/>
      </c>
      <c r="O1067" s="86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99"/>
    </row>
    <row r="1068" spans="1:27" s="210" customFormat="1" ht="15.75" customHeight="1">
      <c r="A1068" s="203" t="str">
        <f>IF(B1068&lt;&gt;"",IF(AND(B1068&gt;=_TM1,B1068&lt;=_TM2,OR(TH!L1068="1111",TH!M1068="1111")),TH!D1068,""),"")</f>
        <v/>
      </c>
      <c r="B1068" s="36">
        <f>IF(C1068&lt;&gt;"",MONTH(C1068),"")</f>
        <v>6</v>
      </c>
      <c r="C1068" s="183">
        <f>E1068</f>
        <v>42180</v>
      </c>
      <c r="D1068" s="183" t="s">
        <v>1598</v>
      </c>
      <c r="E1068" s="190">
        <v>42180</v>
      </c>
      <c r="F1068" s="188" t="s">
        <v>842</v>
      </c>
      <c r="G1068" s="482" t="s">
        <v>840</v>
      </c>
      <c r="H1068" s="7" t="s">
        <v>733</v>
      </c>
      <c r="I1068" s="704">
        <v>11</v>
      </c>
      <c r="J1068" s="767">
        <v>56835</v>
      </c>
      <c r="K1068" s="593">
        <f>ROUND(I1068*J1068,0)</f>
        <v>625185</v>
      </c>
      <c r="L1068" s="594" t="s">
        <v>259</v>
      </c>
      <c r="M1068" s="594" t="s">
        <v>174</v>
      </c>
      <c r="N1068" s="52" t="str">
        <f>IF(AND('331-CT'!$E$7=TH!H1068,OR(L1068="331",M1068="331")),"331",IF(AND(OR(L1068="131",M1068="131"),H1068='131-CT'!$E$7),"131",""))</f>
        <v/>
      </c>
      <c r="O1068" s="86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99"/>
    </row>
    <row r="1069" spans="1:27" s="210" customFormat="1" ht="15.75" customHeight="1">
      <c r="A1069" s="203" t="str">
        <f>IF(B1069&lt;&gt;"",IF(AND(B1069&gt;=_TM1,B1069&lt;=_TM2,OR(TH!L1069="1111",TH!M1069="1111")),TH!D1069,""),"")</f>
        <v/>
      </c>
      <c r="B1069" s="36">
        <f>IF(C1069&lt;&gt;"",MONTH(C1069),"")</f>
        <v>6</v>
      </c>
      <c r="C1069" s="183">
        <f>E1069</f>
        <v>42180</v>
      </c>
      <c r="D1069" s="183" t="s">
        <v>1598</v>
      </c>
      <c r="E1069" s="190">
        <v>42180</v>
      </c>
      <c r="F1069" s="188" t="s">
        <v>843</v>
      </c>
      <c r="G1069" s="482" t="s">
        <v>840</v>
      </c>
      <c r="H1069" s="7" t="s">
        <v>733</v>
      </c>
      <c r="I1069" s="704">
        <v>30</v>
      </c>
      <c r="J1069" s="255">
        <v>30937</v>
      </c>
      <c r="K1069" s="593">
        <f>ROUND(I1069*J1069,0)</f>
        <v>928110</v>
      </c>
      <c r="L1069" s="594" t="s">
        <v>259</v>
      </c>
      <c r="M1069" s="594" t="s">
        <v>174</v>
      </c>
      <c r="N1069" s="52" t="str">
        <f>IF(AND('331-CT'!$E$7=TH!H1069,OR(L1069="331",M1069="331")),"331",IF(AND(OR(L1069="131",M1069="131"),H1069='131-CT'!$E$7),"131",""))</f>
        <v/>
      </c>
      <c r="O1069" s="86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99"/>
    </row>
    <row r="1070" spans="1:27" s="210" customFormat="1" ht="15.75" customHeight="1">
      <c r="A1070" s="203" t="str">
        <f>IF(B1070&lt;&gt;"",IF(AND(B1070&gt;=_TM1,B1070&lt;=_TM2,OR(TH!L1070="1111",TH!M1070="1111")),TH!D1070,""),"")</f>
        <v/>
      </c>
      <c r="B1070" s="36">
        <f>IF(C1070&lt;&gt;"",MONTH(C1070),"")</f>
        <v>6</v>
      </c>
      <c r="C1070" s="183">
        <f>E1070</f>
        <v>42180</v>
      </c>
      <c r="D1070" s="183" t="s">
        <v>1598</v>
      </c>
      <c r="E1070" s="190">
        <v>42180</v>
      </c>
      <c r="F1070" s="188" t="s">
        <v>844</v>
      </c>
      <c r="G1070" s="482" t="s">
        <v>840</v>
      </c>
      <c r="H1070" s="7" t="s">
        <v>733</v>
      </c>
      <c r="I1070" s="704">
        <v>383</v>
      </c>
      <c r="J1070" s="704">
        <v>8775</v>
      </c>
      <c r="K1070" s="593">
        <f>ROUND(I1070*J1070,0)</f>
        <v>3360825</v>
      </c>
      <c r="L1070" s="594" t="s">
        <v>259</v>
      </c>
      <c r="M1070" s="594" t="s">
        <v>174</v>
      </c>
      <c r="N1070" s="52" t="str">
        <f>IF(AND('331-CT'!$E$7=TH!H1070,OR(L1070="331",M1070="331")),"331",IF(AND(OR(L1070="131",M1070="131"),H1070='131-CT'!$E$7),"131",""))</f>
        <v/>
      </c>
      <c r="O1070" s="86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99"/>
    </row>
    <row r="1071" spans="1:27" s="210" customFormat="1" ht="15.75" customHeight="1">
      <c r="A1071" s="203" t="str">
        <f>IF(B1071&lt;&gt;"",IF(AND(B1071&gt;=_TM1,B1071&lt;=_TM2,OR(TH!L1071="1111",TH!M1071="1111")),TH!D1071,""),"")</f>
        <v/>
      </c>
      <c r="B1071" s="36">
        <f>IF(C1071&lt;&gt;"",MONTH(C1071),"")</f>
        <v>6</v>
      </c>
      <c r="C1071" s="183">
        <f>E1071</f>
        <v>42180</v>
      </c>
      <c r="D1071" s="183" t="s">
        <v>1598</v>
      </c>
      <c r="E1071" s="190">
        <v>42180</v>
      </c>
      <c r="F1071" s="188" t="s">
        <v>845</v>
      </c>
      <c r="G1071" s="482" t="s">
        <v>840</v>
      </c>
      <c r="H1071" s="7" t="s">
        <v>733</v>
      </c>
      <c r="I1071" s="704">
        <v>25</v>
      </c>
      <c r="J1071" s="704">
        <v>31317</v>
      </c>
      <c r="K1071" s="593">
        <f>ROUND(I1071*J1071,0)</f>
        <v>782925</v>
      </c>
      <c r="L1071" s="594" t="s">
        <v>259</v>
      </c>
      <c r="M1071" s="594" t="s">
        <v>174</v>
      </c>
      <c r="N1071" s="52" t="str">
        <f>IF(AND('331-CT'!$E$7=TH!H1071,OR(L1071="331",M1071="331")),"331",IF(AND(OR(L1071="131",M1071="131"),H1071='131-CT'!$E$7),"131",""))</f>
        <v/>
      </c>
      <c r="O1071" s="86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99"/>
    </row>
    <row r="1072" spans="1:27" s="210" customFormat="1" ht="15.75" customHeight="1">
      <c r="A1072" s="203" t="str">
        <f>IF(B1072&lt;&gt;"",IF(AND(B1072&gt;=_TM1,B1072&lt;=_TM2,OR(TH!L1072="1111",TH!M1072="1111")),TH!D1072,""),"")</f>
        <v/>
      </c>
      <c r="B1072" s="36">
        <f>IF(C1072&lt;&gt;"",MONTH(C1072),"")</f>
        <v>6</v>
      </c>
      <c r="C1072" s="183">
        <f>E1072</f>
        <v>42180</v>
      </c>
      <c r="D1072" s="183" t="s">
        <v>1598</v>
      </c>
      <c r="E1072" s="190">
        <v>42180</v>
      </c>
      <c r="F1072" s="188" t="s">
        <v>846</v>
      </c>
      <c r="G1072" s="482" t="s">
        <v>840</v>
      </c>
      <c r="H1072" s="7" t="s">
        <v>733</v>
      </c>
      <c r="I1072" s="704">
        <v>11</v>
      </c>
      <c r="J1072" s="704">
        <v>46121</v>
      </c>
      <c r="K1072" s="593">
        <f>ROUND(I1072*J1072,0)</f>
        <v>507331</v>
      </c>
      <c r="L1072" s="594" t="s">
        <v>259</v>
      </c>
      <c r="M1072" s="594" t="s">
        <v>174</v>
      </c>
      <c r="N1072" s="52" t="str">
        <f>IF(AND('331-CT'!$E$7=TH!H1072,OR(L1072="331",M1072="331")),"331",IF(AND(OR(L1072="131",M1072="131"),H1072='131-CT'!$E$7),"131",""))</f>
        <v/>
      </c>
      <c r="O1072" s="86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99"/>
    </row>
    <row r="1073" spans="1:27" s="210" customFormat="1" ht="15.75" customHeight="1">
      <c r="A1073" s="203" t="str">
        <f>IF(B1073&lt;&gt;"",IF(AND(B1073&gt;=_TM1,B1073&lt;=_TM2,OR(TH!L1073="1111",TH!M1073="1111")),TH!D1073,""),"")</f>
        <v/>
      </c>
      <c r="B1073" s="36">
        <f>IF(C1073&lt;&gt;"",MONTH(C1073),"")</f>
        <v>6</v>
      </c>
      <c r="C1073" s="183">
        <f>E1073</f>
        <v>42180</v>
      </c>
      <c r="D1073" s="183" t="s">
        <v>1598</v>
      </c>
      <c r="E1073" s="190">
        <v>42180</v>
      </c>
      <c r="F1073" s="188" t="s">
        <v>847</v>
      </c>
      <c r="G1073" s="482" t="s">
        <v>840</v>
      </c>
      <c r="H1073" s="7" t="s">
        <v>733</v>
      </c>
      <c r="I1073" s="766">
        <v>28</v>
      </c>
      <c r="J1073" s="704">
        <v>35591</v>
      </c>
      <c r="K1073" s="593">
        <f>ROUND(I1073*J1073,0)</f>
        <v>996548</v>
      </c>
      <c r="L1073" s="594" t="s">
        <v>259</v>
      </c>
      <c r="M1073" s="594" t="s">
        <v>174</v>
      </c>
      <c r="N1073" s="52" t="str">
        <f>IF(AND('331-CT'!$E$7=TH!H1073,OR(L1073="331",M1073="331")),"331",IF(AND(OR(L1073="131",M1073="131"),H1073='131-CT'!$E$7),"131",""))</f>
        <v/>
      </c>
      <c r="O1073" s="86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99"/>
    </row>
    <row r="1074" spans="1:27" s="210" customFormat="1" ht="15.75" customHeight="1">
      <c r="A1074" s="203" t="str">
        <f>IF(B1074&lt;&gt;"",IF(AND(B1074&gt;=_TM1,B1074&lt;=_TM2,OR(TH!L1074="1111",TH!M1074="1111")),TH!D1074,""),"")</f>
        <v/>
      </c>
      <c r="B1074" s="36">
        <f>IF(C1074&lt;&gt;"",MONTH(C1074),"")</f>
        <v>6</v>
      </c>
      <c r="C1074" s="183">
        <f>E1074</f>
        <v>42180</v>
      </c>
      <c r="D1074" s="183" t="s">
        <v>1598</v>
      </c>
      <c r="E1074" s="190">
        <v>42180</v>
      </c>
      <c r="F1074" s="188" t="s">
        <v>402</v>
      </c>
      <c r="G1074" s="482" t="s">
        <v>840</v>
      </c>
      <c r="H1074" s="7" t="s">
        <v>733</v>
      </c>
      <c r="I1074" s="710"/>
      <c r="J1074" s="710"/>
      <c r="K1074" s="593">
        <v>1707341</v>
      </c>
      <c r="L1074" s="594" t="s">
        <v>259</v>
      </c>
      <c r="M1074" s="594" t="s">
        <v>371</v>
      </c>
      <c r="N1074" s="52" t="str">
        <f>IF(AND('331-CT'!$E$7=TH!H1074,OR(L1074="331",M1074="331")),"331",IF(AND(OR(L1074="131",M1074="131"),H1074='131-CT'!$E$7),"131",""))</f>
        <v/>
      </c>
      <c r="O1074" s="86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99"/>
    </row>
    <row r="1075" spans="1:27" s="210" customFormat="1" ht="15.75" customHeight="1">
      <c r="A1075" s="203" t="str">
        <f>IF(B1075&lt;&gt;"",IF(AND(B1075&gt;=_TM1,B1075&lt;=_TM2,OR(TH!L1075="1111",TH!M1075="1111")),TH!D1075,""),"")</f>
        <v/>
      </c>
      <c r="B1075" s="36">
        <f>IF(C1075&lt;&gt;"",MONTH(C1075),"")</f>
        <v>6</v>
      </c>
      <c r="C1075" s="183">
        <f>E1075</f>
        <v>42180</v>
      </c>
      <c r="D1075" s="183" t="s">
        <v>1319</v>
      </c>
      <c r="E1075" s="190">
        <v>42180</v>
      </c>
      <c r="F1075" s="191" t="s">
        <v>1320</v>
      </c>
      <c r="G1075" s="482" t="s">
        <v>332</v>
      </c>
      <c r="H1075" s="7" t="s">
        <v>400</v>
      </c>
      <c r="I1075" s="704"/>
      <c r="J1075" s="704"/>
      <c r="K1075" s="593">
        <v>8364255</v>
      </c>
      <c r="L1075" s="594" t="s">
        <v>24</v>
      </c>
      <c r="M1075" s="594" t="s">
        <v>259</v>
      </c>
      <c r="N1075" s="52" t="str">
        <f>IF(AND('331-CT'!$E$7=TH!H1075,OR(L1075="331",M1075="331")),"331",IF(AND(OR(L1075="131",M1075="131"),H1075='131-CT'!$E$7),"131",""))</f>
        <v/>
      </c>
      <c r="O1075" s="86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>x</v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99"/>
    </row>
    <row r="1076" spans="1:27" s="210" customFormat="1" ht="15.75" customHeight="1">
      <c r="A1076" s="203" t="str">
        <f>IF(B1076&lt;&gt;"",IF(AND(B1076&gt;=_TM1,B1076&lt;=_TM2,OR(TH!L1076="1111",TH!M1076="1111")),TH!D1076,""),"")</f>
        <v/>
      </c>
      <c r="B1076" s="36">
        <f>IF(C1076&lt;&gt;"",MONTH(C1076),"")</f>
        <v>6</v>
      </c>
      <c r="C1076" s="183">
        <f>E1076</f>
        <v>42180</v>
      </c>
      <c r="D1076" s="183" t="s">
        <v>1319</v>
      </c>
      <c r="E1076" s="190">
        <v>42180</v>
      </c>
      <c r="F1076" s="191" t="s">
        <v>1321</v>
      </c>
      <c r="G1076" s="482" t="s">
        <v>332</v>
      </c>
      <c r="H1076" s="7"/>
      <c r="I1076" s="704"/>
      <c r="J1076" s="255"/>
      <c r="K1076" s="593">
        <v>3781</v>
      </c>
      <c r="L1076" s="594" t="s">
        <v>24</v>
      </c>
      <c r="M1076" s="594" t="s">
        <v>40</v>
      </c>
      <c r="N1076" s="52" t="str">
        <f>IF(AND('331-CT'!$E$7=TH!H1076,OR(L1076="331",M1076="331")),"331",IF(AND(OR(L1076="131",M1076="131"),H1076='131-CT'!$E$7),"131",""))</f>
        <v/>
      </c>
      <c r="O1076" s="86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>x</v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99"/>
    </row>
    <row r="1077" spans="1:27" s="210" customFormat="1" ht="15.75" customHeight="1">
      <c r="A1077" s="203" t="str">
        <f>IF(B1077&lt;&gt;"",IF(AND(B1077&gt;=_TM1,B1077&lt;=_TM2,OR(TH!L1077="1111",TH!M1077="1111")),TH!D1077,""),"")</f>
        <v/>
      </c>
      <c r="B1077" s="36">
        <f>IF(C1077&lt;&gt;"",MONTH(C1077),"")</f>
        <v>6</v>
      </c>
      <c r="C1077" s="183">
        <f>E1077</f>
        <v>42180</v>
      </c>
      <c r="D1077" s="183" t="s">
        <v>1324</v>
      </c>
      <c r="E1077" s="190">
        <v>42180</v>
      </c>
      <c r="F1077" s="188" t="s">
        <v>1325</v>
      </c>
      <c r="G1077" s="482" t="s">
        <v>332</v>
      </c>
      <c r="H1077" s="7" t="s">
        <v>1333</v>
      </c>
      <c r="I1077" s="704"/>
      <c r="J1077" s="704"/>
      <c r="K1077" s="593">
        <v>16800000</v>
      </c>
      <c r="L1077" s="594" t="s">
        <v>47</v>
      </c>
      <c r="M1077" s="594" t="s">
        <v>24</v>
      </c>
      <c r="N1077" s="52" t="str">
        <f>IF(AND('331-CT'!$E$7=TH!H1077,OR(L1077="331",M1077="331")),"331",IF(AND(OR(L1077="131",M1077="131"),H1077='131-CT'!$E$7),"131",""))</f>
        <v/>
      </c>
      <c r="O1077" s="869" t="str">
        <f>IF(AND('341-CT'!$E$9=H1077,OR(LEFT(L1077,3)=$O$7,LEFT(M1077,3)=$O$7)),"x","")</f>
        <v/>
      </c>
      <c r="P1077" s="52" t="str">
        <f>IF(AND($B1077&gt;='111'!$N$11,$B1077&lt;='111'!$O$11,OR($L1077=$P$7,$M1077=$P$7)),"x","")</f>
        <v>x</v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>x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99"/>
    </row>
    <row r="1078" spans="1:27" s="210" customFormat="1" ht="15.75" customHeight="1">
      <c r="A1078" s="203" t="str">
        <f>IF(B1078&lt;&gt;"",IF(AND(B1078&gt;=_TM1,B1078&lt;=_TM2,OR(TH!L1078="1111",TH!M1078="1111")),TH!D1078,""),"")</f>
        <v/>
      </c>
      <c r="B1078" s="36">
        <f>IF(C1078&lt;&gt;"",MONTH(C1078),"")</f>
        <v>6</v>
      </c>
      <c r="C1078" s="183">
        <f>E1078</f>
        <v>42180</v>
      </c>
      <c r="D1078" s="190" t="s">
        <v>2004</v>
      </c>
      <c r="E1078" s="727">
        <v>42180</v>
      </c>
      <c r="F1078" s="296" t="s">
        <v>1357</v>
      </c>
      <c r="G1078" s="482" t="s">
        <v>1440</v>
      </c>
      <c r="H1078" s="7" t="s">
        <v>1391</v>
      </c>
      <c r="I1078" s="704">
        <v>1936</v>
      </c>
      <c r="J1078" s="704">
        <v>7300</v>
      </c>
      <c r="K1078" s="593">
        <f>ROUND(I1078*J1078,0)</f>
        <v>14132800</v>
      </c>
      <c r="L1078" s="594" t="s">
        <v>159</v>
      </c>
      <c r="M1078" s="594" t="s">
        <v>8</v>
      </c>
      <c r="N1078" s="52" t="str">
        <f>IF(AND('331-CT'!$E$7=TH!H1078,OR(L1078="331",M1078="331")),"331",IF(AND(OR(L1078="131",M1078="131"),H1078='131-CT'!$E$7),"131",""))</f>
        <v/>
      </c>
      <c r="O1078" s="86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99"/>
    </row>
    <row r="1079" spans="1:27" s="210" customFormat="1" ht="15.75" customHeight="1">
      <c r="A1079" s="203" t="str">
        <f>IF(B1079&lt;&gt;"",IF(AND(B1079&gt;=_TM1,B1079&lt;=_TM2,OR(TH!L1079="1111",TH!M1079="1111")),TH!D1079,""),"")</f>
        <v/>
      </c>
      <c r="B1079" s="36">
        <f>IF(C1079&lt;&gt;"",MONTH(C1079),"")</f>
        <v>6</v>
      </c>
      <c r="C1079" s="183">
        <f>E1079</f>
        <v>42180</v>
      </c>
      <c r="D1079" s="190" t="s">
        <v>2004</v>
      </c>
      <c r="E1079" s="727">
        <v>42180</v>
      </c>
      <c r="F1079" s="296" t="s">
        <v>1393</v>
      </c>
      <c r="G1079" s="482" t="s">
        <v>1440</v>
      </c>
      <c r="H1079" s="7" t="s">
        <v>1391</v>
      </c>
      <c r="I1079" s="704"/>
      <c r="J1079" s="704"/>
      <c r="K1079" s="593">
        <v>1413280</v>
      </c>
      <c r="L1079" s="594" t="s">
        <v>9</v>
      </c>
      <c r="M1079" s="594" t="s">
        <v>8</v>
      </c>
      <c r="N1079" s="52" t="str">
        <f>IF(AND('331-CT'!$E$7=TH!H1079,OR(L1079="331",M1079="331")),"331",IF(AND(OR(L1079="131",M1079="131"),H1079='131-CT'!$E$7),"131",""))</f>
        <v/>
      </c>
      <c r="O1079" s="86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99"/>
    </row>
    <row r="1080" spans="1:27" s="210" customFormat="1" ht="15.75" customHeight="1">
      <c r="A1080" s="203" t="str">
        <f>IF(B1080&lt;&gt;"",IF(AND(B1080&gt;=_TM1,B1080&lt;=_TM2,OR(TH!L1080="1111",TH!M1080="1111")),TH!D1080,""),"")</f>
        <v/>
      </c>
      <c r="B1080" s="36">
        <f>IF(C1080&lt;&gt;"",MONTH(C1080),"")</f>
        <v>6</v>
      </c>
      <c r="C1080" s="183">
        <f>E1080</f>
        <v>42180</v>
      </c>
      <c r="D1080" s="190" t="s">
        <v>2004</v>
      </c>
      <c r="E1080" s="727">
        <v>42180</v>
      </c>
      <c r="F1080" s="296" t="s">
        <v>1326</v>
      </c>
      <c r="G1080" s="482" t="s">
        <v>1440</v>
      </c>
      <c r="H1080" s="7" t="s">
        <v>1391</v>
      </c>
      <c r="I1080" s="704"/>
      <c r="J1080" s="704"/>
      <c r="K1080" s="593">
        <v>15546080</v>
      </c>
      <c r="L1080" s="594" t="s">
        <v>8</v>
      </c>
      <c r="M1080" s="594" t="s">
        <v>47</v>
      </c>
      <c r="N1080" s="52" t="str">
        <f>IF(AND('331-CT'!$E$7=TH!H1080,OR(L1080="331",M1080="331")),"331",IF(AND(OR(L1080="131",M1080="131"),H1080='131-CT'!$E$7),"131",""))</f>
        <v/>
      </c>
      <c r="O1080" s="869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99"/>
    </row>
    <row r="1081" spans="1:27" s="210" customFormat="1" ht="15.75" customHeight="1">
      <c r="A1081" s="203" t="str">
        <f>IF(B1081&lt;&gt;"",IF(AND(B1081&gt;=_TM1,B1081&lt;=_TM2,OR(TH!L1081="1111",TH!M1081="1111")),TH!D1081,""),"")</f>
        <v/>
      </c>
      <c r="B1081" s="36">
        <f>IF(C1081&lt;&gt;"",MONTH(C1081),"")</f>
        <v>6</v>
      </c>
      <c r="C1081" s="183">
        <f>E1081</f>
        <v>42181</v>
      </c>
      <c r="D1081" s="183" t="s">
        <v>1599</v>
      </c>
      <c r="E1081" s="190">
        <v>42181</v>
      </c>
      <c r="F1081" s="188" t="s">
        <v>1749</v>
      </c>
      <c r="G1081" s="482" t="s">
        <v>848</v>
      </c>
      <c r="H1081" s="7" t="s">
        <v>1934</v>
      </c>
      <c r="I1081" s="704">
        <v>354</v>
      </c>
      <c r="J1081" s="704">
        <v>17205</v>
      </c>
      <c r="K1081" s="593">
        <f>ROUND(I1081*J1081,0)</f>
        <v>6090570</v>
      </c>
      <c r="L1081" s="594" t="s">
        <v>259</v>
      </c>
      <c r="M1081" s="594" t="s">
        <v>174</v>
      </c>
      <c r="N1081" s="52" t="str">
        <f>IF(AND('331-CT'!$E$7=TH!H1081,OR(L1081="331",M1081="331")),"331",IF(AND(OR(L1081="131",M1081="131"),H1081='131-CT'!$E$7),"131",""))</f>
        <v/>
      </c>
      <c r="O1081" s="86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99"/>
    </row>
    <row r="1082" spans="1:27" s="210" customFormat="1" ht="15.75" customHeight="1">
      <c r="A1082" s="203" t="str">
        <f>IF(B1082&lt;&gt;"",IF(AND(B1082&gt;=_TM1,B1082&lt;=_TM2,OR(TH!L1082="1111",TH!M1082="1111")),TH!D1082,""),"")</f>
        <v/>
      </c>
      <c r="B1082" s="36">
        <f>IF(C1082&lt;&gt;"",MONTH(C1082),"")</f>
        <v>6</v>
      </c>
      <c r="C1082" s="183">
        <f>E1082</f>
        <v>42181</v>
      </c>
      <c r="D1082" s="183" t="s">
        <v>1599</v>
      </c>
      <c r="E1082" s="190">
        <v>42181</v>
      </c>
      <c r="F1082" s="188" t="s">
        <v>1748</v>
      </c>
      <c r="G1082" s="482" t="s">
        <v>848</v>
      </c>
      <c r="H1082" s="7" t="s">
        <v>1934</v>
      </c>
      <c r="I1082" s="704">
        <v>80</v>
      </c>
      <c r="J1082" s="704">
        <v>10520</v>
      </c>
      <c r="K1082" s="593">
        <f>ROUND(I1082*J1082,0)</f>
        <v>841600</v>
      </c>
      <c r="L1082" s="594" t="s">
        <v>259</v>
      </c>
      <c r="M1082" s="594" t="s">
        <v>174</v>
      </c>
      <c r="N1082" s="52" t="str">
        <f>IF(AND('331-CT'!$E$7=TH!H1082,OR(L1082="331",M1082="331")),"331",IF(AND(OR(L1082="131",M1082="131"),H1082='131-CT'!$E$7),"131",""))</f>
        <v/>
      </c>
      <c r="O1082" s="86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99"/>
    </row>
    <row r="1083" spans="1:27" s="210" customFormat="1" ht="15.75" customHeight="1">
      <c r="A1083" s="203" t="str">
        <f>IF(B1083&lt;&gt;"",IF(AND(B1083&gt;=_TM1,B1083&lt;=_TM2,OR(TH!L1083="1111",TH!M1083="1111")),TH!D1083,""),"")</f>
        <v/>
      </c>
      <c r="B1083" s="36">
        <f>IF(C1083&lt;&gt;"",MONTH(C1083),"")</f>
        <v>6</v>
      </c>
      <c r="C1083" s="183">
        <f>E1083</f>
        <v>42181</v>
      </c>
      <c r="D1083" s="183" t="s">
        <v>1599</v>
      </c>
      <c r="E1083" s="190">
        <v>42181</v>
      </c>
      <c r="F1083" s="188" t="s">
        <v>731</v>
      </c>
      <c r="G1083" s="482" t="s">
        <v>848</v>
      </c>
      <c r="H1083" s="7" t="s">
        <v>1934</v>
      </c>
      <c r="I1083" s="704"/>
      <c r="J1083" s="704"/>
      <c r="K1083" s="593">
        <v>693217</v>
      </c>
      <c r="L1083" s="594" t="s">
        <v>259</v>
      </c>
      <c r="M1083" s="594" t="s">
        <v>371</v>
      </c>
      <c r="N1083" s="52" t="str">
        <f>IF(AND('331-CT'!$E$7=TH!H1083,OR(L1083="331",M1083="331")),"331",IF(AND(OR(L1083="131",M1083="131"),H1083='131-CT'!$E$7),"131",""))</f>
        <v/>
      </c>
      <c r="O1083" s="86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99"/>
    </row>
    <row r="1084" spans="1:27" s="210" customFormat="1" ht="15.75" customHeight="1">
      <c r="A1084" s="203" t="str">
        <f>IF(B1084&lt;&gt;"",IF(AND(B1084&gt;=_TM1,B1084&lt;=_TM2,OR(TH!L1084="1111",TH!M1084="1111")),TH!D1084,""),"")</f>
        <v/>
      </c>
      <c r="B1084" s="36">
        <f>IF(C1084&lt;&gt;"",MONTH(C1084),"")</f>
        <v>6</v>
      </c>
      <c r="C1084" s="183">
        <f>E1084</f>
        <v>42181</v>
      </c>
      <c r="D1084" s="183" t="s">
        <v>1324</v>
      </c>
      <c r="E1084" s="190">
        <v>42181</v>
      </c>
      <c r="F1084" s="188" t="s">
        <v>1325</v>
      </c>
      <c r="G1084" s="482" t="s">
        <v>332</v>
      </c>
      <c r="H1084" s="7" t="s">
        <v>1334</v>
      </c>
      <c r="I1084" s="704"/>
      <c r="J1084" s="704"/>
      <c r="K1084" s="593">
        <v>8500000</v>
      </c>
      <c r="L1084" s="594" t="s">
        <v>47</v>
      </c>
      <c r="M1084" s="594" t="s">
        <v>24</v>
      </c>
      <c r="N1084" s="52" t="str">
        <f>IF(AND('331-CT'!$E$7=TH!H1084,OR(L1084="331",M1084="331")),"331",IF(AND(OR(L1084="131",M1084="131"),H1084='131-CT'!$E$7),"131",""))</f>
        <v/>
      </c>
      <c r="O1084" s="869" t="str">
        <f>IF(AND('341-CT'!$E$9=H1084,OR(LEFT(L1084,3)=$O$7,LEFT(M1084,3)=$O$7)),"x","")</f>
        <v/>
      </c>
      <c r="P1084" s="52" t="str">
        <f>IF(AND($B1084&gt;='111'!$N$11,$B1084&lt;='111'!$O$11,OR($L1084=$P$7,$M1084=$P$7)),"x","")</f>
        <v>x</v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>x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99"/>
    </row>
    <row r="1085" spans="1:27" s="210" customFormat="1" ht="15.75" customHeight="1">
      <c r="A1085" s="203" t="str">
        <f>IF(B1085&lt;&gt;"",IF(AND(B1085&gt;=_TM1,B1085&lt;=_TM2,OR(TH!L1085="1111",TH!M1085="1111")),TH!D1085,""),"")</f>
        <v/>
      </c>
      <c r="B1085" s="36">
        <f>IF(C1085&lt;&gt;"",MONTH(C1085),"")</f>
        <v>6</v>
      </c>
      <c r="C1085" s="183">
        <f>E1085</f>
        <v>42182</v>
      </c>
      <c r="D1085" s="190" t="s">
        <v>2005</v>
      </c>
      <c r="E1085" s="727">
        <v>42182</v>
      </c>
      <c r="F1085" s="191" t="s">
        <v>1402</v>
      </c>
      <c r="G1085" s="482" t="s">
        <v>1482</v>
      </c>
      <c r="H1085" s="7" t="s">
        <v>1397</v>
      </c>
      <c r="I1085" s="704">
        <v>3662</v>
      </c>
      <c r="J1085" s="704">
        <v>9000</v>
      </c>
      <c r="K1085" s="593">
        <f>ROUND(I1085*J1085,0)</f>
        <v>32958000</v>
      </c>
      <c r="L1085" s="594" t="s">
        <v>159</v>
      </c>
      <c r="M1085" s="594" t="s">
        <v>8</v>
      </c>
      <c r="N1085" s="52" t="str">
        <f>IF(AND('331-CT'!$E$7=TH!H1085,OR(L1085="331",M1085="331")),"331",IF(AND(OR(L1085="131",M1085="131"),H1085='131-CT'!$E$7),"131",""))</f>
        <v/>
      </c>
      <c r="O1085" s="86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99"/>
    </row>
    <row r="1086" spans="1:27" s="210" customFormat="1" ht="15.75" customHeight="1">
      <c r="A1086" s="203" t="str">
        <f>IF(B1086&lt;&gt;"",IF(AND(B1086&gt;=_TM1,B1086&lt;=_TM2,OR(TH!L1086="1111",TH!M1086="1111")),TH!D1086,""),"")</f>
        <v/>
      </c>
      <c r="B1086" s="36">
        <f>IF(C1086&lt;&gt;"",MONTH(C1086),"")</f>
        <v>6</v>
      </c>
      <c r="C1086" s="183">
        <f>E1086</f>
        <v>42182</v>
      </c>
      <c r="D1086" s="190" t="s">
        <v>2005</v>
      </c>
      <c r="E1086" s="727">
        <v>42182</v>
      </c>
      <c r="F1086" s="191" t="s">
        <v>1379</v>
      </c>
      <c r="G1086" s="482" t="s">
        <v>1482</v>
      </c>
      <c r="H1086" s="7" t="s">
        <v>1397</v>
      </c>
      <c r="I1086" s="704"/>
      <c r="J1086" s="704"/>
      <c r="K1086" s="593">
        <v>3295800</v>
      </c>
      <c r="L1086" s="594" t="s">
        <v>9</v>
      </c>
      <c r="M1086" s="594" t="s">
        <v>8</v>
      </c>
      <c r="N1086" s="52" t="str">
        <f>IF(AND('331-CT'!$E$7=TH!H1086,OR(L1086="331",M1086="331")),"331",IF(AND(OR(L1086="131",M1086="131"),H1086='131-CT'!$E$7),"131",""))</f>
        <v/>
      </c>
      <c r="O1086" s="86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99"/>
    </row>
    <row r="1087" spans="1:27" s="210" customFormat="1" ht="15.75" customHeight="1">
      <c r="A1087" s="203" t="str">
        <f>IF(B1087&lt;&gt;"",IF(AND(B1087&gt;=_TM1,B1087&lt;=_TM2,OR(TH!L1087="1111",TH!M1087="1111")),TH!D1087,""),"")</f>
        <v/>
      </c>
      <c r="B1087" s="36">
        <f>IF(C1087&lt;&gt;"",MONTH(C1087),"")</f>
        <v>6</v>
      </c>
      <c r="C1087" s="183">
        <f>E1087</f>
        <v>42183</v>
      </c>
      <c r="D1087" s="183" t="s">
        <v>1600</v>
      </c>
      <c r="E1087" s="190">
        <v>42183</v>
      </c>
      <c r="F1087" s="188" t="s">
        <v>849</v>
      </c>
      <c r="G1087" s="482" t="s">
        <v>850</v>
      </c>
      <c r="H1087" s="7" t="s">
        <v>851</v>
      </c>
      <c r="I1087" s="704">
        <v>120</v>
      </c>
      <c r="J1087" s="255">
        <v>17693</v>
      </c>
      <c r="K1087" s="593">
        <f>ROUND(I1087*J1087,0)</f>
        <v>2123160</v>
      </c>
      <c r="L1087" s="594" t="s">
        <v>259</v>
      </c>
      <c r="M1087" s="594" t="s">
        <v>174</v>
      </c>
      <c r="N1087" s="52" t="str">
        <f>IF(AND('331-CT'!$E$7=TH!H1087,OR(L1087="331",M1087="331")),"331",IF(AND(OR(L1087="131",M1087="131"),H1087='131-CT'!$E$7),"131",""))</f>
        <v/>
      </c>
      <c r="O1087" s="86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99"/>
    </row>
    <row r="1088" spans="1:27" s="210" customFormat="1" ht="15.75" customHeight="1">
      <c r="A1088" s="203" t="str">
        <f>IF(B1088&lt;&gt;"",IF(AND(B1088&gt;=_TM1,B1088&lt;=_TM2,OR(TH!L1088="1111",TH!M1088="1111")),TH!D1088,""),"")</f>
        <v/>
      </c>
      <c r="B1088" s="36">
        <f>IF(C1088&lt;&gt;"",MONTH(C1088),"")</f>
        <v>6</v>
      </c>
      <c r="C1088" s="183">
        <f>E1088</f>
        <v>42183</v>
      </c>
      <c r="D1088" s="183" t="s">
        <v>1600</v>
      </c>
      <c r="E1088" s="183">
        <v>42183</v>
      </c>
      <c r="F1088" s="188" t="s">
        <v>852</v>
      </c>
      <c r="G1088" s="595" t="s">
        <v>850</v>
      </c>
      <c r="H1088" s="192" t="s">
        <v>851</v>
      </c>
      <c r="I1088" s="704">
        <v>471</v>
      </c>
      <c r="J1088" s="767">
        <v>20027</v>
      </c>
      <c r="K1088" s="593">
        <f>ROUND(I1088*J1088,0)</f>
        <v>9432717</v>
      </c>
      <c r="L1088" s="594" t="s">
        <v>259</v>
      </c>
      <c r="M1088" s="594" t="s">
        <v>174</v>
      </c>
      <c r="N1088" s="52" t="str">
        <f>IF(AND('331-CT'!$E$7=TH!H1088,OR(L1088="331",M1088="331")),"331",IF(AND(OR(L1088="131",M1088="131"),H1088='131-CT'!$E$7),"131",""))</f>
        <v/>
      </c>
      <c r="O1088" s="86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99"/>
    </row>
    <row r="1089" spans="1:27" s="210" customFormat="1" ht="15.75" customHeight="1">
      <c r="A1089" s="203" t="str">
        <f>IF(B1089&lt;&gt;"",IF(AND(B1089&gt;=_TM1,B1089&lt;=_TM2,OR(TH!L1089="1111",TH!M1089="1111")),TH!D1089,""),"")</f>
        <v/>
      </c>
      <c r="B1089" s="36">
        <f>IF(C1089&lt;&gt;"",MONTH(C1089),"")</f>
        <v>6</v>
      </c>
      <c r="C1089" s="183">
        <f>E1089</f>
        <v>42183</v>
      </c>
      <c r="D1089" s="183" t="s">
        <v>1600</v>
      </c>
      <c r="E1089" s="190">
        <v>42183</v>
      </c>
      <c r="F1089" s="191" t="s">
        <v>853</v>
      </c>
      <c r="G1089" s="482" t="s">
        <v>850</v>
      </c>
      <c r="H1089" s="192" t="s">
        <v>851</v>
      </c>
      <c r="I1089" s="710">
        <v>289</v>
      </c>
      <c r="J1089" s="256">
        <v>22253</v>
      </c>
      <c r="K1089" s="593">
        <f>ROUND(I1089*J1089,0)</f>
        <v>6431117</v>
      </c>
      <c r="L1089" s="594" t="s">
        <v>259</v>
      </c>
      <c r="M1089" s="594" t="s">
        <v>174</v>
      </c>
      <c r="N1089" s="52" t="str">
        <f>IF(AND('331-CT'!$E$7=TH!H1089,OR(L1089="331",M1089="331")),"331",IF(AND(OR(L1089="131",M1089="131"),H1089='131-CT'!$E$7),"131",""))</f>
        <v/>
      </c>
      <c r="O1089" s="86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99"/>
    </row>
    <row r="1090" spans="1:27" s="210" customFormat="1" ht="15.75" customHeight="1">
      <c r="A1090" s="203" t="str">
        <f>IF(B1090&lt;&gt;"",IF(AND(B1090&gt;=_TM1,B1090&lt;=_TM2,OR(TH!L1090="1111",TH!M1090="1111")),TH!D1090,""),"")</f>
        <v/>
      </c>
      <c r="B1090" s="36">
        <f>IF(C1090&lt;&gt;"",MONTH(C1090),"")</f>
        <v>6</v>
      </c>
      <c r="C1090" s="183">
        <f>E1090</f>
        <v>42183</v>
      </c>
      <c r="D1090" s="183" t="s">
        <v>1600</v>
      </c>
      <c r="E1090" s="190">
        <v>42183</v>
      </c>
      <c r="F1090" s="191" t="s">
        <v>854</v>
      </c>
      <c r="G1090" s="482" t="s">
        <v>850</v>
      </c>
      <c r="H1090" s="192" t="s">
        <v>851</v>
      </c>
      <c r="I1090" s="256">
        <v>500</v>
      </c>
      <c r="J1090" s="256">
        <v>12400</v>
      </c>
      <c r="K1090" s="593">
        <f>ROUND(I1090*J1090,0)</f>
        <v>6200000</v>
      </c>
      <c r="L1090" s="594" t="s">
        <v>259</v>
      </c>
      <c r="M1090" s="594" t="s">
        <v>174</v>
      </c>
      <c r="N1090" s="52" t="str">
        <f>IF(AND('331-CT'!$E$7=TH!H1090,OR(L1090="331",M1090="331")),"331",IF(AND(OR(L1090="131",M1090="131"),H1090='131-CT'!$E$7),"131",""))</f>
        <v/>
      </c>
      <c r="O1090" s="86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99"/>
    </row>
    <row r="1091" spans="1:27" s="210" customFormat="1" ht="15.75" customHeight="1">
      <c r="A1091" s="203" t="str">
        <f>IF(B1091&lt;&gt;"",IF(AND(B1091&gt;=_TM1,B1091&lt;=_TM2,OR(TH!L1091="1111",TH!M1091="1111")),TH!D1091,""),"")</f>
        <v/>
      </c>
      <c r="B1091" s="36">
        <f>IF(C1091&lt;&gt;"",MONTH(C1091),"")</f>
        <v>6</v>
      </c>
      <c r="C1091" s="183">
        <f>E1091</f>
        <v>42183</v>
      </c>
      <c r="D1091" s="183" t="s">
        <v>1600</v>
      </c>
      <c r="E1091" s="190">
        <v>42183</v>
      </c>
      <c r="F1091" s="191" t="s">
        <v>855</v>
      </c>
      <c r="G1091" s="482" t="s">
        <v>850</v>
      </c>
      <c r="H1091" s="192" t="s">
        <v>851</v>
      </c>
      <c r="I1091" s="256">
        <v>500</v>
      </c>
      <c r="J1091" s="256">
        <v>13600</v>
      </c>
      <c r="K1091" s="593">
        <f>ROUND(I1091*J1091,0)</f>
        <v>6800000</v>
      </c>
      <c r="L1091" s="594" t="s">
        <v>259</v>
      </c>
      <c r="M1091" s="594" t="s">
        <v>174</v>
      </c>
      <c r="N1091" s="52" t="str">
        <f>IF(AND('331-CT'!$E$7=TH!H1091,OR(L1091="331",M1091="331")),"331",IF(AND(OR(L1091="131",M1091="131"),H1091='131-CT'!$E$7),"131",""))</f>
        <v/>
      </c>
      <c r="O1091" s="86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99"/>
    </row>
    <row r="1092" spans="1:27" s="210" customFormat="1" ht="15.75" customHeight="1">
      <c r="A1092" s="203" t="str">
        <f>IF(B1092&lt;&gt;"",IF(AND(B1092&gt;=_TM1,B1092&lt;=_TM2,OR(TH!L1092="1111",TH!M1092="1111")),TH!D1092,""),"")</f>
        <v/>
      </c>
      <c r="B1092" s="36">
        <f>IF(C1092&lt;&gt;"",MONTH(C1092),"")</f>
        <v>6</v>
      </c>
      <c r="C1092" s="183">
        <f>E1092</f>
        <v>42183</v>
      </c>
      <c r="D1092" s="183" t="s">
        <v>1600</v>
      </c>
      <c r="E1092" s="190">
        <v>42183</v>
      </c>
      <c r="F1092" s="191" t="s">
        <v>402</v>
      </c>
      <c r="G1092" s="482" t="s">
        <v>850</v>
      </c>
      <c r="H1092" s="192" t="s">
        <v>851</v>
      </c>
      <c r="I1092" s="255"/>
      <c r="J1092" s="255"/>
      <c r="K1092" s="593">
        <v>3098699</v>
      </c>
      <c r="L1092" s="594" t="s">
        <v>259</v>
      </c>
      <c r="M1092" s="594" t="s">
        <v>371</v>
      </c>
      <c r="N1092" s="52" t="str">
        <f>IF(AND('331-CT'!$E$7=TH!H1092,OR(L1092="331",M1092="331")),"331",IF(AND(OR(L1092="131",M1092="131"),H1092='131-CT'!$E$7),"131",""))</f>
        <v/>
      </c>
      <c r="O1092" s="86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99"/>
    </row>
    <row r="1093" spans="1:27" s="210" customFormat="1" ht="15.75" customHeight="1">
      <c r="A1093" s="203" t="str">
        <f>IF(B1093&lt;&gt;"",IF(AND(B1093&gt;=_TM1,B1093&lt;=_TM2,OR(TH!L1093="1111",TH!M1093="1111")),TH!D1093,""),"")</f>
        <v/>
      </c>
      <c r="B1093" s="36">
        <f>IF(C1093&lt;&gt;"",MONTH(C1093),"")</f>
        <v>6</v>
      </c>
      <c r="C1093" s="183">
        <f>E1093</f>
        <v>42183</v>
      </c>
      <c r="D1093" s="183" t="s">
        <v>1601</v>
      </c>
      <c r="E1093" s="190">
        <v>42183</v>
      </c>
      <c r="F1093" s="191" t="s">
        <v>856</v>
      </c>
      <c r="G1093" s="482" t="s">
        <v>857</v>
      </c>
      <c r="H1093" s="192" t="s">
        <v>416</v>
      </c>
      <c r="I1093" s="255">
        <v>365</v>
      </c>
      <c r="J1093" s="255">
        <v>17850</v>
      </c>
      <c r="K1093" s="593">
        <f>ROUND(I1093*J1093,0)</f>
        <v>6515250</v>
      </c>
      <c r="L1093" s="594" t="s">
        <v>259</v>
      </c>
      <c r="M1093" s="594" t="s">
        <v>174</v>
      </c>
      <c r="N1093" s="52" t="str">
        <f>IF(AND('331-CT'!$E$7=TH!H1093,OR(L1093="331",M1093="331")),"331",IF(AND(OR(L1093="131",M1093="131"),H1093='131-CT'!$E$7),"131",""))</f>
        <v/>
      </c>
      <c r="O1093" s="86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99"/>
    </row>
    <row r="1094" spans="1:27" s="210" customFormat="1" ht="15.75" customHeight="1">
      <c r="A1094" s="203" t="str">
        <f>IF(B1094&lt;&gt;"",IF(AND(B1094&gt;=_TM1,B1094&lt;=_TM2,OR(TH!L1094="1111",TH!M1094="1111")),TH!D1094,""),"")</f>
        <v/>
      </c>
      <c r="B1094" s="36">
        <f>IF(C1094&lt;&gt;"",MONTH(C1094),"")</f>
        <v>6</v>
      </c>
      <c r="C1094" s="183">
        <f>E1094</f>
        <v>42183</v>
      </c>
      <c r="D1094" s="183" t="s">
        <v>1601</v>
      </c>
      <c r="E1094" s="190">
        <v>42183</v>
      </c>
      <c r="F1094" s="191" t="s">
        <v>1664</v>
      </c>
      <c r="G1094" s="482" t="s">
        <v>857</v>
      </c>
      <c r="H1094" s="192" t="s">
        <v>416</v>
      </c>
      <c r="I1094" s="255">
        <v>730</v>
      </c>
      <c r="J1094" s="255">
        <v>800</v>
      </c>
      <c r="K1094" s="593">
        <f>ROUND(I1094*J1094,0)</f>
        <v>584000</v>
      </c>
      <c r="L1094" s="594" t="s">
        <v>259</v>
      </c>
      <c r="M1094" s="594" t="s">
        <v>174</v>
      </c>
      <c r="N1094" s="52" t="str">
        <f>IF(AND('331-CT'!$E$7=TH!H1094,OR(L1094="331",M1094="331")),"331",IF(AND(OR(L1094="131",M1094="131"),H1094='131-CT'!$E$7),"131",""))</f>
        <v/>
      </c>
      <c r="O1094" s="86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99"/>
    </row>
    <row r="1095" spans="1:27" s="210" customFormat="1" ht="15.75" customHeight="1">
      <c r="A1095" s="203" t="str">
        <f>IF(B1095&lt;&gt;"",IF(AND(B1095&gt;=_TM1,B1095&lt;=_TM2,OR(TH!L1095="1111",TH!M1095="1111")),TH!D1095,""),"")</f>
        <v/>
      </c>
      <c r="B1095" s="36">
        <f>IF(C1095&lt;&gt;"",MONTH(C1095),"")</f>
        <v>6</v>
      </c>
      <c r="C1095" s="183">
        <f>E1095</f>
        <v>42183</v>
      </c>
      <c r="D1095" s="183" t="s">
        <v>1601</v>
      </c>
      <c r="E1095" s="190">
        <v>42183</v>
      </c>
      <c r="F1095" s="191" t="s">
        <v>402</v>
      </c>
      <c r="G1095" s="482" t="s">
        <v>857</v>
      </c>
      <c r="H1095" s="192" t="s">
        <v>416</v>
      </c>
      <c r="I1095" s="255"/>
      <c r="J1095" s="255"/>
      <c r="K1095" s="593">
        <v>709925</v>
      </c>
      <c r="L1095" s="594" t="s">
        <v>259</v>
      </c>
      <c r="M1095" s="594" t="s">
        <v>371</v>
      </c>
      <c r="N1095" s="52" t="str">
        <f>IF(AND('331-CT'!$E$7=TH!H1095,OR(L1095="331",M1095="331")),"331",IF(AND(OR(L1095="131",M1095="131"),H1095='131-CT'!$E$7),"131",""))</f>
        <v/>
      </c>
      <c r="O1095" s="86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99"/>
    </row>
    <row r="1096" spans="1:27" s="210" customFormat="1" ht="15.75" customHeight="1">
      <c r="A1096" s="203" t="str">
        <f>IF(B1096&lt;&gt;"",IF(AND(B1096&gt;=_TM1,B1096&lt;=_TM2,OR(TH!L1096="1111",TH!M1096="1111")),TH!D1096,""),"")</f>
        <v/>
      </c>
      <c r="B1096" s="36">
        <f>IF(C1096&lt;&gt;"",MONTH(C1096),"")</f>
        <v>6</v>
      </c>
      <c r="C1096" s="183">
        <f>E1096</f>
        <v>42183</v>
      </c>
      <c r="D1096" s="183" t="s">
        <v>1602</v>
      </c>
      <c r="E1096" s="190">
        <v>42183</v>
      </c>
      <c r="F1096" s="188" t="s">
        <v>413</v>
      </c>
      <c r="G1096" s="482" t="s">
        <v>865</v>
      </c>
      <c r="H1096" s="192" t="s">
        <v>412</v>
      </c>
      <c r="I1096" s="255">
        <v>632</v>
      </c>
      <c r="J1096" s="255">
        <v>10500</v>
      </c>
      <c r="K1096" s="593">
        <f>ROUND(I1096*J1096,0)</f>
        <v>6636000</v>
      </c>
      <c r="L1096" s="594" t="s">
        <v>259</v>
      </c>
      <c r="M1096" s="594" t="s">
        <v>174</v>
      </c>
      <c r="N1096" s="52" t="str">
        <f>IF(AND('331-CT'!$E$7=TH!H1096,OR(L1096="331",M1096="331")),"331",IF(AND(OR(L1096="131",M1096="131"),H1096='131-CT'!$E$7),"131",""))</f>
        <v/>
      </c>
      <c r="O1096" s="86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99"/>
    </row>
    <row r="1097" spans="1:27" s="210" customFormat="1" ht="15.75" customHeight="1">
      <c r="A1097" s="203" t="str">
        <f>IF(B1097&lt;&gt;"",IF(AND(B1097&gt;=_TM1,B1097&lt;=_TM2,OR(TH!L1097="1111",TH!M1097="1111")),TH!D1097,""),"")</f>
        <v/>
      </c>
      <c r="B1097" s="36">
        <f>IF(C1097&lt;&gt;"",MONTH(C1097),"")</f>
        <v>6</v>
      </c>
      <c r="C1097" s="183">
        <f>E1097</f>
        <v>42183</v>
      </c>
      <c r="D1097" s="183" t="s">
        <v>1602</v>
      </c>
      <c r="E1097" s="190">
        <v>42183</v>
      </c>
      <c r="F1097" s="191" t="s">
        <v>402</v>
      </c>
      <c r="G1097" s="482" t="s">
        <v>865</v>
      </c>
      <c r="H1097" s="192" t="s">
        <v>412</v>
      </c>
      <c r="I1097" s="255"/>
      <c r="J1097" s="255"/>
      <c r="K1097" s="593">
        <v>663600</v>
      </c>
      <c r="L1097" s="594" t="s">
        <v>259</v>
      </c>
      <c r="M1097" s="594" t="s">
        <v>371</v>
      </c>
      <c r="N1097" s="52" t="str">
        <f>IF(AND('331-CT'!$E$7=TH!H1097,OR(L1097="331",M1097="331")),"331",IF(AND(OR(L1097="131",M1097="131"),H1097='131-CT'!$E$7),"131",""))</f>
        <v/>
      </c>
      <c r="O1097" s="86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99"/>
    </row>
    <row r="1098" spans="1:27" s="210" customFormat="1" ht="15.75" customHeight="1">
      <c r="A1098" s="203" t="str">
        <f>IF(B1098&lt;&gt;"",IF(AND(B1098&gt;=_TM1,B1098&lt;=_TM2,OR(TH!L1098="1111",TH!M1098="1111")),TH!D1098,""),"")</f>
        <v/>
      </c>
      <c r="B1098" s="36">
        <f>IF(C1098&lt;&gt;"",MONTH(C1098),"")</f>
        <v>6</v>
      </c>
      <c r="C1098" s="183">
        <f>E1098</f>
        <v>42183</v>
      </c>
      <c r="D1098" s="183" t="s">
        <v>1602</v>
      </c>
      <c r="E1098" s="190">
        <v>42183</v>
      </c>
      <c r="F1098" s="191" t="s">
        <v>1320</v>
      </c>
      <c r="G1098" s="482" t="s">
        <v>2042</v>
      </c>
      <c r="H1098" s="192" t="s">
        <v>412</v>
      </c>
      <c r="I1098" s="255"/>
      <c r="J1098" s="255"/>
      <c r="K1098" s="593">
        <f>7425000+10498950+7299600</f>
        <v>25223550</v>
      </c>
      <c r="L1098" s="594" t="s">
        <v>47</v>
      </c>
      <c r="M1098" s="594" t="s">
        <v>259</v>
      </c>
      <c r="N1098" s="52" t="str">
        <f>IF(AND('331-CT'!$E$7=TH!H1098,OR(L1098="331",M1098="331")),"331",IF(AND(OR(L1098="131",M1098="131"),H1098='131-CT'!$E$7),"131",""))</f>
        <v/>
      </c>
      <c r="O1098" s="869" t="str">
        <f>IF(AND('341-CT'!$E$9=H1098,OR(LEFT(L1098,3)=$O$7,LEFT(M1098,3)=$O$7)),"x","")</f>
        <v/>
      </c>
      <c r="P1098" s="52" t="str">
        <f>IF(AND($B1098&gt;='111'!$N$11,$B1098&lt;='111'!$O$11,OR($L1098=$P$7,$M1098=$P$7)),"x","")</f>
        <v>x</v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99"/>
    </row>
    <row r="1099" spans="1:27" s="210" customFormat="1" ht="15.75" customHeight="1">
      <c r="A1099" s="203" t="str">
        <f>IF(B1099&lt;&gt;"",IF(AND(B1099&gt;=_TM1,B1099&lt;=_TM2,OR(TH!L1099="1111",TH!M1099="1111")),TH!D1099,""),"")</f>
        <v/>
      </c>
      <c r="B1099" s="36">
        <f>IF(C1099&lt;&gt;"",MONTH(C1099),"")</f>
        <v>6</v>
      </c>
      <c r="C1099" s="183">
        <f>E1099</f>
        <v>42184</v>
      </c>
      <c r="D1099" s="183" t="s">
        <v>1603</v>
      </c>
      <c r="E1099" s="190">
        <v>42184</v>
      </c>
      <c r="F1099" s="191" t="s">
        <v>858</v>
      </c>
      <c r="G1099" s="482" t="s">
        <v>859</v>
      </c>
      <c r="H1099" s="192" t="s">
        <v>416</v>
      </c>
      <c r="I1099" s="256">
        <v>320</v>
      </c>
      <c r="J1099" s="256">
        <v>18400</v>
      </c>
      <c r="K1099" s="593">
        <f>ROUND(I1099*J1099,0)</f>
        <v>5888000</v>
      </c>
      <c r="L1099" s="594" t="s">
        <v>259</v>
      </c>
      <c r="M1099" s="594" t="s">
        <v>174</v>
      </c>
      <c r="N1099" s="52" t="str">
        <f>IF(AND('331-CT'!$E$7=TH!H1099,OR(L1099="331",M1099="331")),"331",IF(AND(OR(L1099="131",M1099="131"),H1099='131-CT'!$E$7),"131",""))</f>
        <v/>
      </c>
      <c r="O1099" s="86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99"/>
    </row>
    <row r="1100" spans="1:27" s="210" customFormat="1" ht="15.75" customHeight="1">
      <c r="A1100" s="203" t="str">
        <f>IF(B1100&lt;&gt;"",IF(AND(B1100&gt;=_TM1,B1100&lt;=_TM2,OR(TH!L1100="1111",TH!M1100="1111")),TH!D1100,""),"")</f>
        <v/>
      </c>
      <c r="B1100" s="36">
        <f>IF(C1100&lt;&gt;"",MONTH(C1100),"")</f>
        <v>6</v>
      </c>
      <c r="C1100" s="183">
        <f>E1100</f>
        <v>42184</v>
      </c>
      <c r="D1100" s="183" t="s">
        <v>1603</v>
      </c>
      <c r="E1100" s="190">
        <v>42184</v>
      </c>
      <c r="F1100" s="191" t="s">
        <v>860</v>
      </c>
      <c r="G1100" s="482" t="s">
        <v>859</v>
      </c>
      <c r="H1100" s="192" t="s">
        <v>416</v>
      </c>
      <c r="I1100" s="255">
        <v>1371</v>
      </c>
      <c r="J1100" s="255">
        <v>18400</v>
      </c>
      <c r="K1100" s="593">
        <f>ROUND(I1100*J1100,0)</f>
        <v>25226400</v>
      </c>
      <c r="L1100" s="594" t="s">
        <v>259</v>
      </c>
      <c r="M1100" s="594" t="s">
        <v>174</v>
      </c>
      <c r="N1100" s="52" t="str">
        <f>IF(AND('331-CT'!$E$7=TH!H1100,OR(L1100="331",M1100="331")),"331",IF(AND(OR(L1100="131",M1100="131"),H1100='131-CT'!$E$7),"131",""))</f>
        <v/>
      </c>
      <c r="O1100" s="86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99"/>
    </row>
    <row r="1101" spans="1:27" s="210" customFormat="1" ht="15.75" customHeight="1">
      <c r="A1101" s="203" t="str">
        <f>IF(B1101&lt;&gt;"",IF(AND(B1101&gt;=_TM1,B1101&lt;=_TM2,OR(TH!L1101="1111",TH!M1101="1111")),TH!D1101,""),"")</f>
        <v/>
      </c>
      <c r="B1101" s="36">
        <f>IF(C1101&lt;&gt;"",MONTH(C1101),"")</f>
        <v>6</v>
      </c>
      <c r="C1101" s="183">
        <f>E1101</f>
        <v>42184</v>
      </c>
      <c r="D1101" s="183" t="s">
        <v>1603</v>
      </c>
      <c r="E1101" s="190">
        <v>42184</v>
      </c>
      <c r="F1101" s="191" t="s">
        <v>861</v>
      </c>
      <c r="G1101" s="482" t="s">
        <v>859</v>
      </c>
      <c r="H1101" s="192" t="s">
        <v>416</v>
      </c>
      <c r="I1101" s="255">
        <v>185</v>
      </c>
      <c r="J1101" s="255">
        <v>19800</v>
      </c>
      <c r="K1101" s="593">
        <f>ROUND(I1101*J1101,0)</f>
        <v>3663000</v>
      </c>
      <c r="L1101" s="594" t="s">
        <v>259</v>
      </c>
      <c r="M1101" s="594" t="s">
        <v>174</v>
      </c>
      <c r="N1101" s="52" t="str">
        <f>IF(AND('331-CT'!$E$7=TH!H1101,OR(L1101="331",M1101="331")),"331",IF(AND(OR(L1101="131",M1101="131"),H1101='131-CT'!$E$7),"131",""))</f>
        <v/>
      </c>
      <c r="O1101" s="86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99"/>
    </row>
    <row r="1102" spans="1:27" s="210" customFormat="1" ht="15.75" customHeight="1">
      <c r="A1102" s="203" t="str">
        <f>IF(B1102&lt;&gt;"",IF(AND(B1102&gt;=_TM1,B1102&lt;=_TM2,OR(TH!L1102="1111",TH!M1102="1111")),TH!D1102,""),"")</f>
        <v/>
      </c>
      <c r="B1102" s="36">
        <f>IF(C1102&lt;&gt;"",MONTH(C1102),"")</f>
        <v>6</v>
      </c>
      <c r="C1102" s="183">
        <f>E1102</f>
        <v>42184</v>
      </c>
      <c r="D1102" s="183" t="s">
        <v>1603</v>
      </c>
      <c r="E1102" s="190">
        <v>42184</v>
      </c>
      <c r="F1102" s="188" t="s">
        <v>1671</v>
      </c>
      <c r="G1102" s="482" t="s">
        <v>859</v>
      </c>
      <c r="H1102" s="7" t="s">
        <v>416</v>
      </c>
      <c r="I1102" s="761">
        <v>3752</v>
      </c>
      <c r="J1102" s="255">
        <v>700</v>
      </c>
      <c r="K1102" s="593">
        <f>ROUND(I1102*J1102,0)</f>
        <v>2626400</v>
      </c>
      <c r="L1102" s="594" t="s">
        <v>259</v>
      </c>
      <c r="M1102" s="594" t="s">
        <v>174</v>
      </c>
      <c r="N1102" s="52" t="str">
        <f>IF(AND('331-CT'!$E$7=TH!H1102,OR(L1102="331",M1102="331")),"331",IF(AND(OR(L1102="131",M1102="131"),H1102='131-CT'!$E$7),"131",""))</f>
        <v/>
      </c>
      <c r="O1102" s="86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99"/>
    </row>
    <row r="1103" spans="1:27" s="210" customFormat="1" ht="15.75" customHeight="1">
      <c r="A1103" s="203" t="str">
        <f>IF(B1103&lt;&gt;"",IF(AND(B1103&gt;=_TM1,B1103&lt;=_TM2,OR(TH!L1103="1111",TH!M1103="1111")),TH!D1103,""),"")</f>
        <v/>
      </c>
      <c r="B1103" s="36">
        <f>IF(C1103&lt;&gt;"",MONTH(C1103),"")</f>
        <v>6</v>
      </c>
      <c r="C1103" s="183">
        <f>E1103</f>
        <v>42184</v>
      </c>
      <c r="D1103" s="183" t="s">
        <v>1603</v>
      </c>
      <c r="E1103" s="190">
        <v>42184</v>
      </c>
      <c r="F1103" s="188" t="s">
        <v>862</v>
      </c>
      <c r="G1103" s="482" t="s">
        <v>859</v>
      </c>
      <c r="H1103" s="7" t="s">
        <v>416</v>
      </c>
      <c r="I1103" s="255">
        <v>201</v>
      </c>
      <c r="J1103" s="255">
        <v>12300</v>
      </c>
      <c r="K1103" s="593">
        <f>ROUND(I1103*J1103,0)</f>
        <v>2472300</v>
      </c>
      <c r="L1103" s="594" t="s">
        <v>259</v>
      </c>
      <c r="M1103" s="594" t="s">
        <v>174</v>
      </c>
      <c r="N1103" s="52" t="str">
        <f>IF(AND('331-CT'!$E$7=TH!H1103,OR(L1103="331",M1103="331")),"331",IF(AND(OR(L1103="131",M1103="131"),H1103='131-CT'!$E$7),"131",""))</f>
        <v/>
      </c>
      <c r="O1103" s="86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99"/>
    </row>
    <row r="1104" spans="1:27" s="210" customFormat="1" ht="15.75" customHeight="1">
      <c r="A1104" s="203" t="str">
        <f>IF(B1104&lt;&gt;"",IF(AND(B1104&gt;=_TM1,B1104&lt;=_TM2,OR(TH!L1104="1111",TH!M1104="1111")),TH!D1104,""),"")</f>
        <v/>
      </c>
      <c r="B1104" s="36">
        <f>IF(C1104&lt;&gt;"",MONTH(C1104),"")</f>
        <v>6</v>
      </c>
      <c r="C1104" s="183">
        <f>E1104</f>
        <v>42184</v>
      </c>
      <c r="D1104" s="183" t="s">
        <v>1603</v>
      </c>
      <c r="E1104" s="190">
        <v>42184</v>
      </c>
      <c r="F1104" s="40" t="s">
        <v>863</v>
      </c>
      <c r="G1104" s="482" t="s">
        <v>859</v>
      </c>
      <c r="H1104" s="7" t="s">
        <v>416</v>
      </c>
      <c r="I1104" s="255">
        <v>248</v>
      </c>
      <c r="J1104" s="255">
        <v>18100</v>
      </c>
      <c r="K1104" s="593">
        <f>ROUND(I1104*J1104,0)</f>
        <v>4488800</v>
      </c>
      <c r="L1104" s="594" t="s">
        <v>259</v>
      </c>
      <c r="M1104" s="594" t="s">
        <v>174</v>
      </c>
      <c r="N1104" s="52" t="str">
        <f>IF(AND('331-CT'!$E$7=TH!H1104,OR(L1104="331",M1104="331")),"331",IF(AND(OR(L1104="131",M1104="131"),H1104='131-CT'!$E$7),"131",""))</f>
        <v/>
      </c>
      <c r="O1104" s="86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99"/>
    </row>
    <row r="1105" spans="1:28" s="210" customFormat="1" ht="15.75" customHeight="1">
      <c r="A1105" s="203" t="str">
        <f>IF(B1105&lt;&gt;"",IF(AND(B1105&gt;=_TM1,B1105&lt;=_TM2,OR(TH!L1105="1111",TH!M1105="1111")),TH!D1105,""),"")</f>
        <v/>
      </c>
      <c r="B1105" s="36">
        <f>IF(C1105&lt;&gt;"",MONTH(C1105),"")</f>
        <v>6</v>
      </c>
      <c r="C1105" s="183">
        <f>E1105</f>
        <v>42184</v>
      </c>
      <c r="D1105" s="183" t="s">
        <v>1603</v>
      </c>
      <c r="E1105" s="190">
        <v>42184</v>
      </c>
      <c r="F1105" s="188" t="s">
        <v>1663</v>
      </c>
      <c r="G1105" s="482" t="s">
        <v>859</v>
      </c>
      <c r="H1105" s="7" t="s">
        <v>416</v>
      </c>
      <c r="I1105" s="255">
        <v>402</v>
      </c>
      <c r="J1105" s="255">
        <v>400</v>
      </c>
      <c r="K1105" s="593">
        <f>ROUND(I1105*J1105,0)</f>
        <v>160800</v>
      </c>
      <c r="L1105" s="594" t="s">
        <v>259</v>
      </c>
      <c r="M1105" s="594" t="s">
        <v>174</v>
      </c>
      <c r="N1105" s="52" t="str">
        <f>IF(AND('331-CT'!$E$7=TH!H1105,OR(L1105="331",M1105="331")),"331",IF(AND(OR(L1105="131",M1105="131"),H1105='131-CT'!$E$7),"131",""))</f>
        <v/>
      </c>
      <c r="O1105" s="86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99"/>
    </row>
    <row r="1106" spans="1:28" s="210" customFormat="1" ht="15.75" customHeight="1">
      <c r="A1106" s="203" t="str">
        <f>IF(B1106&lt;&gt;"",IF(AND(B1106&gt;=_TM1,B1106&lt;=_TM2,OR(TH!L1106="1111",TH!M1106="1111")),TH!D1106,""),"")</f>
        <v/>
      </c>
      <c r="B1106" s="36">
        <f>IF(C1106&lt;&gt;"",MONTH(C1106),"")</f>
        <v>6</v>
      </c>
      <c r="C1106" s="183">
        <f>E1106</f>
        <v>42184</v>
      </c>
      <c r="D1106" s="183" t="s">
        <v>1603</v>
      </c>
      <c r="E1106" s="190">
        <v>42184</v>
      </c>
      <c r="F1106" s="40" t="s">
        <v>1664</v>
      </c>
      <c r="G1106" s="482" t="s">
        <v>859</v>
      </c>
      <c r="H1106" s="7" t="s">
        <v>416</v>
      </c>
      <c r="I1106" s="255">
        <v>496</v>
      </c>
      <c r="J1106" s="255">
        <v>770</v>
      </c>
      <c r="K1106" s="593">
        <f>ROUND(I1106*J1106,0)</f>
        <v>381920</v>
      </c>
      <c r="L1106" s="594" t="s">
        <v>259</v>
      </c>
      <c r="M1106" s="594" t="s">
        <v>174</v>
      </c>
      <c r="N1106" s="52" t="str">
        <f>IF(AND('331-CT'!$E$7=TH!H1106,OR(L1106="331",M1106="331")),"331",IF(AND(OR(L1106="131",M1106="131"),H1106='131-CT'!$E$7),"131",""))</f>
        <v/>
      </c>
      <c r="O1106" s="86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99"/>
    </row>
    <row r="1107" spans="1:28" s="210" customFormat="1" ht="15.75" customHeight="1">
      <c r="A1107" s="203" t="str">
        <f>IF(B1107&lt;&gt;"",IF(AND(B1107&gt;=_TM1,B1107&lt;=_TM2,OR(TH!L1107="1111",TH!M1107="1111")),TH!D1107,""),"")</f>
        <v/>
      </c>
      <c r="B1107" s="36">
        <f>IF(C1107&lt;&gt;"",MONTH(C1107),"")</f>
        <v>6</v>
      </c>
      <c r="C1107" s="183">
        <f>E1107</f>
        <v>42184</v>
      </c>
      <c r="D1107" s="183" t="s">
        <v>1603</v>
      </c>
      <c r="E1107" s="190">
        <v>42184</v>
      </c>
      <c r="F1107" s="191" t="s">
        <v>402</v>
      </c>
      <c r="G1107" s="482" t="s">
        <v>859</v>
      </c>
      <c r="H1107" s="192" t="s">
        <v>416</v>
      </c>
      <c r="I1107" s="255"/>
      <c r="J1107" s="255"/>
      <c r="K1107" s="593">
        <v>4490762</v>
      </c>
      <c r="L1107" s="594" t="s">
        <v>259</v>
      </c>
      <c r="M1107" s="594" t="s">
        <v>371</v>
      </c>
      <c r="N1107" s="52" t="str">
        <f>IF(AND('331-CT'!$E$7=TH!H1107,OR(L1107="331",M1107="331")),"331",IF(AND(OR(L1107="131",M1107="131"),H1107='131-CT'!$E$7),"131",""))</f>
        <v/>
      </c>
      <c r="O1107" s="86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99"/>
    </row>
    <row r="1108" spans="1:28" s="210" customFormat="1" ht="15.75" customHeight="1">
      <c r="A1108" s="203" t="str">
        <f>IF(B1108&lt;&gt;"",IF(AND(B1108&gt;=_TM1,B1108&lt;=_TM2,OR(TH!L1108="1111",TH!M1108="1111")),TH!D1108,""),"")</f>
        <v/>
      </c>
      <c r="B1108" s="36">
        <f>IF(C1108&lt;&gt;"",MONTH(C1108),"")</f>
        <v>6</v>
      </c>
      <c r="C1108" s="183">
        <f>E1108</f>
        <v>42184</v>
      </c>
      <c r="D1108" s="183" t="s">
        <v>1604</v>
      </c>
      <c r="E1108" s="190">
        <v>42184</v>
      </c>
      <c r="F1108" s="188" t="s">
        <v>1140</v>
      </c>
      <c r="G1108" s="482" t="s">
        <v>864</v>
      </c>
      <c r="H1108" s="192" t="s">
        <v>473</v>
      </c>
      <c r="I1108" s="255">
        <v>1005</v>
      </c>
      <c r="J1108" s="255">
        <v>14000</v>
      </c>
      <c r="K1108" s="593">
        <f>ROUND(I1108*J1108,0)</f>
        <v>14070000</v>
      </c>
      <c r="L1108" s="594" t="s">
        <v>259</v>
      </c>
      <c r="M1108" s="594" t="s">
        <v>174</v>
      </c>
      <c r="N1108" s="52" t="str">
        <f>IF(AND('331-CT'!$E$7=TH!H1108,OR(L1108="331",M1108="331")),"331",IF(AND(OR(L1108="131",M1108="131"),H1108='131-CT'!$E$7),"131",""))</f>
        <v/>
      </c>
      <c r="O1108" s="86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99"/>
    </row>
    <row r="1109" spans="1:28" s="210" customFormat="1" ht="15.75" customHeight="1">
      <c r="A1109" s="203" t="str">
        <f>IF(B1109&lt;&gt;"",IF(AND(B1109&gt;=_TM1,B1109&lt;=_TM2,OR(TH!L1109="1111",TH!M1109="1111")),TH!D1109,""),"")</f>
        <v/>
      </c>
      <c r="B1109" s="36">
        <f>IF(C1109&lt;&gt;"",MONTH(C1109),"")</f>
        <v>6</v>
      </c>
      <c r="C1109" s="183">
        <f>E1109</f>
        <v>42184</v>
      </c>
      <c r="D1109" s="183" t="s">
        <v>1604</v>
      </c>
      <c r="E1109" s="190">
        <v>42184</v>
      </c>
      <c r="F1109" s="188" t="s">
        <v>1140</v>
      </c>
      <c r="G1109" s="482" t="s">
        <v>864</v>
      </c>
      <c r="H1109" s="192" t="s">
        <v>473</v>
      </c>
      <c r="I1109" s="255">
        <v>103</v>
      </c>
      <c r="J1109" s="255">
        <v>13600</v>
      </c>
      <c r="K1109" s="593">
        <f>ROUND(I1109*J1109,0)</f>
        <v>1400800</v>
      </c>
      <c r="L1109" s="594" t="s">
        <v>259</v>
      </c>
      <c r="M1109" s="594" t="s">
        <v>174</v>
      </c>
      <c r="N1109" s="52" t="str">
        <f>IF(AND('331-CT'!$E$7=TH!H1109,OR(L1109="331",M1109="331")),"331",IF(AND(OR(L1109="131",M1109="131"),H1109='131-CT'!$E$7),"131",""))</f>
        <v/>
      </c>
      <c r="O1109" s="86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99"/>
    </row>
    <row r="1110" spans="1:28" s="210" customFormat="1" ht="15.75" customHeight="1">
      <c r="A1110" s="203" t="str">
        <f>IF(B1110&lt;&gt;"",IF(AND(B1110&gt;=_TM1,B1110&lt;=_TM2,OR(TH!L1110="1111",TH!M1110="1111")),TH!D1110,""),"")</f>
        <v/>
      </c>
      <c r="B1110" s="36">
        <f>IF(C1110&lt;&gt;"",MONTH(C1110),"")</f>
        <v>6</v>
      </c>
      <c r="C1110" s="183">
        <f>E1110</f>
        <v>42184</v>
      </c>
      <c r="D1110" s="183" t="s">
        <v>1604</v>
      </c>
      <c r="E1110" s="190">
        <v>42184</v>
      </c>
      <c r="F1110" s="191" t="s">
        <v>1654</v>
      </c>
      <c r="G1110" s="482" t="s">
        <v>864</v>
      </c>
      <c r="H1110" s="192" t="s">
        <v>473</v>
      </c>
      <c r="I1110" s="255">
        <v>2216</v>
      </c>
      <c r="J1110" s="255">
        <v>1500</v>
      </c>
      <c r="K1110" s="593">
        <f>ROUND(I1110*J1110,0)</f>
        <v>3324000</v>
      </c>
      <c r="L1110" s="594" t="s">
        <v>259</v>
      </c>
      <c r="M1110" s="594" t="s">
        <v>174</v>
      </c>
      <c r="N1110" s="52" t="str">
        <f>IF(AND('331-CT'!$E$7=TH!H1110,OR(L1110="331",M1110="331")),"331",IF(AND(OR(L1110="131",M1110="131"),H1110='131-CT'!$E$7),"131",""))</f>
        <v/>
      </c>
      <c r="O1110" s="86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99"/>
    </row>
    <row r="1111" spans="1:28" s="210" customFormat="1" ht="15.75" customHeight="1">
      <c r="A1111" s="203" t="str">
        <f>IF(B1111&lt;&gt;"",IF(AND(B1111&gt;=_TM1,B1111&lt;=_TM2,OR(TH!L1111="1111",TH!M1111="1111")),TH!D1111,""),"")</f>
        <v/>
      </c>
      <c r="B1111" s="36">
        <f>IF(C1111&lt;&gt;"",MONTH(C1111),"")</f>
        <v>6</v>
      </c>
      <c r="C1111" s="183">
        <f>E1111</f>
        <v>42184</v>
      </c>
      <c r="D1111" s="183" t="s">
        <v>1604</v>
      </c>
      <c r="E1111" s="190">
        <v>42184</v>
      </c>
      <c r="F1111" s="191" t="s">
        <v>402</v>
      </c>
      <c r="G1111" s="482" t="s">
        <v>864</v>
      </c>
      <c r="H1111" s="192" t="s">
        <v>473</v>
      </c>
      <c r="I1111" s="255"/>
      <c r="J1111" s="255"/>
      <c r="K1111" s="593">
        <v>1879480</v>
      </c>
      <c r="L1111" s="594" t="s">
        <v>259</v>
      </c>
      <c r="M1111" s="594" t="s">
        <v>371</v>
      </c>
      <c r="N1111" s="52" t="str">
        <f>IF(AND('331-CT'!$E$7=TH!H1111,OR(L1111="331",M1111="331")),"331",IF(AND(OR(L1111="131",M1111="131"),H1111='131-CT'!$E$7),"131",""))</f>
        <v/>
      </c>
      <c r="O1111" s="86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99"/>
    </row>
    <row r="1112" spans="1:28" s="210" customFormat="1" ht="15.75" customHeight="1">
      <c r="A1112" s="203" t="str">
        <f>IF(B1112&lt;&gt;"",IF(AND(B1112&gt;=_TM1,B1112&lt;=_TM2,OR(TH!L1112="1111",TH!M1112="1111")),TH!D1112,""),"")</f>
        <v/>
      </c>
      <c r="B1112" s="36">
        <f>IF(C1112&lt;&gt;"",MONTH(C1112),"")</f>
        <v>6</v>
      </c>
      <c r="C1112" s="183">
        <f>E1112</f>
        <v>42184</v>
      </c>
      <c r="D1112" s="183" t="s">
        <v>1605</v>
      </c>
      <c r="E1112" s="190">
        <v>42184</v>
      </c>
      <c r="F1112" s="191" t="s">
        <v>1750</v>
      </c>
      <c r="G1112" s="482" t="s">
        <v>866</v>
      </c>
      <c r="H1112" s="7" t="s">
        <v>1934</v>
      </c>
      <c r="I1112" s="255">
        <v>230</v>
      </c>
      <c r="J1112" s="255">
        <v>13136</v>
      </c>
      <c r="K1112" s="593">
        <f>ROUND(I1112*J1112,0)</f>
        <v>3021280</v>
      </c>
      <c r="L1112" s="594" t="s">
        <v>259</v>
      </c>
      <c r="M1112" s="594" t="s">
        <v>174</v>
      </c>
      <c r="N1112" s="52" t="str">
        <f>IF(AND('331-CT'!$E$7=TH!H1112,OR(L1112="331",M1112="331")),"331",IF(AND(OR(L1112="131",M1112="131"),H1112='131-CT'!$E$7),"131",""))</f>
        <v/>
      </c>
      <c r="O1112" s="86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99"/>
    </row>
    <row r="1113" spans="1:28" s="210" customFormat="1" ht="15.75" customHeight="1">
      <c r="A1113" s="203" t="str">
        <f>IF(B1113&lt;&gt;"",IF(AND(B1113&gt;=_TM1,B1113&lt;=_TM2,OR(TH!L1113="1111",TH!M1113="1111")),TH!D1113,""),"")</f>
        <v/>
      </c>
      <c r="B1113" s="36">
        <f>IF(C1113&lt;&gt;"",MONTH(C1113),"")</f>
        <v>6</v>
      </c>
      <c r="C1113" s="183">
        <f>E1113</f>
        <v>42184</v>
      </c>
      <c r="D1113" s="183" t="s">
        <v>1605</v>
      </c>
      <c r="E1113" s="190">
        <v>42184</v>
      </c>
      <c r="F1113" s="191" t="s">
        <v>731</v>
      </c>
      <c r="G1113" s="482" t="s">
        <v>866</v>
      </c>
      <c r="H1113" s="7" t="s">
        <v>1934</v>
      </c>
      <c r="I1113" s="255"/>
      <c r="J1113" s="255"/>
      <c r="K1113" s="593">
        <v>302128</v>
      </c>
      <c r="L1113" s="594" t="s">
        <v>259</v>
      </c>
      <c r="M1113" s="594" t="s">
        <v>371</v>
      </c>
      <c r="N1113" s="52" t="str">
        <f>IF(AND('331-CT'!$E$7=TH!H1113,OR(L1113="331",M1113="331")),"331",IF(AND(OR(L1113="131",M1113="131"),H1113='131-CT'!$E$7),"131",""))</f>
        <v/>
      </c>
      <c r="O1113" s="86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99"/>
    </row>
    <row r="1114" spans="1:28" s="210" customFormat="1" ht="15.75" customHeight="1">
      <c r="A1114" s="203" t="str">
        <f>IF(B1114&lt;&gt;"",IF(AND(B1114&gt;=_TM1,B1114&lt;=_TM2,OR(TH!L1114="1111",TH!M1114="1111")),TH!D1114,""),"")</f>
        <v/>
      </c>
      <c r="B1114" s="36">
        <f>IF(C1114&lt;&gt;"",MONTH(C1114),"")</f>
        <v>6</v>
      </c>
      <c r="C1114" s="183">
        <f>E1114</f>
        <v>42184</v>
      </c>
      <c r="D1114" s="183" t="s">
        <v>1605</v>
      </c>
      <c r="E1114" s="190">
        <v>42184</v>
      </c>
      <c r="F1114" s="191" t="s">
        <v>1320</v>
      </c>
      <c r="G1114" s="482" t="s">
        <v>2057</v>
      </c>
      <c r="H1114" s="7" t="s">
        <v>1934</v>
      </c>
      <c r="I1114" s="255"/>
      <c r="J1114" s="255"/>
      <c r="K1114" s="593">
        <f>16680400+7625387+3323408</f>
        <v>27629195</v>
      </c>
      <c r="L1114" s="594" t="s">
        <v>47</v>
      </c>
      <c r="M1114" s="594" t="s">
        <v>259</v>
      </c>
      <c r="N1114" s="52" t="str">
        <f>IF(AND('331-CT'!$E$7=TH!H1114,OR(L1114="331",M1114="331")),"331",IF(AND(OR(L1114="131",M1114="131"),H1114='131-CT'!$E$7),"131",""))</f>
        <v/>
      </c>
      <c r="O1114" s="86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99"/>
    </row>
    <row r="1115" spans="1:28" s="210" customFormat="1" ht="15.75" customHeight="1">
      <c r="A1115" s="203" t="str">
        <f>IF(B1115&lt;&gt;"",IF(AND(B1115&gt;=_TM1,B1115&lt;=_TM2,OR(TH!L1115="1111",TH!M1115="1111")),TH!D1115,""),"")</f>
        <v/>
      </c>
      <c r="B1115" s="36">
        <f>IF(C1115&lt;&gt;"",MONTH(C1115),"")</f>
        <v>6</v>
      </c>
      <c r="C1115" s="888">
        <f>E1115</f>
        <v>42185</v>
      </c>
      <c r="D1115" s="888" t="s">
        <v>334</v>
      </c>
      <c r="E1115" s="888">
        <v>42185</v>
      </c>
      <c r="F1115" s="889" t="s">
        <v>1939</v>
      </c>
      <c r="G1115" s="890"/>
      <c r="H1115" s="891"/>
      <c r="I1115" s="892"/>
      <c r="J1115" s="892"/>
      <c r="K1115" s="893">
        <v>16670000</v>
      </c>
      <c r="L1115" s="894" t="s">
        <v>83</v>
      </c>
      <c r="M1115" s="894" t="s">
        <v>262</v>
      </c>
      <c r="N1115" s="52" t="str">
        <f>IF(AND('331-CT'!$E$7=TH!H1115,OR(L1115="331",M1115="331")),"331",IF(AND(OR(L1115="131",M1115="131"),H1115='131-CT'!$E$7),"131",""))</f>
        <v/>
      </c>
      <c r="O1115" s="86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>x</v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197"/>
      <c r="AB1115" s="197"/>
    </row>
    <row r="1116" spans="1:28" s="210" customFormat="1" ht="15.75" customHeight="1">
      <c r="A1116" s="203" t="str">
        <f>IF(B1116&lt;&gt;"",IF(AND(B1116&gt;=_TM1,B1116&lt;=_TM2,OR(TH!L1116="1111",TH!M1116="1111")),TH!D1116,""),"")</f>
        <v/>
      </c>
      <c r="B1116" s="36">
        <f>IF(C1116&lt;&gt;"",MONTH(C1116),"")</f>
        <v>6</v>
      </c>
      <c r="C1116" s="888">
        <f>E1116</f>
        <v>42185</v>
      </c>
      <c r="D1116" s="888" t="s">
        <v>334</v>
      </c>
      <c r="E1116" s="888">
        <v>42185</v>
      </c>
      <c r="F1116" s="889" t="s">
        <v>1940</v>
      </c>
      <c r="G1116" s="890"/>
      <c r="H1116" s="891"/>
      <c r="I1116" s="892"/>
      <c r="J1116" s="892"/>
      <c r="K1116" s="893">
        <v>34530000</v>
      </c>
      <c r="L1116" s="894" t="s">
        <v>165</v>
      </c>
      <c r="M1116" s="894" t="s">
        <v>262</v>
      </c>
      <c r="N1116" s="52" t="str">
        <f>IF(AND('331-CT'!$E$7=TH!H1116,OR(L1116="331",M1116="331")),"331",IF(AND(OR(L1116="131",M1116="131"),H1116='131-CT'!$E$7),"131",""))</f>
        <v/>
      </c>
      <c r="O1116" s="86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197"/>
      <c r="AB1116" s="197"/>
    </row>
    <row r="1117" spans="1:28" s="210" customFormat="1" ht="15.75" customHeight="1">
      <c r="A1117" s="203" t="str">
        <f>IF(B1117&lt;&gt;"",IF(AND(B1117&gt;=_TM1,B1117&lt;=_TM2,OR(TH!L1117="1111",TH!M1117="1111")),TH!D1117,""),"")</f>
        <v/>
      </c>
      <c r="B1117" s="36">
        <f>IF(C1117&lt;&gt;"",MONTH(C1117),"")</f>
        <v>6</v>
      </c>
      <c r="C1117" s="888">
        <f>E1117</f>
        <v>42185</v>
      </c>
      <c r="D1117" s="888" t="s">
        <v>334</v>
      </c>
      <c r="E1117" s="888">
        <v>42185</v>
      </c>
      <c r="F1117" s="889" t="str">
        <f>"Thanh toán tiền lương tháng "&amp;MONTH(E1117)&amp;"/"&amp;YEAR(E1117)</f>
        <v>Thanh toán tiền lương tháng 6/2015</v>
      </c>
      <c r="G1117" s="890"/>
      <c r="H1117" s="891"/>
      <c r="I1117" s="892"/>
      <c r="J1117" s="892"/>
      <c r="K1117" s="893">
        <f>K1115+K1116</f>
        <v>51200000</v>
      </c>
      <c r="L1117" s="894" t="s">
        <v>262</v>
      </c>
      <c r="M1117" s="894" t="s">
        <v>47</v>
      </c>
      <c r="N1117" s="52" t="str">
        <f>IF(AND('331-CT'!$E$7=TH!H1117,OR(L1117="331",M1117="331")),"331",IF(AND(OR(L1117="131",M1117="131"),H1117='131-CT'!$E$7),"131",""))</f>
        <v/>
      </c>
      <c r="O1117" s="869" t="str">
        <f>IF(AND('341-CT'!$E$9=H1117,OR(LEFT(L1117,3)=$O$7,LEFT(M1117,3)=$O$7)),"x","")</f>
        <v/>
      </c>
      <c r="P1117" s="52" t="str">
        <f>IF(AND($B1117&gt;='111'!$N$11,$B1117&lt;='111'!$O$11,OR($L1117=$P$7,$M1117=$P$7)),"x","")</f>
        <v>x</v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197"/>
      <c r="AB1117" s="197"/>
    </row>
    <row r="1118" spans="1:28" s="210" customFormat="1" ht="15.75" customHeight="1">
      <c r="A1118" s="203" t="str">
        <f>IF(B1118&lt;&gt;"",IF(AND(B1118&gt;=_TM1,B1118&lt;=_TM2,OR(TH!L1118="1111",TH!M1118="1111")),TH!D1118,""),"")</f>
        <v/>
      </c>
      <c r="B1118" s="36">
        <f>IF(C1118&lt;&gt;"",MONTH(C1118),"")</f>
        <v>6</v>
      </c>
      <c r="C1118" s="183">
        <f>E1118</f>
        <v>42185</v>
      </c>
      <c r="D1118" s="183" t="s">
        <v>1606</v>
      </c>
      <c r="E1118" s="190">
        <v>42185</v>
      </c>
      <c r="F1118" s="191" t="s">
        <v>494</v>
      </c>
      <c r="G1118" s="482" t="s">
        <v>867</v>
      </c>
      <c r="H1118" s="7" t="s">
        <v>834</v>
      </c>
      <c r="I1118" s="255">
        <v>2016</v>
      </c>
      <c r="J1118" s="255">
        <v>5400</v>
      </c>
      <c r="K1118" s="593">
        <f>ROUND(I1118*J1118,0)</f>
        <v>10886400</v>
      </c>
      <c r="L1118" s="594" t="s">
        <v>259</v>
      </c>
      <c r="M1118" s="594" t="s">
        <v>174</v>
      </c>
      <c r="N1118" s="52" t="str">
        <f>IF(AND('331-CT'!$E$7=TH!H1118,OR(L1118="331",M1118="331")),"331",IF(AND(OR(L1118="131",M1118="131"),H1118='131-CT'!$E$7),"131",""))</f>
        <v/>
      </c>
      <c r="O1118" s="86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99"/>
    </row>
    <row r="1119" spans="1:28" s="210" customFormat="1" ht="15.75" customHeight="1">
      <c r="A1119" s="203" t="str">
        <f>IF(B1119&lt;&gt;"",IF(AND(B1119&gt;=_TM1,B1119&lt;=_TM2,OR(TH!L1119="1111",TH!M1119="1111")),TH!D1119,""),"")</f>
        <v/>
      </c>
      <c r="B1119" s="36">
        <f>IF(C1119&lt;&gt;"",MONTH(C1119),"")</f>
        <v>6</v>
      </c>
      <c r="C1119" s="183">
        <f>E1119</f>
        <v>42185</v>
      </c>
      <c r="D1119" s="183" t="s">
        <v>1606</v>
      </c>
      <c r="E1119" s="190">
        <v>42185</v>
      </c>
      <c r="F1119" s="296" t="s">
        <v>402</v>
      </c>
      <c r="G1119" s="482" t="s">
        <v>867</v>
      </c>
      <c r="H1119" s="7" t="s">
        <v>834</v>
      </c>
      <c r="I1119" s="255"/>
      <c r="J1119" s="255"/>
      <c r="K1119" s="593">
        <v>1088640</v>
      </c>
      <c r="L1119" s="594" t="s">
        <v>259</v>
      </c>
      <c r="M1119" s="594" t="s">
        <v>371</v>
      </c>
      <c r="N1119" s="52" t="str">
        <f>IF(AND('331-CT'!$E$7=TH!H1119,OR(L1119="331",M1119="331")),"331",IF(AND(OR(L1119="131",M1119="131"),H1119='131-CT'!$E$7),"131",""))</f>
        <v/>
      </c>
      <c r="O1119" s="86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99"/>
    </row>
    <row r="1120" spans="1:28" s="210" customFormat="1" ht="15.75" customHeight="1">
      <c r="A1120" s="203" t="str">
        <f>IF(B1120&lt;&gt;"",IF(AND(B1120&gt;=_TM1,B1120&lt;=_TM2,OR(TH!L1120="1111",TH!M1120="1111")),TH!D1120,""),"")</f>
        <v/>
      </c>
      <c r="B1120" s="36">
        <f>IF(C1120&lt;&gt;"",MONTH(C1120),"")</f>
        <v>6</v>
      </c>
      <c r="C1120" s="183">
        <f>E1120</f>
        <v>42185</v>
      </c>
      <c r="D1120" s="183" t="s">
        <v>1606</v>
      </c>
      <c r="E1120" s="190">
        <v>42185</v>
      </c>
      <c r="F1120" s="191" t="s">
        <v>1320</v>
      </c>
      <c r="G1120" s="482" t="s">
        <v>2048</v>
      </c>
      <c r="H1120" s="7" t="s">
        <v>834</v>
      </c>
      <c r="I1120" s="255"/>
      <c r="J1120" s="255"/>
      <c r="K1120" s="593">
        <f>5975640+11975040</f>
        <v>17950680</v>
      </c>
      <c r="L1120" s="594" t="s">
        <v>47</v>
      </c>
      <c r="M1120" s="594" t="s">
        <v>259</v>
      </c>
      <c r="N1120" s="52" t="str">
        <f>IF(AND('331-CT'!$E$7=TH!H1120,OR(L1120="331",M1120="331")),"331",IF(AND(OR(L1120="131",M1120="131"),H1120='131-CT'!$E$7),"131",""))</f>
        <v/>
      </c>
      <c r="O1120" s="869" t="str">
        <f>IF(AND('341-CT'!$E$9=H1120,OR(LEFT(L1120,3)=$O$7,LEFT(M1120,3)=$O$7)),"x","")</f>
        <v/>
      </c>
      <c r="P1120" s="52" t="str">
        <f>IF(AND($B1120&gt;='111'!$N$11,$B1120&lt;='111'!$O$11,OR($L1120=$P$7,$M1120=$P$7)),"x","")</f>
        <v>x</v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99"/>
    </row>
    <row r="1121" spans="1:28" s="210" customFormat="1" ht="15.75" customHeight="1">
      <c r="A1121" s="203" t="str">
        <f>IF(B1121&lt;&gt;"",IF(AND(B1121&gt;=_TM1,B1121&lt;=_TM2,OR(TH!L1121="1111",TH!M1121="1111")),TH!D1121,""),"")</f>
        <v/>
      </c>
      <c r="B1121" s="36">
        <f>IF(C1121&lt;&gt;"",MONTH(C1121),"")</f>
        <v>6</v>
      </c>
      <c r="C1121" s="183">
        <f>E1121</f>
        <v>42185</v>
      </c>
      <c r="D1121" s="183" t="s">
        <v>1607</v>
      </c>
      <c r="E1121" s="190">
        <v>42185</v>
      </c>
      <c r="F1121" s="188" t="s">
        <v>510</v>
      </c>
      <c r="G1121" s="482" t="s">
        <v>868</v>
      </c>
      <c r="H1121" s="7" t="s">
        <v>869</v>
      </c>
      <c r="I1121" s="256">
        <v>250</v>
      </c>
      <c r="J1121" s="257">
        <v>11540</v>
      </c>
      <c r="K1121" s="593">
        <f>ROUND(I1121*J1121,0)</f>
        <v>2885000</v>
      </c>
      <c r="L1121" s="594" t="s">
        <v>259</v>
      </c>
      <c r="M1121" s="594" t="s">
        <v>174</v>
      </c>
      <c r="N1121" s="52" t="str">
        <f>IF(AND('331-CT'!$E$7=TH!H1121,OR(L1121="331",M1121="331")),"331",IF(AND(OR(L1121="131",M1121="131"),H1121='131-CT'!$E$7),"131",""))</f>
        <v/>
      </c>
      <c r="O1121" s="86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99"/>
    </row>
    <row r="1122" spans="1:28" s="210" customFormat="1" ht="15.75" customHeight="1">
      <c r="A1122" s="203" t="str">
        <f>IF(B1122&lt;&gt;"",IF(AND(B1122&gt;=_TM1,B1122&lt;=_TM2,OR(TH!L1122="1111",TH!M1122="1111")),TH!D1122,""),"")</f>
        <v/>
      </c>
      <c r="B1122" s="36">
        <f>IF(C1122&lt;&gt;"",MONTH(C1122),"")</f>
        <v>6</v>
      </c>
      <c r="C1122" s="183">
        <f>E1122</f>
        <v>42185</v>
      </c>
      <c r="D1122" s="183" t="s">
        <v>1607</v>
      </c>
      <c r="E1122" s="190">
        <v>42185</v>
      </c>
      <c r="F1122" s="188" t="s">
        <v>512</v>
      </c>
      <c r="G1122" s="482" t="s">
        <v>868</v>
      </c>
      <c r="H1122" s="7" t="s">
        <v>869</v>
      </c>
      <c r="I1122" s="255">
        <v>570</v>
      </c>
      <c r="J1122" s="257">
        <v>11780</v>
      </c>
      <c r="K1122" s="593">
        <f>ROUND(I1122*J1122,0)</f>
        <v>6714600</v>
      </c>
      <c r="L1122" s="594" t="s">
        <v>259</v>
      </c>
      <c r="M1122" s="594" t="s">
        <v>174</v>
      </c>
      <c r="N1122" s="52" t="str">
        <f>IF(AND('331-CT'!$E$7=TH!H1122,OR(L1122="331",M1122="331")),"331",IF(AND(OR(L1122="131",M1122="131"),H1122='131-CT'!$E$7),"131",""))</f>
        <v/>
      </c>
      <c r="O1122" s="86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99"/>
    </row>
    <row r="1123" spans="1:28" s="210" customFormat="1" ht="15.75" customHeight="1">
      <c r="A1123" s="203" t="str">
        <f>IF(B1123&lt;&gt;"",IF(AND(B1123&gt;=_TM1,B1123&lt;=_TM2,OR(TH!L1123="1111",TH!M1123="1111")),TH!D1123,""),"")</f>
        <v/>
      </c>
      <c r="B1123" s="36">
        <f>IF(C1123&lt;&gt;"",MONTH(C1123),"")</f>
        <v>6</v>
      </c>
      <c r="C1123" s="183">
        <f>E1123</f>
        <v>42185</v>
      </c>
      <c r="D1123" s="183" t="s">
        <v>1607</v>
      </c>
      <c r="E1123" s="190">
        <v>42185</v>
      </c>
      <c r="F1123" s="188" t="s">
        <v>513</v>
      </c>
      <c r="G1123" s="482" t="s">
        <v>868</v>
      </c>
      <c r="H1123" s="7" t="s">
        <v>869</v>
      </c>
      <c r="I1123" s="256">
        <v>1050</v>
      </c>
      <c r="J1123" s="257">
        <v>12040</v>
      </c>
      <c r="K1123" s="593">
        <f>ROUND(I1123*J1123,0)</f>
        <v>12642000</v>
      </c>
      <c r="L1123" s="594" t="s">
        <v>259</v>
      </c>
      <c r="M1123" s="594" t="s">
        <v>174</v>
      </c>
      <c r="N1123" s="52" t="str">
        <f>IF(AND('331-CT'!$E$7=TH!H1123,OR(L1123="331",M1123="331")),"331",IF(AND(OR(L1123="131",M1123="131"),H1123='131-CT'!$E$7),"131",""))</f>
        <v/>
      </c>
      <c r="O1123" s="86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99"/>
    </row>
    <row r="1124" spans="1:28" s="210" customFormat="1" ht="15.75" customHeight="1">
      <c r="A1124" s="203" t="str">
        <f>IF(B1124&lt;&gt;"",IF(AND(B1124&gt;=_TM1,B1124&lt;=_TM2,OR(TH!L1124="1111",TH!M1124="1111")),TH!D1124,""),"")</f>
        <v/>
      </c>
      <c r="B1124" s="36">
        <f>IF(C1124&lt;&gt;"",MONTH(C1124),"")</f>
        <v>6</v>
      </c>
      <c r="C1124" s="183">
        <f>E1124</f>
        <v>42185</v>
      </c>
      <c r="D1124" s="183" t="s">
        <v>1607</v>
      </c>
      <c r="E1124" s="190">
        <v>42185</v>
      </c>
      <c r="F1124" s="188" t="s">
        <v>514</v>
      </c>
      <c r="G1124" s="482" t="s">
        <v>868</v>
      </c>
      <c r="H1124" s="7" t="s">
        <v>869</v>
      </c>
      <c r="I1124" s="255">
        <v>537</v>
      </c>
      <c r="J1124" s="255">
        <v>10023</v>
      </c>
      <c r="K1124" s="593">
        <f>ROUND(I1124*J1124,0)</f>
        <v>5382351</v>
      </c>
      <c r="L1124" s="594" t="s">
        <v>259</v>
      </c>
      <c r="M1124" s="594" t="s">
        <v>174</v>
      </c>
      <c r="N1124" s="52" t="str">
        <f>IF(AND('331-CT'!$E$7=TH!H1124,OR(L1124="331",M1124="331")),"331",IF(AND(OR(L1124="131",M1124="131"),H1124='131-CT'!$E$7),"131",""))</f>
        <v/>
      </c>
      <c r="O1124" s="86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99"/>
    </row>
    <row r="1125" spans="1:28" s="210" customFormat="1" ht="15.75" customHeight="1">
      <c r="A1125" s="203" t="str">
        <f>IF(B1125&lt;&gt;"",IF(AND(B1125&gt;=_TM1,B1125&lt;=_TM2,OR(TH!L1125="1111",TH!M1125="1111")),TH!D1125,""),"")</f>
        <v/>
      </c>
      <c r="B1125" s="36">
        <f>IF(C1125&lt;&gt;"",MONTH(C1125),"")</f>
        <v>6</v>
      </c>
      <c r="C1125" s="183">
        <f>E1125</f>
        <v>42185</v>
      </c>
      <c r="D1125" s="183" t="s">
        <v>1607</v>
      </c>
      <c r="E1125" s="190">
        <v>42185</v>
      </c>
      <c r="F1125" s="188" t="s">
        <v>510</v>
      </c>
      <c r="G1125" s="482" t="s">
        <v>868</v>
      </c>
      <c r="H1125" s="7" t="s">
        <v>869</v>
      </c>
      <c r="I1125" s="256">
        <v>150</v>
      </c>
      <c r="J1125" s="257">
        <v>11540</v>
      </c>
      <c r="K1125" s="593">
        <f>ROUND(I1125*J1125,0)</f>
        <v>1731000</v>
      </c>
      <c r="L1125" s="594" t="s">
        <v>259</v>
      </c>
      <c r="M1125" s="594" t="s">
        <v>174</v>
      </c>
      <c r="N1125" s="52" t="str">
        <f>IF(AND('331-CT'!$E$7=TH!H1125,OR(L1125="331",M1125="331")),"331",IF(AND(OR(L1125="131",M1125="131"),H1125='131-CT'!$E$7),"131",""))</f>
        <v/>
      </c>
      <c r="O1125" s="86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99"/>
    </row>
    <row r="1126" spans="1:28" s="210" customFormat="1" ht="15.75" customHeight="1">
      <c r="A1126" s="203" t="str">
        <f>IF(B1126&lt;&gt;"",IF(AND(B1126&gt;=_TM1,B1126&lt;=_TM2,OR(TH!L1126="1111",TH!M1126="1111")),TH!D1126,""),"")</f>
        <v/>
      </c>
      <c r="B1126" s="36">
        <f>IF(C1126&lt;&gt;"",MONTH(C1126),"")</f>
        <v>6</v>
      </c>
      <c r="C1126" s="183">
        <f>E1126</f>
        <v>42185</v>
      </c>
      <c r="D1126" s="183" t="s">
        <v>1607</v>
      </c>
      <c r="E1126" s="190">
        <v>42185</v>
      </c>
      <c r="F1126" s="188" t="s">
        <v>512</v>
      </c>
      <c r="G1126" s="482" t="s">
        <v>868</v>
      </c>
      <c r="H1126" s="7" t="s">
        <v>869</v>
      </c>
      <c r="I1126" s="255">
        <v>980</v>
      </c>
      <c r="J1126" s="257">
        <v>11780</v>
      </c>
      <c r="K1126" s="593">
        <f>ROUND(I1126*J1126,0)</f>
        <v>11544400</v>
      </c>
      <c r="L1126" s="594" t="s">
        <v>259</v>
      </c>
      <c r="M1126" s="594" t="s">
        <v>174</v>
      </c>
      <c r="N1126" s="52" t="str">
        <f>IF(AND('331-CT'!$E$7=TH!H1126,OR(L1126="331",M1126="331")),"331",IF(AND(OR(L1126="131",M1126="131"),H1126='131-CT'!$E$7),"131",""))</f>
        <v/>
      </c>
      <c r="O1126" s="86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99"/>
    </row>
    <row r="1127" spans="1:28" s="210" customFormat="1" ht="15.75" customHeight="1">
      <c r="A1127" s="203" t="str">
        <f>IF(B1127&lt;&gt;"",IF(AND(B1127&gt;=_TM1,B1127&lt;=_TM2,OR(TH!L1127="1111",TH!M1127="1111")),TH!D1127,""),"")</f>
        <v/>
      </c>
      <c r="B1127" s="36">
        <f>IF(C1127&lt;&gt;"",MONTH(C1127),"")</f>
        <v>6</v>
      </c>
      <c r="C1127" s="183">
        <f>E1127</f>
        <v>42185</v>
      </c>
      <c r="D1127" s="183" t="s">
        <v>1607</v>
      </c>
      <c r="E1127" s="190">
        <v>42185</v>
      </c>
      <c r="F1127" s="188" t="s">
        <v>513</v>
      </c>
      <c r="G1127" s="482" t="s">
        <v>868</v>
      </c>
      <c r="H1127" s="7" t="s">
        <v>869</v>
      </c>
      <c r="I1127" s="256">
        <v>290</v>
      </c>
      <c r="J1127" s="257">
        <v>12040</v>
      </c>
      <c r="K1127" s="593">
        <f>ROUND(I1127*J1127,0)</f>
        <v>3491600</v>
      </c>
      <c r="L1127" s="594" t="s">
        <v>259</v>
      </c>
      <c r="M1127" s="594" t="s">
        <v>174</v>
      </c>
      <c r="N1127" s="52" t="str">
        <f>IF(AND('331-CT'!$E$7=TH!H1127,OR(L1127="331",M1127="331")),"331",IF(AND(OR(L1127="131",M1127="131"),H1127='131-CT'!$E$7),"131",""))</f>
        <v/>
      </c>
      <c r="O1127" s="86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99"/>
    </row>
    <row r="1128" spans="1:28" s="210" customFormat="1" ht="15.75" customHeight="1">
      <c r="A1128" s="203" t="str">
        <f>IF(B1128&lt;&gt;"",IF(AND(B1128&gt;=_TM1,B1128&lt;=_TM2,OR(TH!L1128="1111",TH!M1128="1111")),TH!D1128,""),"")</f>
        <v/>
      </c>
      <c r="B1128" s="36">
        <f>IF(C1128&lt;&gt;"",MONTH(C1128),"")</f>
        <v>6</v>
      </c>
      <c r="C1128" s="183">
        <f>E1128</f>
        <v>42185</v>
      </c>
      <c r="D1128" s="183" t="s">
        <v>1607</v>
      </c>
      <c r="E1128" s="190">
        <v>42185</v>
      </c>
      <c r="F1128" s="188" t="s">
        <v>514</v>
      </c>
      <c r="G1128" s="482" t="s">
        <v>868</v>
      </c>
      <c r="H1128" s="7" t="s">
        <v>869</v>
      </c>
      <c r="I1128" s="255">
        <v>409</v>
      </c>
      <c r="J1128" s="255">
        <v>10022</v>
      </c>
      <c r="K1128" s="593">
        <f>ROUND(I1128*J1128,0)</f>
        <v>4098998</v>
      </c>
      <c r="L1128" s="594" t="s">
        <v>259</v>
      </c>
      <c r="M1128" s="594" t="s">
        <v>174</v>
      </c>
      <c r="N1128" s="52" t="str">
        <f>IF(AND('331-CT'!$E$7=TH!H1128,OR(L1128="331",M1128="331")),"331",IF(AND(OR(L1128="131",M1128="131"),H1128='131-CT'!$E$7),"131",""))</f>
        <v/>
      </c>
      <c r="O1128" s="86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99"/>
    </row>
    <row r="1129" spans="1:28" s="210" customFormat="1" ht="15.75" customHeight="1">
      <c r="A1129" s="203" t="str">
        <f>IF(B1129&lt;&gt;"",IF(AND(B1129&gt;=_TM1,B1129&lt;=_TM2,OR(TH!L1129="1111",TH!M1129="1111")),TH!D1129,""),"")</f>
        <v/>
      </c>
      <c r="B1129" s="36">
        <f>IF(C1129&lt;&gt;"",MONTH(C1129),"")</f>
        <v>6</v>
      </c>
      <c r="C1129" s="183">
        <f>E1129</f>
        <v>42185</v>
      </c>
      <c r="D1129" s="183" t="s">
        <v>1607</v>
      </c>
      <c r="E1129" s="190">
        <v>42185</v>
      </c>
      <c r="F1129" s="188" t="s">
        <v>510</v>
      </c>
      <c r="G1129" s="482" t="s">
        <v>868</v>
      </c>
      <c r="H1129" s="7" t="s">
        <v>869</v>
      </c>
      <c r="I1129" s="256">
        <v>400</v>
      </c>
      <c r="J1129" s="257">
        <v>11540</v>
      </c>
      <c r="K1129" s="593">
        <f>ROUND(I1129*J1129,0)</f>
        <v>4616000</v>
      </c>
      <c r="L1129" s="594" t="s">
        <v>259</v>
      </c>
      <c r="M1129" s="594" t="s">
        <v>174</v>
      </c>
      <c r="N1129" s="52" t="str">
        <f>IF(AND('331-CT'!$E$7=TH!H1129,OR(L1129="331",M1129="331")),"331",IF(AND(OR(L1129="131",M1129="131"),H1129='131-CT'!$E$7),"131",""))</f>
        <v/>
      </c>
      <c r="O1129" s="86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99"/>
    </row>
    <row r="1130" spans="1:28" s="210" customFormat="1" ht="15.75" customHeight="1">
      <c r="A1130" s="203" t="str">
        <f>IF(B1130&lt;&gt;"",IF(AND(B1130&gt;=_TM1,B1130&lt;=_TM2,OR(TH!L1130="1111",TH!M1130="1111")),TH!D1130,""),"")</f>
        <v/>
      </c>
      <c r="B1130" s="36">
        <f>IF(C1130&lt;&gt;"",MONTH(C1130),"")</f>
        <v>6</v>
      </c>
      <c r="C1130" s="183">
        <f>E1130</f>
        <v>42185</v>
      </c>
      <c r="D1130" s="183" t="s">
        <v>1607</v>
      </c>
      <c r="E1130" s="190">
        <v>42185</v>
      </c>
      <c r="F1130" s="188" t="s">
        <v>512</v>
      </c>
      <c r="G1130" s="482" t="s">
        <v>868</v>
      </c>
      <c r="H1130" s="7" t="s">
        <v>869</v>
      </c>
      <c r="I1130" s="255">
        <v>120</v>
      </c>
      <c r="J1130" s="257">
        <v>11780</v>
      </c>
      <c r="K1130" s="593">
        <f>ROUND(I1130*J1130,0)</f>
        <v>1413600</v>
      </c>
      <c r="L1130" s="594" t="s">
        <v>259</v>
      </c>
      <c r="M1130" s="594" t="s">
        <v>174</v>
      </c>
      <c r="N1130" s="52" t="str">
        <f>IF(AND('331-CT'!$E$7=TH!H1130,OR(L1130="331",M1130="331")),"331",IF(AND(OR(L1130="131",M1130="131"),H1130='131-CT'!$E$7),"131",""))</f>
        <v/>
      </c>
      <c r="O1130" s="86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99"/>
    </row>
    <row r="1131" spans="1:28" s="210" customFormat="1" ht="15.75" customHeight="1">
      <c r="A1131" s="203" t="str">
        <f>IF(B1131&lt;&gt;"",IF(AND(B1131&gt;=_TM1,B1131&lt;=_TM2,OR(TH!L1131="1111",TH!M1131="1111")),TH!D1131,""),"")</f>
        <v/>
      </c>
      <c r="B1131" s="36">
        <f>IF(C1131&lt;&gt;"",MONTH(C1131),"")</f>
        <v>6</v>
      </c>
      <c r="C1131" s="183">
        <f>E1131</f>
        <v>42185</v>
      </c>
      <c r="D1131" s="183" t="s">
        <v>1607</v>
      </c>
      <c r="E1131" s="190">
        <v>42185</v>
      </c>
      <c r="F1131" s="40" t="s">
        <v>402</v>
      </c>
      <c r="G1131" s="482" t="s">
        <v>868</v>
      </c>
      <c r="H1131" s="7" t="s">
        <v>869</v>
      </c>
      <c r="I1131" s="255"/>
      <c r="J1131" s="255"/>
      <c r="K1131" s="593">
        <v>5451955</v>
      </c>
      <c r="L1131" s="594" t="s">
        <v>259</v>
      </c>
      <c r="M1131" s="594" t="s">
        <v>371</v>
      </c>
      <c r="N1131" s="52" t="str">
        <f>IF(AND('331-CT'!$E$7=TH!H1131,OR(L1131="331",M1131="331")),"331",IF(AND(OR(L1131="131",M1131="131"),H1131='131-CT'!$E$7),"131",""))</f>
        <v/>
      </c>
      <c r="O1131" s="86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99"/>
    </row>
    <row r="1132" spans="1:28" s="210" customFormat="1" ht="15.75" customHeight="1">
      <c r="A1132" s="203" t="str">
        <f>IF(B1132&lt;&gt;"",IF(AND(B1132&gt;=_TM1,B1132&lt;=_TM2,OR(TH!L1132="1111",TH!M1132="1111")),TH!D1132,""),"")</f>
        <v/>
      </c>
      <c r="B1132" s="36">
        <f>IF(C1132&lt;&gt;"",MONTH(C1132),"")</f>
        <v>6</v>
      </c>
      <c r="C1132" s="183">
        <f>E1132</f>
        <v>42185</v>
      </c>
      <c r="D1132" s="190" t="s">
        <v>2006</v>
      </c>
      <c r="E1132" s="190">
        <v>42185</v>
      </c>
      <c r="F1132" s="296" t="s">
        <v>1357</v>
      </c>
      <c r="G1132" s="482" t="s">
        <v>1441</v>
      </c>
      <c r="H1132" s="7" t="s">
        <v>1391</v>
      </c>
      <c r="I1132" s="255">
        <v>1936</v>
      </c>
      <c r="J1132" s="255">
        <v>7300</v>
      </c>
      <c r="K1132" s="593">
        <f>ROUND(I1132*J1132,0)</f>
        <v>14132800</v>
      </c>
      <c r="L1132" s="594" t="s">
        <v>159</v>
      </c>
      <c r="M1132" s="594" t="s">
        <v>8</v>
      </c>
      <c r="N1132" s="52" t="str">
        <f>IF(AND('331-CT'!$E$7=TH!H1132,OR(L1132="331",M1132="331")),"331",IF(AND(OR(L1132="131",M1132="131"),H1132='131-CT'!$E$7),"131",""))</f>
        <v/>
      </c>
      <c r="O1132" s="86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99"/>
    </row>
    <row r="1133" spans="1:28" s="210" customFormat="1" ht="15.75" customHeight="1">
      <c r="A1133" s="203" t="str">
        <f>IF(B1133&lt;&gt;"",IF(AND(B1133&gt;=_TM1,B1133&lt;=_TM2,OR(TH!L1133="1111",TH!M1133="1111")),TH!D1133,""),"")</f>
        <v/>
      </c>
      <c r="B1133" s="36">
        <f>IF(C1133&lt;&gt;"",MONTH(C1133),"")</f>
        <v>6</v>
      </c>
      <c r="C1133" s="183">
        <f>E1133</f>
        <v>42185</v>
      </c>
      <c r="D1133" s="190" t="s">
        <v>2006</v>
      </c>
      <c r="E1133" s="190">
        <v>42185</v>
      </c>
      <c r="F1133" s="296" t="s">
        <v>1393</v>
      </c>
      <c r="G1133" s="482" t="s">
        <v>1441</v>
      </c>
      <c r="H1133" s="7" t="s">
        <v>1391</v>
      </c>
      <c r="I1133" s="255"/>
      <c r="J1133" s="255"/>
      <c r="K1133" s="593">
        <v>1413280</v>
      </c>
      <c r="L1133" s="594" t="s">
        <v>9</v>
      </c>
      <c r="M1133" s="594" t="s">
        <v>8</v>
      </c>
      <c r="N1133" s="52" t="str">
        <f>IF(AND('331-CT'!$E$7=TH!H1133,OR(L1133="331",M1133="331")),"331",IF(AND(OR(L1133="131",M1133="131"),H1133='131-CT'!$E$7),"131",""))</f>
        <v/>
      </c>
      <c r="O1133" s="86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99"/>
    </row>
    <row r="1134" spans="1:28" s="210" customFormat="1" ht="15.75" customHeight="1">
      <c r="A1134" s="203" t="str">
        <f>IF(B1134&lt;&gt;"",IF(AND(B1134&gt;=_TM1,B1134&lt;=_TM2,OR(TH!L1134="1111",TH!M1134="1111")),TH!D1134,""),"")</f>
        <v/>
      </c>
      <c r="B1134" s="36">
        <f>IF(C1134&lt;&gt;"",MONTH(C1134),"")</f>
        <v>6</v>
      </c>
      <c r="C1134" s="183">
        <f>E1134</f>
        <v>42185</v>
      </c>
      <c r="D1134" s="190" t="s">
        <v>2006</v>
      </c>
      <c r="E1134" s="190">
        <v>42185</v>
      </c>
      <c r="F1134" s="296" t="s">
        <v>1326</v>
      </c>
      <c r="G1134" s="482" t="s">
        <v>1441</v>
      </c>
      <c r="H1134" s="7" t="s">
        <v>1391</v>
      </c>
      <c r="I1134" s="255"/>
      <c r="J1134" s="255"/>
      <c r="K1134" s="593">
        <v>15546080</v>
      </c>
      <c r="L1134" s="594" t="s">
        <v>8</v>
      </c>
      <c r="M1134" s="594" t="s">
        <v>47</v>
      </c>
      <c r="N1134" s="52" t="str">
        <f>IF(AND('331-CT'!$E$7=TH!H1134,OR(L1134="331",M1134="331")),"331",IF(AND(OR(L1134="131",M1134="131"),H1134='131-CT'!$E$7),"131",""))</f>
        <v/>
      </c>
      <c r="O1134" s="869" t="str">
        <f>IF(AND('341-CT'!$E$9=H1134,OR(LEFT(L1134,3)=$O$7,LEFT(M1134,3)=$O$7)),"x","")</f>
        <v/>
      </c>
      <c r="P1134" s="52" t="str">
        <f>IF(AND($B1134&gt;='111'!$N$11,$B1134&lt;='111'!$O$11,OR($L1134=$P$7,$M1134=$P$7)),"x","")</f>
        <v>x</v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99"/>
    </row>
    <row r="1135" spans="1:28" s="210" customFormat="1" ht="15.75" customHeight="1">
      <c r="A1135" s="203" t="str">
        <f>IF(B1135&lt;&gt;"",IF(AND(B1135&gt;=_TM1,B1135&lt;=_TM2,OR(TH!L1135="1111",TH!M1135="1111")),TH!D1135,""),"")</f>
        <v/>
      </c>
      <c r="B1135" s="36">
        <f>IF(C1135&lt;&gt;"",MONTH(C1135),"")</f>
        <v>7</v>
      </c>
      <c r="C1135" s="888">
        <f>E1135</f>
        <v>42186</v>
      </c>
      <c r="D1135" s="888" t="s">
        <v>334</v>
      </c>
      <c r="E1135" s="888">
        <v>42186</v>
      </c>
      <c r="F1135" s="889" t="s">
        <v>1938</v>
      </c>
      <c r="G1135" s="896"/>
      <c r="H1135" s="891"/>
      <c r="I1135" s="892"/>
      <c r="J1135" s="892"/>
      <c r="K1135" s="893">
        <v>30750000</v>
      </c>
      <c r="L1135" s="894" t="s">
        <v>165</v>
      </c>
      <c r="M1135" s="894" t="s">
        <v>260</v>
      </c>
      <c r="N1135" s="52" t="str">
        <f>IF(AND('331-CT'!$E$7=TH!H1135,OR(L1135="331",M1135="331")),"331",IF(AND(OR(L1135="131",M1135="131"),H1135='131-CT'!$E$7),"131",""))</f>
        <v/>
      </c>
      <c r="O1135" s="86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95"/>
      <c r="AB1135" s="895"/>
    </row>
    <row r="1136" spans="1:28" s="210" customFormat="1" ht="15.75" customHeight="1">
      <c r="A1136" s="203" t="str">
        <f>IF(B1136&lt;&gt;"",IF(AND(B1136&gt;=_TM1,B1136&lt;=_TM2,OR(TH!L1136="1111",TH!M1136="1111")),TH!D1136,""),"")</f>
        <v/>
      </c>
      <c r="B1136" s="36">
        <f>IF(C1136&lt;&gt;"",MONTH(C1136),"")</f>
        <v>7</v>
      </c>
      <c r="C1136" s="183">
        <f>E1136</f>
        <v>42186</v>
      </c>
      <c r="D1136" s="183" t="s">
        <v>1507</v>
      </c>
      <c r="E1136" s="190">
        <v>42186</v>
      </c>
      <c r="F1136" s="188" t="s">
        <v>870</v>
      </c>
      <c r="G1136" s="482" t="s">
        <v>871</v>
      </c>
      <c r="H1136" s="192" t="s">
        <v>872</v>
      </c>
      <c r="I1136" s="255">
        <v>22</v>
      </c>
      <c r="J1136" s="255">
        <v>9260</v>
      </c>
      <c r="K1136" s="593">
        <f>ROUND(I1136*J1136,0)</f>
        <v>203720</v>
      </c>
      <c r="L1136" s="594" t="s">
        <v>259</v>
      </c>
      <c r="M1136" s="594" t="s">
        <v>174</v>
      </c>
      <c r="N1136" s="52" t="str">
        <f>IF(AND('331-CT'!$E$7=TH!H1136,OR(L1136="331",M1136="331")),"331",IF(AND(OR(L1136="131",M1136="131"),H1136='131-CT'!$E$7),"131",""))</f>
        <v/>
      </c>
      <c r="O1136" s="86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799"/>
    </row>
    <row r="1137" spans="1:28" s="210" customFormat="1" ht="15.75" customHeight="1">
      <c r="A1137" s="203" t="str">
        <f>IF(B1137&lt;&gt;"",IF(AND(B1137&gt;=_TM1,B1137&lt;=_TM2,OR(TH!L1137="1111",TH!M1137="1111")),TH!D1137,""),"")</f>
        <v/>
      </c>
      <c r="B1137" s="36">
        <f>IF(C1137&lt;&gt;"",MONTH(C1137),"")</f>
        <v>7</v>
      </c>
      <c r="C1137" s="183">
        <f>E1137</f>
        <v>42186</v>
      </c>
      <c r="D1137" s="183" t="s">
        <v>1507</v>
      </c>
      <c r="E1137" s="190">
        <v>42186</v>
      </c>
      <c r="F1137" s="296" t="s">
        <v>873</v>
      </c>
      <c r="G1137" s="482" t="s">
        <v>871</v>
      </c>
      <c r="H1137" s="192" t="s">
        <v>872</v>
      </c>
      <c r="I1137" s="256">
        <v>11</v>
      </c>
      <c r="J1137" s="256">
        <v>13797</v>
      </c>
      <c r="K1137" s="593">
        <f>ROUND(I1137*J1137,0)</f>
        <v>151767</v>
      </c>
      <c r="L1137" s="594" t="s">
        <v>259</v>
      </c>
      <c r="M1137" s="594" t="s">
        <v>174</v>
      </c>
      <c r="N1137" s="52" t="str">
        <f>IF(AND('331-CT'!$E$7=TH!H1137,OR(L1137="331",M1137="331")),"331",IF(AND(OR(L1137="131",M1137="131"),H1137='131-CT'!$E$7),"131",""))</f>
        <v/>
      </c>
      <c r="O1137" s="86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799"/>
    </row>
    <row r="1138" spans="1:28" s="210" customFormat="1" ht="15.75" customHeight="1">
      <c r="A1138" s="203" t="str">
        <f>IF(B1138&lt;&gt;"",IF(AND(B1138&gt;=_TM1,B1138&lt;=_TM2,OR(TH!L1138="1111",TH!M1138="1111")),TH!D1138,""),"")</f>
        <v/>
      </c>
      <c r="B1138" s="36">
        <f>IF(C1138&lt;&gt;"",MONTH(C1138),"")</f>
        <v>7</v>
      </c>
      <c r="C1138" s="183">
        <f>E1138</f>
        <v>42186</v>
      </c>
      <c r="D1138" s="183" t="s">
        <v>1507</v>
      </c>
      <c r="E1138" s="190">
        <v>42186</v>
      </c>
      <c r="F1138" s="191" t="s">
        <v>870</v>
      </c>
      <c r="G1138" s="482" t="s">
        <v>871</v>
      </c>
      <c r="H1138" s="192" t="s">
        <v>872</v>
      </c>
      <c r="I1138" s="255">
        <v>75</v>
      </c>
      <c r="J1138" s="255">
        <v>7718</v>
      </c>
      <c r="K1138" s="593">
        <f>ROUND(I1138*J1138,0)</f>
        <v>578850</v>
      </c>
      <c r="L1138" s="594" t="s">
        <v>259</v>
      </c>
      <c r="M1138" s="594" t="s">
        <v>174</v>
      </c>
      <c r="N1138" s="52" t="str">
        <f>IF(AND('331-CT'!$E$7=TH!H1138,OR(L1138="331",M1138="331")),"331",IF(AND(OR(L1138="131",M1138="131"),H1138='131-CT'!$E$7),"131",""))</f>
        <v/>
      </c>
      <c r="O1138" s="86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799"/>
    </row>
    <row r="1139" spans="1:28" s="210" customFormat="1" ht="15.75" customHeight="1">
      <c r="A1139" s="203" t="str">
        <f>IF(B1139&lt;&gt;"",IF(AND(B1139&gt;=_TM1,B1139&lt;=_TM2,OR(TH!L1139="1111",TH!M1139="1111")),TH!D1139,""),"")</f>
        <v/>
      </c>
      <c r="B1139" s="36">
        <f>IF(C1139&lt;&gt;"",MONTH(C1139),"")</f>
        <v>7</v>
      </c>
      <c r="C1139" s="183">
        <f>E1139</f>
        <v>42186</v>
      </c>
      <c r="D1139" s="183" t="s">
        <v>1507</v>
      </c>
      <c r="E1139" s="190">
        <v>42186</v>
      </c>
      <c r="F1139" s="191" t="s">
        <v>874</v>
      </c>
      <c r="G1139" s="482" t="s">
        <v>871</v>
      </c>
      <c r="H1139" s="192" t="s">
        <v>872</v>
      </c>
      <c r="I1139" s="255">
        <v>5</v>
      </c>
      <c r="J1139" s="255">
        <v>10300</v>
      </c>
      <c r="K1139" s="593">
        <f>ROUND(I1139*J1139,0)</f>
        <v>51500</v>
      </c>
      <c r="L1139" s="594" t="s">
        <v>259</v>
      </c>
      <c r="M1139" s="594" t="s">
        <v>174</v>
      </c>
      <c r="N1139" s="52" t="str">
        <f>IF(AND('331-CT'!$E$7=TH!H1139,OR(L1139="331",M1139="331")),"331",IF(AND(OR(L1139="131",M1139="131"),H1139='131-CT'!$E$7),"131",""))</f>
        <v/>
      </c>
      <c r="O1139" s="86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799"/>
    </row>
    <row r="1140" spans="1:28" s="210" customFormat="1" ht="15.75" customHeight="1">
      <c r="A1140" s="203" t="str">
        <f>IF(B1140&lt;&gt;"",IF(AND(B1140&gt;=_TM1,B1140&lt;=_TM2,OR(TH!L1140="1111",TH!M1140="1111")),TH!D1140,""),"")</f>
        <v/>
      </c>
      <c r="B1140" s="36">
        <f>IF(C1140&lt;&gt;"",MONTH(C1140),"")</f>
        <v>7</v>
      </c>
      <c r="C1140" s="183">
        <f>E1140</f>
        <v>42186</v>
      </c>
      <c r="D1140" s="183" t="s">
        <v>1507</v>
      </c>
      <c r="E1140" s="190">
        <v>42186</v>
      </c>
      <c r="F1140" s="191" t="s">
        <v>875</v>
      </c>
      <c r="G1140" s="482" t="s">
        <v>871</v>
      </c>
      <c r="H1140" s="192" t="s">
        <v>872</v>
      </c>
      <c r="I1140" s="255">
        <v>5</v>
      </c>
      <c r="J1140" s="255">
        <v>9000</v>
      </c>
      <c r="K1140" s="593">
        <f>ROUND(I1140*J1140,0)</f>
        <v>45000</v>
      </c>
      <c r="L1140" s="594" t="s">
        <v>259</v>
      </c>
      <c r="M1140" s="594" t="s">
        <v>174</v>
      </c>
      <c r="N1140" s="52" t="str">
        <f>IF(AND('331-CT'!$E$7=TH!H1140,OR(L1140="331",M1140="331")),"331",IF(AND(OR(L1140="131",M1140="131"),H1140='131-CT'!$E$7),"131",""))</f>
        <v/>
      </c>
      <c r="O1140" s="86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799"/>
    </row>
    <row r="1141" spans="1:28" s="210" customFormat="1" ht="15.75" customHeight="1">
      <c r="A1141" s="203" t="str">
        <f>IF(B1141&lt;&gt;"",IF(AND(B1141&gt;=_TM1,B1141&lt;=_TM2,OR(TH!L1141="1111",TH!M1141="1111")),TH!D1141,""),"")</f>
        <v/>
      </c>
      <c r="B1141" s="36">
        <f>IF(C1141&lt;&gt;"",MONTH(C1141),"")</f>
        <v>7</v>
      </c>
      <c r="C1141" s="183">
        <f>E1141</f>
        <v>42186</v>
      </c>
      <c r="D1141" s="183" t="s">
        <v>1507</v>
      </c>
      <c r="E1141" s="190">
        <v>42186</v>
      </c>
      <c r="F1141" s="191" t="s">
        <v>873</v>
      </c>
      <c r="G1141" s="482" t="s">
        <v>871</v>
      </c>
      <c r="H1141" s="192" t="s">
        <v>872</v>
      </c>
      <c r="I1141" s="255">
        <v>55</v>
      </c>
      <c r="J1141" s="255">
        <v>11580</v>
      </c>
      <c r="K1141" s="593">
        <f>ROUND(I1141*J1141,0)</f>
        <v>636900</v>
      </c>
      <c r="L1141" s="594" t="s">
        <v>259</v>
      </c>
      <c r="M1141" s="594" t="s">
        <v>174</v>
      </c>
      <c r="N1141" s="52" t="str">
        <f>IF(AND('331-CT'!$E$7=TH!H1141,OR(L1141="331",M1141="331")),"331",IF(AND(OR(L1141="131",M1141="131"),H1141='131-CT'!$E$7),"131",""))</f>
        <v/>
      </c>
      <c r="O1141" s="86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799"/>
    </row>
    <row r="1142" spans="1:28" s="210" customFormat="1" ht="15.75" customHeight="1">
      <c r="A1142" s="203" t="str">
        <f>IF(B1142&lt;&gt;"",IF(AND(B1142&gt;=_TM1,B1142&lt;=_TM2,OR(TH!L1142="1111",TH!M1142="1111")),TH!D1142,""),"")</f>
        <v/>
      </c>
      <c r="B1142" s="36">
        <f>IF(C1142&lt;&gt;"",MONTH(C1142),"")</f>
        <v>7</v>
      </c>
      <c r="C1142" s="183">
        <f>E1142</f>
        <v>42186</v>
      </c>
      <c r="D1142" s="183" t="s">
        <v>1507</v>
      </c>
      <c r="E1142" s="190">
        <v>42186</v>
      </c>
      <c r="F1142" s="191" t="s">
        <v>402</v>
      </c>
      <c r="G1142" s="482" t="s">
        <v>871</v>
      </c>
      <c r="H1142" s="192" t="s">
        <v>872</v>
      </c>
      <c r="I1142" s="255"/>
      <c r="J1142" s="255"/>
      <c r="K1142" s="593">
        <v>166774</v>
      </c>
      <c r="L1142" s="594" t="s">
        <v>259</v>
      </c>
      <c r="M1142" s="594" t="s">
        <v>371</v>
      </c>
      <c r="N1142" s="52" t="str">
        <f>IF(AND('331-CT'!$E$7=TH!H1142,OR(L1142="331",M1142="331")),"331",IF(AND(OR(L1142="131",M1142="131"),H1142='131-CT'!$E$7),"131",""))</f>
        <v/>
      </c>
      <c r="O1142" s="86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799"/>
    </row>
    <row r="1143" spans="1:28" s="210" customFormat="1" ht="15.75" customHeight="1">
      <c r="A1143" s="203" t="str">
        <f>IF(B1143&lt;&gt;"",IF(AND(B1143&gt;=_TM1,B1143&lt;=_TM2,OR(TH!L1143="1111",TH!M1143="1111")),TH!D1143,""),"")</f>
        <v/>
      </c>
      <c r="B1143" s="36">
        <f>IF(C1143&lt;&gt;"",MONTH(C1143),"")</f>
        <v>7</v>
      </c>
      <c r="C1143" s="183">
        <f>E1143</f>
        <v>42186</v>
      </c>
      <c r="D1143" s="183" t="s">
        <v>1508</v>
      </c>
      <c r="E1143" s="190">
        <v>42186</v>
      </c>
      <c r="F1143" s="191" t="s">
        <v>876</v>
      </c>
      <c r="G1143" s="482" t="s">
        <v>877</v>
      </c>
      <c r="H1143" s="192" t="s">
        <v>762</v>
      </c>
      <c r="I1143" s="255">
        <v>510</v>
      </c>
      <c r="J1143" s="255">
        <v>6400</v>
      </c>
      <c r="K1143" s="593">
        <f>ROUND(I1143*J1143,0)</f>
        <v>3264000</v>
      </c>
      <c r="L1143" s="594" t="s">
        <v>259</v>
      </c>
      <c r="M1143" s="594" t="s">
        <v>174</v>
      </c>
      <c r="N1143" s="52" t="str">
        <f>IF(AND('331-CT'!$E$7=TH!H1143,OR(L1143="331",M1143="331")),"331",IF(AND(OR(L1143="131",M1143="131"),H1143='131-CT'!$E$7),"131",""))</f>
        <v/>
      </c>
      <c r="O1143" s="86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799"/>
    </row>
    <row r="1144" spans="1:28" s="210" customFormat="1" ht="15.75" customHeight="1">
      <c r="A1144" s="203" t="str">
        <f>IF(B1144&lt;&gt;"",IF(AND(B1144&gt;=_TM1,B1144&lt;=_TM2,OR(TH!L1144="1111",TH!M1144="1111")),TH!D1144,""),"")</f>
        <v/>
      </c>
      <c r="B1144" s="36">
        <f>IF(C1144&lt;&gt;"",MONTH(C1144),"")</f>
        <v>7</v>
      </c>
      <c r="C1144" s="183">
        <f>E1144</f>
        <v>42186</v>
      </c>
      <c r="D1144" s="183" t="s">
        <v>1508</v>
      </c>
      <c r="E1144" s="190">
        <v>42186</v>
      </c>
      <c r="F1144" s="191" t="s">
        <v>402</v>
      </c>
      <c r="G1144" s="482" t="s">
        <v>877</v>
      </c>
      <c r="H1144" s="192" t="s">
        <v>762</v>
      </c>
      <c r="I1144" s="255"/>
      <c r="J1144" s="255"/>
      <c r="K1144" s="593">
        <v>326400</v>
      </c>
      <c r="L1144" s="594" t="s">
        <v>259</v>
      </c>
      <c r="M1144" s="594" t="s">
        <v>371</v>
      </c>
      <c r="N1144" s="52" t="str">
        <f>IF(AND('331-CT'!$E$7=TH!H1144,OR(L1144="331",M1144="331")),"331",IF(AND(OR(L1144="131",M1144="131"),H1144='131-CT'!$E$7),"131",""))</f>
        <v/>
      </c>
      <c r="O1144" s="86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799"/>
      <c r="AB1144" s="932"/>
    </row>
    <row r="1145" spans="1:28" s="210" customFormat="1" ht="15.75" customHeight="1">
      <c r="A1145" s="203" t="str">
        <f>IF(B1145&lt;&gt;"",IF(AND(B1145&gt;=_TM1,B1145&lt;=_TM2,OR(TH!L1145="1111",TH!M1145="1111")),TH!D1145,""),"")</f>
        <v/>
      </c>
      <c r="B1145" s="36">
        <f>IF(C1145&lt;&gt;"",MONTH(C1145),"")</f>
        <v>7</v>
      </c>
      <c r="C1145" s="183">
        <f>E1145</f>
        <v>42186</v>
      </c>
      <c r="D1145" s="183" t="s">
        <v>1509</v>
      </c>
      <c r="E1145" s="190">
        <v>42186</v>
      </c>
      <c r="F1145" s="188" t="s">
        <v>439</v>
      </c>
      <c r="G1145" s="482" t="s">
        <v>878</v>
      </c>
      <c r="H1145" s="192" t="s">
        <v>438</v>
      </c>
      <c r="I1145" s="757">
        <v>508</v>
      </c>
      <c r="J1145" s="257">
        <v>5300</v>
      </c>
      <c r="K1145" s="593">
        <f>ROUND(I1145*J1145,0)</f>
        <v>2692400</v>
      </c>
      <c r="L1145" s="594" t="s">
        <v>259</v>
      </c>
      <c r="M1145" s="594" t="s">
        <v>174</v>
      </c>
      <c r="N1145" s="52" t="str">
        <f>IF(AND('331-CT'!$E$7=TH!H1145,OR(L1145="331",M1145="331")),"331",IF(AND(OR(L1145="131",M1145="131"),H1145='131-CT'!$E$7),"131",""))</f>
        <v/>
      </c>
      <c r="O1145" s="86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799"/>
    </row>
    <row r="1146" spans="1:28" s="210" customFormat="1" ht="15.75" customHeight="1">
      <c r="A1146" s="203" t="str">
        <f>IF(B1146&lt;&gt;"",IF(AND(B1146&gt;=_TM1,B1146&lt;=_TM2,OR(TH!L1146="1111",TH!M1146="1111")),TH!D1146,""),"")</f>
        <v/>
      </c>
      <c r="B1146" s="36">
        <f>IF(C1146&lt;&gt;"",MONTH(C1146),"")</f>
        <v>7</v>
      </c>
      <c r="C1146" s="183">
        <f>E1146</f>
        <v>42186</v>
      </c>
      <c r="D1146" s="183" t="s">
        <v>1509</v>
      </c>
      <c r="E1146" s="190">
        <v>42186</v>
      </c>
      <c r="F1146" s="188" t="s">
        <v>441</v>
      </c>
      <c r="G1146" s="482" t="s">
        <v>878</v>
      </c>
      <c r="H1146" s="192" t="s">
        <v>438</v>
      </c>
      <c r="I1146" s="255">
        <v>998</v>
      </c>
      <c r="J1146" s="255">
        <v>4400</v>
      </c>
      <c r="K1146" s="593">
        <f>ROUND(I1146*J1146,0)</f>
        <v>4391200</v>
      </c>
      <c r="L1146" s="594" t="s">
        <v>259</v>
      </c>
      <c r="M1146" s="594" t="s">
        <v>174</v>
      </c>
      <c r="N1146" s="52" t="str">
        <f>IF(AND('331-CT'!$E$7=TH!H1146,OR(L1146="331",M1146="331")),"331",IF(AND(OR(L1146="131",M1146="131"),H1146='131-CT'!$E$7),"131",""))</f>
        <v/>
      </c>
      <c r="O1146" s="86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799"/>
    </row>
    <row r="1147" spans="1:28" s="210" customFormat="1" ht="15.75" customHeight="1">
      <c r="A1147" s="203" t="str">
        <f>IF(B1147&lt;&gt;"",IF(AND(B1147&gt;=_TM1,B1147&lt;=_TM2,OR(TH!L1147="1111",TH!M1147="1111")),TH!D1147,""),"")</f>
        <v/>
      </c>
      <c r="B1147" s="36">
        <f>IF(C1147&lt;&gt;"",MONTH(C1147),"")</f>
        <v>7</v>
      </c>
      <c r="C1147" s="183">
        <f>E1147</f>
        <v>42186</v>
      </c>
      <c r="D1147" s="183" t="s">
        <v>1509</v>
      </c>
      <c r="E1147" s="190">
        <v>42186</v>
      </c>
      <c r="F1147" s="191" t="s">
        <v>879</v>
      </c>
      <c r="G1147" s="482" t="s">
        <v>878</v>
      </c>
      <c r="H1147" s="192" t="s">
        <v>438</v>
      </c>
      <c r="I1147" s="257">
        <v>430</v>
      </c>
      <c r="J1147" s="257">
        <v>5000</v>
      </c>
      <c r="K1147" s="593">
        <f>ROUND(I1147*J1147,0)</f>
        <v>2150000</v>
      </c>
      <c r="L1147" s="594" t="s">
        <v>259</v>
      </c>
      <c r="M1147" s="594" t="s">
        <v>174</v>
      </c>
      <c r="N1147" s="52" t="str">
        <f>IF(AND('331-CT'!$E$7=TH!H1147,OR(L1147="331",M1147="331")),"331",IF(AND(OR(L1147="131",M1147="131"),H1147='131-CT'!$E$7),"131",""))</f>
        <v/>
      </c>
      <c r="O1147" s="86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799"/>
    </row>
    <row r="1148" spans="1:28" s="210" customFormat="1" ht="15.75" customHeight="1">
      <c r="A1148" s="203" t="str">
        <f>IF(B1148&lt;&gt;"",IF(AND(B1148&gt;=_TM1,B1148&lt;=_TM2,OR(TH!L1148="1111",TH!M1148="1111")),TH!D1148,""),"")</f>
        <v/>
      </c>
      <c r="B1148" s="36">
        <f>IF(C1148&lt;&gt;"",MONTH(C1148),"")</f>
        <v>7</v>
      </c>
      <c r="C1148" s="183">
        <f>E1148</f>
        <v>42186</v>
      </c>
      <c r="D1148" s="183" t="s">
        <v>1509</v>
      </c>
      <c r="E1148" s="190">
        <v>42186</v>
      </c>
      <c r="F1148" s="191" t="s">
        <v>402</v>
      </c>
      <c r="G1148" s="482" t="s">
        <v>878</v>
      </c>
      <c r="H1148" s="192" t="s">
        <v>438</v>
      </c>
      <c r="I1148" s="255"/>
      <c r="J1148" s="255"/>
      <c r="K1148" s="593">
        <v>923360</v>
      </c>
      <c r="L1148" s="594" t="s">
        <v>259</v>
      </c>
      <c r="M1148" s="594" t="s">
        <v>371</v>
      </c>
      <c r="N1148" s="52" t="str">
        <f>IF(AND('331-CT'!$E$7=TH!H1148,OR(L1148="331",M1148="331")),"331",IF(AND(OR(L1148="131",M1148="131"),H1148='131-CT'!$E$7),"131",""))</f>
        <v/>
      </c>
      <c r="O1148" s="86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799"/>
    </row>
    <row r="1149" spans="1:28" s="210" customFormat="1" ht="15.75" customHeight="1">
      <c r="A1149" s="203" t="str">
        <f>IF(B1149&lt;&gt;"",IF(AND(B1149&gt;=_TM1,B1149&lt;=_TM2,OR(TH!L1149="1111",TH!M1149="1111")),TH!D1149,""),"")</f>
        <v/>
      </c>
      <c r="B1149" s="36">
        <f>IF(C1149&lt;&gt;"",MONTH(C1149),"")</f>
        <v>7</v>
      </c>
      <c r="C1149" s="183">
        <f>E1149</f>
        <v>42186</v>
      </c>
      <c r="D1149" s="183" t="s">
        <v>1510</v>
      </c>
      <c r="E1149" s="190">
        <v>42186</v>
      </c>
      <c r="F1149" s="191" t="s">
        <v>880</v>
      </c>
      <c r="G1149" s="482" t="s">
        <v>881</v>
      </c>
      <c r="H1149" s="192" t="s">
        <v>793</v>
      </c>
      <c r="I1149" s="255">
        <v>209</v>
      </c>
      <c r="J1149" s="255">
        <v>11000</v>
      </c>
      <c r="K1149" s="593">
        <f>ROUND(I1149*J1149,0)</f>
        <v>2299000</v>
      </c>
      <c r="L1149" s="594" t="s">
        <v>259</v>
      </c>
      <c r="M1149" s="594" t="s">
        <v>174</v>
      </c>
      <c r="N1149" s="52" t="str">
        <f>IF(AND('331-CT'!$E$7=TH!H1149,OR(L1149="331",M1149="331")),"331",IF(AND(OR(L1149="131",M1149="131"),H1149='131-CT'!$E$7),"131",""))</f>
        <v/>
      </c>
      <c r="O1149" s="86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799"/>
    </row>
    <row r="1150" spans="1:28" s="210" customFormat="1" ht="15.75" customHeight="1">
      <c r="A1150" s="203" t="str">
        <f>IF(B1150&lt;&gt;"",IF(AND(B1150&gt;=_TM1,B1150&lt;=_TM2,OR(TH!L1150="1111",TH!M1150="1111")),TH!D1150,""),"")</f>
        <v/>
      </c>
      <c r="B1150" s="36">
        <f>IF(C1150&lt;&gt;"",MONTH(C1150),"")</f>
        <v>7</v>
      </c>
      <c r="C1150" s="183">
        <f>E1150</f>
        <v>42186</v>
      </c>
      <c r="D1150" s="183" t="s">
        <v>1510</v>
      </c>
      <c r="E1150" s="190">
        <v>42186</v>
      </c>
      <c r="F1150" s="191" t="s">
        <v>1672</v>
      </c>
      <c r="G1150" s="482" t="s">
        <v>881</v>
      </c>
      <c r="H1150" s="192" t="s">
        <v>793</v>
      </c>
      <c r="I1150" s="255">
        <v>209</v>
      </c>
      <c r="J1150" s="255">
        <v>1450</v>
      </c>
      <c r="K1150" s="593">
        <f>ROUND(I1150*J1150,0)</f>
        <v>303050</v>
      </c>
      <c r="L1150" s="594" t="s">
        <v>259</v>
      </c>
      <c r="M1150" s="594" t="s">
        <v>174</v>
      </c>
      <c r="N1150" s="52" t="str">
        <f>IF(AND('331-CT'!$E$7=TH!H1150,OR(L1150="331",M1150="331")),"331",IF(AND(OR(L1150="131",M1150="131"),H1150='131-CT'!$E$7),"131",""))</f>
        <v/>
      </c>
      <c r="O1150" s="86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799"/>
    </row>
    <row r="1151" spans="1:28" s="210" customFormat="1" ht="15.75" customHeight="1">
      <c r="A1151" s="203" t="str">
        <f>IF(B1151&lt;&gt;"",IF(AND(B1151&gt;=_TM1,B1151&lt;=_TM2,OR(TH!L1151="1111",TH!M1151="1111")),TH!D1151,""),"")</f>
        <v/>
      </c>
      <c r="B1151" s="36">
        <f>IF(C1151&lt;&gt;"",MONTH(C1151),"")</f>
        <v>7</v>
      </c>
      <c r="C1151" s="183">
        <f>E1151</f>
        <v>42186</v>
      </c>
      <c r="D1151" s="183" t="s">
        <v>1510</v>
      </c>
      <c r="E1151" s="190">
        <v>42186</v>
      </c>
      <c r="F1151" s="191" t="s">
        <v>402</v>
      </c>
      <c r="G1151" s="482" t="s">
        <v>881</v>
      </c>
      <c r="H1151" s="192" t="s">
        <v>793</v>
      </c>
      <c r="I1151" s="255"/>
      <c r="J1151" s="255"/>
      <c r="K1151" s="38">
        <v>260205</v>
      </c>
      <c r="L1151" s="594" t="s">
        <v>259</v>
      </c>
      <c r="M1151" s="594" t="s">
        <v>371</v>
      </c>
      <c r="N1151" s="52" t="str">
        <f>IF(AND('331-CT'!$E$7=TH!H1151,OR(L1151="331",M1151="331")),"331",IF(AND(OR(L1151="131",M1151="131"),H1151='131-CT'!$E$7),"131",""))</f>
        <v/>
      </c>
      <c r="O1151" s="86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799"/>
    </row>
    <row r="1152" spans="1:28" s="210" customFormat="1" ht="15.75" customHeight="1">
      <c r="A1152" s="203" t="str">
        <f>IF(B1152&lt;&gt;"",IF(AND(B1152&gt;=_TM1,B1152&lt;=_TM2,OR(TH!L1152="1111",TH!M1152="1111")),TH!D1152,""),"")</f>
        <v/>
      </c>
      <c r="B1152" s="36">
        <f>IF(C1152&lt;&gt;"",MONTH(C1152),"")</f>
        <v>7</v>
      </c>
      <c r="C1152" s="183">
        <f>E1152</f>
        <v>42187</v>
      </c>
      <c r="D1152" s="183" t="s">
        <v>1511</v>
      </c>
      <c r="E1152" s="740">
        <v>42187</v>
      </c>
      <c r="F1152" s="188" t="s">
        <v>882</v>
      </c>
      <c r="G1152" s="482" t="s">
        <v>883</v>
      </c>
      <c r="H1152" s="7" t="s">
        <v>645</v>
      </c>
      <c r="I1152" s="258">
        <v>380</v>
      </c>
      <c r="J1152" s="258">
        <v>3700</v>
      </c>
      <c r="K1152" s="593">
        <f>ROUND(I1152*J1152,0)</f>
        <v>1406000</v>
      </c>
      <c r="L1152" s="594" t="s">
        <v>259</v>
      </c>
      <c r="M1152" s="594" t="s">
        <v>174</v>
      </c>
      <c r="N1152" s="52" t="str">
        <f>IF(AND('331-CT'!$E$7=TH!H1152,OR(L1152="331",M1152="331")),"331",IF(AND(OR(L1152="131",M1152="131"),H1152='131-CT'!$E$7),"131",""))</f>
        <v/>
      </c>
      <c r="O1152" s="86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799"/>
    </row>
    <row r="1153" spans="1:27" s="210" customFormat="1" ht="15.75" customHeight="1">
      <c r="A1153" s="203" t="str">
        <f>IF(B1153&lt;&gt;"",IF(AND(B1153&gt;=_TM1,B1153&lt;=_TM2,OR(TH!L1153="1111",TH!M1153="1111")),TH!D1153,""),"")</f>
        <v/>
      </c>
      <c r="B1153" s="36">
        <f>IF(C1153&lt;&gt;"",MONTH(C1153),"")</f>
        <v>7</v>
      </c>
      <c r="C1153" s="183">
        <f>E1153</f>
        <v>42187</v>
      </c>
      <c r="D1153" s="183" t="s">
        <v>1511</v>
      </c>
      <c r="E1153" s="740">
        <v>42187</v>
      </c>
      <c r="F1153" s="188" t="s">
        <v>402</v>
      </c>
      <c r="G1153" s="482" t="s">
        <v>883</v>
      </c>
      <c r="H1153" s="7" t="s">
        <v>645</v>
      </c>
      <c r="I1153" s="255"/>
      <c r="J1153" s="255"/>
      <c r="K1153" s="593">
        <v>140600</v>
      </c>
      <c r="L1153" s="594" t="s">
        <v>259</v>
      </c>
      <c r="M1153" s="594" t="s">
        <v>371</v>
      </c>
      <c r="N1153" s="52" t="str">
        <f>IF(AND('331-CT'!$E$7=TH!H1153,OR(L1153="331",M1153="331")),"331",IF(AND(OR(L1153="131",M1153="131"),H1153='131-CT'!$E$7),"131",""))</f>
        <v/>
      </c>
      <c r="O1153" s="86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799"/>
    </row>
    <row r="1154" spans="1:27" s="210" customFormat="1" ht="15.75" customHeight="1">
      <c r="A1154" s="203" t="str">
        <f>IF(B1154&lt;&gt;"",IF(AND(B1154&gt;=_TM1,B1154&lt;=_TM2,OR(TH!L1154="1111",TH!M1154="1111")),TH!D1154,""),"")</f>
        <v/>
      </c>
      <c r="B1154" s="36">
        <f>IF(C1154&lt;&gt;"",MONTH(C1154),"")</f>
        <v>7</v>
      </c>
      <c r="C1154" s="183">
        <f>E1154</f>
        <v>42187</v>
      </c>
      <c r="D1154" s="183" t="s">
        <v>1512</v>
      </c>
      <c r="E1154" s="740">
        <v>42187</v>
      </c>
      <c r="F1154" s="188" t="s">
        <v>413</v>
      </c>
      <c r="G1154" s="482" t="s">
        <v>884</v>
      </c>
      <c r="H1154" s="7" t="s">
        <v>412</v>
      </c>
      <c r="I1154" s="255">
        <v>205</v>
      </c>
      <c r="J1154" s="255">
        <v>10500</v>
      </c>
      <c r="K1154" s="593">
        <f>ROUND(I1154*J1154,0)</f>
        <v>2152500</v>
      </c>
      <c r="L1154" s="594" t="s">
        <v>259</v>
      </c>
      <c r="M1154" s="594" t="s">
        <v>174</v>
      </c>
      <c r="N1154" s="52" t="str">
        <f>IF(AND('331-CT'!$E$7=TH!H1154,OR(L1154="331",M1154="331")),"331",IF(AND(OR(L1154="131",M1154="131"),H1154='131-CT'!$E$7),"131",""))</f>
        <v/>
      </c>
      <c r="O1154" s="86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799"/>
    </row>
    <row r="1155" spans="1:27" s="210" customFormat="1" ht="15.75" customHeight="1">
      <c r="A1155" s="203" t="str">
        <f>IF(B1155&lt;&gt;"",IF(AND(B1155&gt;=_TM1,B1155&lt;=_TM2,OR(TH!L1155="1111",TH!M1155="1111")),TH!D1155,""),"")</f>
        <v/>
      </c>
      <c r="B1155" s="36">
        <f>IF(C1155&lt;&gt;"",MONTH(C1155),"")</f>
        <v>7</v>
      </c>
      <c r="C1155" s="183">
        <f>E1155</f>
        <v>42187</v>
      </c>
      <c r="D1155" s="183" t="s">
        <v>1512</v>
      </c>
      <c r="E1155" s="183">
        <v>42187</v>
      </c>
      <c r="F1155" s="191" t="s">
        <v>402</v>
      </c>
      <c r="G1155" s="482" t="s">
        <v>884</v>
      </c>
      <c r="H1155" s="209" t="s">
        <v>412</v>
      </c>
      <c r="I1155" s="255"/>
      <c r="J1155" s="255"/>
      <c r="K1155" s="593">
        <v>215250</v>
      </c>
      <c r="L1155" s="594" t="s">
        <v>259</v>
      </c>
      <c r="M1155" s="594" t="s">
        <v>371</v>
      </c>
      <c r="N1155" s="52" t="str">
        <f>IF(AND('331-CT'!$E$7=TH!H1155,OR(L1155="331",M1155="331")),"331",IF(AND(OR(L1155="131",M1155="131"),H1155='131-CT'!$E$7),"131",""))</f>
        <v/>
      </c>
      <c r="O1155" s="86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799"/>
    </row>
    <row r="1156" spans="1:27" s="210" customFormat="1" ht="15.75" customHeight="1">
      <c r="A1156" s="203" t="str">
        <f>IF(B1156&lt;&gt;"",IF(AND(B1156&gt;=_TM1,B1156&lt;=_TM2,OR(TH!L1156="1111",TH!M1156="1111")),TH!D1156,""),"")</f>
        <v/>
      </c>
      <c r="B1156" s="36">
        <f>IF(C1156&lt;&gt;"",MONTH(C1156),"")</f>
        <v>7</v>
      </c>
      <c r="C1156" s="183">
        <f>E1156</f>
        <v>42187</v>
      </c>
      <c r="D1156" s="183" t="s">
        <v>1319</v>
      </c>
      <c r="E1156" s="190">
        <v>42187</v>
      </c>
      <c r="F1156" s="191" t="s">
        <v>1320</v>
      </c>
      <c r="G1156" s="482" t="s">
        <v>332</v>
      </c>
      <c r="H1156" s="7" t="s">
        <v>764</v>
      </c>
      <c r="I1156" s="255"/>
      <c r="J1156" s="255"/>
      <c r="K1156" s="593">
        <v>8808800</v>
      </c>
      <c r="L1156" s="594" t="s">
        <v>24</v>
      </c>
      <c r="M1156" s="594" t="s">
        <v>259</v>
      </c>
      <c r="N1156" s="52" t="str">
        <f>IF(AND('331-CT'!$E$7=TH!H1156,OR(L1156="331",M1156="331")),"331",IF(AND(OR(L1156="131",M1156="131"),H1156='131-CT'!$E$7),"131",""))</f>
        <v/>
      </c>
      <c r="O1156" s="86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>x</v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799"/>
    </row>
    <row r="1157" spans="1:27" s="210" customFormat="1" ht="15.75" customHeight="1">
      <c r="A1157" s="203" t="str">
        <f>IF(B1157&lt;&gt;"",IF(AND(B1157&gt;=_TM1,B1157&lt;=_TM2,OR(TH!L1157="1111",TH!M1157="1111")),TH!D1157,""),"")</f>
        <v/>
      </c>
      <c r="B1157" s="36">
        <f>IF(C1157&lt;&gt;"",MONTH(C1157),"")</f>
        <v>7</v>
      </c>
      <c r="C1157" s="183">
        <f>E1157</f>
        <v>42188</v>
      </c>
      <c r="D1157" s="190"/>
      <c r="E1157" s="727">
        <v>42188</v>
      </c>
      <c r="F1157" s="188" t="s">
        <v>374</v>
      </c>
      <c r="G1157" s="482" t="s">
        <v>1442</v>
      </c>
      <c r="H1157" s="7" t="s">
        <v>1365</v>
      </c>
      <c r="I1157" s="255"/>
      <c r="J1157" s="255"/>
      <c r="K1157" s="593">
        <v>9005000</v>
      </c>
      <c r="L1157" s="594" t="s">
        <v>165</v>
      </c>
      <c r="M1157" s="594" t="s">
        <v>47</v>
      </c>
      <c r="N1157" s="52" t="str">
        <f>IF(AND('331-CT'!$E$7=TH!H1157,OR(L1157="331",M1157="331")),"331",IF(AND(OR(L1157="131",M1157="131"),H1157='131-CT'!$E$7),"131",""))</f>
        <v/>
      </c>
      <c r="O1157" s="86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799"/>
    </row>
    <row r="1158" spans="1:27" s="210" customFormat="1" ht="15.75" customHeight="1">
      <c r="A1158" s="203" t="str">
        <f>IF(B1158&lt;&gt;"",IF(AND(B1158&gt;=_TM1,B1158&lt;=_TM2,OR(TH!L1158="1111",TH!M1158="1111")),TH!D1158,""),"")</f>
        <v/>
      </c>
      <c r="B1158" s="36">
        <f>IF(C1158&lt;&gt;"",MONTH(C1158),"")</f>
        <v>7</v>
      </c>
      <c r="C1158" s="183">
        <f>E1158</f>
        <v>42188</v>
      </c>
      <c r="D1158" s="183"/>
      <c r="E1158" s="727">
        <v>42188</v>
      </c>
      <c r="F1158" s="188" t="s">
        <v>1364</v>
      </c>
      <c r="G1158" s="482" t="s">
        <v>1442</v>
      </c>
      <c r="H1158" s="7" t="s">
        <v>1365</v>
      </c>
      <c r="I1158" s="255"/>
      <c r="J1158" s="255"/>
      <c r="K1158" s="593">
        <v>900500</v>
      </c>
      <c r="L1158" s="594" t="s">
        <v>9</v>
      </c>
      <c r="M1158" s="594" t="s">
        <v>47</v>
      </c>
      <c r="N1158" s="52" t="str">
        <f>IF(AND('331-CT'!$E$7=TH!H1158,OR(L1158="331",M1158="331")),"331",IF(AND(OR(L1158="131",M1158="131"),H1158='131-CT'!$E$7),"131",""))</f>
        <v/>
      </c>
      <c r="O1158" s="86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799"/>
    </row>
    <row r="1159" spans="1:27" s="210" customFormat="1" ht="15.75" customHeight="1">
      <c r="A1159" s="203" t="str">
        <f>IF(B1159&lt;&gt;"",IF(AND(B1159&gt;=_TM1,B1159&lt;=_TM2,OR(TH!L1159="1111",TH!M1159="1111")),TH!D1159,""),"")</f>
        <v/>
      </c>
      <c r="B1159" s="36">
        <f>IF(C1159&lt;&gt;"",MONTH(C1159),"")</f>
        <v>7</v>
      </c>
      <c r="C1159" s="183">
        <f>E1159</f>
        <v>42189</v>
      </c>
      <c r="D1159" s="183" t="s">
        <v>1513</v>
      </c>
      <c r="E1159" s="183">
        <v>42189</v>
      </c>
      <c r="F1159" s="188" t="s">
        <v>446</v>
      </c>
      <c r="G1159" s="482" t="s">
        <v>885</v>
      </c>
      <c r="H1159" s="7" t="s">
        <v>400</v>
      </c>
      <c r="I1159" s="255">
        <v>299</v>
      </c>
      <c r="J1159" s="255">
        <v>5600</v>
      </c>
      <c r="K1159" s="593">
        <f>ROUND(I1159*J1159,0)</f>
        <v>1674400</v>
      </c>
      <c r="L1159" s="594" t="s">
        <v>259</v>
      </c>
      <c r="M1159" s="594" t="s">
        <v>174</v>
      </c>
      <c r="N1159" s="52" t="str">
        <f>IF(AND('331-CT'!$E$7=TH!H1159,OR(L1159="331",M1159="331")),"331",IF(AND(OR(L1159="131",M1159="131"),H1159='131-CT'!$E$7),"131",""))</f>
        <v/>
      </c>
      <c r="O1159" s="86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799"/>
    </row>
    <row r="1160" spans="1:27" s="210" customFormat="1" ht="15.75" customHeight="1">
      <c r="A1160" s="203" t="str">
        <f>IF(B1160&lt;&gt;"",IF(AND(B1160&gt;=_TM1,B1160&lt;=_TM2,OR(TH!L1160="1111",TH!M1160="1111")),TH!D1160,""),"")</f>
        <v/>
      </c>
      <c r="B1160" s="36">
        <f>IF(C1160&lt;&gt;"",MONTH(C1160),"")</f>
        <v>7</v>
      </c>
      <c r="C1160" s="183">
        <f>E1160</f>
        <v>42189</v>
      </c>
      <c r="D1160" s="183" t="s">
        <v>1513</v>
      </c>
      <c r="E1160" s="183">
        <v>42189</v>
      </c>
      <c r="F1160" s="188" t="s">
        <v>401</v>
      </c>
      <c r="G1160" s="482" t="s">
        <v>885</v>
      </c>
      <c r="H1160" s="7" t="s">
        <v>400</v>
      </c>
      <c r="I1160" s="255">
        <v>312</v>
      </c>
      <c r="J1160" s="255">
        <v>5900</v>
      </c>
      <c r="K1160" s="593">
        <f>ROUND(I1160*J1160,0)</f>
        <v>1840800</v>
      </c>
      <c r="L1160" s="594" t="s">
        <v>259</v>
      </c>
      <c r="M1160" s="594" t="s">
        <v>174</v>
      </c>
      <c r="N1160" s="52" t="str">
        <f>IF(AND('331-CT'!$E$7=TH!H1160,OR(L1160="331",M1160="331")),"331",IF(AND(OR(L1160="131",M1160="131"),H1160='131-CT'!$E$7),"131",""))</f>
        <v/>
      </c>
      <c r="O1160" s="86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799"/>
    </row>
    <row r="1161" spans="1:27" s="210" customFormat="1" ht="15.75" customHeight="1">
      <c r="A1161" s="203" t="str">
        <f>IF(B1161&lt;&gt;"",IF(AND(B1161&gt;=_TM1,B1161&lt;=_TM2,OR(TH!L1161="1111",TH!M1161="1111")),TH!D1161,""),"")</f>
        <v/>
      </c>
      <c r="B1161" s="36">
        <f>IF(C1161&lt;&gt;"",MONTH(C1161),"")</f>
        <v>7</v>
      </c>
      <c r="C1161" s="183">
        <f>E1161</f>
        <v>42189</v>
      </c>
      <c r="D1161" s="183" t="s">
        <v>1513</v>
      </c>
      <c r="E1161" s="183">
        <v>42189</v>
      </c>
      <c r="F1161" s="188" t="s">
        <v>398</v>
      </c>
      <c r="G1161" s="482" t="s">
        <v>885</v>
      </c>
      <c r="H1161" s="7" t="s">
        <v>400</v>
      </c>
      <c r="I1161" s="255">
        <v>585</v>
      </c>
      <c r="J1161" s="255">
        <v>5050</v>
      </c>
      <c r="K1161" s="593">
        <f>ROUND(I1161*J1161,0)</f>
        <v>2954250</v>
      </c>
      <c r="L1161" s="594" t="s">
        <v>259</v>
      </c>
      <c r="M1161" s="594" t="s">
        <v>174</v>
      </c>
      <c r="N1161" s="52" t="str">
        <f>IF(AND('331-CT'!$E$7=TH!H1161,OR(L1161="331",M1161="331")),"331",IF(AND(OR(L1161="131",M1161="131"),H1161='131-CT'!$E$7),"131",""))</f>
        <v/>
      </c>
      <c r="O1161" s="86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799"/>
    </row>
    <row r="1162" spans="1:27" s="210" customFormat="1" ht="15.75" customHeight="1">
      <c r="A1162" s="203" t="str">
        <f>IF(B1162&lt;&gt;"",IF(AND(B1162&gt;=_TM1,B1162&lt;=_TM2,OR(TH!L1162="1111",TH!M1162="1111")),TH!D1162,""),"")</f>
        <v/>
      </c>
      <c r="B1162" s="36">
        <f>IF(C1162&lt;&gt;"",MONTH(C1162),"")</f>
        <v>7</v>
      </c>
      <c r="C1162" s="183">
        <f>E1162</f>
        <v>42189</v>
      </c>
      <c r="D1162" s="183" t="s">
        <v>1513</v>
      </c>
      <c r="E1162" s="183">
        <v>42189</v>
      </c>
      <c r="F1162" s="188" t="s">
        <v>501</v>
      </c>
      <c r="G1162" s="482" t="s">
        <v>885</v>
      </c>
      <c r="H1162" s="7" t="s">
        <v>400</v>
      </c>
      <c r="I1162" s="255">
        <v>207</v>
      </c>
      <c r="J1162" s="255">
        <v>9900</v>
      </c>
      <c r="K1162" s="593">
        <f>ROUND(I1162*J1162,0)</f>
        <v>2049300</v>
      </c>
      <c r="L1162" s="594" t="s">
        <v>259</v>
      </c>
      <c r="M1162" s="594" t="s">
        <v>174</v>
      </c>
      <c r="N1162" s="52" t="str">
        <f>IF(AND('331-CT'!$E$7=TH!H1162,OR(L1162="331",M1162="331")),"331",IF(AND(OR(L1162="131",M1162="131"),H1162='131-CT'!$E$7),"131",""))</f>
        <v/>
      </c>
      <c r="O1162" s="86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799"/>
    </row>
    <row r="1163" spans="1:27" s="210" customFormat="1" ht="15.75" customHeight="1">
      <c r="A1163" s="203" t="str">
        <f>IF(B1163&lt;&gt;"",IF(AND(B1163&gt;=_TM1,B1163&lt;=_TM2,OR(TH!L1163="1111",TH!M1163="1111")),TH!D1163,""),"")</f>
        <v/>
      </c>
      <c r="B1163" s="36">
        <f>IF(C1163&lt;&gt;"",MONTH(C1163),"")</f>
        <v>7</v>
      </c>
      <c r="C1163" s="183">
        <f>E1163</f>
        <v>42189</v>
      </c>
      <c r="D1163" s="183" t="s">
        <v>1513</v>
      </c>
      <c r="E1163" s="183">
        <v>42189</v>
      </c>
      <c r="F1163" s="188" t="s">
        <v>402</v>
      </c>
      <c r="G1163" s="482" t="s">
        <v>885</v>
      </c>
      <c r="H1163" s="7" t="s">
        <v>400</v>
      </c>
      <c r="I1163" s="255"/>
      <c r="J1163" s="255"/>
      <c r="K1163" s="593">
        <v>851875</v>
      </c>
      <c r="L1163" s="594" t="s">
        <v>259</v>
      </c>
      <c r="M1163" s="594" t="s">
        <v>371</v>
      </c>
      <c r="N1163" s="52" t="str">
        <f>IF(AND('331-CT'!$E$7=TH!H1163,OR(L1163="331",M1163="331")),"331",IF(AND(OR(L1163="131",M1163="131"),H1163='131-CT'!$E$7),"131",""))</f>
        <v/>
      </c>
      <c r="O1163" s="86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799"/>
    </row>
    <row r="1164" spans="1:27" s="210" customFormat="1" ht="15.75" customHeight="1">
      <c r="A1164" s="203" t="str">
        <f>IF(B1164&lt;&gt;"",IF(AND(B1164&gt;=_TM1,B1164&lt;=_TM2,OR(TH!L1164="1111",TH!M1164="1111")),TH!D1164,""),"")</f>
        <v/>
      </c>
      <c r="B1164" s="36">
        <f>IF(C1164&lt;&gt;"",MONTH(C1164),"")</f>
        <v>7</v>
      </c>
      <c r="C1164" s="183">
        <f>E1164</f>
        <v>42189</v>
      </c>
      <c r="D1164" s="183" t="s">
        <v>1514</v>
      </c>
      <c r="E1164" s="183">
        <v>42189</v>
      </c>
      <c r="F1164" s="188" t="s">
        <v>830</v>
      </c>
      <c r="G1164" s="482" t="s">
        <v>886</v>
      </c>
      <c r="H1164" s="7" t="s">
        <v>832</v>
      </c>
      <c r="I1164" s="255">
        <v>50</v>
      </c>
      <c r="J1164" s="255">
        <v>10600</v>
      </c>
      <c r="K1164" s="593">
        <f>ROUND(I1164*J1164,0)</f>
        <v>530000</v>
      </c>
      <c r="L1164" s="594" t="s">
        <v>259</v>
      </c>
      <c r="M1164" s="594" t="s">
        <v>174</v>
      </c>
      <c r="N1164" s="52" t="str">
        <f>IF(AND('331-CT'!$E$7=TH!H1164,OR(L1164="331",M1164="331")),"331",IF(AND(OR(L1164="131",M1164="131"),H1164='131-CT'!$E$7),"131",""))</f>
        <v/>
      </c>
      <c r="O1164" s="86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799"/>
    </row>
    <row r="1165" spans="1:27" s="210" customFormat="1" ht="15.75" customHeight="1">
      <c r="A1165" s="203" t="str">
        <f>IF(B1165&lt;&gt;"",IF(AND(B1165&gt;=_TM1,B1165&lt;=_TM2,OR(TH!L1165="1111",TH!M1165="1111")),TH!D1165,""),"")</f>
        <v/>
      </c>
      <c r="B1165" s="36">
        <f>IF(C1165&lt;&gt;"",MONTH(C1165),"")</f>
        <v>7</v>
      </c>
      <c r="C1165" s="183">
        <f>E1165</f>
        <v>42189</v>
      </c>
      <c r="D1165" s="183" t="s">
        <v>1514</v>
      </c>
      <c r="E1165" s="183">
        <v>42189</v>
      </c>
      <c r="F1165" s="188" t="s">
        <v>402</v>
      </c>
      <c r="G1165" s="482" t="s">
        <v>886</v>
      </c>
      <c r="H1165" s="7" t="s">
        <v>832</v>
      </c>
      <c r="I1165" s="255"/>
      <c r="J1165" s="255"/>
      <c r="K1165" s="593">
        <v>53000</v>
      </c>
      <c r="L1165" s="594" t="s">
        <v>259</v>
      </c>
      <c r="M1165" s="594" t="s">
        <v>371</v>
      </c>
      <c r="N1165" s="52" t="str">
        <f>IF(AND('331-CT'!$E$7=TH!H1165,OR(L1165="331",M1165="331")),"331",IF(AND(OR(L1165="131",M1165="131"),H1165='131-CT'!$E$7),"131",""))</f>
        <v/>
      </c>
      <c r="O1165" s="86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799"/>
    </row>
    <row r="1166" spans="1:27" s="210" customFormat="1" ht="15.75" customHeight="1">
      <c r="A1166" s="203" t="str">
        <f>IF(B1166&lt;&gt;"",IF(AND(B1166&gt;=_TM1,B1166&lt;=_TM2,OR(TH!L1166="1111",TH!M1166="1111")),TH!D1166,""),"")</f>
        <v/>
      </c>
      <c r="B1166" s="36">
        <f>IF(C1166&lt;&gt;"",MONTH(C1166),"")</f>
        <v>7</v>
      </c>
      <c r="C1166" s="183">
        <f>E1166</f>
        <v>42191</v>
      </c>
      <c r="D1166" s="183" t="s">
        <v>1319</v>
      </c>
      <c r="E1166" s="190">
        <v>42191</v>
      </c>
      <c r="F1166" s="191" t="s">
        <v>1320</v>
      </c>
      <c r="G1166" s="482" t="s">
        <v>332</v>
      </c>
      <c r="H1166" s="7" t="s">
        <v>473</v>
      </c>
      <c r="I1166" s="255"/>
      <c r="J1166" s="255"/>
      <c r="K1166" s="593">
        <v>20674280</v>
      </c>
      <c r="L1166" s="594" t="s">
        <v>24</v>
      </c>
      <c r="M1166" s="594" t="s">
        <v>259</v>
      </c>
      <c r="N1166" s="52" t="str">
        <f>IF(AND('331-CT'!$E$7=TH!H1166,OR(L1166="331",M1166="331")),"331",IF(AND(OR(L1166="131",M1166="131"),H1166='131-CT'!$E$7),"131",""))</f>
        <v/>
      </c>
      <c r="O1166" s="86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>x</v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799"/>
    </row>
    <row r="1167" spans="1:27" s="210" customFormat="1" ht="15.75" customHeight="1">
      <c r="A1167" s="203" t="str">
        <f>IF(B1167&lt;&gt;"",IF(AND(B1167&gt;=_TM1,B1167&lt;=_TM2,OR(TH!L1167="1111",TH!M1167="1111")),TH!D1167,""),"")</f>
        <v/>
      </c>
      <c r="B1167" s="36">
        <f>IF(C1167&lt;&gt;"",MONTH(C1167),"")</f>
        <v>7</v>
      </c>
      <c r="C1167" s="183">
        <f>E1167</f>
        <v>42192</v>
      </c>
      <c r="D1167" s="183" t="s">
        <v>1515</v>
      </c>
      <c r="E1167" s="183">
        <v>42192</v>
      </c>
      <c r="F1167" s="188" t="s">
        <v>887</v>
      </c>
      <c r="G1167" s="482" t="s">
        <v>888</v>
      </c>
      <c r="H1167" s="7" t="s">
        <v>645</v>
      </c>
      <c r="I1167" s="255">
        <v>380</v>
      </c>
      <c r="J1167" s="255">
        <v>3750</v>
      </c>
      <c r="K1167" s="593">
        <f>ROUND(I1167*J1167,0)</f>
        <v>1425000</v>
      </c>
      <c r="L1167" s="594" t="s">
        <v>259</v>
      </c>
      <c r="M1167" s="594" t="s">
        <v>174</v>
      </c>
      <c r="N1167" s="52" t="str">
        <f>IF(AND('331-CT'!$E$7=TH!H1167,OR(L1167="331",M1167="331")),"331",IF(AND(OR(L1167="131",M1167="131"),H1167='131-CT'!$E$7),"131",""))</f>
        <v/>
      </c>
      <c r="O1167" s="86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799"/>
    </row>
    <row r="1168" spans="1:27" s="210" customFormat="1" ht="15.75" customHeight="1">
      <c r="A1168" s="203" t="str">
        <f>IF(B1168&lt;&gt;"",IF(AND(B1168&gt;=_TM1,B1168&lt;=_TM2,OR(TH!L1168="1111",TH!M1168="1111")),TH!D1168,""),"")</f>
        <v/>
      </c>
      <c r="B1168" s="36">
        <f>IF(C1168&lt;&gt;"",MONTH(C1168),"")</f>
        <v>7</v>
      </c>
      <c r="C1168" s="183">
        <f>E1168</f>
        <v>42192</v>
      </c>
      <c r="D1168" s="183" t="s">
        <v>1515</v>
      </c>
      <c r="E1168" s="183">
        <v>42192</v>
      </c>
      <c r="F1168" s="191" t="s">
        <v>402</v>
      </c>
      <c r="G1168" s="482" t="s">
        <v>888</v>
      </c>
      <c r="H1168" s="7" t="s">
        <v>645</v>
      </c>
      <c r="I1168" s="255"/>
      <c r="J1168" s="255"/>
      <c r="K1168" s="593">
        <v>142500</v>
      </c>
      <c r="L1168" s="594" t="s">
        <v>259</v>
      </c>
      <c r="M1168" s="594" t="s">
        <v>371</v>
      </c>
      <c r="N1168" s="52" t="str">
        <f>IF(AND('331-CT'!$E$7=TH!H1168,OR(L1168="331",M1168="331")),"331",IF(AND(OR(L1168="131",M1168="131"),H1168='131-CT'!$E$7),"131",""))</f>
        <v/>
      </c>
      <c r="O1168" s="86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799"/>
    </row>
    <row r="1169" spans="1:27" s="210" customFormat="1" ht="15.75" customHeight="1">
      <c r="A1169" s="203" t="str">
        <f>IF(B1169&lt;&gt;"",IF(AND(B1169&gt;=_TM1,B1169&lt;=_TM2,OR(TH!L1169="1111",TH!M1169="1111")),TH!D1169,""),"")</f>
        <v/>
      </c>
      <c r="B1169" s="36">
        <f>IF(C1169&lt;&gt;"",MONTH(C1169),"")</f>
        <v>7</v>
      </c>
      <c r="C1169" s="183">
        <f>E1169</f>
        <v>42192</v>
      </c>
      <c r="D1169" s="183" t="s">
        <v>1319</v>
      </c>
      <c r="E1169" s="190">
        <v>42192</v>
      </c>
      <c r="F1169" s="191" t="s">
        <v>1320</v>
      </c>
      <c r="G1169" s="482" t="s">
        <v>332</v>
      </c>
      <c r="H1169" s="7" t="s">
        <v>438</v>
      </c>
      <c r="I1169" s="255"/>
      <c r="J1169" s="255"/>
      <c r="K1169" s="593">
        <v>6883910</v>
      </c>
      <c r="L1169" s="594" t="s">
        <v>24</v>
      </c>
      <c r="M1169" s="594" t="s">
        <v>259</v>
      </c>
      <c r="N1169" s="52" t="str">
        <f>IF(AND('331-CT'!$E$7=TH!H1169,OR(L1169="331",M1169="331")),"331",IF(AND(OR(L1169="131",M1169="131"),H1169='131-CT'!$E$7),"131",""))</f>
        <v/>
      </c>
      <c r="O1169" s="86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>x</v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799"/>
    </row>
    <row r="1170" spans="1:27" s="210" customFormat="1" ht="15.75" customHeight="1">
      <c r="A1170" s="203" t="str">
        <f>IF(B1170&lt;&gt;"",IF(AND(B1170&gt;=_TM1,B1170&lt;=_TM2,OR(TH!L1170="1111",TH!M1170="1111")),TH!D1170,""),"")</f>
        <v/>
      </c>
      <c r="B1170" s="36">
        <f>IF(C1170&lt;&gt;"",MONTH(C1170),"")</f>
        <v>7</v>
      </c>
      <c r="C1170" s="183">
        <f>E1170</f>
        <v>42192</v>
      </c>
      <c r="D1170" s="183" t="s">
        <v>1324</v>
      </c>
      <c r="E1170" s="190">
        <v>42192</v>
      </c>
      <c r="F1170" s="188" t="s">
        <v>1325</v>
      </c>
      <c r="G1170" s="482" t="s">
        <v>332</v>
      </c>
      <c r="H1170" s="7" t="s">
        <v>1322</v>
      </c>
      <c r="I1170" s="255"/>
      <c r="J1170" s="255"/>
      <c r="K1170" s="593">
        <v>14400000</v>
      </c>
      <c r="L1170" s="594" t="s">
        <v>47</v>
      </c>
      <c r="M1170" s="594" t="s">
        <v>24</v>
      </c>
      <c r="N1170" s="52" t="str">
        <f>IF(AND('331-CT'!$E$7=TH!H1170,OR(L1170="331",M1170="331")),"331",IF(AND(OR(L1170="131",M1170="131"),H1170='131-CT'!$E$7),"131",""))</f>
        <v/>
      </c>
      <c r="O1170" s="86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>x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799"/>
    </row>
    <row r="1171" spans="1:27" s="210" customFormat="1" ht="15.75" customHeight="1">
      <c r="A1171" s="203" t="str">
        <f>IF(B1171&lt;&gt;"",IF(AND(B1171&gt;=_TM1,B1171&lt;=_TM2,OR(TH!L1171="1111",TH!M1171="1111")),TH!D1171,""),"")</f>
        <v/>
      </c>
      <c r="B1171" s="36">
        <f>IF(C1171&lt;&gt;"",MONTH(C1171),"")</f>
        <v>7</v>
      </c>
      <c r="C1171" s="183">
        <f>E1171</f>
        <v>42192</v>
      </c>
      <c r="D1171" s="183" t="s">
        <v>1324</v>
      </c>
      <c r="E1171" s="190">
        <v>42192</v>
      </c>
      <c r="F1171" s="296" t="s">
        <v>1326</v>
      </c>
      <c r="G1171" s="482" t="s">
        <v>332</v>
      </c>
      <c r="H1171" s="831" t="s">
        <v>1930</v>
      </c>
      <c r="I1171" s="255"/>
      <c r="J1171" s="255"/>
      <c r="K1171" s="593">
        <v>15000000</v>
      </c>
      <c r="L1171" s="594" t="s">
        <v>8</v>
      </c>
      <c r="M1171" s="594" t="s">
        <v>24</v>
      </c>
      <c r="N1171" s="52" t="str">
        <f>IF(AND('331-CT'!$E$7=TH!H1171,OR(L1171="331",M1171="331")),"331",IF(AND(OR(L1171="131",M1171="131"),H1171='131-CT'!$E$7),"131",""))</f>
        <v/>
      </c>
      <c r="O1171" s="86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>x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799"/>
    </row>
    <row r="1172" spans="1:27" s="210" customFormat="1" ht="15.75" customHeight="1">
      <c r="A1172" s="203" t="str">
        <f>IF(B1172&lt;&gt;"",IF(AND(B1172&gt;=_TM1,B1172&lt;=_TM2,OR(TH!L1172="1111",TH!M1172="1111")),TH!D1172,""),"")</f>
        <v/>
      </c>
      <c r="B1172" s="36">
        <f>IF(C1172&lt;&gt;"",MONTH(C1172),"")</f>
        <v>7</v>
      </c>
      <c r="C1172" s="183">
        <f>E1172</f>
        <v>42192</v>
      </c>
      <c r="D1172" s="183" t="s">
        <v>1324</v>
      </c>
      <c r="E1172" s="190">
        <v>42192</v>
      </c>
      <c r="F1172" s="188" t="s">
        <v>1327</v>
      </c>
      <c r="G1172" s="482" t="s">
        <v>332</v>
      </c>
      <c r="H1172" s="7"/>
      <c r="I1172" s="255"/>
      <c r="J1172" s="255"/>
      <c r="K1172" s="593">
        <v>15000</v>
      </c>
      <c r="L1172" s="594" t="s">
        <v>83</v>
      </c>
      <c r="M1172" s="594" t="s">
        <v>24</v>
      </c>
      <c r="N1172" s="52" t="str">
        <f>IF(AND('331-CT'!$E$7=TH!H1172,OR(L1172="331",M1172="331")),"331",IF(AND(OR(L1172="131",M1172="131"),H1172='131-CT'!$E$7),"131",""))</f>
        <v/>
      </c>
      <c r="O1172" s="86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>x</v>
      </c>
      <c r="V1172" s="52" t="str">
        <f>IF(OR(TH!L1172=TH!$V$7,M1172=TH!$V$7),"x","")</f>
        <v>x</v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799"/>
    </row>
    <row r="1173" spans="1:27" s="210" customFormat="1" ht="15.75" customHeight="1">
      <c r="A1173" s="203" t="str">
        <f>IF(B1173&lt;&gt;"",IF(AND(B1173&gt;=_TM1,B1173&lt;=_TM2,OR(TH!L1173="1111",TH!M1173="1111")),TH!D1173,""),"")</f>
        <v/>
      </c>
      <c r="B1173" s="36">
        <f>IF(C1173&lt;&gt;"",MONTH(C1173),"")</f>
        <v>7</v>
      </c>
      <c r="C1173" s="183">
        <f>E1173</f>
        <v>42193</v>
      </c>
      <c r="D1173" s="183" t="s">
        <v>1516</v>
      </c>
      <c r="E1173" s="183">
        <v>42193</v>
      </c>
      <c r="F1173" s="188" t="s">
        <v>1673</v>
      </c>
      <c r="G1173" s="482" t="s">
        <v>889</v>
      </c>
      <c r="H1173" s="7" t="s">
        <v>464</v>
      </c>
      <c r="I1173" s="255">
        <v>100</v>
      </c>
      <c r="J1173" s="255">
        <v>6050</v>
      </c>
      <c r="K1173" s="593">
        <f>ROUND(I1173*J1173,0)</f>
        <v>605000</v>
      </c>
      <c r="L1173" s="594" t="s">
        <v>259</v>
      </c>
      <c r="M1173" s="594" t="s">
        <v>174</v>
      </c>
      <c r="N1173" s="52" t="str">
        <f>IF(AND('331-CT'!$E$7=TH!H1173,OR(L1173="331",M1173="331")),"331",IF(AND(OR(L1173="131",M1173="131"),H1173='131-CT'!$E$7),"131",""))</f>
        <v/>
      </c>
      <c r="O1173" s="86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799"/>
    </row>
    <row r="1174" spans="1:27" s="210" customFormat="1" ht="15.75" customHeight="1">
      <c r="A1174" s="203" t="str">
        <f>IF(B1174&lt;&gt;"",IF(AND(B1174&gt;=_TM1,B1174&lt;=_TM2,OR(TH!L1174="1111",TH!M1174="1111")),TH!D1174,""),"")</f>
        <v/>
      </c>
      <c r="B1174" s="36">
        <f>IF(C1174&lt;&gt;"",MONTH(C1174),"")</f>
        <v>7</v>
      </c>
      <c r="C1174" s="183">
        <f>E1174</f>
        <v>42193</v>
      </c>
      <c r="D1174" s="183" t="s">
        <v>1516</v>
      </c>
      <c r="E1174" s="183">
        <v>42193</v>
      </c>
      <c r="F1174" s="188" t="s">
        <v>402</v>
      </c>
      <c r="G1174" s="482" t="s">
        <v>889</v>
      </c>
      <c r="H1174" s="7" t="s">
        <v>464</v>
      </c>
      <c r="I1174" s="255"/>
      <c r="J1174" s="255"/>
      <c r="K1174" s="593">
        <v>60500</v>
      </c>
      <c r="L1174" s="594" t="s">
        <v>259</v>
      </c>
      <c r="M1174" s="594" t="s">
        <v>371</v>
      </c>
      <c r="N1174" s="52" t="str">
        <f>IF(AND('331-CT'!$E$7=TH!H1174,OR(L1174="331",M1174="331")),"331",IF(AND(OR(L1174="131",M1174="131"),H1174='131-CT'!$E$7),"131",""))</f>
        <v/>
      </c>
      <c r="O1174" s="86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799"/>
    </row>
    <row r="1175" spans="1:27" s="210" customFormat="1" ht="15.75" customHeight="1">
      <c r="A1175" s="203" t="str">
        <f>IF(B1175&lt;&gt;"",IF(AND(B1175&gt;=_TM1,B1175&lt;=_TM2,OR(TH!L1175="1111",TH!M1175="1111")),TH!D1175,""),"")</f>
        <v/>
      </c>
      <c r="B1175" s="36">
        <f>IF(C1175&lt;&gt;"",MONTH(C1175),"")</f>
        <v>7</v>
      </c>
      <c r="C1175" s="183">
        <f>E1175</f>
        <v>42193</v>
      </c>
      <c r="D1175" s="183" t="s">
        <v>1324</v>
      </c>
      <c r="E1175" s="190">
        <v>42193</v>
      </c>
      <c r="F1175" s="188" t="s">
        <v>1325</v>
      </c>
      <c r="G1175" s="482" t="s">
        <v>332</v>
      </c>
      <c r="H1175" s="7" t="s">
        <v>1331</v>
      </c>
      <c r="I1175" s="255"/>
      <c r="J1175" s="255"/>
      <c r="K1175" s="593">
        <v>6900000</v>
      </c>
      <c r="L1175" s="594" t="s">
        <v>47</v>
      </c>
      <c r="M1175" s="594" t="s">
        <v>24</v>
      </c>
      <c r="N1175" s="52" t="str">
        <f>IF(AND('331-CT'!$E$7=TH!H1175,OR(L1175="331",M1175="331")),"331",IF(AND(OR(L1175="131",M1175="131"),H1175='131-CT'!$E$7),"131",""))</f>
        <v/>
      </c>
      <c r="O1175" s="86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>x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799"/>
    </row>
    <row r="1176" spans="1:27" s="210" customFormat="1" ht="15.75" customHeight="1">
      <c r="A1176" s="203" t="str">
        <f>IF(B1176&lt;&gt;"",IF(AND(B1176&gt;=_TM1,B1176&lt;=_TM2,OR(TH!L1176="1111",TH!M1176="1111")),TH!D1176,""),"")</f>
        <v/>
      </c>
      <c r="B1176" s="36">
        <f>IF(C1176&lt;&gt;"",MONTH(C1176),"")</f>
        <v>7</v>
      </c>
      <c r="C1176" s="183">
        <f>E1176</f>
        <v>42195</v>
      </c>
      <c r="D1176" s="183" t="s">
        <v>1517</v>
      </c>
      <c r="E1176" s="183">
        <v>42195</v>
      </c>
      <c r="F1176" s="188" t="s">
        <v>494</v>
      </c>
      <c r="G1176" s="482" t="s">
        <v>890</v>
      </c>
      <c r="H1176" s="7" t="s">
        <v>834</v>
      </c>
      <c r="I1176" s="255">
        <v>1194</v>
      </c>
      <c r="J1176" s="255">
        <v>5400</v>
      </c>
      <c r="K1176" s="593">
        <f>ROUND(I1176*J1176,0)</f>
        <v>6447600</v>
      </c>
      <c r="L1176" s="594" t="s">
        <v>259</v>
      </c>
      <c r="M1176" s="594" t="s">
        <v>174</v>
      </c>
      <c r="N1176" s="52" t="str">
        <f>IF(AND('331-CT'!$E$7=TH!H1176,OR(L1176="331",M1176="331")),"331",IF(AND(OR(L1176="131",M1176="131"),H1176='131-CT'!$E$7),"131",""))</f>
        <v/>
      </c>
      <c r="O1176" s="86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799"/>
    </row>
    <row r="1177" spans="1:27" s="210" customFormat="1" ht="15.75" customHeight="1">
      <c r="A1177" s="203" t="str">
        <f>IF(B1177&lt;&gt;"",IF(AND(B1177&gt;=_TM1,B1177&lt;=_TM2,OR(TH!L1177="1111",TH!M1177="1111")),TH!D1177,""),"")</f>
        <v/>
      </c>
      <c r="B1177" s="36">
        <f>IF(C1177&lt;&gt;"",MONTH(C1177),"")</f>
        <v>7</v>
      </c>
      <c r="C1177" s="183">
        <f>E1177</f>
        <v>42195</v>
      </c>
      <c r="D1177" s="183" t="s">
        <v>1517</v>
      </c>
      <c r="E1177" s="183">
        <v>42195</v>
      </c>
      <c r="F1177" s="188" t="s">
        <v>402</v>
      </c>
      <c r="G1177" s="482" t="s">
        <v>890</v>
      </c>
      <c r="H1177" s="7" t="s">
        <v>834</v>
      </c>
      <c r="I1177" s="255"/>
      <c r="J1177" s="255"/>
      <c r="K1177" s="593">
        <v>644760</v>
      </c>
      <c r="L1177" s="594" t="s">
        <v>259</v>
      </c>
      <c r="M1177" s="594" t="s">
        <v>371</v>
      </c>
      <c r="N1177" s="52" t="str">
        <f>IF(AND('331-CT'!$E$7=TH!H1177,OR(L1177="331",M1177="331")),"331",IF(AND(OR(L1177="131",M1177="131"),H1177='131-CT'!$E$7),"131",""))</f>
        <v/>
      </c>
      <c r="O1177" s="86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799"/>
    </row>
    <row r="1178" spans="1:27" s="210" customFormat="1" ht="15.75" customHeight="1">
      <c r="A1178" s="203" t="str">
        <f>IF(B1178&lt;&gt;"",IF(AND(B1178&gt;=_TM1,B1178&lt;=_TM2,OR(TH!L1178="1111",TH!M1178="1111")),TH!D1178,""),"")</f>
        <v/>
      </c>
      <c r="B1178" s="36">
        <f>IF(C1178&lt;&gt;"",MONTH(C1178),"")</f>
        <v>7</v>
      </c>
      <c r="C1178" s="183">
        <f>E1178</f>
        <v>42195</v>
      </c>
      <c r="D1178" s="183" t="s">
        <v>1518</v>
      </c>
      <c r="E1178" s="183">
        <v>42195</v>
      </c>
      <c r="F1178" s="191" t="s">
        <v>678</v>
      </c>
      <c r="G1178" s="482" t="s">
        <v>891</v>
      </c>
      <c r="H1178" s="7" t="s">
        <v>438</v>
      </c>
      <c r="I1178" s="255">
        <v>261</v>
      </c>
      <c r="J1178" s="255">
        <v>5900</v>
      </c>
      <c r="K1178" s="593">
        <f>ROUND(I1178*J1178,0)</f>
        <v>1539900</v>
      </c>
      <c r="L1178" s="594" t="s">
        <v>259</v>
      </c>
      <c r="M1178" s="594" t="s">
        <v>174</v>
      </c>
      <c r="N1178" s="52" t="str">
        <f>IF(AND('331-CT'!$E$7=TH!H1178,OR(L1178="331",M1178="331")),"331",IF(AND(OR(L1178="131",M1178="131"),H1178='131-CT'!$E$7),"131",""))</f>
        <v/>
      </c>
      <c r="O1178" s="86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799"/>
    </row>
    <row r="1179" spans="1:27" s="210" customFormat="1" ht="15.75" customHeight="1">
      <c r="A1179" s="203" t="str">
        <f>IF(B1179&lt;&gt;"",IF(AND(B1179&gt;=_TM1,B1179&lt;=_TM2,OR(TH!L1179="1111",TH!M1179="1111")),TH!D1179,""),"")</f>
        <v/>
      </c>
      <c r="B1179" s="36">
        <f>IF(C1179&lt;&gt;"",MONTH(C1179),"")</f>
        <v>7</v>
      </c>
      <c r="C1179" s="183">
        <f>E1179</f>
        <v>42195</v>
      </c>
      <c r="D1179" s="183" t="s">
        <v>1518</v>
      </c>
      <c r="E1179" s="183">
        <v>42195</v>
      </c>
      <c r="F1179" s="191" t="s">
        <v>402</v>
      </c>
      <c r="G1179" s="482" t="s">
        <v>891</v>
      </c>
      <c r="H1179" s="7" t="s">
        <v>438</v>
      </c>
      <c r="I1179" s="255"/>
      <c r="J1179" s="255"/>
      <c r="K1179" s="593">
        <v>153990</v>
      </c>
      <c r="L1179" s="594" t="s">
        <v>259</v>
      </c>
      <c r="M1179" s="594" t="s">
        <v>371</v>
      </c>
      <c r="N1179" s="52" t="str">
        <f>IF(AND('331-CT'!$E$7=TH!H1179,OR(L1179="331",M1179="331")),"331",IF(AND(OR(L1179="131",M1179="131"),H1179='131-CT'!$E$7),"131",""))</f>
        <v/>
      </c>
      <c r="O1179" s="86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799"/>
    </row>
    <row r="1180" spans="1:27" s="210" customFormat="1" ht="15.75" customHeight="1">
      <c r="A1180" s="203" t="str">
        <f>IF(B1180&lt;&gt;"",IF(AND(B1180&gt;=_TM1,B1180&lt;=_TM2,OR(TH!L1180="1111",TH!M1180="1111")),TH!D1180,""),"")</f>
        <v/>
      </c>
      <c r="B1180" s="36">
        <f>IF(C1180&lt;&gt;"",MONTH(C1180),"")</f>
        <v>7</v>
      </c>
      <c r="C1180" s="183">
        <f>E1180</f>
        <v>42195</v>
      </c>
      <c r="D1180" s="183" t="s">
        <v>1519</v>
      </c>
      <c r="E1180" s="183">
        <v>42195</v>
      </c>
      <c r="F1180" s="188" t="s">
        <v>892</v>
      </c>
      <c r="G1180" s="482" t="s">
        <v>893</v>
      </c>
      <c r="H1180" s="7" t="s">
        <v>412</v>
      </c>
      <c r="I1180" s="255">
        <v>303</v>
      </c>
      <c r="J1180" s="255">
        <v>4800</v>
      </c>
      <c r="K1180" s="593">
        <f>ROUND(I1180*J1180,0)</f>
        <v>1454400</v>
      </c>
      <c r="L1180" s="594" t="s">
        <v>259</v>
      </c>
      <c r="M1180" s="594" t="s">
        <v>174</v>
      </c>
      <c r="N1180" s="52" t="str">
        <f>IF(AND('331-CT'!$E$7=TH!H1180,OR(L1180="331",M1180="331")),"331",IF(AND(OR(L1180="131",M1180="131"),H1180='131-CT'!$E$7),"131",""))</f>
        <v/>
      </c>
      <c r="O1180" s="86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799"/>
    </row>
    <row r="1181" spans="1:27" s="210" customFormat="1" ht="15.75" customHeight="1">
      <c r="A1181" s="203" t="str">
        <f>IF(B1181&lt;&gt;"",IF(AND(B1181&gt;=_TM1,B1181&lt;=_TM2,OR(TH!L1181="1111",TH!M1181="1111")),TH!D1181,""),"")</f>
        <v/>
      </c>
      <c r="B1181" s="36">
        <f>IF(C1181&lt;&gt;"",MONTH(C1181),"")</f>
        <v>7</v>
      </c>
      <c r="C1181" s="183">
        <f>E1181</f>
        <v>42195</v>
      </c>
      <c r="D1181" s="183" t="s">
        <v>1519</v>
      </c>
      <c r="E1181" s="183">
        <v>42195</v>
      </c>
      <c r="F1181" s="188" t="s">
        <v>402</v>
      </c>
      <c r="G1181" s="482" t="s">
        <v>893</v>
      </c>
      <c r="H1181" s="7" t="s">
        <v>412</v>
      </c>
      <c r="I1181" s="255"/>
      <c r="J1181" s="255"/>
      <c r="K1181" s="593">
        <v>145440</v>
      </c>
      <c r="L1181" s="594" t="s">
        <v>259</v>
      </c>
      <c r="M1181" s="594" t="s">
        <v>371</v>
      </c>
      <c r="N1181" s="52" t="str">
        <f>IF(AND('331-CT'!$E$7=TH!H1181,OR(L1181="331",M1181="331")),"331",IF(AND(OR(L1181="131",M1181="131"),H1181='131-CT'!$E$7),"131",""))</f>
        <v/>
      </c>
      <c r="O1181" s="86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799"/>
    </row>
    <row r="1182" spans="1:27" s="210" customFormat="1" ht="15.75" customHeight="1">
      <c r="A1182" s="203" t="str">
        <f>IF(B1182&lt;&gt;"",IF(AND(B1182&gt;=_TM1,B1182&lt;=_TM2,OR(TH!L1182="1111",TH!M1182="1111")),TH!D1182,""),"")</f>
        <v/>
      </c>
      <c r="B1182" s="36">
        <f>IF(C1182&lt;&gt;"",MONTH(C1182),"")</f>
        <v>7</v>
      </c>
      <c r="C1182" s="183">
        <f>E1182</f>
        <v>42195</v>
      </c>
      <c r="D1182" s="183" t="s">
        <v>1520</v>
      </c>
      <c r="E1182" s="183">
        <v>42195</v>
      </c>
      <c r="F1182" s="40" t="s">
        <v>522</v>
      </c>
      <c r="G1182" s="482" t="s">
        <v>894</v>
      </c>
      <c r="H1182" s="7" t="s">
        <v>438</v>
      </c>
      <c r="I1182" s="255">
        <v>532</v>
      </c>
      <c r="J1182" s="255">
        <v>4700</v>
      </c>
      <c r="K1182" s="593">
        <f>ROUND(I1182*J1182,0)</f>
        <v>2500400</v>
      </c>
      <c r="L1182" s="594" t="s">
        <v>259</v>
      </c>
      <c r="M1182" s="594" t="s">
        <v>174</v>
      </c>
      <c r="N1182" s="52" t="str">
        <f>IF(AND('331-CT'!$E$7=TH!H1182,OR(L1182="331",M1182="331")),"331",IF(AND(OR(L1182="131",M1182="131"),H1182='131-CT'!$E$7),"131",""))</f>
        <v/>
      </c>
      <c r="O1182" s="86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799"/>
    </row>
    <row r="1183" spans="1:27" s="210" customFormat="1" ht="15.75" customHeight="1">
      <c r="A1183" s="203" t="str">
        <f>IF(B1183&lt;&gt;"",IF(AND(B1183&gt;=_TM1,B1183&lt;=_TM2,OR(TH!L1183="1111",TH!M1183="1111")),TH!D1183,""),"")</f>
        <v/>
      </c>
      <c r="B1183" s="36">
        <f>IF(C1183&lt;&gt;"",MONTH(C1183),"")</f>
        <v>7</v>
      </c>
      <c r="C1183" s="183">
        <f>E1183</f>
        <v>42195</v>
      </c>
      <c r="D1183" s="183" t="s">
        <v>1520</v>
      </c>
      <c r="E1183" s="183">
        <v>42195</v>
      </c>
      <c r="F1183" s="188" t="s">
        <v>895</v>
      </c>
      <c r="G1183" s="482" t="s">
        <v>894</v>
      </c>
      <c r="H1183" s="7" t="s">
        <v>438</v>
      </c>
      <c r="I1183" s="255">
        <v>161</v>
      </c>
      <c r="J1183" s="255">
        <v>8700</v>
      </c>
      <c r="K1183" s="593">
        <f>ROUND(I1183*J1183,0)</f>
        <v>1400700</v>
      </c>
      <c r="L1183" s="594" t="s">
        <v>259</v>
      </c>
      <c r="M1183" s="594" t="s">
        <v>174</v>
      </c>
      <c r="N1183" s="52" t="str">
        <f>IF(AND('331-CT'!$E$7=TH!H1183,OR(L1183="331",M1183="331")),"331",IF(AND(OR(L1183="131",M1183="131"),H1183='131-CT'!$E$7),"131",""))</f>
        <v/>
      </c>
      <c r="O1183" s="86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799"/>
    </row>
    <row r="1184" spans="1:27" s="210" customFormat="1" ht="15.75" customHeight="1">
      <c r="A1184" s="203" t="str">
        <f>IF(B1184&lt;&gt;"",IF(AND(B1184&gt;=_TM1,B1184&lt;=_TM2,OR(TH!L1184="1111",TH!M1184="1111")),TH!D1184,""),"")</f>
        <v/>
      </c>
      <c r="B1184" s="36">
        <f>IF(C1184&lt;&gt;"",MONTH(C1184),"")</f>
        <v>7</v>
      </c>
      <c r="C1184" s="183">
        <f>E1184</f>
        <v>42195</v>
      </c>
      <c r="D1184" s="183" t="s">
        <v>1520</v>
      </c>
      <c r="E1184" s="183">
        <v>42195</v>
      </c>
      <c r="F1184" s="188" t="s">
        <v>896</v>
      </c>
      <c r="G1184" s="482" t="s">
        <v>894</v>
      </c>
      <c r="H1184" s="7" t="s">
        <v>438</v>
      </c>
      <c r="I1184" s="255">
        <v>150</v>
      </c>
      <c r="J1184" s="255">
        <v>9000</v>
      </c>
      <c r="K1184" s="593">
        <f>ROUND(I1184*J1184,0)</f>
        <v>1350000</v>
      </c>
      <c r="L1184" s="594" t="s">
        <v>259</v>
      </c>
      <c r="M1184" s="594" t="s">
        <v>174</v>
      </c>
      <c r="N1184" s="52" t="str">
        <f>IF(AND('331-CT'!$E$7=TH!H1184,OR(L1184="331",M1184="331")),"331",IF(AND(OR(L1184="131",M1184="131"),H1184='131-CT'!$E$7),"131",""))</f>
        <v/>
      </c>
      <c r="O1184" s="86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799"/>
    </row>
    <row r="1185" spans="1:27" s="210" customFormat="1" ht="15.75" customHeight="1">
      <c r="A1185" s="203" t="str">
        <f>IF(B1185&lt;&gt;"",IF(AND(B1185&gt;=_TM1,B1185&lt;=_TM2,OR(TH!L1185="1111",TH!M1185="1111")),TH!D1185,""),"")</f>
        <v/>
      </c>
      <c r="B1185" s="36">
        <f>IF(C1185&lt;&gt;"",MONTH(C1185),"")</f>
        <v>7</v>
      </c>
      <c r="C1185" s="183">
        <f>E1185</f>
        <v>42195</v>
      </c>
      <c r="D1185" s="183" t="s">
        <v>1520</v>
      </c>
      <c r="E1185" s="183">
        <v>42195</v>
      </c>
      <c r="F1185" s="188" t="s">
        <v>402</v>
      </c>
      <c r="G1185" s="482" t="s">
        <v>894</v>
      </c>
      <c r="H1185" s="7" t="s">
        <v>438</v>
      </c>
      <c r="I1185" s="255"/>
      <c r="J1185" s="255"/>
      <c r="K1185" s="593">
        <v>525110</v>
      </c>
      <c r="L1185" s="594" t="s">
        <v>259</v>
      </c>
      <c r="M1185" s="594" t="s">
        <v>371</v>
      </c>
      <c r="N1185" s="52" t="str">
        <f>IF(AND('331-CT'!$E$7=TH!H1185,OR(L1185="331",M1185="331")),"331",IF(AND(OR(L1185="131",M1185="131"),H1185='131-CT'!$E$7),"131",""))</f>
        <v/>
      </c>
      <c r="O1185" s="86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799"/>
    </row>
    <row r="1186" spans="1:27" s="210" customFormat="1" ht="15.75" customHeight="1">
      <c r="A1186" s="203" t="str">
        <f>IF(B1186&lt;&gt;"",IF(AND(B1186&gt;=_TM1,B1186&lt;=_TM2,OR(TH!L1186="1111",TH!M1186="1111")),TH!D1186,""),"")</f>
        <v/>
      </c>
      <c r="B1186" s="36">
        <f>IF(C1186&lt;&gt;"",MONTH(C1186),"")</f>
        <v>7</v>
      </c>
      <c r="C1186" s="183">
        <f>E1186</f>
        <v>42198</v>
      </c>
      <c r="D1186" s="183" t="s">
        <v>1319</v>
      </c>
      <c r="E1186" s="190">
        <v>42198</v>
      </c>
      <c r="F1186" s="191" t="s">
        <v>1320</v>
      </c>
      <c r="G1186" s="482" t="s">
        <v>332</v>
      </c>
      <c r="H1186" s="7" t="s">
        <v>755</v>
      </c>
      <c r="I1186" s="255"/>
      <c r="J1186" s="255"/>
      <c r="K1186" s="593">
        <v>48200000</v>
      </c>
      <c r="L1186" s="594" t="s">
        <v>24</v>
      </c>
      <c r="M1186" s="594" t="s">
        <v>259</v>
      </c>
      <c r="N1186" s="52" t="str">
        <f>IF(AND('331-CT'!$E$7=TH!H1186,OR(L1186="331",M1186="331")),"331",IF(AND(OR(L1186="131",M1186="131"),H1186='131-CT'!$E$7),"131",""))</f>
        <v/>
      </c>
      <c r="O1186" s="86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>x</v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799"/>
    </row>
    <row r="1187" spans="1:27" s="210" customFormat="1" ht="15.75" customHeight="1">
      <c r="A1187" s="203" t="str">
        <f>IF(B1187&lt;&gt;"",IF(AND(B1187&gt;=_TM1,B1187&lt;=_TM2,OR(TH!L1187="1111",TH!M1187="1111")),TH!D1187,""),"")</f>
        <v/>
      </c>
      <c r="B1187" s="36">
        <f>IF(C1187&lt;&gt;"",MONTH(C1187),"")</f>
        <v>7</v>
      </c>
      <c r="C1187" s="183">
        <f>E1187</f>
        <v>42198</v>
      </c>
      <c r="D1187" s="190" t="s">
        <v>1964</v>
      </c>
      <c r="E1187" s="190">
        <v>42198</v>
      </c>
      <c r="F1187" s="191" t="s">
        <v>1380</v>
      </c>
      <c r="G1187" s="482" t="s">
        <v>1444</v>
      </c>
      <c r="H1187" s="7" t="s">
        <v>1443</v>
      </c>
      <c r="I1187" s="255">
        <v>739</v>
      </c>
      <c r="J1187" s="255">
        <v>9800</v>
      </c>
      <c r="K1187" s="593">
        <f>ROUND(I1187*J1187,0)</f>
        <v>7242200</v>
      </c>
      <c r="L1187" s="594" t="s">
        <v>159</v>
      </c>
      <c r="M1187" s="594" t="s">
        <v>8</v>
      </c>
      <c r="N1187" s="52" t="str">
        <f>IF(AND('331-CT'!$E$7=TH!H1187,OR(L1187="331",M1187="331")),"331",IF(AND(OR(L1187="131",M1187="131"),H1187='131-CT'!$E$7),"131",""))</f>
        <v/>
      </c>
      <c r="O1187" s="86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>x</v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799"/>
    </row>
    <row r="1188" spans="1:27" s="210" customFormat="1" ht="15.75" customHeight="1">
      <c r="A1188" s="203" t="str">
        <f>IF(B1188&lt;&gt;"",IF(AND(B1188&gt;=_TM1,B1188&lt;=_TM2,OR(TH!L1188="1111",TH!M1188="1111")),TH!D1188,""),"")</f>
        <v/>
      </c>
      <c r="B1188" s="36">
        <f>IF(C1188&lt;&gt;"",MONTH(C1188),"")</f>
        <v>7</v>
      </c>
      <c r="C1188" s="183">
        <f>E1188</f>
        <v>42198</v>
      </c>
      <c r="D1188" s="190" t="s">
        <v>1964</v>
      </c>
      <c r="E1188" s="190">
        <v>42198</v>
      </c>
      <c r="F1188" s="191" t="s">
        <v>1381</v>
      </c>
      <c r="G1188" s="482" t="s">
        <v>1444</v>
      </c>
      <c r="H1188" s="7" t="s">
        <v>1443</v>
      </c>
      <c r="I1188" s="255"/>
      <c r="J1188" s="255"/>
      <c r="K1188" s="593">
        <v>724220</v>
      </c>
      <c r="L1188" s="594" t="s">
        <v>9</v>
      </c>
      <c r="M1188" s="594" t="s">
        <v>8</v>
      </c>
      <c r="N1188" s="52" t="str">
        <f>IF(AND('331-CT'!$E$7=TH!H1188,OR(L1188="331",M1188="331")),"331",IF(AND(OR(L1188="131",M1188="131"),H1188='131-CT'!$E$7),"131",""))</f>
        <v/>
      </c>
      <c r="O1188" s="86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799"/>
    </row>
    <row r="1189" spans="1:27" s="210" customFormat="1" ht="15.75" customHeight="1">
      <c r="A1189" s="203" t="str">
        <f>IF(B1189&lt;&gt;"",IF(AND(B1189&gt;=_TM1,B1189&lt;=_TM2,OR(TH!L1189="1111",TH!M1189="1111")),TH!D1189,""),"")</f>
        <v/>
      </c>
      <c r="B1189" s="36">
        <f>IF(C1189&lt;&gt;"",MONTH(C1189),"")</f>
        <v>7</v>
      </c>
      <c r="C1189" s="183">
        <f>E1189</f>
        <v>42198</v>
      </c>
      <c r="D1189" s="190" t="s">
        <v>1964</v>
      </c>
      <c r="E1189" s="190">
        <v>42198</v>
      </c>
      <c r="F1189" s="296" t="s">
        <v>1326</v>
      </c>
      <c r="G1189" s="482" t="s">
        <v>1444</v>
      </c>
      <c r="H1189" s="7" t="s">
        <v>1443</v>
      </c>
      <c r="I1189" s="255"/>
      <c r="J1189" s="255"/>
      <c r="K1189" s="593">
        <v>7966420</v>
      </c>
      <c r="L1189" s="594" t="s">
        <v>8</v>
      </c>
      <c r="M1189" s="594" t="s">
        <v>47</v>
      </c>
      <c r="N1189" s="52" t="str">
        <f>IF(AND('331-CT'!$E$7=TH!H1189,OR(L1189="331",M1189="331")),"331",IF(AND(OR(L1189="131",M1189="131"),H1189='131-CT'!$E$7),"131",""))</f>
        <v/>
      </c>
      <c r="O1189" s="86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799"/>
    </row>
    <row r="1190" spans="1:27" s="210" customFormat="1" ht="15.75" customHeight="1">
      <c r="A1190" s="203" t="str">
        <f>IF(B1190&lt;&gt;"",IF(AND(B1190&gt;=_TM1,B1190&lt;=_TM2,OR(TH!L1190="1111",TH!M1190="1111")),TH!D1190,""),"")</f>
        <v/>
      </c>
      <c r="B1190" s="36">
        <f>IF(C1190&lt;&gt;"",MONTH(C1190),"")</f>
        <v>7</v>
      </c>
      <c r="C1190" s="183">
        <f>E1190</f>
        <v>42198</v>
      </c>
      <c r="D1190" s="190" t="s">
        <v>1960</v>
      </c>
      <c r="E1190" s="190">
        <v>42198</v>
      </c>
      <c r="F1190" s="188" t="s">
        <v>337</v>
      </c>
      <c r="G1190" s="482" t="s">
        <v>1031</v>
      </c>
      <c r="H1190" s="7" t="s">
        <v>357</v>
      </c>
      <c r="I1190" s="255">
        <v>24</v>
      </c>
      <c r="J1190" s="255">
        <v>44000</v>
      </c>
      <c r="K1190" s="593">
        <f>ROUND(I1190*J1190,0)</f>
        <v>1056000</v>
      </c>
      <c r="L1190" s="193" t="s">
        <v>161</v>
      </c>
      <c r="M1190" s="193" t="s">
        <v>8</v>
      </c>
      <c r="N1190" s="52" t="str">
        <f>IF(AND('331-CT'!$E$7=TH!H1190,OR(L1190="331",M1190="331")),"331",IF(AND(OR(L1190="131",M1190="131"),H1190='131-CT'!$E$7),"131",""))</f>
        <v/>
      </c>
      <c r="O1190" s="86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799"/>
    </row>
    <row r="1191" spans="1:27" s="210" customFormat="1" ht="15.75" customHeight="1">
      <c r="A1191" s="203" t="str">
        <f>IF(B1191&lt;&gt;"",IF(AND(B1191&gt;=_TM1,B1191&lt;=_TM2,OR(TH!L1191="1111",TH!M1191="1111")),TH!D1191,""),"")</f>
        <v/>
      </c>
      <c r="B1191" s="36">
        <f>IF(C1191&lt;&gt;"",MONTH(C1191),"")</f>
        <v>7</v>
      </c>
      <c r="C1191" s="183">
        <f>E1191</f>
        <v>42198</v>
      </c>
      <c r="D1191" s="190" t="s">
        <v>1960</v>
      </c>
      <c r="E1191" s="190">
        <v>42198</v>
      </c>
      <c r="F1191" s="188" t="s">
        <v>1366</v>
      </c>
      <c r="G1191" s="482" t="s">
        <v>1031</v>
      </c>
      <c r="H1191" s="7" t="s">
        <v>357</v>
      </c>
      <c r="I1191" s="255"/>
      <c r="J1191" s="255"/>
      <c r="K1191" s="593">
        <v>105600</v>
      </c>
      <c r="L1191" s="193" t="s">
        <v>9</v>
      </c>
      <c r="M1191" s="193" t="s">
        <v>8</v>
      </c>
      <c r="N1191" s="52" t="str">
        <f>IF(AND('331-CT'!$E$7=TH!H1191,OR(L1191="331",M1191="331")),"331",IF(AND(OR(L1191="131",M1191="131"),H1191='131-CT'!$E$7),"131",""))</f>
        <v/>
      </c>
      <c r="O1191" s="86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799"/>
    </row>
    <row r="1192" spans="1:27" s="210" customFormat="1" ht="15.75" customHeight="1">
      <c r="A1192" s="203" t="str">
        <f>IF(B1192&lt;&gt;"",IF(AND(B1192&gt;=_TM1,B1192&lt;=_TM2,OR(TH!L1192="1111",TH!M1192="1111")),TH!D1192,""),"")</f>
        <v/>
      </c>
      <c r="B1192" s="36">
        <f>IF(C1192&lt;&gt;"",MONTH(C1192),"")</f>
        <v>7</v>
      </c>
      <c r="C1192" s="183">
        <f>E1192</f>
        <v>42198</v>
      </c>
      <c r="D1192" s="190" t="s">
        <v>1960</v>
      </c>
      <c r="E1192" s="190">
        <v>42198</v>
      </c>
      <c r="F1192" s="296" t="s">
        <v>1326</v>
      </c>
      <c r="G1192" s="482" t="s">
        <v>1031</v>
      </c>
      <c r="H1192" s="7" t="s">
        <v>357</v>
      </c>
      <c r="I1192" s="255"/>
      <c r="J1192" s="255"/>
      <c r="K1192" s="593">
        <v>1161600</v>
      </c>
      <c r="L1192" s="193" t="s">
        <v>8</v>
      </c>
      <c r="M1192" s="193" t="s">
        <v>47</v>
      </c>
      <c r="N1192" s="52" t="str">
        <f>IF(AND('331-CT'!$E$7=TH!H1192,OR(L1192="331",M1192="331")),"331",IF(AND(OR(L1192="131",M1192="131"),H1192='131-CT'!$E$7),"131",""))</f>
        <v/>
      </c>
      <c r="O1192" s="86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799"/>
    </row>
    <row r="1193" spans="1:27" s="210" customFormat="1" ht="15.75" customHeight="1">
      <c r="A1193" s="203" t="str">
        <f>IF(B1193&lt;&gt;"",IF(AND(B1193&gt;=_TM1,B1193&lt;=_TM2,OR(TH!L1193="1111",TH!M1193="1111")),TH!D1193,""),"")</f>
        <v/>
      </c>
      <c r="B1193" s="36">
        <f>IF(C1193&lt;&gt;"",MONTH(C1193),"")</f>
        <v>7</v>
      </c>
      <c r="C1193" s="183">
        <f>E1193</f>
        <v>42199</v>
      </c>
      <c r="D1193" s="183" t="s">
        <v>1521</v>
      </c>
      <c r="E1193" s="183">
        <v>42199</v>
      </c>
      <c r="F1193" s="191" t="s">
        <v>897</v>
      </c>
      <c r="G1193" s="482" t="s">
        <v>898</v>
      </c>
      <c r="H1193" s="7" t="s">
        <v>837</v>
      </c>
      <c r="I1193" s="255">
        <v>2020</v>
      </c>
      <c r="J1193" s="255">
        <v>7400</v>
      </c>
      <c r="K1193" s="593">
        <f>ROUND(I1193*J1193,0)</f>
        <v>14948000</v>
      </c>
      <c r="L1193" s="594" t="s">
        <v>259</v>
      </c>
      <c r="M1193" s="594" t="s">
        <v>174</v>
      </c>
      <c r="N1193" s="52" t="str">
        <f>IF(AND('331-CT'!$E$7=TH!H1193,OR(L1193="331",M1193="331")),"331",IF(AND(OR(L1193="131",M1193="131"),H1193='131-CT'!$E$7),"131",""))</f>
        <v/>
      </c>
      <c r="O1193" s="86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799"/>
    </row>
    <row r="1194" spans="1:27" s="210" customFormat="1" ht="15.75" customHeight="1">
      <c r="A1194" s="203" t="str">
        <f>IF(B1194&lt;&gt;"",IF(AND(B1194&gt;=_TM1,B1194&lt;=_TM2,OR(TH!L1194="1111",TH!M1194="1111")),TH!D1194,""),"")</f>
        <v/>
      </c>
      <c r="B1194" s="36">
        <f>IF(C1194&lt;&gt;"",MONTH(C1194),"")</f>
        <v>7</v>
      </c>
      <c r="C1194" s="183">
        <f>E1194</f>
        <v>42199</v>
      </c>
      <c r="D1194" s="183" t="s">
        <v>1521</v>
      </c>
      <c r="E1194" s="183">
        <v>42199</v>
      </c>
      <c r="F1194" s="188" t="s">
        <v>402</v>
      </c>
      <c r="G1194" s="482" t="s">
        <v>898</v>
      </c>
      <c r="H1194" s="7" t="s">
        <v>837</v>
      </c>
      <c r="I1194" s="255"/>
      <c r="J1194" s="255"/>
      <c r="K1194" s="593">
        <v>1494800</v>
      </c>
      <c r="L1194" s="594" t="s">
        <v>259</v>
      </c>
      <c r="M1194" s="594" t="s">
        <v>371</v>
      </c>
      <c r="N1194" s="52" t="str">
        <f>IF(AND('331-CT'!$E$7=TH!H1194,OR(L1194="331",M1194="331")),"331",IF(AND(OR(L1194="131",M1194="131"),H1194='131-CT'!$E$7),"131",""))</f>
        <v/>
      </c>
      <c r="O1194" s="86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799"/>
    </row>
    <row r="1195" spans="1:27" s="210" customFormat="1" ht="15.75" customHeight="1">
      <c r="A1195" s="203" t="str">
        <f>IF(B1195&lt;&gt;"",IF(AND(B1195&gt;=_TM1,B1195&lt;=_TM2,OR(TH!L1195="1111",TH!M1195="1111")),TH!D1195,""),"")</f>
        <v/>
      </c>
      <c r="B1195" s="36">
        <f>IF(C1195&lt;&gt;"",MONTH(C1195),"")</f>
        <v>7</v>
      </c>
      <c r="C1195" s="183">
        <f>E1195</f>
        <v>42199</v>
      </c>
      <c r="D1195" s="183" t="s">
        <v>1522</v>
      </c>
      <c r="E1195" s="183">
        <v>42199</v>
      </c>
      <c r="F1195" s="40" t="s">
        <v>522</v>
      </c>
      <c r="G1195" s="482" t="s">
        <v>899</v>
      </c>
      <c r="H1195" s="7" t="s">
        <v>438</v>
      </c>
      <c r="I1195" s="255">
        <v>532</v>
      </c>
      <c r="J1195" s="255">
        <v>4700</v>
      </c>
      <c r="K1195" s="593">
        <f>ROUND(I1195*J1195,0)</f>
        <v>2500400</v>
      </c>
      <c r="L1195" s="594" t="s">
        <v>259</v>
      </c>
      <c r="M1195" s="594" t="s">
        <v>174</v>
      </c>
      <c r="N1195" s="52" t="str">
        <f>IF(AND('331-CT'!$E$7=TH!H1195,OR(L1195="331",M1195="331")),"331",IF(AND(OR(L1195="131",M1195="131"),H1195='131-CT'!$E$7),"131",""))</f>
        <v/>
      </c>
      <c r="O1195" s="86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799"/>
    </row>
    <row r="1196" spans="1:27" s="210" customFormat="1" ht="15.75" customHeight="1">
      <c r="A1196" s="203" t="str">
        <f>IF(B1196&lt;&gt;"",IF(AND(B1196&gt;=_TM1,B1196&lt;=_TM2,OR(TH!L1196="1111",TH!M1196="1111")),TH!D1196,""),"")</f>
        <v/>
      </c>
      <c r="B1196" s="36">
        <f>IF(C1196&lt;&gt;"",MONTH(C1196),"")</f>
        <v>7</v>
      </c>
      <c r="C1196" s="183">
        <f>E1196</f>
        <v>42199</v>
      </c>
      <c r="D1196" s="183" t="s">
        <v>1522</v>
      </c>
      <c r="E1196" s="183">
        <v>42199</v>
      </c>
      <c r="F1196" s="188" t="s">
        <v>402</v>
      </c>
      <c r="G1196" s="482" t="s">
        <v>899</v>
      </c>
      <c r="H1196" s="7" t="s">
        <v>438</v>
      </c>
      <c r="I1196" s="255"/>
      <c r="J1196" s="255"/>
      <c r="K1196" s="593">
        <v>250040</v>
      </c>
      <c r="L1196" s="594" t="s">
        <v>259</v>
      </c>
      <c r="M1196" s="594" t="s">
        <v>371</v>
      </c>
      <c r="N1196" s="52" t="str">
        <f>IF(AND('331-CT'!$E$7=TH!H1196,OR(L1196="331",M1196="331")),"331",IF(AND(OR(L1196="131",M1196="131"),H1196='131-CT'!$E$7),"131",""))</f>
        <v/>
      </c>
      <c r="O1196" s="86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799"/>
    </row>
    <row r="1197" spans="1:27" s="210" customFormat="1" ht="15.75" customHeight="1">
      <c r="A1197" s="203" t="str">
        <f>IF(B1197&lt;&gt;"",IF(AND(B1197&gt;=_TM1,B1197&lt;=_TM2,OR(TH!L1197="1111",TH!M1197="1111")),TH!D1197,""),"")</f>
        <v/>
      </c>
      <c r="B1197" s="36">
        <f>IF(C1197&lt;&gt;"",MONTH(C1197),"")</f>
        <v>7</v>
      </c>
      <c r="C1197" s="183">
        <f>E1197</f>
        <v>42199</v>
      </c>
      <c r="D1197" s="183" t="s">
        <v>1319</v>
      </c>
      <c r="E1197" s="190">
        <v>42199</v>
      </c>
      <c r="F1197" s="191" t="s">
        <v>1320</v>
      </c>
      <c r="G1197" s="482" t="s">
        <v>332</v>
      </c>
      <c r="H1197" s="7" t="s">
        <v>400</v>
      </c>
      <c r="I1197" s="255"/>
      <c r="J1197" s="255"/>
      <c r="K1197" s="593">
        <v>9370625</v>
      </c>
      <c r="L1197" s="594" t="s">
        <v>24</v>
      </c>
      <c r="M1197" s="594" t="s">
        <v>259</v>
      </c>
      <c r="N1197" s="52" t="str">
        <f>IF(AND('331-CT'!$E$7=TH!H1197,OR(L1197="331",M1197="331")),"331",IF(AND(OR(L1197="131",M1197="131"),H1197='131-CT'!$E$7),"131",""))</f>
        <v/>
      </c>
      <c r="O1197" s="86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>x</v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799"/>
    </row>
    <row r="1198" spans="1:27" s="210" customFormat="1" ht="15.75" customHeight="1">
      <c r="A1198" s="203" t="str">
        <f>IF(B1198&lt;&gt;"",IF(AND(B1198&gt;=_TM1,B1198&lt;=_TM2,OR(TH!L1198="1111",TH!M1198="1111")),TH!D1198,""),"")</f>
        <v/>
      </c>
      <c r="B1198" s="36">
        <f>IF(C1198&lt;&gt;"",MONTH(C1198),"")</f>
        <v>7</v>
      </c>
      <c r="C1198" s="183">
        <f>E1198</f>
        <v>42199</v>
      </c>
      <c r="D1198" s="183" t="s">
        <v>1319</v>
      </c>
      <c r="E1198" s="190">
        <v>42199</v>
      </c>
      <c r="F1198" s="191" t="s">
        <v>1320</v>
      </c>
      <c r="G1198" s="482" t="s">
        <v>332</v>
      </c>
      <c r="H1198" s="7" t="s">
        <v>851</v>
      </c>
      <c r="I1198" s="255"/>
      <c r="J1198" s="255"/>
      <c r="K1198" s="593">
        <v>34085693</v>
      </c>
      <c r="L1198" s="594" t="s">
        <v>24</v>
      </c>
      <c r="M1198" s="594" t="s">
        <v>259</v>
      </c>
      <c r="N1198" s="52" t="str">
        <f>IF(AND('331-CT'!$E$7=TH!H1198,OR(L1198="331",M1198="331")),"331",IF(AND(OR(L1198="131",M1198="131"),H1198='131-CT'!$E$7),"131",""))</f>
        <v/>
      </c>
      <c r="O1198" s="86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>x</v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799"/>
    </row>
    <row r="1199" spans="1:27" s="210" customFormat="1" ht="15.75" customHeight="1">
      <c r="A1199" s="203" t="str">
        <f>IF(B1199&lt;&gt;"",IF(AND(B1199&gt;=_TM1,B1199&lt;=_TM2,OR(TH!L1199="1111",TH!M1199="1111")),TH!D1199,""),"")</f>
        <v/>
      </c>
      <c r="B1199" s="36">
        <f>IF(C1199&lt;&gt;"",MONTH(C1199),"")</f>
        <v>7</v>
      </c>
      <c r="C1199" s="183">
        <f>E1199</f>
        <v>42199</v>
      </c>
      <c r="D1199" s="183" t="s">
        <v>1319</v>
      </c>
      <c r="E1199" s="190">
        <v>42199</v>
      </c>
      <c r="F1199" s="191" t="s">
        <v>1320</v>
      </c>
      <c r="G1199" s="482" t="s">
        <v>332</v>
      </c>
      <c r="H1199" s="7" t="s">
        <v>774</v>
      </c>
      <c r="I1199" s="255"/>
      <c r="J1199" s="255"/>
      <c r="K1199" s="593">
        <v>4199250</v>
      </c>
      <c r="L1199" s="594" t="s">
        <v>24</v>
      </c>
      <c r="M1199" s="594" t="s">
        <v>259</v>
      </c>
      <c r="N1199" s="52" t="str">
        <f>IF(AND('331-CT'!$E$7=TH!H1199,OR(L1199="331",M1199="331")),"331",IF(AND(OR(L1199="131",M1199="131"),H1199='131-CT'!$E$7),"131",""))</f>
        <v/>
      </c>
      <c r="O1199" s="86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>x</v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799"/>
    </row>
    <row r="1200" spans="1:27" s="210" customFormat="1" ht="15.75" customHeight="1">
      <c r="A1200" s="203" t="str">
        <f>IF(B1200&lt;&gt;"",IF(AND(B1200&gt;=_TM1,B1200&lt;=_TM2,OR(TH!L1200="1111",TH!M1200="1111")),TH!D1200,""),"")</f>
        <v/>
      </c>
      <c r="B1200" s="36">
        <f>IF(C1200&lt;&gt;"",MONTH(C1200),"")</f>
        <v>7</v>
      </c>
      <c r="C1200" s="183">
        <f>E1200</f>
        <v>42199</v>
      </c>
      <c r="D1200" s="183" t="s">
        <v>1324</v>
      </c>
      <c r="E1200" s="190">
        <v>42199</v>
      </c>
      <c r="F1200" s="188" t="s">
        <v>1325</v>
      </c>
      <c r="G1200" s="482" t="s">
        <v>332</v>
      </c>
      <c r="H1200" s="7" t="s">
        <v>1331</v>
      </c>
      <c r="I1200" s="255"/>
      <c r="J1200" s="255"/>
      <c r="K1200" s="593">
        <v>91600000</v>
      </c>
      <c r="L1200" s="594" t="s">
        <v>47</v>
      </c>
      <c r="M1200" s="594" t="s">
        <v>24</v>
      </c>
      <c r="N1200" s="52" t="str">
        <f>IF(AND('331-CT'!$E$7=TH!H1200,OR(L1200="331",M1200="331")),"331",IF(AND(OR(L1200="131",M1200="131"),H1200='131-CT'!$E$7),"131",""))</f>
        <v/>
      </c>
      <c r="O1200" s="86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>x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799"/>
    </row>
    <row r="1201" spans="1:27" s="210" customFormat="1" ht="15.75" customHeight="1">
      <c r="A1201" s="203" t="str">
        <f>IF(B1201&lt;&gt;"",IF(AND(B1201&gt;=_TM1,B1201&lt;=_TM2,OR(TH!L1201="1111",TH!M1201="1111")),TH!D1201,""),"")</f>
        <v/>
      </c>
      <c r="B1201" s="36">
        <f>IF(C1201&lt;&gt;"",MONTH(C1201),"")</f>
        <v>7</v>
      </c>
      <c r="C1201" s="183">
        <f>E1201</f>
        <v>42200</v>
      </c>
      <c r="D1201" s="183" t="s">
        <v>1523</v>
      </c>
      <c r="E1201" s="183">
        <v>42200</v>
      </c>
      <c r="F1201" s="188" t="s">
        <v>711</v>
      </c>
      <c r="G1201" s="482" t="s">
        <v>900</v>
      </c>
      <c r="H1201" s="7" t="s">
        <v>832</v>
      </c>
      <c r="I1201" s="255">
        <v>156</v>
      </c>
      <c r="J1201" s="255">
        <v>10600</v>
      </c>
      <c r="K1201" s="593">
        <f>ROUND(I1201*J1201,0)</f>
        <v>1653600</v>
      </c>
      <c r="L1201" s="594" t="s">
        <v>259</v>
      </c>
      <c r="M1201" s="594" t="s">
        <v>174</v>
      </c>
      <c r="N1201" s="52" t="str">
        <f>IF(AND('331-CT'!$E$7=TH!H1201,OR(L1201="331",M1201="331")),"331",IF(AND(OR(L1201="131",M1201="131"),H1201='131-CT'!$E$7),"131",""))</f>
        <v/>
      </c>
      <c r="O1201" s="86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799"/>
    </row>
    <row r="1202" spans="1:27" s="210" customFormat="1" ht="15.75" customHeight="1">
      <c r="A1202" s="203" t="str">
        <f>IF(B1202&lt;&gt;"",IF(AND(B1202&gt;=_TM1,B1202&lt;=_TM2,OR(TH!L1202="1111",TH!M1202="1111")),TH!D1202,""),"")</f>
        <v/>
      </c>
      <c r="B1202" s="36">
        <f>IF(C1202&lt;&gt;"",MONTH(C1202),"")</f>
        <v>7</v>
      </c>
      <c r="C1202" s="183">
        <f>E1202</f>
        <v>42200</v>
      </c>
      <c r="D1202" s="183" t="s">
        <v>1523</v>
      </c>
      <c r="E1202" s="183">
        <v>42200</v>
      </c>
      <c r="F1202" s="191" t="s">
        <v>402</v>
      </c>
      <c r="G1202" s="482" t="s">
        <v>900</v>
      </c>
      <c r="H1202" s="7" t="s">
        <v>832</v>
      </c>
      <c r="I1202" s="255"/>
      <c r="J1202" s="255"/>
      <c r="K1202" s="593">
        <v>165360</v>
      </c>
      <c r="L1202" s="594" t="s">
        <v>259</v>
      </c>
      <c r="M1202" s="594" t="s">
        <v>371</v>
      </c>
      <c r="N1202" s="52" t="str">
        <f>IF(AND('331-CT'!$E$7=TH!H1202,OR(L1202="331",M1202="331")),"331",IF(AND(OR(L1202="131",M1202="131"),H1202='131-CT'!$E$7),"131",""))</f>
        <v/>
      </c>
      <c r="O1202" s="86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799"/>
    </row>
    <row r="1203" spans="1:27" s="210" customFormat="1" ht="15.75" customHeight="1">
      <c r="A1203" s="203" t="str">
        <f>IF(B1203&lt;&gt;"",IF(AND(B1203&gt;=_TM1,B1203&lt;=_TM2,OR(TH!L1203="1111",TH!M1203="1111")),TH!D1203,""),"")</f>
        <v/>
      </c>
      <c r="B1203" s="36">
        <f>IF(C1203&lt;&gt;"",MONTH(C1203),"")</f>
        <v>7</v>
      </c>
      <c r="C1203" s="183">
        <f>E1203</f>
        <v>42200</v>
      </c>
      <c r="D1203" s="183" t="s">
        <v>1524</v>
      </c>
      <c r="E1203" s="183">
        <v>42200</v>
      </c>
      <c r="F1203" s="188" t="s">
        <v>494</v>
      </c>
      <c r="G1203" s="482" t="s">
        <v>901</v>
      </c>
      <c r="H1203" s="7" t="s">
        <v>834</v>
      </c>
      <c r="I1203" s="255">
        <v>1225</v>
      </c>
      <c r="J1203" s="255">
        <v>5900</v>
      </c>
      <c r="K1203" s="593">
        <f>ROUND(I1203*J1203,0)</f>
        <v>7227500</v>
      </c>
      <c r="L1203" s="594" t="s">
        <v>259</v>
      </c>
      <c r="M1203" s="594" t="s">
        <v>174</v>
      </c>
      <c r="N1203" s="52" t="str">
        <f>IF(AND('331-CT'!$E$7=TH!H1203,OR(L1203="331",M1203="331")),"331",IF(AND(OR(L1203="131",M1203="131"),H1203='131-CT'!$E$7),"131",""))</f>
        <v/>
      </c>
      <c r="O1203" s="86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799"/>
    </row>
    <row r="1204" spans="1:27" s="210" customFormat="1" ht="15.75" customHeight="1">
      <c r="A1204" s="203" t="str">
        <f>IF(B1204&lt;&gt;"",IF(AND(B1204&gt;=_TM1,B1204&lt;=_TM2,OR(TH!L1204="1111",TH!M1204="1111")),TH!D1204,""),"")</f>
        <v/>
      </c>
      <c r="B1204" s="36">
        <f>IF(C1204&lt;&gt;"",MONTH(C1204),"")</f>
        <v>7</v>
      </c>
      <c r="C1204" s="183">
        <f>E1204</f>
        <v>42200</v>
      </c>
      <c r="D1204" s="183" t="s">
        <v>1524</v>
      </c>
      <c r="E1204" s="183">
        <v>42200</v>
      </c>
      <c r="F1204" s="188" t="s">
        <v>402</v>
      </c>
      <c r="G1204" s="482" t="s">
        <v>901</v>
      </c>
      <c r="H1204" s="7" t="s">
        <v>834</v>
      </c>
      <c r="I1204" s="255"/>
      <c r="J1204" s="255"/>
      <c r="K1204" s="593">
        <v>722750</v>
      </c>
      <c r="L1204" s="594" t="s">
        <v>259</v>
      </c>
      <c r="M1204" s="594" t="s">
        <v>371</v>
      </c>
      <c r="N1204" s="52" t="str">
        <f>IF(AND('331-CT'!$E$7=TH!H1204,OR(L1204="331",M1204="331")),"331",IF(AND(OR(L1204="131",M1204="131"),H1204='131-CT'!$E$7),"131",""))</f>
        <v/>
      </c>
      <c r="O1204" s="86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799"/>
    </row>
    <row r="1205" spans="1:27" s="210" customFormat="1" ht="15.75" customHeight="1">
      <c r="A1205" s="203" t="str">
        <f>IF(B1205&lt;&gt;"",IF(AND(B1205&gt;=_TM1,B1205&lt;=_TM2,OR(TH!L1205="1111",TH!M1205="1111")),TH!D1205,""),"")</f>
        <v/>
      </c>
      <c r="B1205" s="36">
        <f>IF(C1205&lt;&gt;"",MONTH(C1205),"")</f>
        <v>7</v>
      </c>
      <c r="C1205" s="183">
        <f>E1205</f>
        <v>42200</v>
      </c>
      <c r="D1205" s="183" t="s">
        <v>1525</v>
      </c>
      <c r="E1205" s="183">
        <v>42200</v>
      </c>
      <c r="F1205" s="188" t="s">
        <v>474</v>
      </c>
      <c r="G1205" s="482" t="s">
        <v>902</v>
      </c>
      <c r="H1205" s="7" t="s">
        <v>764</v>
      </c>
      <c r="I1205" s="255">
        <v>342</v>
      </c>
      <c r="J1205" s="255">
        <v>14000</v>
      </c>
      <c r="K1205" s="593">
        <f>ROUND(I1205*J1205,0)</f>
        <v>4788000</v>
      </c>
      <c r="L1205" s="594" t="s">
        <v>259</v>
      </c>
      <c r="M1205" s="594" t="s">
        <v>174</v>
      </c>
      <c r="N1205" s="52" t="str">
        <f>IF(AND('331-CT'!$E$7=TH!H1205,OR(L1205="331",M1205="331")),"331",IF(AND(OR(L1205="131",M1205="131"),H1205='131-CT'!$E$7),"131",""))</f>
        <v/>
      </c>
      <c r="O1205" s="86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799"/>
    </row>
    <row r="1206" spans="1:27" s="210" customFormat="1" ht="15.75" customHeight="1">
      <c r="A1206" s="203" t="str">
        <f>IF(B1206&lt;&gt;"",IF(AND(B1206&gt;=_TM1,B1206&lt;=_TM2,OR(TH!L1206="1111",TH!M1206="1111")),TH!D1206,""),"")</f>
        <v/>
      </c>
      <c r="B1206" s="36">
        <f>IF(C1206&lt;&gt;"",MONTH(C1206),"")</f>
        <v>7</v>
      </c>
      <c r="C1206" s="183">
        <f>E1206</f>
        <v>42200</v>
      </c>
      <c r="D1206" s="183" t="s">
        <v>1525</v>
      </c>
      <c r="E1206" s="183">
        <v>42200</v>
      </c>
      <c r="F1206" s="188" t="s">
        <v>402</v>
      </c>
      <c r="G1206" s="482" t="s">
        <v>902</v>
      </c>
      <c r="H1206" s="7" t="s">
        <v>764</v>
      </c>
      <c r="I1206" s="255"/>
      <c r="J1206" s="255"/>
      <c r="K1206" s="593">
        <v>478800</v>
      </c>
      <c r="L1206" s="594" t="s">
        <v>259</v>
      </c>
      <c r="M1206" s="594" t="s">
        <v>371</v>
      </c>
      <c r="N1206" s="52" t="str">
        <f>IF(AND('331-CT'!$E$7=TH!H1206,OR(L1206="331",M1206="331")),"331",IF(AND(OR(L1206="131",M1206="131"),H1206='131-CT'!$E$7),"131",""))</f>
        <v/>
      </c>
      <c r="O1206" s="86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799"/>
    </row>
    <row r="1207" spans="1:27" s="210" customFormat="1" ht="15.75" customHeight="1">
      <c r="A1207" s="203" t="str">
        <f>IF(B1207&lt;&gt;"",IF(AND(B1207&gt;=_TM1,B1207&lt;=_TM2,OR(TH!L1207="1111",TH!M1207="1111")),TH!D1207,""),"")</f>
        <v/>
      </c>
      <c r="B1207" s="36">
        <f>IF(C1207&lt;&gt;"",MONTH(C1207),"")</f>
        <v>7</v>
      </c>
      <c r="C1207" s="183">
        <f>E1207</f>
        <v>42200</v>
      </c>
      <c r="D1207" s="183" t="s">
        <v>1526</v>
      </c>
      <c r="E1207" s="183">
        <v>42200</v>
      </c>
      <c r="F1207" s="188" t="s">
        <v>903</v>
      </c>
      <c r="G1207" s="482" t="s">
        <v>904</v>
      </c>
      <c r="H1207" s="7" t="s">
        <v>733</v>
      </c>
      <c r="I1207" s="255">
        <v>300</v>
      </c>
      <c r="J1207" s="255">
        <v>47449</v>
      </c>
      <c r="K1207" s="593">
        <f>ROUND(I1207*J1207,0)</f>
        <v>14234700</v>
      </c>
      <c r="L1207" s="594" t="s">
        <v>259</v>
      </c>
      <c r="M1207" s="594" t="s">
        <v>174</v>
      </c>
      <c r="N1207" s="52" t="str">
        <f>IF(AND('331-CT'!$E$7=TH!H1207,OR(L1207="331",M1207="331")),"331",IF(AND(OR(L1207="131",M1207="131"),H1207='131-CT'!$E$7),"131",""))</f>
        <v/>
      </c>
      <c r="O1207" s="86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799"/>
    </row>
    <row r="1208" spans="1:27" s="210" customFormat="1" ht="15.75" customHeight="1">
      <c r="A1208" s="203" t="str">
        <f>IF(B1208&lt;&gt;"",IF(AND(B1208&gt;=_TM1,B1208&lt;=_TM2,OR(TH!L1208="1111",TH!M1208="1111")),TH!D1208,""),"")</f>
        <v/>
      </c>
      <c r="B1208" s="36">
        <f>IF(C1208&lt;&gt;"",MONTH(C1208),"")</f>
        <v>7</v>
      </c>
      <c r="C1208" s="183">
        <f>E1208</f>
        <v>42200</v>
      </c>
      <c r="D1208" s="183" t="s">
        <v>1526</v>
      </c>
      <c r="E1208" s="183">
        <v>42200</v>
      </c>
      <c r="F1208" s="191" t="s">
        <v>402</v>
      </c>
      <c r="G1208" s="482" t="s">
        <v>904</v>
      </c>
      <c r="H1208" s="7" t="s">
        <v>733</v>
      </c>
      <c r="I1208" s="255"/>
      <c r="J1208" s="255"/>
      <c r="K1208" s="593">
        <v>1423470</v>
      </c>
      <c r="L1208" s="594" t="s">
        <v>259</v>
      </c>
      <c r="M1208" s="594" t="s">
        <v>371</v>
      </c>
      <c r="N1208" s="52" t="str">
        <f>IF(AND('331-CT'!$E$7=TH!H1208,OR(L1208="331",M1208="331")),"331",IF(AND(OR(L1208="131",M1208="131"),H1208='131-CT'!$E$7),"131",""))</f>
        <v/>
      </c>
      <c r="O1208" s="86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799"/>
    </row>
    <row r="1209" spans="1:27" s="210" customFormat="1" ht="15.75" customHeight="1">
      <c r="A1209" s="203" t="str">
        <f>IF(B1209&lt;&gt;"",IF(AND(B1209&gt;=_TM1,B1209&lt;=_TM2,OR(TH!L1209="1111",TH!M1209="1111")),TH!D1209,""),"")</f>
        <v/>
      </c>
      <c r="B1209" s="36">
        <f>IF(C1209&lt;&gt;"",MONTH(C1209),"")</f>
        <v>7</v>
      </c>
      <c r="C1209" s="183">
        <f>E1209</f>
        <v>42200</v>
      </c>
      <c r="D1209" s="183" t="s">
        <v>1527</v>
      </c>
      <c r="E1209" s="183">
        <v>42200</v>
      </c>
      <c r="F1209" s="188" t="s">
        <v>728</v>
      </c>
      <c r="G1209" s="482" t="s">
        <v>905</v>
      </c>
      <c r="H1209" s="7" t="s">
        <v>1934</v>
      </c>
      <c r="I1209" s="255">
        <v>200</v>
      </c>
      <c r="J1209" s="255">
        <v>11004</v>
      </c>
      <c r="K1209" s="593">
        <f>ROUND(I1209*J1209,0)</f>
        <v>2200800</v>
      </c>
      <c r="L1209" s="594" t="s">
        <v>259</v>
      </c>
      <c r="M1209" s="594" t="s">
        <v>174</v>
      </c>
      <c r="N1209" s="52" t="str">
        <f>IF(AND('331-CT'!$E$7=TH!H1209,OR(L1209="331",M1209="331")),"331",IF(AND(OR(L1209="131",M1209="131"),H1209='131-CT'!$E$7),"131",""))</f>
        <v/>
      </c>
      <c r="O1209" s="86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799"/>
    </row>
    <row r="1210" spans="1:27" s="210" customFormat="1" ht="15.75" customHeight="1">
      <c r="A1210" s="203" t="str">
        <f>IF(B1210&lt;&gt;"",IF(AND(B1210&gt;=_TM1,B1210&lt;=_TM2,OR(TH!L1210="1111",TH!M1210="1111")),TH!D1210,""),"")</f>
        <v/>
      </c>
      <c r="B1210" s="36">
        <f>IF(C1210&lt;&gt;"",MONTH(C1210),"")</f>
        <v>7</v>
      </c>
      <c r="C1210" s="183">
        <f>E1210</f>
        <v>42200</v>
      </c>
      <c r="D1210" s="183" t="s">
        <v>1527</v>
      </c>
      <c r="E1210" s="183">
        <v>42200</v>
      </c>
      <c r="F1210" s="191" t="s">
        <v>1751</v>
      </c>
      <c r="G1210" s="482" t="s">
        <v>905</v>
      </c>
      <c r="H1210" s="7" t="s">
        <v>1934</v>
      </c>
      <c r="I1210" s="255">
        <v>150</v>
      </c>
      <c r="J1210" s="255">
        <v>14646</v>
      </c>
      <c r="K1210" s="593">
        <f>ROUND(I1210*J1210,0)</f>
        <v>2196900</v>
      </c>
      <c r="L1210" s="594" t="s">
        <v>259</v>
      </c>
      <c r="M1210" s="594" t="s">
        <v>174</v>
      </c>
      <c r="N1210" s="52" t="str">
        <f>IF(AND('331-CT'!$E$7=TH!H1210,OR(L1210="331",M1210="331")),"331",IF(AND(OR(L1210="131",M1210="131"),H1210='131-CT'!$E$7),"131",""))</f>
        <v/>
      </c>
      <c r="O1210" s="86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799"/>
    </row>
    <row r="1211" spans="1:27" s="210" customFormat="1" ht="15.75" customHeight="1">
      <c r="A1211" s="203" t="str">
        <f>IF(B1211&lt;&gt;"",IF(AND(B1211&gt;=_TM1,B1211&lt;=_TM2,OR(TH!L1211="1111",TH!M1211="1111")),TH!D1211,""),"")</f>
        <v/>
      </c>
      <c r="B1211" s="36">
        <f>IF(C1211&lt;&gt;"",MONTH(C1211),"")</f>
        <v>7</v>
      </c>
      <c r="C1211" s="183">
        <f>E1211</f>
        <v>42200</v>
      </c>
      <c r="D1211" s="183" t="s">
        <v>1527</v>
      </c>
      <c r="E1211" s="183">
        <v>42200</v>
      </c>
      <c r="F1211" s="188" t="s">
        <v>1752</v>
      </c>
      <c r="G1211" s="482" t="s">
        <v>905</v>
      </c>
      <c r="H1211" s="7" t="s">
        <v>1934</v>
      </c>
      <c r="I1211" s="255">
        <v>75</v>
      </c>
      <c r="J1211" s="255">
        <v>14414</v>
      </c>
      <c r="K1211" s="593">
        <f>ROUND(I1211*J1211,0)</f>
        <v>1081050</v>
      </c>
      <c r="L1211" s="594" t="s">
        <v>259</v>
      </c>
      <c r="M1211" s="594" t="s">
        <v>174</v>
      </c>
      <c r="N1211" s="52" t="str">
        <f>IF(AND('331-CT'!$E$7=TH!H1211,OR(L1211="331",M1211="331")),"331",IF(AND(OR(L1211="131",M1211="131"),H1211='131-CT'!$E$7),"131",""))</f>
        <v/>
      </c>
      <c r="O1211" s="86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799"/>
    </row>
    <row r="1212" spans="1:27" s="210" customFormat="1" ht="15.75" customHeight="1">
      <c r="A1212" s="203" t="str">
        <f>IF(B1212&lt;&gt;"",IF(AND(B1212&gt;=_TM1,B1212&lt;=_TM2,OR(TH!L1212="1111",TH!M1212="1111")),TH!D1212,""),"")</f>
        <v/>
      </c>
      <c r="B1212" s="36">
        <f>IF(C1212&lt;&gt;"",MONTH(C1212),"")</f>
        <v>7</v>
      </c>
      <c r="C1212" s="183">
        <f>E1212</f>
        <v>42200</v>
      </c>
      <c r="D1212" s="183" t="s">
        <v>1527</v>
      </c>
      <c r="E1212" s="183">
        <v>42200</v>
      </c>
      <c r="F1212" s="188" t="s">
        <v>1704</v>
      </c>
      <c r="G1212" s="482" t="s">
        <v>905</v>
      </c>
      <c r="H1212" s="7" t="s">
        <v>1934</v>
      </c>
      <c r="I1212" s="255">
        <v>25</v>
      </c>
      <c r="J1212" s="255">
        <v>15097</v>
      </c>
      <c r="K1212" s="593">
        <f>ROUND(I1212*J1212,0)</f>
        <v>377425</v>
      </c>
      <c r="L1212" s="594" t="s">
        <v>259</v>
      </c>
      <c r="M1212" s="594" t="s">
        <v>174</v>
      </c>
      <c r="N1212" s="52" t="str">
        <f>IF(AND('331-CT'!$E$7=TH!H1212,OR(L1212="331",M1212="331")),"331",IF(AND(OR(L1212="131",M1212="131"),H1212='131-CT'!$E$7),"131",""))</f>
        <v/>
      </c>
      <c r="O1212" s="86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799"/>
    </row>
    <row r="1213" spans="1:27" s="210" customFormat="1" ht="15.75" customHeight="1">
      <c r="A1213" s="203" t="str">
        <f>IF(B1213&lt;&gt;"",IF(AND(B1213&gt;=_TM1,B1213&lt;=_TM2,OR(TH!L1213="1111",TH!M1213="1111")),TH!D1213,""),"")</f>
        <v/>
      </c>
      <c r="B1213" s="36">
        <f>IF(C1213&lt;&gt;"",MONTH(C1213),"")</f>
        <v>7</v>
      </c>
      <c r="C1213" s="183">
        <f>E1213</f>
        <v>42200</v>
      </c>
      <c r="D1213" s="183" t="s">
        <v>1527</v>
      </c>
      <c r="E1213" s="183">
        <v>42200</v>
      </c>
      <c r="F1213" s="191" t="s">
        <v>668</v>
      </c>
      <c r="G1213" s="482" t="s">
        <v>905</v>
      </c>
      <c r="H1213" s="7" t="s">
        <v>1934</v>
      </c>
      <c r="I1213" s="255">
        <v>25</v>
      </c>
      <c r="J1213" s="255">
        <v>20302</v>
      </c>
      <c r="K1213" s="593">
        <f>ROUND(I1213*J1213,0)</f>
        <v>507550</v>
      </c>
      <c r="L1213" s="594" t="s">
        <v>259</v>
      </c>
      <c r="M1213" s="594" t="s">
        <v>174</v>
      </c>
      <c r="N1213" s="52" t="str">
        <f>IF(AND('331-CT'!$E$7=TH!H1213,OR(L1213="331",M1213="331")),"331",IF(AND(OR(L1213="131",M1213="131"),H1213='131-CT'!$E$7),"131",""))</f>
        <v/>
      </c>
      <c r="O1213" s="86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799"/>
    </row>
    <row r="1214" spans="1:27" s="210" customFormat="1" ht="15.75" customHeight="1">
      <c r="A1214" s="203" t="str">
        <f>IF(B1214&lt;&gt;"",IF(AND(B1214&gt;=_TM1,B1214&lt;=_TM2,OR(TH!L1214="1111",TH!M1214="1111")),TH!D1214,""),"")</f>
        <v/>
      </c>
      <c r="B1214" s="36">
        <f>IF(C1214&lt;&gt;"",MONTH(C1214),"")</f>
        <v>7</v>
      </c>
      <c r="C1214" s="183">
        <f>E1214</f>
        <v>42200</v>
      </c>
      <c r="D1214" s="183" t="s">
        <v>1527</v>
      </c>
      <c r="E1214" s="183">
        <v>42200</v>
      </c>
      <c r="F1214" s="191" t="s">
        <v>1753</v>
      </c>
      <c r="G1214" s="482" t="s">
        <v>905</v>
      </c>
      <c r="H1214" s="7" t="s">
        <v>1934</v>
      </c>
      <c r="I1214" s="255">
        <v>50</v>
      </c>
      <c r="J1214" s="255">
        <v>16608</v>
      </c>
      <c r="K1214" s="593">
        <f>ROUND(I1214*J1214,0)</f>
        <v>830400</v>
      </c>
      <c r="L1214" s="594" t="s">
        <v>259</v>
      </c>
      <c r="M1214" s="594" t="s">
        <v>174</v>
      </c>
      <c r="N1214" s="52" t="str">
        <f>IF(AND('331-CT'!$E$7=TH!H1214,OR(L1214="331",M1214="331")),"331",IF(AND(OR(L1214="131",M1214="131"),H1214='131-CT'!$E$7),"131",""))</f>
        <v/>
      </c>
      <c r="O1214" s="86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799"/>
    </row>
    <row r="1215" spans="1:27" s="210" customFormat="1" ht="15.75" customHeight="1">
      <c r="A1215" s="203" t="str">
        <f>IF(B1215&lt;&gt;"",IF(AND(B1215&gt;=_TM1,B1215&lt;=_TM2,OR(TH!L1215="1111",TH!M1215="1111")),TH!D1215,""),"")</f>
        <v/>
      </c>
      <c r="B1215" s="36">
        <f>IF(C1215&lt;&gt;"",MONTH(C1215),"")</f>
        <v>7</v>
      </c>
      <c r="C1215" s="183">
        <f>E1215</f>
        <v>42200</v>
      </c>
      <c r="D1215" s="183" t="s">
        <v>1527</v>
      </c>
      <c r="E1215" s="183">
        <v>42200</v>
      </c>
      <c r="F1215" s="188" t="s">
        <v>1754</v>
      </c>
      <c r="G1215" s="482" t="s">
        <v>905</v>
      </c>
      <c r="H1215" s="7" t="s">
        <v>1934</v>
      </c>
      <c r="I1215" s="255">
        <v>25</v>
      </c>
      <c r="J1215" s="255">
        <v>19835</v>
      </c>
      <c r="K1215" s="593">
        <f>ROUND(I1215*J1215,0)</f>
        <v>495875</v>
      </c>
      <c r="L1215" s="594" t="s">
        <v>259</v>
      </c>
      <c r="M1215" s="594" t="s">
        <v>174</v>
      </c>
      <c r="N1215" s="52" t="str">
        <f>IF(AND('331-CT'!$E$7=TH!H1215,OR(L1215="331",M1215="331")),"331",IF(AND(OR(L1215="131",M1215="131"),H1215='131-CT'!$E$7),"131",""))</f>
        <v/>
      </c>
      <c r="O1215" s="86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799"/>
    </row>
    <row r="1216" spans="1:27" s="210" customFormat="1" ht="15.75" customHeight="1">
      <c r="A1216" s="203" t="str">
        <f>IF(B1216&lt;&gt;"",IF(AND(B1216&gt;=_TM1,B1216&lt;=_TM2,OR(TH!L1216="1111",TH!M1216="1111")),TH!D1216,""),"")</f>
        <v/>
      </c>
      <c r="B1216" s="36">
        <f>IF(C1216&lt;&gt;"",MONTH(C1216),"")</f>
        <v>7</v>
      </c>
      <c r="C1216" s="183">
        <f>E1216</f>
        <v>42200</v>
      </c>
      <c r="D1216" s="183" t="s">
        <v>1527</v>
      </c>
      <c r="E1216" s="183">
        <v>42200</v>
      </c>
      <c r="F1216" s="188" t="s">
        <v>1755</v>
      </c>
      <c r="G1216" s="482" t="s">
        <v>905</v>
      </c>
      <c r="H1216" s="7" t="s">
        <v>1934</v>
      </c>
      <c r="I1216" s="255">
        <v>247</v>
      </c>
      <c r="J1216" s="255">
        <v>9303</v>
      </c>
      <c r="K1216" s="593">
        <f>ROUND(I1216*J1216,0)</f>
        <v>2297841</v>
      </c>
      <c r="L1216" s="594" t="s">
        <v>259</v>
      </c>
      <c r="M1216" s="594" t="s">
        <v>174</v>
      </c>
      <c r="N1216" s="52" t="str">
        <f>IF(AND('331-CT'!$E$7=TH!H1216,OR(L1216="331",M1216="331")),"331",IF(AND(OR(L1216="131",M1216="131"),H1216='131-CT'!$E$7),"131",""))</f>
        <v/>
      </c>
      <c r="O1216" s="86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799"/>
    </row>
    <row r="1217" spans="1:27" s="210" customFormat="1" ht="15.75" customHeight="1">
      <c r="A1217" s="203" t="str">
        <f>IF(B1217&lt;&gt;"",IF(AND(B1217&gt;=_TM1,B1217&lt;=_TM2,OR(TH!L1217="1111",TH!M1217="1111")),TH!D1217,""),"")</f>
        <v/>
      </c>
      <c r="B1217" s="36">
        <f>IF(C1217&lt;&gt;"",MONTH(C1217),"")</f>
        <v>7</v>
      </c>
      <c r="C1217" s="183">
        <f>E1217</f>
        <v>42200</v>
      </c>
      <c r="D1217" s="183" t="s">
        <v>1527</v>
      </c>
      <c r="E1217" s="183">
        <v>42200</v>
      </c>
      <c r="F1217" s="188" t="s">
        <v>741</v>
      </c>
      <c r="G1217" s="482" t="s">
        <v>905</v>
      </c>
      <c r="H1217" s="7" t="s">
        <v>1934</v>
      </c>
      <c r="I1217" s="255">
        <v>240</v>
      </c>
      <c r="J1217" s="255">
        <v>8973</v>
      </c>
      <c r="K1217" s="593">
        <f>ROUND(I1217*J1217,0)</f>
        <v>2153520</v>
      </c>
      <c r="L1217" s="594" t="s">
        <v>259</v>
      </c>
      <c r="M1217" s="594" t="s">
        <v>174</v>
      </c>
      <c r="N1217" s="52" t="str">
        <f>IF(AND('331-CT'!$E$7=TH!H1217,OR(L1217="331",M1217="331")),"331",IF(AND(OR(L1217="131",M1217="131"),H1217='131-CT'!$E$7),"131",""))</f>
        <v/>
      </c>
      <c r="O1217" s="86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799"/>
    </row>
    <row r="1218" spans="1:27" s="210" customFormat="1" ht="15.75" customHeight="1">
      <c r="A1218" s="203" t="str">
        <f>IF(B1218&lt;&gt;"",IF(AND(B1218&gt;=_TM1,B1218&lt;=_TM2,OR(TH!L1218="1111",TH!M1218="1111")),TH!D1218,""),"")</f>
        <v/>
      </c>
      <c r="B1218" s="36">
        <f>IF(C1218&lt;&gt;"",MONTH(C1218),"")</f>
        <v>7</v>
      </c>
      <c r="C1218" s="183">
        <f>E1218</f>
        <v>42200</v>
      </c>
      <c r="D1218" s="183" t="s">
        <v>1527</v>
      </c>
      <c r="E1218" s="183">
        <v>42200</v>
      </c>
      <c r="F1218" s="188" t="s">
        <v>687</v>
      </c>
      <c r="G1218" s="482" t="s">
        <v>905</v>
      </c>
      <c r="H1218" s="7" t="s">
        <v>1934</v>
      </c>
      <c r="I1218" s="255">
        <v>280</v>
      </c>
      <c r="J1218" s="255">
        <v>11930</v>
      </c>
      <c r="K1218" s="593">
        <f>ROUND(I1218*J1218,0)</f>
        <v>3340400</v>
      </c>
      <c r="L1218" s="594" t="s">
        <v>259</v>
      </c>
      <c r="M1218" s="594" t="s">
        <v>174</v>
      </c>
      <c r="N1218" s="52" t="str">
        <f>IF(AND('331-CT'!$E$7=TH!H1218,OR(L1218="331",M1218="331")),"331",IF(AND(OR(L1218="131",M1218="131"),H1218='131-CT'!$E$7),"131",""))</f>
        <v/>
      </c>
      <c r="O1218" s="86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799"/>
    </row>
    <row r="1219" spans="1:27" s="210" customFormat="1" ht="15.75" customHeight="1">
      <c r="A1219" s="203" t="str">
        <f>IF(B1219&lt;&gt;"",IF(AND(B1219&gt;=_TM1,B1219&lt;=_TM2,OR(TH!L1219="1111",TH!M1219="1111")),TH!D1219,""),"")</f>
        <v/>
      </c>
      <c r="B1219" s="36">
        <f>IF(C1219&lt;&gt;"",MONTH(C1219),"")</f>
        <v>7</v>
      </c>
      <c r="C1219" s="183">
        <f>E1219</f>
        <v>42200</v>
      </c>
      <c r="D1219" s="183" t="s">
        <v>1527</v>
      </c>
      <c r="E1219" s="183">
        <v>42200</v>
      </c>
      <c r="F1219" s="191" t="s">
        <v>731</v>
      </c>
      <c r="G1219" s="482" t="s">
        <v>905</v>
      </c>
      <c r="H1219" s="7" t="s">
        <v>1934</v>
      </c>
      <c r="I1219" s="255"/>
      <c r="J1219" s="255"/>
      <c r="K1219" s="593">
        <v>1548176</v>
      </c>
      <c r="L1219" s="594" t="s">
        <v>259</v>
      </c>
      <c r="M1219" s="594" t="s">
        <v>371</v>
      </c>
      <c r="N1219" s="52" t="str">
        <f>IF(AND('331-CT'!$E$7=TH!H1219,OR(L1219="331",M1219="331")),"331",IF(AND(OR(L1219="131",M1219="131"),H1219='131-CT'!$E$7),"131",""))</f>
        <v/>
      </c>
      <c r="O1219" s="86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799"/>
    </row>
    <row r="1220" spans="1:27" s="210" customFormat="1" ht="15.75" customHeight="1">
      <c r="A1220" s="203" t="str">
        <f>IF(B1220&lt;&gt;"",IF(AND(B1220&gt;=_TM1,B1220&lt;=_TM2,OR(TH!L1220="1111",TH!M1220="1111")),TH!D1220,""),"")</f>
        <v/>
      </c>
      <c r="B1220" s="36">
        <f>IF(C1220&lt;&gt;"",MONTH(C1220),"")</f>
        <v>7</v>
      </c>
      <c r="C1220" s="183">
        <f>E1220</f>
        <v>42202</v>
      </c>
      <c r="D1220" s="183" t="s">
        <v>1528</v>
      </c>
      <c r="E1220" s="183">
        <v>42202</v>
      </c>
      <c r="F1220" s="188" t="s">
        <v>906</v>
      </c>
      <c r="G1220" s="482" t="s">
        <v>907</v>
      </c>
      <c r="H1220" s="7" t="s">
        <v>976</v>
      </c>
      <c r="I1220" s="255">
        <v>250</v>
      </c>
      <c r="J1220" s="255">
        <v>7170</v>
      </c>
      <c r="K1220" s="593">
        <f>ROUND(I1220*J1220,0)</f>
        <v>1792500</v>
      </c>
      <c r="L1220" s="594" t="s">
        <v>259</v>
      </c>
      <c r="M1220" s="594" t="s">
        <v>174</v>
      </c>
      <c r="N1220" s="52" t="str">
        <f>IF(AND('331-CT'!$E$7=TH!H1220,OR(L1220="331",M1220="331")),"331",IF(AND(OR(L1220="131",M1220="131"),H1220='131-CT'!$E$7),"131",""))</f>
        <v/>
      </c>
      <c r="O1220" s="86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799"/>
    </row>
    <row r="1221" spans="1:27" s="210" customFormat="1" ht="15.75" customHeight="1">
      <c r="A1221" s="203" t="str">
        <f>IF(B1221&lt;&gt;"",IF(AND(B1221&gt;=_TM1,B1221&lt;=_TM2,OR(TH!L1221="1111",TH!M1221="1111")),TH!D1221,""),"")</f>
        <v/>
      </c>
      <c r="B1221" s="36">
        <f>IF(C1221&lt;&gt;"",MONTH(C1221),"")</f>
        <v>7</v>
      </c>
      <c r="C1221" s="183">
        <f>E1221</f>
        <v>42202</v>
      </c>
      <c r="D1221" s="183" t="s">
        <v>1528</v>
      </c>
      <c r="E1221" s="183">
        <v>42202</v>
      </c>
      <c r="F1221" s="188" t="s">
        <v>906</v>
      </c>
      <c r="G1221" s="482" t="s">
        <v>907</v>
      </c>
      <c r="H1221" s="7" t="s">
        <v>976</v>
      </c>
      <c r="I1221" s="255">
        <v>252</v>
      </c>
      <c r="J1221" s="255">
        <v>7170</v>
      </c>
      <c r="K1221" s="593">
        <f>ROUND(I1221*J1221,0)</f>
        <v>1806840</v>
      </c>
      <c r="L1221" s="594" t="s">
        <v>259</v>
      </c>
      <c r="M1221" s="594" t="s">
        <v>174</v>
      </c>
      <c r="N1221" s="52" t="str">
        <f>IF(AND('331-CT'!$E$7=TH!H1221,OR(L1221="331",M1221="331")),"331",IF(AND(OR(L1221="131",M1221="131"),H1221='131-CT'!$E$7),"131",""))</f>
        <v/>
      </c>
      <c r="O1221" s="86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799"/>
    </row>
    <row r="1222" spans="1:27" s="210" customFormat="1" ht="15.75" customHeight="1">
      <c r="A1222" s="203" t="str">
        <f>IF(B1222&lt;&gt;"",IF(AND(B1222&gt;=_TM1,B1222&lt;=_TM2,OR(TH!L1222="1111",TH!M1222="1111")),TH!D1222,""),"")</f>
        <v/>
      </c>
      <c r="B1222" s="36">
        <f>IF(C1222&lt;&gt;"",MONTH(C1222),"")</f>
        <v>7</v>
      </c>
      <c r="C1222" s="183">
        <f>E1222</f>
        <v>42202</v>
      </c>
      <c r="D1222" s="183" t="s">
        <v>1528</v>
      </c>
      <c r="E1222" s="183">
        <v>42202</v>
      </c>
      <c r="F1222" s="191" t="s">
        <v>614</v>
      </c>
      <c r="G1222" s="482" t="s">
        <v>907</v>
      </c>
      <c r="H1222" s="7" t="s">
        <v>976</v>
      </c>
      <c r="I1222" s="255">
        <v>247</v>
      </c>
      <c r="J1222" s="255">
        <v>5490</v>
      </c>
      <c r="K1222" s="593">
        <f>ROUND(I1222*J1222,0)</f>
        <v>1356030</v>
      </c>
      <c r="L1222" s="594" t="s">
        <v>259</v>
      </c>
      <c r="M1222" s="594" t="s">
        <v>174</v>
      </c>
      <c r="N1222" s="52" t="str">
        <f>IF(AND('331-CT'!$E$7=TH!H1222,OR(L1222="331",M1222="331")),"331",IF(AND(OR(L1222="131",M1222="131"),H1222='131-CT'!$E$7),"131",""))</f>
        <v/>
      </c>
      <c r="O1222" s="86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799"/>
    </row>
    <row r="1223" spans="1:27" s="210" customFormat="1" ht="15.75" customHeight="1">
      <c r="A1223" s="203" t="str">
        <f>IF(B1223&lt;&gt;"",IF(AND(B1223&gt;=_TM1,B1223&lt;=_TM2,OR(TH!L1223="1111",TH!M1223="1111")),TH!D1223,""),"")</f>
        <v/>
      </c>
      <c r="B1223" s="36">
        <f>IF(C1223&lt;&gt;"",MONTH(C1223),"")</f>
        <v>7</v>
      </c>
      <c r="C1223" s="183">
        <f>E1223</f>
        <v>42202</v>
      </c>
      <c r="D1223" s="183" t="s">
        <v>1528</v>
      </c>
      <c r="E1223" s="183">
        <v>42202</v>
      </c>
      <c r="F1223" s="191" t="s">
        <v>614</v>
      </c>
      <c r="G1223" s="482" t="s">
        <v>907</v>
      </c>
      <c r="H1223" s="7" t="s">
        <v>976</v>
      </c>
      <c r="I1223" s="255">
        <v>248</v>
      </c>
      <c r="J1223" s="255">
        <v>5490</v>
      </c>
      <c r="K1223" s="593">
        <f>ROUND(I1223*J1223,0)</f>
        <v>1361520</v>
      </c>
      <c r="L1223" s="594" t="s">
        <v>259</v>
      </c>
      <c r="M1223" s="594" t="s">
        <v>174</v>
      </c>
      <c r="N1223" s="52" t="str">
        <f>IF(AND('331-CT'!$E$7=TH!H1223,OR(L1223="331",M1223="331")),"331",IF(AND(OR(L1223="131",M1223="131"),H1223='131-CT'!$E$7),"131",""))</f>
        <v/>
      </c>
      <c r="O1223" s="86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799"/>
    </row>
    <row r="1224" spans="1:27" s="210" customFormat="1" ht="15.75" customHeight="1">
      <c r="A1224" s="203" t="str">
        <f>IF(B1224&lt;&gt;"",IF(AND(B1224&gt;=_TM1,B1224&lt;=_TM2,OR(TH!L1224="1111",TH!M1224="1111")),TH!D1224,""),"")</f>
        <v/>
      </c>
      <c r="B1224" s="36">
        <f>IF(C1224&lt;&gt;"",MONTH(C1224),"")</f>
        <v>7</v>
      </c>
      <c r="C1224" s="183">
        <f>E1224</f>
        <v>42202</v>
      </c>
      <c r="D1224" s="183" t="s">
        <v>1528</v>
      </c>
      <c r="E1224" s="183">
        <v>42202</v>
      </c>
      <c r="F1224" s="188" t="s">
        <v>616</v>
      </c>
      <c r="G1224" s="482" t="s">
        <v>907</v>
      </c>
      <c r="H1224" s="7" t="s">
        <v>976</v>
      </c>
      <c r="I1224" s="255">
        <v>503</v>
      </c>
      <c r="J1224" s="255">
        <v>5500</v>
      </c>
      <c r="K1224" s="593">
        <f>ROUND(I1224*J1224,0)</f>
        <v>2766500</v>
      </c>
      <c r="L1224" s="594" t="s">
        <v>259</v>
      </c>
      <c r="M1224" s="594" t="s">
        <v>174</v>
      </c>
      <c r="N1224" s="52" t="str">
        <f>IF(AND('331-CT'!$E$7=TH!H1224,OR(L1224="331",M1224="331")),"331",IF(AND(OR(L1224="131",M1224="131"),H1224='131-CT'!$E$7),"131",""))</f>
        <v/>
      </c>
      <c r="O1224" s="86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799"/>
    </row>
    <row r="1225" spans="1:27" s="210" customFormat="1" ht="15.75" customHeight="1">
      <c r="A1225" s="203" t="str">
        <f>IF(B1225&lt;&gt;"",IF(AND(B1225&gt;=_TM1,B1225&lt;=_TM2,OR(TH!L1225="1111",TH!M1225="1111")),TH!D1225,""),"")</f>
        <v/>
      </c>
      <c r="B1225" s="36">
        <f>IF(C1225&lt;&gt;"",MONTH(C1225),"")</f>
        <v>7</v>
      </c>
      <c r="C1225" s="183">
        <f>E1225</f>
        <v>42202</v>
      </c>
      <c r="D1225" s="183" t="s">
        <v>1528</v>
      </c>
      <c r="E1225" s="183">
        <v>42202</v>
      </c>
      <c r="F1225" s="188" t="s">
        <v>616</v>
      </c>
      <c r="G1225" s="482" t="s">
        <v>907</v>
      </c>
      <c r="H1225" s="7" t="s">
        <v>976</v>
      </c>
      <c r="I1225" s="255">
        <v>495</v>
      </c>
      <c r="J1225" s="255">
        <v>5500</v>
      </c>
      <c r="K1225" s="593">
        <f>ROUND(I1225*J1225,0)</f>
        <v>2722500</v>
      </c>
      <c r="L1225" s="594" t="s">
        <v>259</v>
      </c>
      <c r="M1225" s="594" t="s">
        <v>174</v>
      </c>
      <c r="N1225" s="52" t="str">
        <f>IF(AND('331-CT'!$E$7=TH!H1225,OR(L1225="331",M1225="331")),"331",IF(AND(OR(L1225="131",M1225="131"),H1225='131-CT'!$E$7),"131",""))</f>
        <v/>
      </c>
      <c r="O1225" s="86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799"/>
    </row>
    <row r="1226" spans="1:27" s="210" customFormat="1" ht="15.75" customHeight="1">
      <c r="A1226" s="203" t="str">
        <f>IF(B1226&lt;&gt;"",IF(AND(B1226&gt;=_TM1,B1226&lt;=_TM2,OR(TH!L1226="1111",TH!M1226="1111")),TH!D1226,""),"")</f>
        <v/>
      </c>
      <c r="B1226" s="36">
        <f>IF(C1226&lt;&gt;"",MONTH(C1226),"")</f>
        <v>7</v>
      </c>
      <c r="C1226" s="183">
        <f>E1226</f>
        <v>42202</v>
      </c>
      <c r="D1226" s="183" t="s">
        <v>1528</v>
      </c>
      <c r="E1226" s="183">
        <v>42202</v>
      </c>
      <c r="F1226" s="188" t="s">
        <v>614</v>
      </c>
      <c r="G1226" s="482" t="s">
        <v>907</v>
      </c>
      <c r="H1226" s="7" t="s">
        <v>976</v>
      </c>
      <c r="I1226" s="255">
        <v>268</v>
      </c>
      <c r="J1226" s="255">
        <v>6500</v>
      </c>
      <c r="K1226" s="593">
        <f>ROUND(I1226*J1226,0)</f>
        <v>1742000</v>
      </c>
      <c r="L1226" s="594" t="s">
        <v>259</v>
      </c>
      <c r="M1226" s="594" t="s">
        <v>174</v>
      </c>
      <c r="N1226" s="52" t="str">
        <f>IF(AND('331-CT'!$E$7=TH!H1226,OR(L1226="331",M1226="331")),"331",IF(AND(OR(L1226="131",M1226="131"),H1226='131-CT'!$E$7),"131",""))</f>
        <v/>
      </c>
      <c r="O1226" s="86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799"/>
    </row>
    <row r="1227" spans="1:27" s="210" customFormat="1" ht="15.75" customHeight="1">
      <c r="A1227" s="203" t="str">
        <f>IF(B1227&lt;&gt;"",IF(AND(B1227&gt;=_TM1,B1227&lt;=_TM2,OR(TH!L1227="1111",TH!M1227="1111")),TH!D1227,""),"")</f>
        <v/>
      </c>
      <c r="B1227" s="36">
        <f>IF(C1227&lt;&gt;"",MONTH(C1227),"")</f>
        <v>7</v>
      </c>
      <c r="C1227" s="183">
        <f>E1227</f>
        <v>42202</v>
      </c>
      <c r="D1227" s="183" t="s">
        <v>1528</v>
      </c>
      <c r="E1227" s="183">
        <v>42202</v>
      </c>
      <c r="F1227" s="188" t="s">
        <v>614</v>
      </c>
      <c r="G1227" s="482" t="s">
        <v>907</v>
      </c>
      <c r="H1227" s="7" t="s">
        <v>976</v>
      </c>
      <c r="I1227" s="255">
        <v>273</v>
      </c>
      <c r="J1227" s="255">
        <v>6500</v>
      </c>
      <c r="K1227" s="593">
        <f>ROUND(I1227*J1227,0)</f>
        <v>1774500</v>
      </c>
      <c r="L1227" s="594" t="s">
        <v>259</v>
      </c>
      <c r="M1227" s="594" t="s">
        <v>174</v>
      </c>
      <c r="N1227" s="52" t="str">
        <f>IF(AND('331-CT'!$E$7=TH!H1227,OR(L1227="331",M1227="331")),"331",IF(AND(OR(L1227="131",M1227="131"),H1227='131-CT'!$E$7),"131",""))</f>
        <v/>
      </c>
      <c r="O1227" s="86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799"/>
    </row>
    <row r="1228" spans="1:27" s="210" customFormat="1" ht="15.75" customHeight="1">
      <c r="A1228" s="203" t="str">
        <f>IF(B1228&lt;&gt;"",IF(AND(B1228&gt;=_TM1,B1228&lt;=_TM2,OR(TH!L1228="1111",TH!M1228="1111")),TH!D1228,""),"")</f>
        <v/>
      </c>
      <c r="B1228" s="36">
        <f>IF(C1228&lt;&gt;"",MONTH(C1228),"")</f>
        <v>7</v>
      </c>
      <c r="C1228" s="183">
        <f>E1228</f>
        <v>42202</v>
      </c>
      <c r="D1228" s="183" t="s">
        <v>1528</v>
      </c>
      <c r="E1228" s="183">
        <v>42202</v>
      </c>
      <c r="F1228" s="191" t="s">
        <v>402</v>
      </c>
      <c r="G1228" s="482" t="s">
        <v>907</v>
      </c>
      <c r="H1228" s="7" t="s">
        <v>976</v>
      </c>
      <c r="I1228" s="255"/>
      <c r="J1228" s="255"/>
      <c r="K1228" s="593">
        <v>1532239</v>
      </c>
      <c r="L1228" s="594" t="s">
        <v>259</v>
      </c>
      <c r="M1228" s="594" t="s">
        <v>371</v>
      </c>
      <c r="N1228" s="52" t="str">
        <f>IF(AND('331-CT'!$E$7=TH!H1228,OR(L1228="331",M1228="331")),"331",IF(AND(OR(L1228="131",M1228="131"),H1228='131-CT'!$E$7),"131",""))</f>
        <v/>
      </c>
      <c r="O1228" s="86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799"/>
    </row>
    <row r="1229" spans="1:27" s="210" customFormat="1" ht="15.75" customHeight="1">
      <c r="A1229" s="203" t="str">
        <f>IF(B1229&lt;&gt;"",IF(AND(B1229&gt;=_TM1,B1229&lt;=_TM2,OR(TH!L1229="1111",TH!M1229="1111")),TH!D1229,""),"")</f>
        <v/>
      </c>
      <c r="B1229" s="36">
        <f>IF(C1229&lt;&gt;"",MONTH(C1229),"")</f>
        <v>7</v>
      </c>
      <c r="C1229" s="183">
        <f>E1229</f>
        <v>42202</v>
      </c>
      <c r="D1229" s="183" t="s">
        <v>1529</v>
      </c>
      <c r="E1229" s="183">
        <v>42202</v>
      </c>
      <c r="F1229" s="188" t="s">
        <v>1756</v>
      </c>
      <c r="G1229" s="482" t="s">
        <v>908</v>
      </c>
      <c r="H1229" s="7" t="s">
        <v>1934</v>
      </c>
      <c r="I1229" s="255">
        <v>25</v>
      </c>
      <c r="J1229" s="255">
        <v>14378</v>
      </c>
      <c r="K1229" s="593">
        <f>ROUND(I1229*J1229,0)</f>
        <v>359450</v>
      </c>
      <c r="L1229" s="594" t="s">
        <v>259</v>
      </c>
      <c r="M1229" s="594" t="s">
        <v>174</v>
      </c>
      <c r="N1229" s="52" t="str">
        <f>IF(AND('331-CT'!$E$7=TH!H1229,OR(L1229="331",M1229="331")),"331",IF(AND(OR(L1229="131",M1229="131"),H1229='131-CT'!$E$7),"131",""))</f>
        <v/>
      </c>
      <c r="O1229" s="86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799"/>
    </row>
    <row r="1230" spans="1:27" s="210" customFormat="1" ht="15.75" customHeight="1">
      <c r="A1230" s="203" t="str">
        <f>IF(B1230&lt;&gt;"",IF(AND(B1230&gt;=_TM1,B1230&lt;=_TM2,OR(TH!L1230="1111",TH!M1230="1111")),TH!D1230,""),"")</f>
        <v/>
      </c>
      <c r="B1230" s="36">
        <f>IF(C1230&lt;&gt;"",MONTH(C1230),"")</f>
        <v>7</v>
      </c>
      <c r="C1230" s="183">
        <f>E1230</f>
        <v>42202</v>
      </c>
      <c r="D1230" s="183" t="s">
        <v>1529</v>
      </c>
      <c r="E1230" s="183">
        <v>42202</v>
      </c>
      <c r="F1230" s="188" t="s">
        <v>1741</v>
      </c>
      <c r="G1230" s="482" t="s">
        <v>908</v>
      </c>
      <c r="H1230" s="7" t="s">
        <v>1934</v>
      </c>
      <c r="I1230" s="255">
        <v>45</v>
      </c>
      <c r="J1230" s="255">
        <v>10056</v>
      </c>
      <c r="K1230" s="593">
        <f>ROUND(I1230*J1230,0)</f>
        <v>452520</v>
      </c>
      <c r="L1230" s="594" t="s">
        <v>259</v>
      </c>
      <c r="M1230" s="594" t="s">
        <v>174</v>
      </c>
      <c r="N1230" s="52" t="str">
        <f>IF(AND('331-CT'!$E$7=TH!H1230,OR(L1230="331",M1230="331")),"331",IF(AND(OR(L1230="131",M1230="131"),H1230='131-CT'!$E$7),"131",""))</f>
        <v/>
      </c>
      <c r="O1230" s="86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799"/>
    </row>
    <row r="1231" spans="1:27" s="210" customFormat="1" ht="15.75" customHeight="1">
      <c r="A1231" s="203" t="str">
        <f>IF(B1231&lt;&gt;"",IF(AND(B1231&gt;=_TM1,B1231&lt;=_TM2,OR(TH!L1231="1111",TH!M1231="1111")),TH!D1231,""),"")</f>
        <v/>
      </c>
      <c r="B1231" s="36">
        <f>IF(C1231&lt;&gt;"",MONTH(C1231),"")</f>
        <v>7</v>
      </c>
      <c r="C1231" s="183">
        <f>E1231</f>
        <v>42202</v>
      </c>
      <c r="D1231" s="183" t="s">
        <v>1529</v>
      </c>
      <c r="E1231" s="183">
        <v>42202</v>
      </c>
      <c r="F1231" s="188" t="s">
        <v>1736</v>
      </c>
      <c r="G1231" s="482" t="s">
        <v>908</v>
      </c>
      <c r="H1231" s="7" t="s">
        <v>1934</v>
      </c>
      <c r="I1231" s="255">
        <v>25</v>
      </c>
      <c r="J1231" s="255">
        <v>16380</v>
      </c>
      <c r="K1231" s="593">
        <f>ROUND(I1231*J1231,0)</f>
        <v>409500</v>
      </c>
      <c r="L1231" s="594" t="s">
        <v>259</v>
      </c>
      <c r="M1231" s="594" t="s">
        <v>174</v>
      </c>
      <c r="N1231" s="52" t="str">
        <f>IF(AND('331-CT'!$E$7=TH!H1231,OR(L1231="331",M1231="331")),"331",IF(AND(OR(L1231="131",M1231="131"),H1231='131-CT'!$E$7),"131",""))</f>
        <v/>
      </c>
      <c r="O1231" s="86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799"/>
    </row>
    <row r="1232" spans="1:27" s="210" customFormat="1" ht="15.75" customHeight="1">
      <c r="A1232" s="203" t="str">
        <f>IF(B1232&lt;&gt;"",IF(AND(B1232&gt;=_TM1,B1232&lt;=_TM2,OR(TH!L1232="1111",TH!M1232="1111")),TH!D1232,""),"")</f>
        <v/>
      </c>
      <c r="B1232" s="36">
        <f>IF(C1232&lt;&gt;"",MONTH(C1232),"")</f>
        <v>7</v>
      </c>
      <c r="C1232" s="183">
        <f>E1232</f>
        <v>42202</v>
      </c>
      <c r="D1232" s="183" t="s">
        <v>1529</v>
      </c>
      <c r="E1232" s="183">
        <v>42202</v>
      </c>
      <c r="F1232" s="188" t="s">
        <v>690</v>
      </c>
      <c r="G1232" s="482" t="s">
        <v>908</v>
      </c>
      <c r="H1232" s="7" t="s">
        <v>1934</v>
      </c>
      <c r="I1232" s="255">
        <v>25</v>
      </c>
      <c r="J1232" s="255">
        <v>18218</v>
      </c>
      <c r="K1232" s="593">
        <f>ROUND(I1232*J1232,0)</f>
        <v>455450</v>
      </c>
      <c r="L1232" s="594" t="s">
        <v>259</v>
      </c>
      <c r="M1232" s="594" t="s">
        <v>174</v>
      </c>
      <c r="N1232" s="52" t="str">
        <f>IF(AND('331-CT'!$E$7=TH!H1232,OR(L1232="331",M1232="331")),"331",IF(AND(OR(L1232="131",M1232="131"),H1232='131-CT'!$E$7),"131",""))</f>
        <v/>
      </c>
      <c r="O1232" s="86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799"/>
    </row>
    <row r="1233" spans="1:27" s="210" customFormat="1" ht="15.75" customHeight="1">
      <c r="A1233" s="203" t="str">
        <f>IF(B1233&lt;&gt;"",IF(AND(B1233&gt;=_TM1,B1233&lt;=_TM2,OR(TH!L1233="1111",TH!M1233="1111")),TH!D1233,""),"")</f>
        <v/>
      </c>
      <c r="B1233" s="36">
        <f>IF(C1233&lt;&gt;"",MONTH(C1233),"")</f>
        <v>7</v>
      </c>
      <c r="C1233" s="183">
        <f>E1233</f>
        <v>42202</v>
      </c>
      <c r="D1233" s="183" t="s">
        <v>1529</v>
      </c>
      <c r="E1233" s="183">
        <v>42202</v>
      </c>
      <c r="F1233" s="188" t="s">
        <v>1705</v>
      </c>
      <c r="G1233" s="482" t="s">
        <v>908</v>
      </c>
      <c r="H1233" s="7" t="s">
        <v>1934</v>
      </c>
      <c r="I1233" s="255">
        <v>100</v>
      </c>
      <c r="J1233" s="255">
        <v>8276</v>
      </c>
      <c r="K1233" s="593">
        <f>ROUND(I1233*J1233,0)</f>
        <v>827600</v>
      </c>
      <c r="L1233" s="594" t="s">
        <v>259</v>
      </c>
      <c r="M1233" s="594" t="s">
        <v>174</v>
      </c>
      <c r="N1233" s="52" t="str">
        <f>IF(AND('331-CT'!$E$7=TH!H1233,OR(L1233="331",M1233="331")),"331",IF(AND(OR(L1233="131",M1233="131"),H1233='131-CT'!$E$7),"131",""))</f>
        <v/>
      </c>
      <c r="O1233" s="86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99"/>
    </row>
    <row r="1234" spans="1:27" s="210" customFormat="1" ht="15.75" customHeight="1">
      <c r="A1234" s="203" t="str">
        <f>IF(B1234&lt;&gt;"",IF(AND(B1234&gt;=_TM1,B1234&lt;=_TM2,OR(TH!L1234="1111",TH!M1234="1111")),TH!D1234,""),"")</f>
        <v/>
      </c>
      <c r="B1234" s="36">
        <f>IF(C1234&lt;&gt;"",MONTH(C1234),"")</f>
        <v>7</v>
      </c>
      <c r="C1234" s="183">
        <f>E1234</f>
        <v>42202</v>
      </c>
      <c r="D1234" s="183" t="s">
        <v>1529</v>
      </c>
      <c r="E1234" s="183">
        <v>42202</v>
      </c>
      <c r="F1234" s="188" t="s">
        <v>1757</v>
      </c>
      <c r="G1234" s="482" t="s">
        <v>908</v>
      </c>
      <c r="H1234" s="7" t="s">
        <v>1934</v>
      </c>
      <c r="I1234" s="255">
        <v>220</v>
      </c>
      <c r="J1234" s="255">
        <v>8818</v>
      </c>
      <c r="K1234" s="593">
        <f>ROUND(I1234*J1234,0)</f>
        <v>1939960</v>
      </c>
      <c r="L1234" s="594" t="s">
        <v>259</v>
      </c>
      <c r="M1234" s="594" t="s">
        <v>174</v>
      </c>
      <c r="N1234" s="52" t="str">
        <f>IF(AND('331-CT'!$E$7=TH!H1234,OR(L1234="331",M1234="331")),"331",IF(AND(OR(L1234="131",M1234="131"),H1234='131-CT'!$E$7),"131",""))</f>
        <v/>
      </c>
      <c r="O1234" s="86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99"/>
    </row>
    <row r="1235" spans="1:27" s="210" customFormat="1" ht="15.75" customHeight="1">
      <c r="A1235" s="203" t="str">
        <f>IF(B1235&lt;&gt;"",IF(AND(B1235&gt;=_TM1,B1235&lt;=_TM2,OR(TH!L1235="1111",TH!M1235="1111")),TH!D1235,""),"")</f>
        <v/>
      </c>
      <c r="B1235" s="36">
        <f>IF(C1235&lt;&gt;"",MONTH(C1235),"")</f>
        <v>7</v>
      </c>
      <c r="C1235" s="183">
        <f>E1235</f>
        <v>42202</v>
      </c>
      <c r="D1235" s="183" t="s">
        <v>1529</v>
      </c>
      <c r="E1235" s="183">
        <v>42202</v>
      </c>
      <c r="F1235" s="188" t="s">
        <v>1758</v>
      </c>
      <c r="G1235" s="482" t="s">
        <v>908</v>
      </c>
      <c r="H1235" s="7" t="s">
        <v>1934</v>
      </c>
      <c r="I1235" s="255">
        <v>160</v>
      </c>
      <c r="J1235" s="255">
        <v>13923</v>
      </c>
      <c r="K1235" s="593">
        <f>ROUND(I1235*J1235,0)</f>
        <v>2227680</v>
      </c>
      <c r="L1235" s="594" t="s">
        <v>259</v>
      </c>
      <c r="M1235" s="594" t="s">
        <v>174</v>
      </c>
      <c r="N1235" s="52" t="str">
        <f>IF(AND('331-CT'!$E$7=TH!H1235,OR(L1235="331",M1235="331")),"331",IF(AND(OR(L1235="131",M1235="131"),H1235='131-CT'!$E$7),"131",""))</f>
        <v/>
      </c>
      <c r="O1235" s="86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99"/>
    </row>
    <row r="1236" spans="1:27" s="210" customFormat="1" ht="15.75" customHeight="1">
      <c r="A1236" s="203" t="str">
        <f>IF(B1236&lt;&gt;"",IF(AND(B1236&gt;=_TM1,B1236&lt;=_TM2,OR(TH!L1236="1111",TH!M1236="1111")),TH!D1236,""),"")</f>
        <v/>
      </c>
      <c r="B1236" s="36">
        <f>IF(C1236&lt;&gt;"",MONTH(C1236),"")</f>
        <v>7</v>
      </c>
      <c r="C1236" s="183">
        <f>E1236</f>
        <v>42202</v>
      </c>
      <c r="D1236" s="183" t="s">
        <v>1529</v>
      </c>
      <c r="E1236" s="183">
        <v>42202</v>
      </c>
      <c r="F1236" s="188" t="s">
        <v>1759</v>
      </c>
      <c r="G1236" s="482" t="s">
        <v>908</v>
      </c>
      <c r="H1236" s="7" t="s">
        <v>1934</v>
      </c>
      <c r="I1236" s="255">
        <v>270</v>
      </c>
      <c r="J1236" s="255">
        <v>6917</v>
      </c>
      <c r="K1236" s="593">
        <f>ROUND(I1236*J1236,0)</f>
        <v>1867590</v>
      </c>
      <c r="L1236" s="594" t="s">
        <v>259</v>
      </c>
      <c r="M1236" s="594" t="s">
        <v>174</v>
      </c>
      <c r="N1236" s="52" t="str">
        <f>IF(AND('331-CT'!$E$7=TH!H1236,OR(L1236="331",M1236="331")),"331",IF(AND(OR(L1236="131",M1236="131"),H1236='131-CT'!$E$7),"131",""))</f>
        <v/>
      </c>
      <c r="O1236" s="86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99"/>
    </row>
    <row r="1237" spans="1:27" s="210" customFormat="1" ht="15.75" customHeight="1">
      <c r="A1237" s="203" t="str">
        <f>IF(B1237&lt;&gt;"",IF(AND(B1237&gt;=_TM1,B1237&lt;=_TM2,OR(TH!L1237="1111",TH!M1237="1111")),TH!D1237,""),"")</f>
        <v/>
      </c>
      <c r="B1237" s="36">
        <f>IF(C1237&lt;&gt;"",MONTH(C1237),"")</f>
        <v>7</v>
      </c>
      <c r="C1237" s="183">
        <f>E1237</f>
        <v>42202</v>
      </c>
      <c r="D1237" s="183" t="s">
        <v>1529</v>
      </c>
      <c r="E1237" s="183">
        <v>42202</v>
      </c>
      <c r="F1237" s="191" t="s">
        <v>1760</v>
      </c>
      <c r="G1237" s="482" t="s">
        <v>908</v>
      </c>
      <c r="H1237" s="7" t="s">
        <v>1934</v>
      </c>
      <c r="I1237" s="255">
        <v>190</v>
      </c>
      <c r="J1237" s="255">
        <v>8052</v>
      </c>
      <c r="K1237" s="593">
        <f>ROUND(I1237*J1237,0)</f>
        <v>1529880</v>
      </c>
      <c r="L1237" s="594" t="s">
        <v>259</v>
      </c>
      <c r="M1237" s="594" t="s">
        <v>174</v>
      </c>
      <c r="N1237" s="52" t="str">
        <f>IF(AND('331-CT'!$E$7=TH!H1237,OR(L1237="331",M1237="331")),"331",IF(AND(OR(L1237="131",M1237="131"),H1237='131-CT'!$E$7),"131",""))</f>
        <v/>
      </c>
      <c r="O1237" s="86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99"/>
    </row>
    <row r="1238" spans="1:27" s="210" customFormat="1" ht="15.75" customHeight="1">
      <c r="A1238" s="203" t="str">
        <f>IF(B1238&lt;&gt;"",IF(AND(B1238&gt;=_TM1,B1238&lt;=_TM2,OR(TH!L1238="1111",TH!M1238="1111")),TH!D1238,""),"")</f>
        <v/>
      </c>
      <c r="B1238" s="36">
        <f>IF(C1238&lt;&gt;"",MONTH(C1238),"")</f>
        <v>7</v>
      </c>
      <c r="C1238" s="183">
        <f>E1238</f>
        <v>42202</v>
      </c>
      <c r="D1238" s="183" t="s">
        <v>1529</v>
      </c>
      <c r="E1238" s="183">
        <v>42202</v>
      </c>
      <c r="F1238" s="188" t="s">
        <v>731</v>
      </c>
      <c r="G1238" s="482" t="s">
        <v>908</v>
      </c>
      <c r="H1238" s="7" t="s">
        <v>1934</v>
      </c>
      <c r="I1238" s="255"/>
      <c r="J1238" s="255"/>
      <c r="K1238" s="593">
        <v>1006963</v>
      </c>
      <c r="L1238" s="594" t="s">
        <v>259</v>
      </c>
      <c r="M1238" s="594" t="s">
        <v>371</v>
      </c>
      <c r="N1238" s="52" t="str">
        <f>IF(AND('331-CT'!$E$7=TH!H1238,OR(L1238="331",M1238="331")),"331",IF(AND(OR(L1238="131",M1238="131"),H1238='131-CT'!$E$7),"131",""))</f>
        <v/>
      </c>
      <c r="O1238" s="86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99"/>
    </row>
    <row r="1239" spans="1:27" s="210" customFormat="1" ht="15.75" customHeight="1">
      <c r="A1239" s="203" t="str">
        <f>IF(B1239&lt;&gt;"",IF(AND(B1239&gt;=_TM1,B1239&lt;=_TM2,OR(TH!L1239="1111",TH!M1239="1111")),TH!D1239,""),"")</f>
        <v/>
      </c>
      <c r="B1239" s="36">
        <f>IF(C1239&lt;&gt;"",MONTH(C1239),"")</f>
        <v>7</v>
      </c>
      <c r="C1239" s="183">
        <f>E1239</f>
        <v>42202</v>
      </c>
      <c r="D1239" s="183" t="s">
        <v>1529</v>
      </c>
      <c r="E1239" s="183">
        <v>42202</v>
      </c>
      <c r="F1239" s="191" t="s">
        <v>1320</v>
      </c>
      <c r="G1239" s="482" t="s">
        <v>2058</v>
      </c>
      <c r="H1239" s="7" t="s">
        <v>1934</v>
      </c>
      <c r="I1239" s="255"/>
      <c r="J1239" s="255"/>
      <c r="K1239" s="593">
        <f>17029937+11076593</f>
        <v>28106530</v>
      </c>
      <c r="L1239" s="594" t="s">
        <v>47</v>
      </c>
      <c r="M1239" s="594" t="s">
        <v>259</v>
      </c>
      <c r="N1239" s="52" t="str">
        <f>IF(AND('331-CT'!$E$7=TH!H1239,OR(L1239="331",M1239="331")),"331",IF(AND(OR(L1239="131",M1239="131"),H1239='131-CT'!$E$7),"131",""))</f>
        <v/>
      </c>
      <c r="O1239" s="86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99"/>
    </row>
    <row r="1240" spans="1:27" s="210" customFormat="1" ht="15.75" customHeight="1">
      <c r="A1240" s="203" t="str">
        <f>IF(B1240&lt;&gt;"",IF(AND(B1240&gt;=_TM1,B1240&lt;=_TM2,OR(TH!L1240="1111",TH!M1240="1111")),TH!D1240,""),"")</f>
        <v/>
      </c>
      <c r="B1240" s="36">
        <f>IF(C1240&lt;&gt;"",MONTH(C1240),"")</f>
        <v>7</v>
      </c>
      <c r="C1240" s="183">
        <f>E1240</f>
        <v>42202</v>
      </c>
      <c r="D1240" s="183" t="s">
        <v>1319</v>
      </c>
      <c r="E1240" s="190">
        <v>42202</v>
      </c>
      <c r="F1240" s="191" t="s">
        <v>1320</v>
      </c>
      <c r="G1240" s="482" t="s">
        <v>332</v>
      </c>
      <c r="H1240" s="45" t="s">
        <v>416</v>
      </c>
      <c r="I1240" s="255"/>
      <c r="J1240" s="255"/>
      <c r="K1240" s="593">
        <v>10000000</v>
      </c>
      <c r="L1240" s="594" t="s">
        <v>24</v>
      </c>
      <c r="M1240" s="594" t="s">
        <v>259</v>
      </c>
      <c r="N1240" s="52" t="str">
        <f>IF(AND('331-CT'!$E$7=TH!H1240,OR(L1240="331",M1240="331")),"331",IF(AND(OR(L1240="131",M1240="131"),H1240='131-CT'!$E$7),"131",""))</f>
        <v/>
      </c>
      <c r="O1240" s="86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>x</v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99"/>
    </row>
    <row r="1241" spans="1:27" s="210" customFormat="1" ht="15.75" customHeight="1">
      <c r="A1241" s="203" t="str">
        <f>IF(B1241&lt;&gt;"",IF(AND(B1241&gt;=_TM1,B1241&lt;=_TM2,OR(TH!L1241="1111",TH!M1241="1111")),TH!D1241,""),"")</f>
        <v/>
      </c>
      <c r="B1241" s="36">
        <f>IF(C1241&lt;&gt;"",MONTH(C1241),"")</f>
        <v>7</v>
      </c>
      <c r="C1241" s="183">
        <f>E1241</f>
        <v>42203</v>
      </c>
      <c r="D1241" s="183" t="s">
        <v>1324</v>
      </c>
      <c r="E1241" s="190">
        <v>42203</v>
      </c>
      <c r="F1241" s="188" t="s">
        <v>1325</v>
      </c>
      <c r="G1241" s="482" t="s">
        <v>332</v>
      </c>
      <c r="H1241" s="7" t="s">
        <v>1331</v>
      </c>
      <c r="I1241" s="255"/>
      <c r="J1241" s="255"/>
      <c r="K1241" s="593">
        <v>14000000</v>
      </c>
      <c r="L1241" s="594" t="s">
        <v>47</v>
      </c>
      <c r="M1241" s="594" t="s">
        <v>24</v>
      </c>
      <c r="N1241" s="52" t="str">
        <f>IF(AND('331-CT'!$E$7=TH!H1241,OR(L1241="331",M1241="331")),"331",IF(AND(OR(L1241="131",M1241="131"),H1241='131-CT'!$E$7),"131",""))</f>
        <v/>
      </c>
      <c r="O1241" s="86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>x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99"/>
    </row>
    <row r="1242" spans="1:27" s="210" customFormat="1" ht="15.75" customHeight="1">
      <c r="A1242" s="203" t="str">
        <f>IF(B1242&lt;&gt;"",IF(AND(B1242&gt;=_TM1,B1242&lt;=_TM2,OR(TH!L1242="1111",TH!M1242="1111")),TH!D1242,""),"")</f>
        <v/>
      </c>
      <c r="B1242" s="36">
        <f>IF(C1242&lt;&gt;"",MONTH(C1242),"")</f>
        <v>7</v>
      </c>
      <c r="C1242" s="183">
        <f>E1242</f>
        <v>42205</v>
      </c>
      <c r="D1242" s="183" t="s">
        <v>1530</v>
      </c>
      <c r="E1242" s="183">
        <v>42205</v>
      </c>
      <c r="F1242" s="188" t="s">
        <v>413</v>
      </c>
      <c r="G1242" s="482" t="s">
        <v>909</v>
      </c>
      <c r="H1242" s="7" t="s">
        <v>412</v>
      </c>
      <c r="I1242" s="255">
        <v>311</v>
      </c>
      <c r="J1242" s="255">
        <v>10500</v>
      </c>
      <c r="K1242" s="593">
        <f>ROUND(I1242*J1242,0)</f>
        <v>3265500</v>
      </c>
      <c r="L1242" s="594" t="s">
        <v>259</v>
      </c>
      <c r="M1242" s="594" t="s">
        <v>174</v>
      </c>
      <c r="N1242" s="52" t="str">
        <f>IF(AND('331-CT'!$E$7=TH!H1242,OR(L1242="331",M1242="331")),"331",IF(AND(OR(L1242="131",M1242="131"),H1242='131-CT'!$E$7),"131",""))</f>
        <v/>
      </c>
      <c r="O1242" s="86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99"/>
    </row>
    <row r="1243" spans="1:27" s="210" customFormat="1" ht="15.75" customHeight="1">
      <c r="A1243" s="203" t="str">
        <f>IF(B1243&lt;&gt;"",IF(AND(B1243&gt;=_TM1,B1243&lt;=_TM2,OR(TH!L1243="1111",TH!M1243="1111")),TH!D1243,""),"")</f>
        <v/>
      </c>
      <c r="B1243" s="36">
        <f>IF(C1243&lt;&gt;"",MONTH(C1243),"")</f>
        <v>7</v>
      </c>
      <c r="C1243" s="183">
        <f>E1243</f>
        <v>42205</v>
      </c>
      <c r="D1243" s="183" t="s">
        <v>1530</v>
      </c>
      <c r="E1243" s="183">
        <v>42205</v>
      </c>
      <c r="F1243" s="188" t="s">
        <v>413</v>
      </c>
      <c r="G1243" s="482" t="s">
        <v>909</v>
      </c>
      <c r="H1243" s="7" t="s">
        <v>412</v>
      </c>
      <c r="I1243" s="255">
        <v>497</v>
      </c>
      <c r="J1243" s="255">
        <v>10500</v>
      </c>
      <c r="K1243" s="593">
        <f>ROUND(I1243*J1243,0)</f>
        <v>5218500</v>
      </c>
      <c r="L1243" s="594" t="s">
        <v>259</v>
      </c>
      <c r="M1243" s="594" t="s">
        <v>174</v>
      </c>
      <c r="N1243" s="52" t="str">
        <f>IF(AND('331-CT'!$E$7=TH!H1243,OR(L1243="331",M1243="331")),"331",IF(AND(OR(L1243="131",M1243="131"),H1243='131-CT'!$E$7),"131",""))</f>
        <v/>
      </c>
      <c r="O1243" s="86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99"/>
    </row>
    <row r="1244" spans="1:27" s="210" customFormat="1" ht="15.75" customHeight="1">
      <c r="A1244" s="203" t="str">
        <f>IF(B1244&lt;&gt;"",IF(AND(B1244&gt;=_TM1,B1244&lt;=_TM2,OR(TH!L1244="1111",TH!M1244="1111")),TH!D1244,""),"")</f>
        <v/>
      </c>
      <c r="B1244" s="36">
        <f>IF(C1244&lt;&gt;"",MONTH(C1244),"")</f>
        <v>7</v>
      </c>
      <c r="C1244" s="183">
        <f>E1244</f>
        <v>42205</v>
      </c>
      <c r="D1244" s="183" t="s">
        <v>1530</v>
      </c>
      <c r="E1244" s="183">
        <v>42205</v>
      </c>
      <c r="F1244" s="188" t="s">
        <v>402</v>
      </c>
      <c r="G1244" s="482" t="s">
        <v>909</v>
      </c>
      <c r="H1244" s="7" t="s">
        <v>412</v>
      </c>
      <c r="I1244" s="255"/>
      <c r="J1244" s="255"/>
      <c r="K1244" s="593">
        <v>848400</v>
      </c>
      <c r="L1244" s="594" t="s">
        <v>259</v>
      </c>
      <c r="M1244" s="594" t="s">
        <v>371</v>
      </c>
      <c r="N1244" s="52" t="str">
        <f>IF(AND('331-CT'!$E$7=TH!H1244,OR(L1244="331",M1244="331")),"331",IF(AND(OR(L1244="131",M1244="131"),H1244='131-CT'!$E$7),"131",""))</f>
        <v/>
      </c>
      <c r="O1244" s="86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799"/>
    </row>
    <row r="1245" spans="1:27" s="210" customFormat="1" ht="15.75" customHeight="1">
      <c r="A1245" s="203" t="str">
        <f>IF(B1245&lt;&gt;"",IF(AND(B1245&gt;=_TM1,B1245&lt;=_TM2,OR(TH!L1245="1111",TH!M1245="1111")),TH!D1245,""),"")</f>
        <v/>
      </c>
      <c r="B1245" s="36">
        <f>IF(C1245&lt;&gt;"",MONTH(C1245),"")</f>
        <v>7</v>
      </c>
      <c r="C1245" s="183">
        <f>E1245</f>
        <v>42205</v>
      </c>
      <c r="D1245" s="183" t="s">
        <v>1531</v>
      </c>
      <c r="E1245" s="183">
        <v>42205</v>
      </c>
      <c r="F1245" s="188" t="s">
        <v>910</v>
      </c>
      <c r="G1245" s="482" t="s">
        <v>911</v>
      </c>
      <c r="H1245" s="7" t="s">
        <v>834</v>
      </c>
      <c r="I1245" s="255">
        <v>574</v>
      </c>
      <c r="J1245" s="255">
        <v>5900</v>
      </c>
      <c r="K1245" s="593">
        <f>ROUND(I1245*J1245,0)</f>
        <v>3386600</v>
      </c>
      <c r="L1245" s="594" t="s">
        <v>259</v>
      </c>
      <c r="M1245" s="594" t="s">
        <v>174</v>
      </c>
      <c r="N1245" s="52" t="str">
        <f>IF(AND('331-CT'!$E$7=TH!H1245,OR(L1245="331",M1245="331")),"331",IF(AND(OR(L1245="131",M1245="131"),H1245='131-CT'!$E$7),"131",""))</f>
        <v/>
      </c>
      <c r="O1245" s="86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799"/>
    </row>
    <row r="1246" spans="1:27" s="210" customFormat="1" ht="15.75" customHeight="1">
      <c r="A1246" s="203" t="str">
        <f>IF(B1246&lt;&gt;"",IF(AND(B1246&gt;=_TM1,B1246&lt;=_TM2,OR(TH!L1246="1111",TH!M1246="1111")),TH!D1246,""),"")</f>
        <v/>
      </c>
      <c r="B1246" s="36">
        <f>IF(C1246&lt;&gt;"",MONTH(C1246),"")</f>
        <v>7</v>
      </c>
      <c r="C1246" s="183">
        <f>E1246</f>
        <v>42205</v>
      </c>
      <c r="D1246" s="183" t="s">
        <v>1531</v>
      </c>
      <c r="E1246" s="183">
        <v>42205</v>
      </c>
      <c r="F1246" s="188" t="s">
        <v>910</v>
      </c>
      <c r="G1246" s="482" t="s">
        <v>911</v>
      </c>
      <c r="H1246" s="7" t="s">
        <v>834</v>
      </c>
      <c r="I1246" s="255">
        <v>588</v>
      </c>
      <c r="J1246" s="255">
        <v>5900</v>
      </c>
      <c r="K1246" s="593">
        <f>ROUND(I1246*J1246,0)</f>
        <v>3469200</v>
      </c>
      <c r="L1246" s="594" t="s">
        <v>259</v>
      </c>
      <c r="M1246" s="594" t="s">
        <v>174</v>
      </c>
      <c r="N1246" s="52" t="str">
        <f>IF(AND('331-CT'!$E$7=TH!H1246,OR(L1246="331",M1246="331")),"331",IF(AND(OR(L1246="131",M1246="131"),H1246='131-CT'!$E$7),"131",""))</f>
        <v/>
      </c>
      <c r="O1246" s="86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799"/>
    </row>
    <row r="1247" spans="1:27" s="210" customFormat="1" ht="15.75" customHeight="1">
      <c r="A1247" s="203" t="str">
        <f>IF(B1247&lt;&gt;"",IF(AND(B1247&gt;=_TM1,B1247&lt;=_TM2,OR(TH!L1247="1111",TH!M1247="1111")),TH!D1247,""),"")</f>
        <v/>
      </c>
      <c r="B1247" s="36">
        <f>IF(C1247&lt;&gt;"",MONTH(C1247),"")</f>
        <v>7</v>
      </c>
      <c r="C1247" s="183">
        <f>E1247</f>
        <v>42205</v>
      </c>
      <c r="D1247" s="183" t="s">
        <v>1531</v>
      </c>
      <c r="E1247" s="183">
        <v>42205</v>
      </c>
      <c r="F1247" s="188" t="s">
        <v>402</v>
      </c>
      <c r="G1247" s="482" t="s">
        <v>911</v>
      </c>
      <c r="H1247" s="7" t="s">
        <v>834</v>
      </c>
      <c r="I1247" s="255"/>
      <c r="J1247" s="255"/>
      <c r="K1247" s="593">
        <v>685580</v>
      </c>
      <c r="L1247" s="594" t="s">
        <v>259</v>
      </c>
      <c r="M1247" s="594" t="s">
        <v>371</v>
      </c>
      <c r="N1247" s="52" t="str">
        <f>IF(AND('331-CT'!$E$7=TH!H1247,OR(L1247="331",M1247="331")),"331",IF(AND(OR(L1247="131",M1247="131"),H1247='131-CT'!$E$7),"131",""))</f>
        <v/>
      </c>
      <c r="O1247" s="86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799"/>
    </row>
    <row r="1248" spans="1:27" s="210" customFormat="1" ht="15.75" customHeight="1">
      <c r="A1248" s="203" t="str">
        <f>IF(B1248&lt;&gt;"",IF(AND(B1248&gt;=_TM1,B1248&lt;=_TM2,OR(TH!L1248="1111",TH!M1248="1111")),TH!D1248,""),"")</f>
        <v/>
      </c>
      <c r="B1248" s="36">
        <f>IF(C1248&lt;&gt;"",MONTH(C1248),"")</f>
        <v>7</v>
      </c>
      <c r="C1248" s="183">
        <f>E1248</f>
        <v>42205</v>
      </c>
      <c r="D1248" s="183" t="s">
        <v>1532</v>
      </c>
      <c r="E1248" s="183">
        <v>42205</v>
      </c>
      <c r="F1248" s="188" t="s">
        <v>830</v>
      </c>
      <c r="G1248" s="482" t="s">
        <v>912</v>
      </c>
      <c r="H1248" s="7" t="s">
        <v>832</v>
      </c>
      <c r="I1248" s="255">
        <v>280</v>
      </c>
      <c r="J1248" s="255">
        <v>10600</v>
      </c>
      <c r="K1248" s="593">
        <f>ROUND(I1248*J1248,0)</f>
        <v>2968000</v>
      </c>
      <c r="L1248" s="594" t="s">
        <v>259</v>
      </c>
      <c r="M1248" s="594" t="s">
        <v>174</v>
      </c>
      <c r="N1248" s="52" t="str">
        <f>IF(AND('331-CT'!$E$7=TH!H1248,OR(L1248="331",M1248="331")),"331",IF(AND(OR(L1248="131",M1248="131"),H1248='131-CT'!$E$7),"131",""))</f>
        <v/>
      </c>
      <c r="O1248" s="86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799"/>
    </row>
    <row r="1249" spans="1:27" s="210" customFormat="1" ht="15.75" customHeight="1">
      <c r="A1249" s="203" t="str">
        <f>IF(B1249&lt;&gt;"",IF(AND(B1249&gt;=_TM1,B1249&lt;=_TM2,OR(TH!L1249="1111",TH!M1249="1111")),TH!D1249,""),"")</f>
        <v/>
      </c>
      <c r="B1249" s="36">
        <f>IF(C1249&lt;&gt;"",MONTH(C1249),"")</f>
        <v>7</v>
      </c>
      <c r="C1249" s="183">
        <f>E1249</f>
        <v>42205</v>
      </c>
      <c r="D1249" s="183" t="s">
        <v>1532</v>
      </c>
      <c r="E1249" s="183">
        <v>42205</v>
      </c>
      <c r="F1249" s="191" t="s">
        <v>402</v>
      </c>
      <c r="G1249" s="482" t="s">
        <v>912</v>
      </c>
      <c r="H1249" s="7" t="s">
        <v>832</v>
      </c>
      <c r="I1249" s="255"/>
      <c r="J1249" s="255"/>
      <c r="K1249" s="593">
        <v>296800</v>
      </c>
      <c r="L1249" s="594" t="s">
        <v>259</v>
      </c>
      <c r="M1249" s="594" t="s">
        <v>371</v>
      </c>
      <c r="N1249" s="52" t="str">
        <f>IF(AND('331-CT'!$E$7=TH!H1249,OR(L1249="331",M1249="331")),"331",IF(AND(OR(L1249="131",M1249="131"),H1249='131-CT'!$E$7),"131",""))</f>
        <v/>
      </c>
      <c r="O1249" s="86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799"/>
    </row>
    <row r="1250" spans="1:27" s="210" customFormat="1" ht="15.75" customHeight="1">
      <c r="A1250" s="203" t="str">
        <f>IF(B1250&lt;&gt;"",IF(AND(B1250&gt;=_TM1,B1250&lt;=_TM2,OR(TH!L1250="1111",TH!M1250="1111")),TH!D1250,""),"")</f>
        <v/>
      </c>
      <c r="B1250" s="36">
        <f>IF(C1250&lt;&gt;"",MONTH(C1250),"")</f>
        <v>7</v>
      </c>
      <c r="C1250" s="183">
        <f>E1250</f>
        <v>42205</v>
      </c>
      <c r="D1250" s="183" t="s">
        <v>1533</v>
      </c>
      <c r="E1250" s="183">
        <v>42205</v>
      </c>
      <c r="F1250" s="188" t="s">
        <v>852</v>
      </c>
      <c r="G1250" s="482" t="s">
        <v>913</v>
      </c>
      <c r="H1250" s="7" t="s">
        <v>851</v>
      </c>
      <c r="I1250" s="255">
        <v>465</v>
      </c>
      <c r="J1250" s="255">
        <v>20027</v>
      </c>
      <c r="K1250" s="593">
        <f>ROUND(I1250*J1250,0)</f>
        <v>9312555</v>
      </c>
      <c r="L1250" s="594" t="s">
        <v>259</v>
      </c>
      <c r="M1250" s="594" t="s">
        <v>174</v>
      </c>
      <c r="N1250" s="52" t="str">
        <f>IF(AND('331-CT'!$E$7=TH!H1250,OR(L1250="331",M1250="331")),"331",IF(AND(OR(L1250="131",M1250="131"),H1250='131-CT'!$E$7),"131",""))</f>
        <v/>
      </c>
      <c r="O1250" s="86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799"/>
    </row>
    <row r="1251" spans="1:27" s="210" customFormat="1" ht="15.75" customHeight="1">
      <c r="A1251" s="203" t="str">
        <f>IF(B1251&lt;&gt;"",IF(AND(B1251&gt;=_TM1,B1251&lt;=_TM2,OR(TH!L1251="1111",TH!M1251="1111")),TH!D1251,""),"")</f>
        <v/>
      </c>
      <c r="B1251" s="36">
        <f>IF(C1251&lt;&gt;"",MONTH(C1251),"")</f>
        <v>7</v>
      </c>
      <c r="C1251" s="183">
        <f>E1251</f>
        <v>42205</v>
      </c>
      <c r="D1251" s="183" t="s">
        <v>1533</v>
      </c>
      <c r="E1251" s="183">
        <v>42205</v>
      </c>
      <c r="F1251" s="188" t="s">
        <v>849</v>
      </c>
      <c r="G1251" s="482" t="s">
        <v>913</v>
      </c>
      <c r="H1251" s="7" t="s">
        <v>851</v>
      </c>
      <c r="I1251" s="255">
        <v>92</v>
      </c>
      <c r="J1251" s="255">
        <v>17693</v>
      </c>
      <c r="K1251" s="593">
        <f>ROUND(I1251*J1251,0)</f>
        <v>1627756</v>
      </c>
      <c r="L1251" s="594" t="s">
        <v>259</v>
      </c>
      <c r="M1251" s="594" t="s">
        <v>174</v>
      </c>
      <c r="N1251" s="52" t="str">
        <f>IF(AND('331-CT'!$E$7=TH!H1251,OR(L1251="331",M1251="331")),"331",IF(AND(OR(L1251="131",M1251="131"),H1251='131-CT'!$E$7),"131",""))</f>
        <v/>
      </c>
      <c r="O1251" s="86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799"/>
    </row>
    <row r="1252" spans="1:27" s="210" customFormat="1" ht="15.75" customHeight="1">
      <c r="A1252" s="203" t="str">
        <f>IF(B1252&lt;&gt;"",IF(AND(B1252&gt;=_TM1,B1252&lt;=_TM2,OR(TH!L1252="1111",TH!M1252="1111")),TH!D1252,""),"")</f>
        <v/>
      </c>
      <c r="B1252" s="36">
        <f>IF(C1252&lt;&gt;"",MONTH(C1252),"")</f>
        <v>7</v>
      </c>
      <c r="C1252" s="183">
        <f>E1252</f>
        <v>42205</v>
      </c>
      <c r="D1252" s="183" t="s">
        <v>1533</v>
      </c>
      <c r="E1252" s="183">
        <v>42205</v>
      </c>
      <c r="F1252" s="188" t="s">
        <v>853</v>
      </c>
      <c r="G1252" s="482" t="s">
        <v>913</v>
      </c>
      <c r="H1252" s="7" t="s">
        <v>851</v>
      </c>
      <c r="I1252" s="255">
        <v>268</v>
      </c>
      <c r="J1252" s="255">
        <v>22253</v>
      </c>
      <c r="K1252" s="593">
        <f>ROUND(I1252*J1252,0)</f>
        <v>5963804</v>
      </c>
      <c r="L1252" s="594" t="s">
        <v>259</v>
      </c>
      <c r="M1252" s="594" t="s">
        <v>174</v>
      </c>
      <c r="N1252" s="52" t="str">
        <f>IF(AND('331-CT'!$E$7=TH!H1252,OR(L1252="331",M1252="331")),"331",IF(AND(OR(L1252="131",M1252="131"),H1252='131-CT'!$E$7),"131",""))</f>
        <v/>
      </c>
      <c r="O1252" s="86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799"/>
    </row>
    <row r="1253" spans="1:27" s="210" customFormat="1" ht="15.75" customHeight="1">
      <c r="A1253" s="203" t="str">
        <f>IF(B1253&lt;&gt;"",IF(AND(B1253&gt;=_TM1,B1253&lt;=_TM2,OR(TH!L1253="1111",TH!M1253="1111")),TH!D1253,""),"")</f>
        <v/>
      </c>
      <c r="B1253" s="36">
        <f>IF(C1253&lt;&gt;"",MONTH(C1253),"")</f>
        <v>7</v>
      </c>
      <c r="C1253" s="183">
        <f>E1253</f>
        <v>42205</v>
      </c>
      <c r="D1253" s="183" t="s">
        <v>1533</v>
      </c>
      <c r="E1253" s="183">
        <v>42205</v>
      </c>
      <c r="F1253" s="188" t="s">
        <v>402</v>
      </c>
      <c r="G1253" s="482" t="s">
        <v>913</v>
      </c>
      <c r="H1253" s="7" t="s">
        <v>851</v>
      </c>
      <c r="I1253" s="255"/>
      <c r="J1253" s="255"/>
      <c r="K1253" s="593">
        <v>1690412</v>
      </c>
      <c r="L1253" s="594" t="s">
        <v>259</v>
      </c>
      <c r="M1253" s="594" t="s">
        <v>371</v>
      </c>
      <c r="N1253" s="52" t="str">
        <f>IF(AND('331-CT'!$E$7=TH!H1253,OR(L1253="331",M1253="331")),"331",IF(AND(OR(L1253="131",M1253="131"),H1253='131-CT'!$E$7),"131",""))</f>
        <v/>
      </c>
      <c r="O1253" s="86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799"/>
    </row>
    <row r="1254" spans="1:27" s="210" customFormat="1" ht="15.75" customHeight="1">
      <c r="A1254" s="203" t="str">
        <f>IF(B1254&lt;&gt;"",IF(AND(B1254&gt;=_TM1,B1254&lt;=_TM2,OR(TH!L1254="1111",TH!M1254="1111")),TH!D1254,""),"")</f>
        <v/>
      </c>
      <c r="B1254" s="36">
        <f>IF(C1254&lt;&gt;"",MONTH(C1254),"")</f>
        <v>7</v>
      </c>
      <c r="C1254" s="183">
        <f>E1254</f>
        <v>42205</v>
      </c>
      <c r="D1254" s="183" t="s">
        <v>1534</v>
      </c>
      <c r="E1254" s="183">
        <v>42205</v>
      </c>
      <c r="F1254" s="188" t="s">
        <v>914</v>
      </c>
      <c r="G1254" s="482" t="s">
        <v>915</v>
      </c>
      <c r="H1254" s="7" t="s">
        <v>416</v>
      </c>
      <c r="I1254" s="255">
        <v>80</v>
      </c>
      <c r="J1254" s="255">
        <v>36400</v>
      </c>
      <c r="K1254" s="593">
        <f>ROUND(I1254*J1254,0)</f>
        <v>2912000</v>
      </c>
      <c r="L1254" s="594" t="s">
        <v>259</v>
      </c>
      <c r="M1254" s="594" t="s">
        <v>174</v>
      </c>
      <c r="N1254" s="52" t="str">
        <f>IF(AND('331-CT'!$E$7=TH!H1254,OR(L1254="331",M1254="331")),"331",IF(AND(OR(L1254="131",M1254="131"),H1254='131-CT'!$E$7),"131",""))</f>
        <v/>
      </c>
      <c r="O1254" s="86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799"/>
    </row>
    <row r="1255" spans="1:27" s="210" customFormat="1" ht="15.75" customHeight="1">
      <c r="A1255" s="203" t="str">
        <f>IF(B1255&lt;&gt;"",IF(AND(B1255&gt;=_TM1,B1255&lt;=_TM2,OR(TH!L1255="1111",TH!M1255="1111")),TH!D1255,""),"")</f>
        <v/>
      </c>
      <c r="B1255" s="36">
        <f>IF(C1255&lt;&gt;"",MONTH(C1255),"")</f>
        <v>7</v>
      </c>
      <c r="C1255" s="183">
        <f>E1255</f>
        <v>42205</v>
      </c>
      <c r="D1255" s="183" t="s">
        <v>1534</v>
      </c>
      <c r="E1255" s="183">
        <v>42205</v>
      </c>
      <c r="F1255" s="188" t="s">
        <v>1674</v>
      </c>
      <c r="G1255" s="482" t="s">
        <v>915</v>
      </c>
      <c r="H1255" s="7" t="s">
        <v>416</v>
      </c>
      <c r="I1255" s="255">
        <v>160</v>
      </c>
      <c r="J1255" s="255">
        <v>1100</v>
      </c>
      <c r="K1255" s="593">
        <f>ROUND(I1255*J1255,0)</f>
        <v>176000</v>
      </c>
      <c r="L1255" s="594" t="s">
        <v>259</v>
      </c>
      <c r="M1255" s="594" t="s">
        <v>174</v>
      </c>
      <c r="N1255" s="52" t="str">
        <f>IF(AND('331-CT'!$E$7=TH!H1255,OR(L1255="331",M1255="331")),"331",IF(AND(OR(L1255="131",M1255="131"),H1255='131-CT'!$E$7),"131",""))</f>
        <v/>
      </c>
      <c r="O1255" s="86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799"/>
    </row>
    <row r="1256" spans="1:27" s="210" customFormat="1" ht="15.75" customHeight="1">
      <c r="A1256" s="203" t="str">
        <f>IF(B1256&lt;&gt;"",IF(AND(B1256&gt;=_TM1,B1256&lt;=_TM2,OR(TH!L1256="1111",TH!M1256="1111")),TH!D1256,""),"")</f>
        <v/>
      </c>
      <c r="B1256" s="36">
        <f>IF(C1256&lt;&gt;"",MONTH(C1256),"")</f>
        <v>7</v>
      </c>
      <c r="C1256" s="183">
        <f>E1256</f>
        <v>42205</v>
      </c>
      <c r="D1256" s="183" t="s">
        <v>1534</v>
      </c>
      <c r="E1256" s="183">
        <v>42205</v>
      </c>
      <c r="F1256" s="191" t="s">
        <v>402</v>
      </c>
      <c r="G1256" s="482" t="s">
        <v>915</v>
      </c>
      <c r="H1256" s="7" t="s">
        <v>416</v>
      </c>
      <c r="I1256" s="255"/>
      <c r="J1256" s="255"/>
      <c r="K1256" s="593">
        <v>308800</v>
      </c>
      <c r="L1256" s="594" t="s">
        <v>259</v>
      </c>
      <c r="M1256" s="594" t="s">
        <v>371</v>
      </c>
      <c r="N1256" s="52" t="str">
        <f>IF(AND('331-CT'!$E$7=TH!H1256,OR(L1256="331",M1256="331")),"331",IF(AND(OR(L1256="131",M1256="131"),H1256='131-CT'!$E$7),"131",""))</f>
        <v/>
      </c>
      <c r="O1256" s="86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799"/>
    </row>
    <row r="1257" spans="1:27" s="210" customFormat="1" ht="15.75" customHeight="1">
      <c r="A1257" s="203" t="str">
        <f>IF(B1257&lt;&gt;"",IF(AND(B1257&gt;=_TM1,B1257&lt;=_TM2,OR(TH!L1257="1111",TH!M1257="1111")),TH!D1257,""),"")</f>
        <v/>
      </c>
      <c r="B1257" s="36">
        <f>IF(C1257&lt;&gt;"",MONTH(C1257),"")</f>
        <v>7</v>
      </c>
      <c r="C1257" s="183">
        <f>E1257</f>
        <v>42205</v>
      </c>
      <c r="D1257" s="183" t="s">
        <v>1535</v>
      </c>
      <c r="E1257" s="183">
        <v>42205</v>
      </c>
      <c r="F1257" s="191" t="s">
        <v>916</v>
      </c>
      <c r="G1257" s="482" t="s">
        <v>917</v>
      </c>
      <c r="H1257" s="209" t="s">
        <v>416</v>
      </c>
      <c r="I1257" s="255">
        <v>300</v>
      </c>
      <c r="J1257" s="255">
        <v>29520</v>
      </c>
      <c r="K1257" s="593">
        <f>ROUND(I1257*J1257,0)</f>
        <v>8856000</v>
      </c>
      <c r="L1257" s="594" t="s">
        <v>259</v>
      </c>
      <c r="M1257" s="594" t="s">
        <v>174</v>
      </c>
      <c r="N1257" s="52" t="str">
        <f>IF(AND('331-CT'!$E$7=TH!H1257,OR(L1257="331",M1257="331")),"331",IF(AND(OR(L1257="131",M1257="131"),H1257='131-CT'!$E$7),"131",""))</f>
        <v/>
      </c>
      <c r="O1257" s="86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799"/>
    </row>
    <row r="1258" spans="1:27" s="210" customFormat="1" ht="15.75" customHeight="1">
      <c r="A1258" s="203" t="str">
        <f>IF(B1258&lt;&gt;"",IF(AND(B1258&gt;=_TM1,B1258&lt;=_TM2,OR(TH!L1258="1111",TH!M1258="1111")),TH!D1258,""),"")</f>
        <v/>
      </c>
      <c r="B1258" s="36">
        <f>IF(C1258&lt;&gt;"",MONTH(C1258),"")</f>
        <v>7</v>
      </c>
      <c r="C1258" s="183">
        <f>E1258</f>
        <v>42205</v>
      </c>
      <c r="D1258" s="183" t="s">
        <v>1535</v>
      </c>
      <c r="E1258" s="183">
        <v>42205</v>
      </c>
      <c r="F1258" s="191" t="s">
        <v>1664</v>
      </c>
      <c r="G1258" s="482" t="s">
        <v>917</v>
      </c>
      <c r="H1258" s="209" t="s">
        <v>416</v>
      </c>
      <c r="I1258" s="255">
        <v>600</v>
      </c>
      <c r="J1258" s="255">
        <v>800</v>
      </c>
      <c r="K1258" s="593">
        <f>ROUND(I1258*J1258,0)</f>
        <v>480000</v>
      </c>
      <c r="L1258" s="594" t="s">
        <v>259</v>
      </c>
      <c r="M1258" s="594" t="s">
        <v>174</v>
      </c>
      <c r="N1258" s="52" t="str">
        <f>IF(AND('331-CT'!$E$7=TH!H1258,OR(L1258="331",M1258="331")),"331",IF(AND(OR(L1258="131",M1258="131"),H1258='131-CT'!$E$7),"131",""))</f>
        <v/>
      </c>
      <c r="O1258" s="86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799"/>
    </row>
    <row r="1259" spans="1:27" s="210" customFormat="1" ht="15.75" customHeight="1">
      <c r="A1259" s="203" t="str">
        <f>IF(B1259&lt;&gt;"",IF(AND(B1259&gt;=_TM1,B1259&lt;=_TM2,OR(TH!L1259="1111",TH!M1259="1111")),TH!D1259,""),"")</f>
        <v/>
      </c>
      <c r="B1259" s="36">
        <f>IF(C1259&lt;&gt;"",MONTH(C1259),"")</f>
        <v>7</v>
      </c>
      <c r="C1259" s="183">
        <f>E1259</f>
        <v>42205</v>
      </c>
      <c r="D1259" s="183" t="s">
        <v>1535</v>
      </c>
      <c r="E1259" s="183">
        <v>42205</v>
      </c>
      <c r="F1259" s="191" t="s">
        <v>402</v>
      </c>
      <c r="G1259" s="482" t="s">
        <v>917</v>
      </c>
      <c r="H1259" s="7" t="s">
        <v>416</v>
      </c>
      <c r="I1259" s="255"/>
      <c r="J1259" s="255"/>
      <c r="K1259" s="593">
        <v>933600</v>
      </c>
      <c r="L1259" s="594" t="s">
        <v>259</v>
      </c>
      <c r="M1259" s="594" t="s">
        <v>371</v>
      </c>
      <c r="N1259" s="52" t="str">
        <f>IF(AND('331-CT'!$E$7=TH!H1259,OR(L1259="331",M1259="331")),"331",IF(AND(OR(L1259="131",M1259="131"),H1259='131-CT'!$E$7),"131",""))</f>
        <v/>
      </c>
      <c r="O1259" s="86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799"/>
    </row>
    <row r="1260" spans="1:27" s="210" customFormat="1" ht="15.75" customHeight="1">
      <c r="A1260" s="203" t="str">
        <f>IF(B1260&lt;&gt;"",IF(AND(B1260&gt;=_TM1,B1260&lt;=_TM2,OR(TH!L1260="1111",TH!M1260="1111")),TH!D1260,""),"")</f>
        <v/>
      </c>
      <c r="B1260" s="36">
        <f>IF(C1260&lt;&gt;"",MONTH(C1260),"")</f>
        <v>7</v>
      </c>
      <c r="C1260" s="183">
        <f>E1260</f>
        <v>42205</v>
      </c>
      <c r="D1260" s="183" t="s">
        <v>1536</v>
      </c>
      <c r="E1260" s="183">
        <v>42205</v>
      </c>
      <c r="F1260" s="191" t="s">
        <v>398</v>
      </c>
      <c r="G1260" s="482" t="s">
        <v>918</v>
      </c>
      <c r="H1260" s="7" t="s">
        <v>400</v>
      </c>
      <c r="I1260" s="255">
        <v>607</v>
      </c>
      <c r="J1260" s="255">
        <v>5050</v>
      </c>
      <c r="K1260" s="593">
        <f>ROUND(I1260*J1260,0)</f>
        <v>3065350</v>
      </c>
      <c r="L1260" s="594" t="s">
        <v>259</v>
      </c>
      <c r="M1260" s="594" t="s">
        <v>174</v>
      </c>
      <c r="N1260" s="52" t="str">
        <f>IF(AND('331-CT'!$E$7=TH!H1260,OR(L1260="331",M1260="331")),"331",IF(AND(OR(L1260="131",M1260="131"),H1260='131-CT'!$E$7),"131",""))</f>
        <v/>
      </c>
      <c r="O1260" s="86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799"/>
    </row>
    <row r="1261" spans="1:27" s="210" customFormat="1" ht="15.75" customHeight="1">
      <c r="A1261" s="203" t="str">
        <f>IF(B1261&lt;&gt;"",IF(AND(B1261&gt;=_TM1,B1261&lt;=_TM2,OR(TH!L1261="1111",TH!M1261="1111")),TH!D1261,""),"")</f>
        <v/>
      </c>
      <c r="B1261" s="36">
        <f>IF(C1261&lt;&gt;"",MONTH(C1261),"")</f>
        <v>7</v>
      </c>
      <c r="C1261" s="183">
        <f>E1261</f>
        <v>42205</v>
      </c>
      <c r="D1261" s="183" t="s">
        <v>1536</v>
      </c>
      <c r="E1261" s="183">
        <v>42205</v>
      </c>
      <c r="F1261" s="191" t="s">
        <v>501</v>
      </c>
      <c r="G1261" s="482" t="s">
        <v>918</v>
      </c>
      <c r="H1261" s="7" t="s">
        <v>400</v>
      </c>
      <c r="I1261" s="255">
        <v>310</v>
      </c>
      <c r="J1261" s="255">
        <v>9800</v>
      </c>
      <c r="K1261" s="593">
        <f>ROUND(I1261*J1261,0)</f>
        <v>3038000</v>
      </c>
      <c r="L1261" s="594" t="s">
        <v>259</v>
      </c>
      <c r="M1261" s="594" t="s">
        <v>174</v>
      </c>
      <c r="N1261" s="52" t="str">
        <f>IF(AND('331-CT'!$E$7=TH!H1261,OR(L1261="331",M1261="331")),"331",IF(AND(OR(L1261="131",M1261="131"),H1261='131-CT'!$E$7),"131",""))</f>
        <v/>
      </c>
      <c r="O1261" s="86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799"/>
    </row>
    <row r="1262" spans="1:27" s="210" customFormat="1" ht="15.75" customHeight="1">
      <c r="A1262" s="203" t="str">
        <f>IF(B1262&lt;&gt;"",IF(AND(B1262&gt;=_TM1,B1262&lt;=_TM2,OR(TH!L1262="1111",TH!M1262="1111")),TH!D1262,""),"")</f>
        <v/>
      </c>
      <c r="B1262" s="36">
        <f>IF(C1262&lt;&gt;"",MONTH(C1262),"")</f>
        <v>7</v>
      </c>
      <c r="C1262" s="183">
        <f>E1262</f>
        <v>42205</v>
      </c>
      <c r="D1262" s="183" t="s">
        <v>1536</v>
      </c>
      <c r="E1262" s="183">
        <v>42205</v>
      </c>
      <c r="F1262" s="191" t="s">
        <v>919</v>
      </c>
      <c r="G1262" s="482" t="s">
        <v>918</v>
      </c>
      <c r="H1262" s="7" t="s">
        <v>400</v>
      </c>
      <c r="I1262" s="255">
        <v>295</v>
      </c>
      <c r="J1262" s="255">
        <v>5750</v>
      </c>
      <c r="K1262" s="593">
        <f>ROUND(I1262*J1262,0)</f>
        <v>1696250</v>
      </c>
      <c r="L1262" s="594" t="s">
        <v>259</v>
      </c>
      <c r="M1262" s="594" t="s">
        <v>174</v>
      </c>
      <c r="N1262" s="52" t="str">
        <f>IF(AND('331-CT'!$E$7=TH!H1262,OR(L1262="331",M1262="331")),"331",IF(AND(OR(L1262="131",M1262="131"),H1262='131-CT'!$E$7),"131",""))</f>
        <v/>
      </c>
      <c r="O1262" s="86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799"/>
    </row>
    <row r="1263" spans="1:27" s="210" customFormat="1" ht="15.75" customHeight="1">
      <c r="A1263" s="203" t="str">
        <f>IF(B1263&lt;&gt;"",IF(AND(B1263&gt;=_TM1,B1263&lt;=_TM2,OR(TH!L1263="1111",TH!M1263="1111")),TH!D1263,""),"")</f>
        <v/>
      </c>
      <c r="B1263" s="36">
        <f>IF(C1263&lt;&gt;"",MONTH(C1263),"")</f>
        <v>7</v>
      </c>
      <c r="C1263" s="183">
        <f>E1263</f>
        <v>42205</v>
      </c>
      <c r="D1263" s="183" t="s">
        <v>1536</v>
      </c>
      <c r="E1263" s="183">
        <v>42205</v>
      </c>
      <c r="F1263" s="191" t="s">
        <v>402</v>
      </c>
      <c r="G1263" s="482" t="s">
        <v>918</v>
      </c>
      <c r="H1263" s="7" t="s">
        <v>400</v>
      </c>
      <c r="I1263" s="255"/>
      <c r="J1263" s="255"/>
      <c r="K1263" s="593">
        <v>779960</v>
      </c>
      <c r="L1263" s="594" t="s">
        <v>259</v>
      </c>
      <c r="M1263" s="594" t="s">
        <v>371</v>
      </c>
      <c r="N1263" s="52" t="str">
        <f>IF(AND('331-CT'!$E$7=TH!H1263,OR(L1263="331",M1263="331")),"331",IF(AND(OR(L1263="131",M1263="131"),H1263='131-CT'!$E$7),"131",""))</f>
        <v/>
      </c>
      <c r="O1263" s="86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799"/>
    </row>
    <row r="1264" spans="1:27" s="210" customFormat="1" ht="15.75" customHeight="1">
      <c r="A1264" s="203" t="str">
        <f>IF(B1264&lt;&gt;"",IF(AND(B1264&gt;=_TM1,B1264&lt;=_TM2,OR(TH!L1264="1111",TH!M1264="1111")),TH!D1264,""),"")</f>
        <v/>
      </c>
      <c r="B1264" s="36">
        <f>IF(C1264&lt;&gt;"",MONTH(C1264),"")</f>
        <v>7</v>
      </c>
      <c r="C1264" s="183">
        <f>E1264</f>
        <v>42205</v>
      </c>
      <c r="D1264" s="183" t="s">
        <v>1537</v>
      </c>
      <c r="E1264" s="183">
        <v>42205</v>
      </c>
      <c r="F1264" s="191" t="s">
        <v>1761</v>
      </c>
      <c r="G1264" s="482" t="s">
        <v>920</v>
      </c>
      <c r="H1264" s="7" t="s">
        <v>1934</v>
      </c>
      <c r="I1264" s="255">
        <v>40</v>
      </c>
      <c r="J1264" s="255">
        <v>13213</v>
      </c>
      <c r="K1264" s="593">
        <f>ROUND(I1264*J1264,0)</f>
        <v>528520</v>
      </c>
      <c r="L1264" s="594" t="s">
        <v>259</v>
      </c>
      <c r="M1264" s="594" t="s">
        <v>174</v>
      </c>
      <c r="N1264" s="52" t="str">
        <f>IF(AND('331-CT'!$E$7=TH!H1264,OR(L1264="331",M1264="331")),"331",IF(AND(OR(L1264="131",M1264="131"),H1264='131-CT'!$E$7),"131",""))</f>
        <v/>
      </c>
      <c r="O1264" s="86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799"/>
    </row>
    <row r="1265" spans="1:27" s="210" customFormat="1" ht="15.75" customHeight="1">
      <c r="A1265" s="203" t="str">
        <f>IF(B1265&lt;&gt;"",IF(AND(B1265&gt;=_TM1,B1265&lt;=_TM2,OR(TH!L1265="1111",TH!M1265="1111")),TH!D1265,""),"")</f>
        <v/>
      </c>
      <c r="B1265" s="36">
        <f>IF(C1265&lt;&gt;"",MONTH(C1265),"")</f>
        <v>7</v>
      </c>
      <c r="C1265" s="183">
        <f>E1265</f>
        <v>42205</v>
      </c>
      <c r="D1265" s="183" t="s">
        <v>1537</v>
      </c>
      <c r="E1265" s="183">
        <v>42205</v>
      </c>
      <c r="F1265" s="191" t="s">
        <v>742</v>
      </c>
      <c r="G1265" s="482" t="s">
        <v>920</v>
      </c>
      <c r="H1265" s="7" t="s">
        <v>1934</v>
      </c>
      <c r="I1265" s="255">
        <v>65</v>
      </c>
      <c r="J1265" s="255">
        <v>17836</v>
      </c>
      <c r="K1265" s="593">
        <f>ROUND(I1265*J1265,0)</f>
        <v>1159340</v>
      </c>
      <c r="L1265" s="594" t="s">
        <v>259</v>
      </c>
      <c r="M1265" s="594" t="s">
        <v>174</v>
      </c>
      <c r="N1265" s="52" t="str">
        <f>IF(AND('331-CT'!$E$7=TH!H1265,OR(L1265="331",M1265="331")),"331",IF(AND(OR(L1265="131",M1265="131"),H1265='131-CT'!$E$7),"131",""))</f>
        <v/>
      </c>
      <c r="O1265" s="86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799"/>
    </row>
    <row r="1266" spans="1:27" s="210" customFormat="1" ht="15.75" customHeight="1">
      <c r="A1266" s="203" t="str">
        <f>IF(B1266&lt;&gt;"",IF(AND(B1266&gt;=_TM1,B1266&lt;=_TM2,OR(TH!L1266="1111",TH!M1266="1111")),TH!D1266,""),"")</f>
        <v/>
      </c>
      <c r="B1266" s="36">
        <f>IF(C1266&lt;&gt;"",MONTH(C1266),"")</f>
        <v>7</v>
      </c>
      <c r="C1266" s="183">
        <f>E1266</f>
        <v>42205</v>
      </c>
      <c r="D1266" s="183" t="s">
        <v>1537</v>
      </c>
      <c r="E1266" s="183">
        <v>42205</v>
      </c>
      <c r="F1266" s="191" t="s">
        <v>1762</v>
      </c>
      <c r="G1266" s="482" t="s">
        <v>920</v>
      </c>
      <c r="H1266" s="7" t="s">
        <v>1934</v>
      </c>
      <c r="I1266" s="255">
        <v>35</v>
      </c>
      <c r="J1266" s="255">
        <v>12467</v>
      </c>
      <c r="K1266" s="593">
        <f>ROUND(I1266*J1266,0)</f>
        <v>436345</v>
      </c>
      <c r="L1266" s="594" t="s">
        <v>259</v>
      </c>
      <c r="M1266" s="594" t="s">
        <v>174</v>
      </c>
      <c r="N1266" s="52" t="str">
        <f>IF(AND('331-CT'!$E$7=TH!H1266,OR(L1266="331",M1266="331")),"331",IF(AND(OR(L1266="131",M1266="131"),H1266='131-CT'!$E$7),"131",""))</f>
        <v/>
      </c>
      <c r="O1266" s="86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799"/>
    </row>
    <row r="1267" spans="1:27" s="210" customFormat="1" ht="15.75" customHeight="1">
      <c r="A1267" s="203" t="str">
        <f>IF(B1267&lt;&gt;"",IF(AND(B1267&gt;=_TM1,B1267&lt;=_TM2,OR(TH!L1267="1111",TH!M1267="1111")),TH!D1267,""),"")</f>
        <v/>
      </c>
      <c r="B1267" s="36">
        <f>IF(C1267&lt;&gt;"",MONTH(C1267),"")</f>
        <v>7</v>
      </c>
      <c r="C1267" s="183">
        <f>E1267</f>
        <v>42205</v>
      </c>
      <c r="D1267" s="183" t="s">
        <v>1537</v>
      </c>
      <c r="E1267" s="183">
        <v>42205</v>
      </c>
      <c r="F1267" s="188" t="s">
        <v>1763</v>
      </c>
      <c r="G1267" s="482" t="s">
        <v>920</v>
      </c>
      <c r="H1267" s="7" t="s">
        <v>1934</v>
      </c>
      <c r="I1267" s="255">
        <v>35</v>
      </c>
      <c r="J1267" s="255">
        <v>11671</v>
      </c>
      <c r="K1267" s="593">
        <f>ROUND(I1267*J1267,0)</f>
        <v>408485</v>
      </c>
      <c r="L1267" s="594" t="s">
        <v>259</v>
      </c>
      <c r="M1267" s="594" t="s">
        <v>174</v>
      </c>
      <c r="N1267" s="52" t="str">
        <f>IF(AND('331-CT'!$E$7=TH!H1267,OR(L1267="331",M1267="331")),"331",IF(AND(OR(L1267="131",M1267="131"),H1267='131-CT'!$E$7),"131",""))</f>
        <v/>
      </c>
      <c r="O1267" s="86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799"/>
    </row>
    <row r="1268" spans="1:27" s="210" customFormat="1" ht="15.75" customHeight="1">
      <c r="A1268" s="203" t="str">
        <f>IF(B1268&lt;&gt;"",IF(AND(B1268&gt;=_TM1,B1268&lt;=_TM2,OR(TH!L1268="1111",TH!M1268="1111")),TH!D1268,""),"")</f>
        <v/>
      </c>
      <c r="B1268" s="36">
        <f>IF(C1268&lt;&gt;"",MONTH(C1268),"")</f>
        <v>7</v>
      </c>
      <c r="C1268" s="183">
        <f>E1268</f>
        <v>42205</v>
      </c>
      <c r="D1268" s="183" t="s">
        <v>1537</v>
      </c>
      <c r="E1268" s="183">
        <v>42205</v>
      </c>
      <c r="F1268" s="188" t="s">
        <v>1764</v>
      </c>
      <c r="G1268" s="482" t="s">
        <v>920</v>
      </c>
      <c r="H1268" s="7" t="s">
        <v>1934</v>
      </c>
      <c r="I1268" s="255">
        <v>335</v>
      </c>
      <c r="J1268" s="255">
        <v>19365</v>
      </c>
      <c r="K1268" s="593">
        <f>ROUND(I1268*J1268,0)</f>
        <v>6487275</v>
      </c>
      <c r="L1268" s="594" t="s">
        <v>259</v>
      </c>
      <c r="M1268" s="594" t="s">
        <v>174</v>
      </c>
      <c r="N1268" s="52" t="str">
        <f>IF(AND('331-CT'!$E$7=TH!H1268,OR(L1268="331",M1268="331")),"331",IF(AND(OR(L1268="131",M1268="131"),H1268='131-CT'!$E$7),"131",""))</f>
        <v/>
      </c>
      <c r="O1268" s="86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799"/>
    </row>
    <row r="1269" spans="1:27" s="210" customFormat="1" ht="15.75" customHeight="1">
      <c r="A1269" s="203" t="str">
        <f>IF(B1269&lt;&gt;"",IF(AND(B1269&gt;=_TM1,B1269&lt;=_TM2,OR(TH!L1269="1111",TH!M1269="1111")),TH!D1269,""),"")</f>
        <v/>
      </c>
      <c r="B1269" s="36">
        <f>IF(C1269&lt;&gt;"",MONTH(C1269),"")</f>
        <v>7</v>
      </c>
      <c r="C1269" s="183">
        <f>E1269</f>
        <v>42205</v>
      </c>
      <c r="D1269" s="183" t="s">
        <v>1537</v>
      </c>
      <c r="E1269" s="183">
        <v>42205</v>
      </c>
      <c r="F1269" s="188" t="s">
        <v>1760</v>
      </c>
      <c r="G1269" s="482" t="s">
        <v>920</v>
      </c>
      <c r="H1269" s="7" t="s">
        <v>1934</v>
      </c>
      <c r="I1269" s="255">
        <v>25</v>
      </c>
      <c r="J1269" s="255">
        <v>12276</v>
      </c>
      <c r="K1269" s="593">
        <f>ROUND(I1269*J1269,0)</f>
        <v>306900</v>
      </c>
      <c r="L1269" s="594" t="s">
        <v>259</v>
      </c>
      <c r="M1269" s="594" t="s">
        <v>174</v>
      </c>
      <c r="N1269" s="52" t="str">
        <f>IF(AND('331-CT'!$E$7=TH!H1269,OR(L1269="331",M1269="331")),"331",IF(AND(OR(L1269="131",M1269="131"),H1269='131-CT'!$E$7),"131",""))</f>
        <v/>
      </c>
      <c r="O1269" s="86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799"/>
    </row>
    <row r="1270" spans="1:27" s="210" customFormat="1" ht="15.75" customHeight="1">
      <c r="A1270" s="203" t="str">
        <f>IF(B1270&lt;&gt;"",IF(AND(B1270&gt;=_TM1,B1270&lt;=_TM2,OR(TH!L1270="1111",TH!M1270="1111")),TH!D1270,""),"")</f>
        <v/>
      </c>
      <c r="B1270" s="36">
        <f>IF(C1270&lt;&gt;"",MONTH(C1270),"")</f>
        <v>7</v>
      </c>
      <c r="C1270" s="183">
        <f>E1270</f>
        <v>42205</v>
      </c>
      <c r="D1270" s="183" t="s">
        <v>1537</v>
      </c>
      <c r="E1270" s="183">
        <v>42205</v>
      </c>
      <c r="F1270" s="188" t="s">
        <v>1765</v>
      </c>
      <c r="G1270" s="482" t="s">
        <v>920</v>
      </c>
      <c r="H1270" s="7" t="s">
        <v>1934</v>
      </c>
      <c r="I1270" s="255">
        <v>600</v>
      </c>
      <c r="J1270" s="255">
        <v>9475</v>
      </c>
      <c r="K1270" s="593">
        <f>ROUND(I1270*J1270,0)</f>
        <v>5685000</v>
      </c>
      <c r="L1270" s="594" t="s">
        <v>259</v>
      </c>
      <c r="M1270" s="594" t="s">
        <v>174</v>
      </c>
      <c r="N1270" s="52" t="str">
        <f>IF(AND('331-CT'!$E$7=TH!H1270,OR(L1270="331",M1270="331")),"331",IF(AND(OR(L1270="131",M1270="131"),H1270='131-CT'!$E$7),"131",""))</f>
        <v/>
      </c>
      <c r="O1270" s="86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799"/>
    </row>
    <row r="1271" spans="1:27" s="210" customFormat="1" ht="15.75" customHeight="1">
      <c r="A1271" s="203" t="str">
        <f>IF(B1271&lt;&gt;"",IF(AND(B1271&gt;=_TM1,B1271&lt;=_TM2,OR(TH!L1271="1111",TH!M1271="1111")),TH!D1271,""),"")</f>
        <v/>
      </c>
      <c r="B1271" s="36">
        <f>IF(C1271&lt;&gt;"",MONTH(C1271),"")</f>
        <v>7</v>
      </c>
      <c r="C1271" s="183">
        <f>E1271</f>
        <v>42205</v>
      </c>
      <c r="D1271" s="183" t="s">
        <v>1537</v>
      </c>
      <c r="E1271" s="183">
        <v>42205</v>
      </c>
      <c r="F1271" s="188" t="s">
        <v>695</v>
      </c>
      <c r="G1271" s="482" t="s">
        <v>920</v>
      </c>
      <c r="H1271" s="7" t="s">
        <v>1934</v>
      </c>
      <c r="I1271" s="255">
        <v>63</v>
      </c>
      <c r="J1271" s="255">
        <v>15523</v>
      </c>
      <c r="K1271" s="593">
        <f>ROUND(I1271*J1271,0)</f>
        <v>977949</v>
      </c>
      <c r="L1271" s="594" t="s">
        <v>259</v>
      </c>
      <c r="M1271" s="594" t="s">
        <v>174</v>
      </c>
      <c r="N1271" s="52" t="str">
        <f>IF(AND('331-CT'!$E$7=TH!H1271,OR(L1271="331",M1271="331")),"331",IF(AND(OR(L1271="131",M1271="131"),H1271='131-CT'!$E$7),"131",""))</f>
        <v/>
      </c>
      <c r="O1271" s="86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799"/>
    </row>
    <row r="1272" spans="1:27" s="210" customFormat="1" ht="15.75" customHeight="1">
      <c r="A1272" s="203" t="str">
        <f>IF(B1272&lt;&gt;"",IF(AND(B1272&gt;=_TM1,B1272&lt;=_TM2,OR(TH!L1272="1111",TH!M1272="1111")),TH!D1272,""),"")</f>
        <v/>
      </c>
      <c r="B1272" s="36">
        <f>IF(C1272&lt;&gt;"",MONTH(C1272),"")</f>
        <v>7</v>
      </c>
      <c r="C1272" s="183">
        <f>E1272</f>
        <v>42205</v>
      </c>
      <c r="D1272" s="183" t="s">
        <v>1537</v>
      </c>
      <c r="E1272" s="183">
        <v>42205</v>
      </c>
      <c r="F1272" s="188" t="s">
        <v>720</v>
      </c>
      <c r="G1272" s="482" t="s">
        <v>920</v>
      </c>
      <c r="H1272" s="7" t="s">
        <v>1934</v>
      </c>
      <c r="I1272" s="255">
        <v>84</v>
      </c>
      <c r="J1272" s="255">
        <v>15365</v>
      </c>
      <c r="K1272" s="593">
        <f>ROUND(I1272*J1272,0)</f>
        <v>1290660</v>
      </c>
      <c r="L1272" s="594" t="s">
        <v>259</v>
      </c>
      <c r="M1272" s="594" t="s">
        <v>174</v>
      </c>
      <c r="N1272" s="52" t="str">
        <f>IF(AND('331-CT'!$E$7=TH!H1272,OR(L1272="331",M1272="331")),"331",IF(AND(OR(L1272="131",M1272="131"),H1272='131-CT'!$E$7),"131",""))</f>
        <v/>
      </c>
      <c r="O1272" s="86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799"/>
    </row>
    <row r="1273" spans="1:27" s="210" customFormat="1" ht="15.75" customHeight="1">
      <c r="A1273" s="203" t="str">
        <f>IF(B1273&lt;&gt;"",IF(AND(B1273&gt;=_TM1,B1273&lt;=_TM2,OR(TH!L1273="1111",TH!M1273="1111")),TH!D1273,""),"")</f>
        <v/>
      </c>
      <c r="B1273" s="36">
        <f>IF(C1273&lt;&gt;"",MONTH(C1273),"")</f>
        <v>7</v>
      </c>
      <c r="C1273" s="183">
        <f>E1273</f>
        <v>42205</v>
      </c>
      <c r="D1273" s="183" t="s">
        <v>1537</v>
      </c>
      <c r="E1273" s="183">
        <v>42205</v>
      </c>
      <c r="F1273" s="188" t="s">
        <v>722</v>
      </c>
      <c r="G1273" s="482" t="s">
        <v>920</v>
      </c>
      <c r="H1273" s="7" t="s">
        <v>1934</v>
      </c>
      <c r="I1273" s="255">
        <v>57</v>
      </c>
      <c r="J1273" s="255">
        <v>12672</v>
      </c>
      <c r="K1273" s="593">
        <f>ROUND(I1273*J1273,0)</f>
        <v>722304</v>
      </c>
      <c r="L1273" s="594" t="s">
        <v>259</v>
      </c>
      <c r="M1273" s="594" t="s">
        <v>174</v>
      </c>
      <c r="N1273" s="52" t="str">
        <f>IF(AND('331-CT'!$E$7=TH!H1273,OR(L1273="331",M1273="331")),"331",IF(AND(OR(L1273="131",M1273="131"),H1273='131-CT'!$E$7),"131",""))</f>
        <v/>
      </c>
      <c r="O1273" s="86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799"/>
    </row>
    <row r="1274" spans="1:27" s="210" customFormat="1" ht="15.75" customHeight="1">
      <c r="A1274" s="203" t="str">
        <f>IF(B1274&lt;&gt;"",IF(AND(B1274&gt;=_TM1,B1274&lt;=_TM2,OR(TH!L1274="1111",TH!M1274="1111")),TH!D1274,""),"")</f>
        <v/>
      </c>
      <c r="B1274" s="36">
        <f>IF(C1274&lt;&gt;"",MONTH(C1274),"")</f>
        <v>7</v>
      </c>
      <c r="C1274" s="183">
        <f>E1274</f>
        <v>42205</v>
      </c>
      <c r="D1274" s="183" t="s">
        <v>1537</v>
      </c>
      <c r="E1274" s="183">
        <v>42205</v>
      </c>
      <c r="F1274" s="188" t="s">
        <v>731</v>
      </c>
      <c r="G1274" s="482" t="s">
        <v>920</v>
      </c>
      <c r="H1274" s="7" t="s">
        <v>1934</v>
      </c>
      <c r="I1274" s="255"/>
      <c r="J1274" s="255"/>
      <c r="K1274" s="593">
        <v>1800278</v>
      </c>
      <c r="L1274" s="594" t="s">
        <v>259</v>
      </c>
      <c r="M1274" s="594" t="s">
        <v>371</v>
      </c>
      <c r="N1274" s="52" t="str">
        <f>IF(AND('331-CT'!$E$7=TH!H1274,OR(L1274="331",M1274="331")),"331",IF(AND(OR(L1274="131",M1274="131"),H1274='131-CT'!$E$7),"131",""))</f>
        <v/>
      </c>
      <c r="O1274" s="86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799"/>
    </row>
    <row r="1275" spans="1:27" s="210" customFormat="1" ht="15.75" customHeight="1">
      <c r="A1275" s="203" t="str">
        <f>IF(B1275&lt;&gt;"",IF(AND(B1275&gt;=_TM1,B1275&lt;=_TM2,OR(TH!L1275="1111",TH!M1275="1111")),TH!D1275,""),"")</f>
        <v/>
      </c>
      <c r="B1275" s="36">
        <f>IF(C1275&lt;&gt;"",MONTH(C1275),"")</f>
        <v>7</v>
      </c>
      <c r="C1275" s="183">
        <f>E1275</f>
        <v>42205</v>
      </c>
      <c r="D1275" s="183" t="s">
        <v>1538</v>
      </c>
      <c r="E1275" s="183">
        <v>42205</v>
      </c>
      <c r="F1275" s="188" t="s">
        <v>921</v>
      </c>
      <c r="G1275" s="482" t="s">
        <v>922</v>
      </c>
      <c r="H1275" s="7" t="s">
        <v>733</v>
      </c>
      <c r="I1275" s="255">
        <v>31</v>
      </c>
      <c r="J1275" s="255">
        <v>16070</v>
      </c>
      <c r="K1275" s="593">
        <f>ROUND(I1275*J1275,0)</f>
        <v>498170</v>
      </c>
      <c r="L1275" s="594" t="s">
        <v>259</v>
      </c>
      <c r="M1275" s="594" t="s">
        <v>174</v>
      </c>
      <c r="N1275" s="52" t="str">
        <f>IF(AND('331-CT'!$E$7=TH!H1275,OR(L1275="331",M1275="331")),"331",IF(AND(OR(L1275="131",M1275="131"),H1275='131-CT'!$E$7),"131",""))</f>
        <v/>
      </c>
      <c r="O1275" s="86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799"/>
    </row>
    <row r="1276" spans="1:27" s="210" customFormat="1" ht="15.75" customHeight="1">
      <c r="A1276" s="203" t="str">
        <f>IF(B1276&lt;&gt;"",IF(AND(B1276&gt;=_TM1,B1276&lt;=_TM2,OR(TH!L1276="1111",TH!M1276="1111")),TH!D1276,""),"")</f>
        <v/>
      </c>
      <c r="B1276" s="36">
        <f>IF(C1276&lt;&gt;"",MONTH(C1276),"")</f>
        <v>7</v>
      </c>
      <c r="C1276" s="183">
        <f>E1276</f>
        <v>42205</v>
      </c>
      <c r="D1276" s="183" t="s">
        <v>1538</v>
      </c>
      <c r="E1276" s="183">
        <v>42205</v>
      </c>
      <c r="F1276" s="188" t="s">
        <v>923</v>
      </c>
      <c r="G1276" s="482" t="s">
        <v>922</v>
      </c>
      <c r="H1276" s="7" t="s">
        <v>733</v>
      </c>
      <c r="I1276" s="255">
        <v>23</v>
      </c>
      <c r="J1276" s="255">
        <v>27926</v>
      </c>
      <c r="K1276" s="593">
        <f>ROUND(I1276*J1276,0)</f>
        <v>642298</v>
      </c>
      <c r="L1276" s="594" t="s">
        <v>259</v>
      </c>
      <c r="M1276" s="594" t="s">
        <v>174</v>
      </c>
      <c r="N1276" s="52" t="str">
        <f>IF(AND('331-CT'!$E$7=TH!H1276,OR(L1276="331",M1276="331")),"331",IF(AND(OR(L1276="131",M1276="131"),H1276='131-CT'!$E$7),"131",""))</f>
        <v/>
      </c>
      <c r="O1276" s="86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799"/>
    </row>
    <row r="1277" spans="1:27" s="210" customFormat="1" ht="15.75" customHeight="1">
      <c r="A1277" s="203" t="str">
        <f>IF(B1277&lt;&gt;"",IF(AND(B1277&gt;=_TM1,B1277&lt;=_TM2,OR(TH!L1277="1111",TH!M1277="1111")),TH!D1277,""),"")</f>
        <v/>
      </c>
      <c r="B1277" s="36">
        <f>IF(C1277&lt;&gt;"",MONTH(C1277),"")</f>
        <v>7</v>
      </c>
      <c r="C1277" s="183">
        <f>E1277</f>
        <v>42205</v>
      </c>
      <c r="D1277" s="183" t="s">
        <v>1538</v>
      </c>
      <c r="E1277" s="183">
        <v>42205</v>
      </c>
      <c r="F1277" s="188" t="s">
        <v>924</v>
      </c>
      <c r="G1277" s="482" t="s">
        <v>922</v>
      </c>
      <c r="H1277" s="7" t="s">
        <v>733</v>
      </c>
      <c r="I1277" s="255">
        <v>100</v>
      </c>
      <c r="J1277" s="255">
        <v>30237</v>
      </c>
      <c r="K1277" s="593">
        <f>ROUND(I1277*J1277,0)</f>
        <v>3023700</v>
      </c>
      <c r="L1277" s="594" t="s">
        <v>259</v>
      </c>
      <c r="M1277" s="594" t="s">
        <v>174</v>
      </c>
      <c r="N1277" s="52" t="str">
        <f>IF(AND('331-CT'!$E$7=TH!H1277,OR(L1277="331",M1277="331")),"331",IF(AND(OR(L1277="131",M1277="131"),H1277='131-CT'!$E$7),"131",""))</f>
        <v/>
      </c>
      <c r="O1277" s="86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799"/>
    </row>
    <row r="1278" spans="1:27" s="210" customFormat="1" ht="15.75" customHeight="1">
      <c r="A1278" s="203" t="str">
        <f>IF(B1278&lt;&gt;"",IF(AND(B1278&gt;=_TM1,B1278&lt;=_TM2,OR(TH!L1278="1111",TH!M1278="1111")),TH!D1278,""),"")</f>
        <v/>
      </c>
      <c r="B1278" s="36">
        <f>IF(C1278&lt;&gt;"",MONTH(C1278),"")</f>
        <v>7</v>
      </c>
      <c r="C1278" s="183">
        <f>E1278</f>
        <v>42205</v>
      </c>
      <c r="D1278" s="183" t="s">
        <v>1538</v>
      </c>
      <c r="E1278" s="183">
        <v>42205</v>
      </c>
      <c r="F1278" s="188" t="s">
        <v>925</v>
      </c>
      <c r="G1278" s="482" t="s">
        <v>922</v>
      </c>
      <c r="H1278" s="7" t="s">
        <v>733</v>
      </c>
      <c r="I1278" s="255">
        <v>10</v>
      </c>
      <c r="J1278" s="255">
        <v>35053</v>
      </c>
      <c r="K1278" s="593">
        <f>ROUND(I1278*J1278,0)</f>
        <v>350530</v>
      </c>
      <c r="L1278" s="594" t="s">
        <v>259</v>
      </c>
      <c r="M1278" s="594" t="s">
        <v>174</v>
      </c>
      <c r="N1278" s="52" t="str">
        <f>IF(AND('331-CT'!$E$7=TH!H1278,OR(L1278="331",M1278="331")),"331",IF(AND(OR(L1278="131",M1278="131"),H1278='131-CT'!$E$7),"131",""))</f>
        <v/>
      </c>
      <c r="O1278" s="86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799"/>
    </row>
    <row r="1279" spans="1:27" s="210" customFormat="1" ht="15.75" customHeight="1">
      <c r="A1279" s="203" t="str">
        <f>IF(B1279&lt;&gt;"",IF(AND(B1279&gt;=_TM1,B1279&lt;=_TM2,OR(TH!L1279="1111",TH!M1279="1111")),TH!D1279,""),"")</f>
        <v/>
      </c>
      <c r="B1279" s="36">
        <f>IF(C1279&lt;&gt;"",MONTH(C1279),"")</f>
        <v>7</v>
      </c>
      <c r="C1279" s="183">
        <f>E1279</f>
        <v>42205</v>
      </c>
      <c r="D1279" s="183" t="s">
        <v>1538</v>
      </c>
      <c r="E1279" s="183">
        <v>42205</v>
      </c>
      <c r="F1279" s="188" t="s">
        <v>926</v>
      </c>
      <c r="G1279" s="482" t="s">
        <v>922</v>
      </c>
      <c r="H1279" s="7" t="s">
        <v>733</v>
      </c>
      <c r="I1279" s="255">
        <v>26</v>
      </c>
      <c r="J1279" s="255">
        <v>42230</v>
      </c>
      <c r="K1279" s="593">
        <f>ROUND(I1279*J1279,0)</f>
        <v>1097980</v>
      </c>
      <c r="L1279" s="594" t="s">
        <v>259</v>
      </c>
      <c r="M1279" s="594" t="s">
        <v>174</v>
      </c>
      <c r="N1279" s="52" t="str">
        <f>IF(AND('331-CT'!$E$7=TH!H1279,OR(L1279="331",M1279="331")),"331",IF(AND(OR(L1279="131",M1279="131"),H1279='131-CT'!$E$7),"131",""))</f>
        <v/>
      </c>
      <c r="O1279" s="86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799"/>
    </row>
    <row r="1280" spans="1:27" s="210" customFormat="1" ht="15.75" customHeight="1">
      <c r="A1280" s="203" t="str">
        <f>IF(B1280&lt;&gt;"",IF(AND(B1280&gt;=_TM1,B1280&lt;=_TM2,OR(TH!L1280="1111",TH!M1280="1111")),TH!D1280,""),"")</f>
        <v/>
      </c>
      <c r="B1280" s="36">
        <f>IF(C1280&lt;&gt;"",MONTH(C1280),"")</f>
        <v>7</v>
      </c>
      <c r="C1280" s="183">
        <f>E1280</f>
        <v>42205</v>
      </c>
      <c r="D1280" s="183" t="s">
        <v>1538</v>
      </c>
      <c r="E1280" s="183">
        <v>42205</v>
      </c>
      <c r="F1280" s="191" t="s">
        <v>927</v>
      </c>
      <c r="G1280" s="482" t="s">
        <v>922</v>
      </c>
      <c r="H1280" s="7" t="s">
        <v>733</v>
      </c>
      <c r="I1280" s="255">
        <v>116</v>
      </c>
      <c r="J1280" s="255">
        <v>84823</v>
      </c>
      <c r="K1280" s="593">
        <f>ROUND(I1280*J1280,0)</f>
        <v>9839468</v>
      </c>
      <c r="L1280" s="594" t="s">
        <v>259</v>
      </c>
      <c r="M1280" s="594" t="s">
        <v>174</v>
      </c>
      <c r="N1280" s="52" t="str">
        <f>IF(AND('331-CT'!$E$7=TH!H1280,OR(L1280="331",M1280="331")),"331",IF(AND(OR(L1280="131",M1280="131"),H1280='131-CT'!$E$7),"131",""))</f>
        <v/>
      </c>
      <c r="O1280" s="86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799"/>
    </row>
    <row r="1281" spans="1:27" s="210" customFormat="1" ht="15.75" customHeight="1">
      <c r="A1281" s="203" t="str">
        <f>IF(B1281&lt;&gt;"",IF(AND(B1281&gt;=_TM1,B1281&lt;=_TM2,OR(TH!L1281="1111",TH!M1281="1111")),TH!D1281,""),"")</f>
        <v/>
      </c>
      <c r="B1281" s="36">
        <f>IF(C1281&lt;&gt;"",MONTH(C1281),"")</f>
        <v>7</v>
      </c>
      <c r="C1281" s="183">
        <f>E1281</f>
        <v>42205</v>
      </c>
      <c r="D1281" s="183" t="s">
        <v>1538</v>
      </c>
      <c r="E1281" s="183">
        <v>42205</v>
      </c>
      <c r="F1281" s="188" t="s">
        <v>402</v>
      </c>
      <c r="G1281" s="482" t="s">
        <v>922</v>
      </c>
      <c r="H1281" s="7" t="s">
        <v>733</v>
      </c>
      <c r="I1281" s="255"/>
      <c r="J1281" s="255"/>
      <c r="K1281" s="593">
        <v>1545215</v>
      </c>
      <c r="L1281" s="594" t="s">
        <v>259</v>
      </c>
      <c r="M1281" s="594" t="s">
        <v>371</v>
      </c>
      <c r="N1281" s="52" t="str">
        <f>IF(AND('331-CT'!$E$7=TH!H1281,OR(L1281="331",M1281="331")),"331",IF(AND(OR(L1281="131",M1281="131"),H1281='131-CT'!$E$7),"131",""))</f>
        <v/>
      </c>
      <c r="O1281" s="86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799"/>
    </row>
    <row r="1282" spans="1:27" s="210" customFormat="1" ht="15.75" customHeight="1">
      <c r="A1282" s="203" t="str">
        <f>IF(B1282&lt;&gt;"",IF(AND(B1282&gt;=_TM1,B1282&lt;=_TM2,OR(TH!L1282="1111",TH!M1282="1111")),TH!D1282,""),"")</f>
        <v/>
      </c>
      <c r="B1282" s="36">
        <f>IF(C1282&lt;&gt;"",MONTH(C1282),"")</f>
        <v>7</v>
      </c>
      <c r="C1282" s="183">
        <f>E1282</f>
        <v>42205</v>
      </c>
      <c r="D1282" s="183" t="s">
        <v>1538</v>
      </c>
      <c r="E1282" s="183">
        <v>42205</v>
      </c>
      <c r="F1282" s="191" t="s">
        <v>1320</v>
      </c>
      <c r="G1282" s="482" t="s">
        <v>2037</v>
      </c>
      <c r="H1282" s="7" t="s">
        <v>733</v>
      </c>
      <c r="I1282" s="255"/>
      <c r="J1282" s="255"/>
      <c r="K1282" s="593">
        <f>18780748+15658170+16997361</f>
        <v>51436279</v>
      </c>
      <c r="L1282" s="594" t="s">
        <v>47</v>
      </c>
      <c r="M1282" s="594" t="s">
        <v>259</v>
      </c>
      <c r="N1282" s="52" t="str">
        <f>IF(AND('331-CT'!$E$7=TH!H1282,OR(L1282="331",M1282="331")),"331",IF(AND(OR(L1282="131",M1282="131"),H1282='131-CT'!$E$7),"131",""))</f>
        <v/>
      </c>
      <c r="O1282" s="86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799"/>
    </row>
    <row r="1283" spans="1:27" s="210" customFormat="1" ht="15.75" customHeight="1">
      <c r="A1283" s="203" t="str">
        <f>IF(B1283&lt;&gt;"",IF(AND(B1283&gt;=_TM1,B1283&lt;=_TM2,OR(TH!L1283="1111",TH!M1283="1111")),TH!D1283,""),"")</f>
        <v/>
      </c>
      <c r="B1283" s="36">
        <f>IF(C1283&lt;&gt;"",MONTH(C1283),"")</f>
        <v>7</v>
      </c>
      <c r="C1283" s="183">
        <f>E1283</f>
        <v>42205</v>
      </c>
      <c r="D1283" s="190" t="s">
        <v>1324</v>
      </c>
      <c r="E1283" s="727">
        <v>42205</v>
      </c>
      <c r="F1283" s="191" t="s">
        <v>1896</v>
      </c>
      <c r="G1283" s="482" t="s">
        <v>1907</v>
      </c>
      <c r="H1283" s="192" t="s">
        <v>1923</v>
      </c>
      <c r="I1283" s="255"/>
      <c r="J1283" s="255"/>
      <c r="K1283" s="593">
        <v>21000000</v>
      </c>
      <c r="L1283" s="193" t="s">
        <v>24</v>
      </c>
      <c r="M1283" s="594" t="s">
        <v>47</v>
      </c>
      <c r="N1283" s="52" t="str">
        <f>IF(AND('331-CT'!$E$7=TH!H1283,OR(L1283="331",M1283="331")),"331",IF(AND(OR(L1283="131",M1283="131"),H1283='131-CT'!$E$7),"131",""))</f>
        <v/>
      </c>
      <c r="O1283" s="86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799"/>
    </row>
    <row r="1284" spans="1:27" s="210" customFormat="1" ht="15.75" customHeight="1">
      <c r="A1284" s="203" t="str">
        <f>IF(B1284&lt;&gt;"",IF(AND(B1284&gt;=_TM1,B1284&lt;=_TM2,OR(TH!L1284="1111",TH!M1284="1111")),TH!D1284,""),"")</f>
        <v/>
      </c>
      <c r="B1284" s="36">
        <f>IF(C1284&lt;&gt;"",MONTH(C1284),"")</f>
        <v>7</v>
      </c>
      <c r="C1284" s="183">
        <f>E1284</f>
        <v>42205</v>
      </c>
      <c r="D1284" s="190" t="s">
        <v>1324</v>
      </c>
      <c r="E1284" s="727">
        <v>42205</v>
      </c>
      <c r="F1284" s="191" t="s">
        <v>1924</v>
      </c>
      <c r="G1284" s="482" t="s">
        <v>1907</v>
      </c>
      <c r="H1284" s="192" t="s">
        <v>1909</v>
      </c>
      <c r="I1284" s="255"/>
      <c r="J1284" s="255"/>
      <c r="K1284" s="593">
        <v>20885250</v>
      </c>
      <c r="L1284" s="594" t="s">
        <v>81</v>
      </c>
      <c r="M1284" s="594" t="s">
        <v>24</v>
      </c>
      <c r="N1284" s="52" t="str">
        <f>IF(AND('331-CT'!$E$7=TH!H1284,OR(L1284="331",M1284="331")),"331",IF(AND(OR(L1284="131",M1284="131"),H1284='131-CT'!$E$7),"131",""))</f>
        <v/>
      </c>
      <c r="O1284" s="86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799"/>
    </row>
    <row r="1285" spans="1:27" s="210" customFormat="1" ht="15.75" customHeight="1">
      <c r="A1285" s="203" t="str">
        <f>IF(B1285&lt;&gt;"",IF(AND(B1285&gt;=_TM1,B1285&lt;=_TM2,OR(TH!L1285="1111",TH!M1285="1111")),TH!D1285,""),"")</f>
        <v/>
      </c>
      <c r="B1285" s="36">
        <f>IF(C1285&lt;&gt;"",MONTH(C1285),"")</f>
        <v>7</v>
      </c>
      <c r="C1285" s="183">
        <f>E1285</f>
        <v>42206</v>
      </c>
      <c r="D1285" s="183" t="s">
        <v>1539</v>
      </c>
      <c r="E1285" s="183">
        <v>42206</v>
      </c>
      <c r="F1285" s="188" t="s">
        <v>1766</v>
      </c>
      <c r="G1285" s="482" t="s">
        <v>928</v>
      </c>
      <c r="H1285" s="7" t="s">
        <v>1934</v>
      </c>
      <c r="I1285" s="255">
        <v>550</v>
      </c>
      <c r="J1285" s="255">
        <v>10910</v>
      </c>
      <c r="K1285" s="593">
        <f>ROUND(I1285*J1285,0)</f>
        <v>6000500</v>
      </c>
      <c r="L1285" s="594" t="s">
        <v>259</v>
      </c>
      <c r="M1285" s="594" t="s">
        <v>174</v>
      </c>
      <c r="N1285" s="52" t="str">
        <f>IF(AND('331-CT'!$E$7=TH!H1285,OR(L1285="331",M1285="331")),"331",IF(AND(OR(L1285="131",M1285="131"),H1285='131-CT'!$E$7),"131",""))</f>
        <v/>
      </c>
      <c r="O1285" s="86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799"/>
    </row>
    <row r="1286" spans="1:27" s="210" customFormat="1" ht="15.75" customHeight="1">
      <c r="A1286" s="203" t="str">
        <f>IF(B1286&lt;&gt;"",IF(AND(B1286&gt;=_TM1,B1286&lt;=_TM2,OR(TH!L1286="1111",TH!M1286="1111")),TH!D1286,""),"")</f>
        <v/>
      </c>
      <c r="B1286" s="36">
        <f>IF(C1286&lt;&gt;"",MONTH(C1286),"")</f>
        <v>7</v>
      </c>
      <c r="C1286" s="183">
        <f>E1286</f>
        <v>42206</v>
      </c>
      <c r="D1286" s="183" t="s">
        <v>1539</v>
      </c>
      <c r="E1286" s="183">
        <v>42206</v>
      </c>
      <c r="F1286" s="40" t="s">
        <v>1806</v>
      </c>
      <c r="G1286" s="482" t="s">
        <v>928</v>
      </c>
      <c r="H1286" s="7" t="s">
        <v>1934</v>
      </c>
      <c r="I1286" s="255">
        <v>200</v>
      </c>
      <c r="J1286" s="255">
        <v>11302</v>
      </c>
      <c r="K1286" s="593">
        <f>ROUND(I1286*J1286,0)</f>
        <v>2260400</v>
      </c>
      <c r="L1286" s="594" t="s">
        <v>259</v>
      </c>
      <c r="M1286" s="594" t="s">
        <v>174</v>
      </c>
      <c r="N1286" s="52" t="str">
        <f>IF(AND('331-CT'!$E$7=TH!H1286,OR(L1286="331",M1286="331")),"331",IF(AND(OR(L1286="131",M1286="131"),H1286='131-CT'!$E$7),"131",""))</f>
        <v/>
      </c>
      <c r="O1286" s="86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799"/>
    </row>
    <row r="1287" spans="1:27" s="210" customFormat="1" ht="15.75" customHeight="1">
      <c r="A1287" s="203" t="str">
        <f>IF(B1287&lt;&gt;"",IF(AND(B1287&gt;=_TM1,B1287&lt;=_TM2,OR(TH!L1287="1111",TH!M1287="1111")),TH!D1287,""),"")</f>
        <v/>
      </c>
      <c r="B1287" s="36">
        <f>IF(C1287&lt;&gt;"",MONTH(C1287),"")</f>
        <v>7</v>
      </c>
      <c r="C1287" s="183">
        <f>E1287</f>
        <v>42206</v>
      </c>
      <c r="D1287" s="183" t="s">
        <v>1539</v>
      </c>
      <c r="E1287" s="183">
        <v>42206</v>
      </c>
      <c r="F1287" s="188" t="s">
        <v>1741</v>
      </c>
      <c r="G1287" s="482" t="s">
        <v>928</v>
      </c>
      <c r="H1287" s="7" t="s">
        <v>1934</v>
      </c>
      <c r="I1287" s="255">
        <v>270</v>
      </c>
      <c r="J1287" s="255">
        <v>10156</v>
      </c>
      <c r="K1287" s="593">
        <f>ROUND(I1287*J1287,0)</f>
        <v>2742120</v>
      </c>
      <c r="L1287" s="594" t="s">
        <v>259</v>
      </c>
      <c r="M1287" s="594" t="s">
        <v>174</v>
      </c>
      <c r="N1287" s="52" t="str">
        <f>IF(AND('331-CT'!$E$7=TH!H1287,OR(L1287="331",M1287="331")),"331",IF(AND(OR(L1287="131",M1287="131"),H1287='131-CT'!$E$7),"131",""))</f>
        <v/>
      </c>
      <c r="O1287" s="86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799"/>
    </row>
    <row r="1288" spans="1:27" s="210" customFormat="1" ht="15.75" customHeight="1">
      <c r="A1288" s="203" t="str">
        <f>IF(B1288&lt;&gt;"",IF(AND(B1288&gt;=_TM1,B1288&lt;=_TM2,OR(TH!L1288="1111",TH!M1288="1111")),TH!D1288,""),"")</f>
        <v/>
      </c>
      <c r="B1288" s="36">
        <f>IF(C1288&lt;&gt;"",MONTH(C1288),"")</f>
        <v>7</v>
      </c>
      <c r="C1288" s="183">
        <f>E1288</f>
        <v>42206</v>
      </c>
      <c r="D1288" s="183" t="s">
        <v>1539</v>
      </c>
      <c r="E1288" s="183">
        <v>42206</v>
      </c>
      <c r="F1288" s="188" t="s">
        <v>725</v>
      </c>
      <c r="G1288" s="482" t="s">
        <v>928</v>
      </c>
      <c r="H1288" s="7" t="s">
        <v>1934</v>
      </c>
      <c r="I1288" s="255">
        <v>500</v>
      </c>
      <c r="J1288" s="255">
        <v>9246</v>
      </c>
      <c r="K1288" s="593">
        <f>ROUND(I1288*J1288,0)</f>
        <v>4623000</v>
      </c>
      <c r="L1288" s="594" t="s">
        <v>259</v>
      </c>
      <c r="M1288" s="594" t="s">
        <v>174</v>
      </c>
      <c r="N1288" s="52" t="str">
        <f>IF(AND('331-CT'!$E$7=TH!H1288,OR(L1288="331",M1288="331")),"331",IF(AND(OR(L1288="131",M1288="131"),H1288='131-CT'!$E$7),"131",""))</f>
        <v/>
      </c>
      <c r="O1288" s="86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799"/>
    </row>
    <row r="1289" spans="1:27" s="210" customFormat="1" ht="15.75" customHeight="1">
      <c r="A1289" s="203" t="str">
        <f>IF(B1289&lt;&gt;"",IF(AND(B1289&gt;=_TM1,B1289&lt;=_TM2,OR(TH!L1289="1111",TH!M1289="1111")),TH!D1289,""),"")</f>
        <v/>
      </c>
      <c r="B1289" s="36">
        <f>IF(C1289&lt;&gt;"",MONTH(C1289),"")</f>
        <v>7</v>
      </c>
      <c r="C1289" s="183">
        <f>E1289</f>
        <v>42206</v>
      </c>
      <c r="D1289" s="183" t="s">
        <v>1539</v>
      </c>
      <c r="E1289" s="183">
        <v>42206</v>
      </c>
      <c r="F1289" s="191" t="s">
        <v>672</v>
      </c>
      <c r="G1289" s="482" t="s">
        <v>928</v>
      </c>
      <c r="H1289" s="7" t="s">
        <v>1934</v>
      </c>
      <c r="I1289" s="255">
        <v>60</v>
      </c>
      <c r="J1289" s="255">
        <v>13690</v>
      </c>
      <c r="K1289" s="593">
        <f>ROUND(I1289*J1289,0)</f>
        <v>821400</v>
      </c>
      <c r="L1289" s="594" t="s">
        <v>259</v>
      </c>
      <c r="M1289" s="594" t="s">
        <v>174</v>
      </c>
      <c r="N1289" s="52" t="str">
        <f>IF(AND('331-CT'!$E$7=TH!H1289,OR(L1289="331",M1289="331")),"331",IF(AND(OR(L1289="131",M1289="131"),H1289='131-CT'!$E$7),"131",""))</f>
        <v/>
      </c>
      <c r="O1289" s="86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799"/>
    </row>
    <row r="1290" spans="1:27" s="210" customFormat="1" ht="15.75" customHeight="1">
      <c r="A1290" s="203" t="str">
        <f>IF(B1290&lt;&gt;"",IF(AND(B1290&gt;=_TM1,B1290&lt;=_TM2,OR(TH!L1290="1111",TH!M1290="1111")),TH!D1290,""),"")</f>
        <v/>
      </c>
      <c r="B1290" s="36">
        <f>IF(C1290&lt;&gt;"",MONTH(C1290),"")</f>
        <v>7</v>
      </c>
      <c r="C1290" s="183">
        <f>E1290</f>
        <v>42206</v>
      </c>
      <c r="D1290" s="183" t="s">
        <v>1539</v>
      </c>
      <c r="E1290" s="183">
        <v>42206</v>
      </c>
      <c r="F1290" s="191" t="s">
        <v>1845</v>
      </c>
      <c r="G1290" s="482" t="s">
        <v>928</v>
      </c>
      <c r="H1290" s="7" t="s">
        <v>1934</v>
      </c>
      <c r="I1290" s="255">
        <v>50</v>
      </c>
      <c r="J1290" s="255">
        <v>5490</v>
      </c>
      <c r="K1290" s="593">
        <f>ROUND(I1290*J1290,0)</f>
        <v>274500</v>
      </c>
      <c r="L1290" s="594" t="s">
        <v>259</v>
      </c>
      <c r="M1290" s="594" t="s">
        <v>174</v>
      </c>
      <c r="N1290" s="52" t="str">
        <f>IF(AND('331-CT'!$E$7=TH!H1290,OR(L1290="331",M1290="331")),"331",IF(AND(OR(L1290="131",M1290="131"),H1290='131-CT'!$E$7),"131",""))</f>
        <v/>
      </c>
      <c r="O1290" s="86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799"/>
    </row>
    <row r="1291" spans="1:27" s="210" customFormat="1" ht="15.75" customHeight="1">
      <c r="A1291" s="203" t="str">
        <f>IF(B1291&lt;&gt;"",IF(AND(B1291&gt;=_TM1,B1291&lt;=_TM2,OR(TH!L1291="1111",TH!M1291="1111")),TH!D1291,""),"")</f>
        <v/>
      </c>
      <c r="B1291" s="36">
        <f>IF(C1291&lt;&gt;"",MONTH(C1291),"")</f>
        <v>7</v>
      </c>
      <c r="C1291" s="183">
        <f>E1291</f>
        <v>42206</v>
      </c>
      <c r="D1291" s="183" t="s">
        <v>1539</v>
      </c>
      <c r="E1291" s="183">
        <v>42206</v>
      </c>
      <c r="F1291" s="191" t="s">
        <v>1709</v>
      </c>
      <c r="G1291" s="482" t="s">
        <v>928</v>
      </c>
      <c r="H1291" s="7" t="s">
        <v>1934</v>
      </c>
      <c r="I1291" s="255">
        <v>80</v>
      </c>
      <c r="J1291" s="255">
        <v>4667</v>
      </c>
      <c r="K1291" s="593">
        <f>ROUND(I1291*J1291,0)</f>
        <v>373360</v>
      </c>
      <c r="L1291" s="594" t="s">
        <v>259</v>
      </c>
      <c r="M1291" s="594" t="s">
        <v>174</v>
      </c>
      <c r="N1291" s="52" t="str">
        <f>IF(AND('331-CT'!$E$7=TH!H1291,OR(L1291="331",M1291="331")),"331",IF(AND(OR(L1291="131",M1291="131"),H1291='131-CT'!$E$7),"131",""))</f>
        <v/>
      </c>
      <c r="O1291" s="86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799"/>
    </row>
    <row r="1292" spans="1:27" s="210" customFormat="1" ht="15.75" customHeight="1">
      <c r="A1292" s="203" t="str">
        <f>IF(B1292&lt;&gt;"",IF(AND(B1292&gt;=_TM1,B1292&lt;=_TM2,OR(TH!L1292="1111",TH!M1292="1111")),TH!D1292,""),"")</f>
        <v/>
      </c>
      <c r="B1292" s="36">
        <f>IF(C1292&lt;&gt;"",MONTH(C1292),"")</f>
        <v>7</v>
      </c>
      <c r="C1292" s="183">
        <f>E1292</f>
        <v>42206</v>
      </c>
      <c r="D1292" s="183" t="s">
        <v>1539</v>
      </c>
      <c r="E1292" s="183">
        <v>42206</v>
      </c>
      <c r="F1292" s="188" t="s">
        <v>1769</v>
      </c>
      <c r="G1292" s="482" t="s">
        <v>928</v>
      </c>
      <c r="H1292" s="7" t="s">
        <v>1934</v>
      </c>
      <c r="I1292" s="255">
        <v>120</v>
      </c>
      <c r="J1292" s="255">
        <v>14187</v>
      </c>
      <c r="K1292" s="593">
        <f>ROUND(I1292*J1292,0)</f>
        <v>1702440</v>
      </c>
      <c r="L1292" s="594" t="s">
        <v>259</v>
      </c>
      <c r="M1292" s="594" t="s">
        <v>174</v>
      </c>
      <c r="N1292" s="52" t="str">
        <f>IF(AND('331-CT'!$E$7=TH!H1292,OR(L1292="331",M1292="331")),"331",IF(AND(OR(L1292="131",M1292="131"),H1292='131-CT'!$E$7),"131",""))</f>
        <v/>
      </c>
      <c r="O1292" s="86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799"/>
    </row>
    <row r="1293" spans="1:27" s="210" customFormat="1" ht="15.75" customHeight="1">
      <c r="A1293" s="203" t="str">
        <f>IF(B1293&lt;&gt;"",IF(AND(B1293&gt;=_TM1,B1293&lt;=_TM2,OR(TH!L1293="1111",TH!M1293="1111")),TH!D1293,""),"")</f>
        <v/>
      </c>
      <c r="B1293" s="36">
        <f>IF(C1293&lt;&gt;"",MONTH(C1293),"")</f>
        <v>7</v>
      </c>
      <c r="C1293" s="183">
        <f>E1293</f>
        <v>42206</v>
      </c>
      <c r="D1293" s="183" t="s">
        <v>1539</v>
      </c>
      <c r="E1293" s="183">
        <v>42206</v>
      </c>
      <c r="F1293" s="188" t="s">
        <v>731</v>
      </c>
      <c r="G1293" s="482" t="s">
        <v>928</v>
      </c>
      <c r="H1293" s="7" t="s">
        <v>1934</v>
      </c>
      <c r="I1293" s="255"/>
      <c r="J1293" s="255"/>
      <c r="K1293" s="593">
        <v>1879772</v>
      </c>
      <c r="L1293" s="594" t="s">
        <v>259</v>
      </c>
      <c r="M1293" s="594" t="s">
        <v>371</v>
      </c>
      <c r="N1293" s="52" t="str">
        <f>IF(AND('331-CT'!$E$7=TH!H1293,OR(L1293="331",M1293="331")),"331",IF(AND(OR(L1293="131",M1293="131"),H1293='131-CT'!$E$7),"131",""))</f>
        <v/>
      </c>
      <c r="O1293" s="86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799"/>
    </row>
    <row r="1294" spans="1:27" s="210" customFormat="1" ht="15.75" customHeight="1">
      <c r="A1294" s="203" t="str">
        <f>IF(B1294&lt;&gt;"",IF(AND(B1294&gt;=_TM1,B1294&lt;=_TM2,OR(TH!L1294="1111",TH!M1294="1111")),TH!D1294,""),"")</f>
        <v/>
      </c>
      <c r="B1294" s="36">
        <f>IF(C1294&lt;&gt;"",MONTH(C1294),"")</f>
        <v>7</v>
      </c>
      <c r="C1294" s="183">
        <f>E1294</f>
        <v>42206</v>
      </c>
      <c r="D1294" s="183" t="s">
        <v>1319</v>
      </c>
      <c r="E1294" s="190">
        <v>42206</v>
      </c>
      <c r="F1294" s="191" t="s">
        <v>1320</v>
      </c>
      <c r="G1294" s="482" t="s">
        <v>332</v>
      </c>
      <c r="H1294" s="7" t="s">
        <v>832</v>
      </c>
      <c r="I1294" s="255"/>
      <c r="J1294" s="255"/>
      <c r="K1294" s="593">
        <v>5666760</v>
      </c>
      <c r="L1294" s="594" t="s">
        <v>24</v>
      </c>
      <c r="M1294" s="594" t="s">
        <v>259</v>
      </c>
      <c r="N1294" s="52" t="str">
        <f>IF(AND('331-CT'!$E$7=TH!H1294,OR(L1294="331",M1294="331")),"331",IF(AND(OR(L1294="131",M1294="131"),H1294='131-CT'!$E$7),"131",""))</f>
        <v/>
      </c>
      <c r="O1294" s="86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>x</v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799"/>
    </row>
    <row r="1295" spans="1:27" s="210" customFormat="1" ht="15.75" customHeight="1">
      <c r="A1295" s="203" t="str">
        <f>IF(B1295&lt;&gt;"",IF(AND(B1295&gt;=_TM1,B1295&lt;=_TM2,OR(TH!L1295="1111",TH!M1295="1111")),TH!D1295,""),"")</f>
        <v/>
      </c>
      <c r="B1295" s="36">
        <f>IF(C1295&lt;&gt;"",MONTH(C1295),"")</f>
        <v>7</v>
      </c>
      <c r="C1295" s="183">
        <f>E1295</f>
        <v>42207</v>
      </c>
      <c r="D1295" s="183" t="s">
        <v>1319</v>
      </c>
      <c r="E1295" s="190">
        <v>42207</v>
      </c>
      <c r="F1295" s="191" t="s">
        <v>1320</v>
      </c>
      <c r="G1295" s="482" t="s">
        <v>332</v>
      </c>
      <c r="H1295" s="7" t="s">
        <v>869</v>
      </c>
      <c r="I1295" s="255"/>
      <c r="J1295" s="255"/>
      <c r="K1295" s="593">
        <v>59959512</v>
      </c>
      <c r="L1295" s="594" t="s">
        <v>24</v>
      </c>
      <c r="M1295" s="594" t="s">
        <v>259</v>
      </c>
      <c r="N1295" s="52" t="str">
        <f>IF(AND('331-CT'!$E$7=TH!H1295,OR(L1295="331",M1295="331")),"331",IF(AND(OR(L1295="131",M1295="131"),H1295='131-CT'!$E$7),"131",""))</f>
        <v/>
      </c>
      <c r="O1295" s="86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>x</v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799"/>
    </row>
    <row r="1296" spans="1:27" s="210" customFormat="1" ht="15.75" customHeight="1">
      <c r="A1296" s="203" t="str">
        <f>IF(B1296&lt;&gt;"",IF(AND(B1296&gt;=_TM1,B1296&lt;=_TM2,OR(TH!L1296="1111",TH!M1296="1111")),TH!D1296,""),"")</f>
        <v/>
      </c>
      <c r="B1296" s="36">
        <f>IF(C1296&lt;&gt;"",MONTH(C1296),"")</f>
        <v>7</v>
      </c>
      <c r="C1296" s="183">
        <f>E1296</f>
        <v>42207</v>
      </c>
      <c r="D1296" s="183" t="s">
        <v>1319</v>
      </c>
      <c r="E1296" s="190">
        <v>42207</v>
      </c>
      <c r="F1296" s="191" t="s">
        <v>1320</v>
      </c>
      <c r="G1296" s="482" t="s">
        <v>332</v>
      </c>
      <c r="H1296" s="7" t="s">
        <v>837</v>
      </c>
      <c r="I1296" s="255"/>
      <c r="J1296" s="255"/>
      <c r="K1296" s="593">
        <v>16442800</v>
      </c>
      <c r="L1296" s="594" t="s">
        <v>24</v>
      </c>
      <c r="M1296" s="594" t="s">
        <v>259</v>
      </c>
      <c r="N1296" s="52" t="str">
        <f>IF(AND('331-CT'!$E$7=TH!H1296,OR(L1296="331",M1296="331")),"331",IF(AND(OR(L1296="131",M1296="131"),H1296='131-CT'!$E$7),"131",""))</f>
        <v/>
      </c>
      <c r="O1296" s="86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>x</v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799"/>
    </row>
    <row r="1297" spans="1:27" s="210" customFormat="1" ht="15.75" customHeight="1">
      <c r="A1297" s="203" t="str">
        <f>IF(B1297&lt;&gt;"",IF(AND(B1297&gt;=_TM1,B1297&lt;=_TM2,OR(TH!L1297="1111",TH!M1297="1111")),TH!D1297,""),"")</f>
        <v/>
      </c>
      <c r="B1297" s="36">
        <f>IF(C1297&lt;&gt;"",MONTH(C1297),"")</f>
        <v>7</v>
      </c>
      <c r="C1297" s="183">
        <f>E1297</f>
        <v>42208</v>
      </c>
      <c r="D1297" s="183" t="s">
        <v>1540</v>
      </c>
      <c r="E1297" s="183">
        <v>42208</v>
      </c>
      <c r="F1297" s="188" t="s">
        <v>929</v>
      </c>
      <c r="G1297" s="482" t="s">
        <v>930</v>
      </c>
      <c r="H1297" s="7" t="s">
        <v>453</v>
      </c>
      <c r="I1297" s="255">
        <v>301</v>
      </c>
      <c r="J1297" s="255">
        <v>12900</v>
      </c>
      <c r="K1297" s="593">
        <f>ROUND(I1297*J1297,0)</f>
        <v>3882900</v>
      </c>
      <c r="L1297" s="594" t="s">
        <v>259</v>
      </c>
      <c r="M1297" s="594" t="s">
        <v>174</v>
      </c>
      <c r="N1297" s="52" t="str">
        <f>IF(AND('331-CT'!$E$7=TH!H1297,OR(L1297="331",M1297="331")),"331",IF(AND(OR(L1297="131",M1297="131"),H1297='131-CT'!$E$7),"131",""))</f>
        <v/>
      </c>
      <c r="O1297" s="86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799"/>
    </row>
    <row r="1298" spans="1:27" s="210" customFormat="1" ht="15.75" customHeight="1">
      <c r="A1298" s="203" t="str">
        <f>IF(B1298&lt;&gt;"",IF(AND(B1298&gt;=_TM1,B1298&lt;=_TM2,OR(TH!L1298="1111",TH!M1298="1111")),TH!D1298,""),"")</f>
        <v/>
      </c>
      <c r="B1298" s="36">
        <f>IF(C1298&lt;&gt;"",MONTH(C1298),"")</f>
        <v>7</v>
      </c>
      <c r="C1298" s="183">
        <f>E1298</f>
        <v>42208</v>
      </c>
      <c r="D1298" s="183" t="s">
        <v>1540</v>
      </c>
      <c r="E1298" s="183">
        <v>42208</v>
      </c>
      <c r="F1298" s="188" t="s">
        <v>931</v>
      </c>
      <c r="G1298" s="482" t="s">
        <v>930</v>
      </c>
      <c r="H1298" s="7" t="s">
        <v>453</v>
      </c>
      <c r="I1298" s="255">
        <v>200</v>
      </c>
      <c r="J1298" s="255">
        <v>9800</v>
      </c>
      <c r="K1298" s="593">
        <f>ROUND(I1298*J1298,0)</f>
        <v>1960000</v>
      </c>
      <c r="L1298" s="594" t="s">
        <v>259</v>
      </c>
      <c r="M1298" s="594" t="s">
        <v>174</v>
      </c>
      <c r="N1298" s="52" t="str">
        <f>IF(AND('331-CT'!$E$7=TH!H1298,OR(L1298="331",M1298="331")),"331",IF(AND(OR(L1298="131",M1298="131"),H1298='131-CT'!$E$7),"131",""))</f>
        <v/>
      </c>
      <c r="O1298" s="86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799"/>
    </row>
    <row r="1299" spans="1:27" s="210" customFormat="1" ht="15.75" customHeight="1">
      <c r="A1299" s="203" t="str">
        <f>IF(B1299&lt;&gt;"",IF(AND(B1299&gt;=_TM1,B1299&lt;=_TM2,OR(TH!L1299="1111",TH!M1299="1111")),TH!D1299,""),"")</f>
        <v/>
      </c>
      <c r="B1299" s="36">
        <f>IF(C1299&lt;&gt;"",MONTH(C1299),"")</f>
        <v>7</v>
      </c>
      <c r="C1299" s="183">
        <f>E1299</f>
        <v>42208</v>
      </c>
      <c r="D1299" s="183" t="s">
        <v>1540</v>
      </c>
      <c r="E1299" s="183">
        <v>42208</v>
      </c>
      <c r="F1299" s="188" t="s">
        <v>540</v>
      </c>
      <c r="G1299" s="482" t="s">
        <v>930</v>
      </c>
      <c r="H1299" s="7" t="s">
        <v>453</v>
      </c>
      <c r="I1299" s="255">
        <v>204</v>
      </c>
      <c r="J1299" s="255">
        <v>8600</v>
      </c>
      <c r="K1299" s="593">
        <f>ROUND(I1299*J1299,0)</f>
        <v>1754400</v>
      </c>
      <c r="L1299" s="594" t="s">
        <v>259</v>
      </c>
      <c r="M1299" s="594" t="s">
        <v>174</v>
      </c>
      <c r="N1299" s="52" t="str">
        <f>IF(AND('331-CT'!$E$7=TH!H1299,OR(L1299="331",M1299="331")),"331",IF(AND(OR(L1299="131",M1299="131"),H1299='131-CT'!$E$7),"131",""))</f>
        <v/>
      </c>
      <c r="O1299" s="86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799"/>
    </row>
    <row r="1300" spans="1:27" s="210" customFormat="1" ht="15.75" customHeight="1">
      <c r="A1300" s="203" t="str">
        <f>IF(B1300&lt;&gt;"",IF(AND(B1300&gt;=_TM1,B1300&lt;=_TM2,OR(TH!L1300="1111",TH!M1300="1111")),TH!D1300,""),"")</f>
        <v/>
      </c>
      <c r="B1300" s="36">
        <f>IF(C1300&lt;&gt;"",MONTH(C1300),"")</f>
        <v>7</v>
      </c>
      <c r="C1300" s="183">
        <f>E1300</f>
        <v>42208</v>
      </c>
      <c r="D1300" s="183" t="s">
        <v>1540</v>
      </c>
      <c r="E1300" s="183">
        <v>42208</v>
      </c>
      <c r="F1300" s="188" t="s">
        <v>402</v>
      </c>
      <c r="G1300" s="482" t="s">
        <v>930</v>
      </c>
      <c r="H1300" s="7" t="s">
        <v>453</v>
      </c>
      <c r="I1300" s="255"/>
      <c r="J1300" s="255"/>
      <c r="K1300" s="593">
        <v>759730</v>
      </c>
      <c r="L1300" s="594" t="s">
        <v>259</v>
      </c>
      <c r="M1300" s="594" t="s">
        <v>371</v>
      </c>
      <c r="N1300" s="52" t="str">
        <f>IF(AND('331-CT'!$E$7=TH!H1300,OR(L1300="331",M1300="331")),"331",IF(AND(OR(L1300="131",M1300="131"),H1300='131-CT'!$E$7),"131",""))</f>
        <v/>
      </c>
      <c r="O1300" s="86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799"/>
    </row>
    <row r="1301" spans="1:27" s="210" customFormat="1" ht="15.75" customHeight="1">
      <c r="A1301" s="203" t="str">
        <f>IF(B1301&lt;&gt;"",IF(AND(B1301&gt;=_TM1,B1301&lt;=_TM2,OR(TH!L1301="1111",TH!M1301="1111")),TH!D1301,""),"")</f>
        <v/>
      </c>
      <c r="B1301" s="36">
        <f>IF(C1301&lt;&gt;"",MONTH(C1301),"")</f>
        <v>7</v>
      </c>
      <c r="C1301" s="183">
        <f>E1301</f>
        <v>42208</v>
      </c>
      <c r="D1301" s="183" t="s">
        <v>1541</v>
      </c>
      <c r="E1301" s="183">
        <v>42208</v>
      </c>
      <c r="F1301" s="188" t="s">
        <v>781</v>
      </c>
      <c r="G1301" s="482" t="s">
        <v>932</v>
      </c>
      <c r="H1301" s="7" t="s">
        <v>783</v>
      </c>
      <c r="I1301" s="255">
        <v>500</v>
      </c>
      <c r="J1301" s="255">
        <v>20000</v>
      </c>
      <c r="K1301" s="593">
        <f>ROUND(I1301*J1301,0)</f>
        <v>10000000</v>
      </c>
      <c r="L1301" s="594" t="s">
        <v>259</v>
      </c>
      <c r="M1301" s="594" t="s">
        <v>174</v>
      </c>
      <c r="N1301" s="52" t="str">
        <f>IF(AND('331-CT'!$E$7=TH!H1301,OR(L1301="331",M1301="331")),"331",IF(AND(OR(L1301="131",M1301="131"),H1301='131-CT'!$E$7),"131",""))</f>
        <v/>
      </c>
      <c r="O1301" s="86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799"/>
    </row>
    <row r="1302" spans="1:27" s="210" customFormat="1" ht="15.75" customHeight="1">
      <c r="A1302" s="203" t="str">
        <f>IF(B1302&lt;&gt;"",IF(AND(B1302&gt;=_TM1,B1302&lt;=_TM2,OR(TH!L1302="1111",TH!M1302="1111")),TH!D1302,""),"")</f>
        <v/>
      </c>
      <c r="B1302" s="36">
        <f>IF(C1302&lt;&gt;"",MONTH(C1302),"")</f>
        <v>7</v>
      </c>
      <c r="C1302" s="183">
        <f>E1302</f>
        <v>42208</v>
      </c>
      <c r="D1302" s="183" t="s">
        <v>1541</v>
      </c>
      <c r="E1302" s="183">
        <v>42208</v>
      </c>
      <c r="F1302" s="188" t="s">
        <v>402</v>
      </c>
      <c r="G1302" s="482" t="s">
        <v>932</v>
      </c>
      <c r="H1302" s="7" t="s">
        <v>783</v>
      </c>
      <c r="I1302" s="255"/>
      <c r="J1302" s="255"/>
      <c r="K1302" s="593">
        <v>1000000</v>
      </c>
      <c r="L1302" s="594" t="s">
        <v>259</v>
      </c>
      <c r="M1302" s="594" t="s">
        <v>371</v>
      </c>
      <c r="N1302" s="52" t="str">
        <f>IF(AND('331-CT'!$E$7=TH!H1302,OR(L1302="331",M1302="331")),"331",IF(AND(OR(L1302="131",M1302="131"),H1302='131-CT'!$E$7),"131",""))</f>
        <v/>
      </c>
      <c r="O1302" s="86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799"/>
    </row>
    <row r="1303" spans="1:27" s="210" customFormat="1" ht="15.75" customHeight="1">
      <c r="A1303" s="203" t="str">
        <f>IF(B1303&lt;&gt;"",IF(AND(B1303&gt;=_TM1,B1303&lt;=_TM2,OR(TH!L1303="1111",TH!M1303="1111")),TH!D1303,""),"")</f>
        <v/>
      </c>
      <c r="B1303" s="36">
        <f>IF(C1303&lt;&gt;"",MONTH(C1303),"")</f>
        <v>7</v>
      </c>
      <c r="C1303" s="183">
        <f>E1303</f>
        <v>42208</v>
      </c>
      <c r="D1303" s="183" t="s">
        <v>1542</v>
      </c>
      <c r="E1303" s="183">
        <v>42208</v>
      </c>
      <c r="F1303" s="191" t="s">
        <v>1767</v>
      </c>
      <c r="G1303" s="482" t="s">
        <v>933</v>
      </c>
      <c r="H1303" s="7" t="s">
        <v>1934</v>
      </c>
      <c r="I1303" s="255">
        <v>100</v>
      </c>
      <c r="J1303" s="255">
        <v>15898</v>
      </c>
      <c r="K1303" s="593">
        <f>ROUND(I1303*J1303,0)</f>
        <v>1589800</v>
      </c>
      <c r="L1303" s="594" t="s">
        <v>259</v>
      </c>
      <c r="M1303" s="594" t="s">
        <v>174</v>
      </c>
      <c r="N1303" s="52" t="str">
        <f>IF(AND('331-CT'!$E$7=TH!H1303,OR(L1303="331",M1303="331")),"331",IF(AND(OR(L1303="131",M1303="131"),H1303='131-CT'!$E$7),"131",""))</f>
        <v/>
      </c>
      <c r="O1303" s="86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799"/>
    </row>
    <row r="1304" spans="1:27" s="210" customFormat="1" ht="15.75" customHeight="1">
      <c r="A1304" s="203" t="str">
        <f>IF(B1304&lt;&gt;"",IF(AND(B1304&gt;=_TM1,B1304&lt;=_TM2,OR(TH!L1304="1111",TH!M1304="1111")),TH!D1304,""),"")</f>
        <v/>
      </c>
      <c r="B1304" s="36">
        <f>IF(C1304&lt;&gt;"",MONTH(C1304),"")</f>
        <v>7</v>
      </c>
      <c r="C1304" s="183">
        <f>E1304</f>
        <v>42208</v>
      </c>
      <c r="D1304" s="183" t="s">
        <v>1542</v>
      </c>
      <c r="E1304" s="183">
        <v>42208</v>
      </c>
      <c r="F1304" s="188" t="s">
        <v>1768</v>
      </c>
      <c r="G1304" s="482" t="s">
        <v>932</v>
      </c>
      <c r="H1304" s="7" t="s">
        <v>1934</v>
      </c>
      <c r="I1304" s="255">
        <v>100</v>
      </c>
      <c r="J1304" s="255">
        <v>10432</v>
      </c>
      <c r="K1304" s="593">
        <f>ROUND(I1304*J1304,0)</f>
        <v>1043200</v>
      </c>
      <c r="L1304" s="594" t="s">
        <v>259</v>
      </c>
      <c r="M1304" s="594" t="s">
        <v>174</v>
      </c>
      <c r="N1304" s="52" t="str">
        <f>IF(AND('331-CT'!$E$7=TH!H1304,OR(L1304="331",M1304="331")),"331",IF(AND(OR(L1304="131",M1304="131"),H1304='131-CT'!$E$7),"131",""))</f>
        <v/>
      </c>
      <c r="O1304" s="86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799"/>
    </row>
    <row r="1305" spans="1:27" s="210" customFormat="1" ht="15.75" customHeight="1">
      <c r="A1305" s="203" t="str">
        <f>IF(B1305&lt;&gt;"",IF(AND(B1305&gt;=_TM1,B1305&lt;=_TM2,OR(TH!L1305="1111",TH!M1305="1111")),TH!D1305,""),"")</f>
        <v/>
      </c>
      <c r="B1305" s="36">
        <f>IF(C1305&lt;&gt;"",MONTH(C1305),"")</f>
        <v>7</v>
      </c>
      <c r="C1305" s="183">
        <f>E1305</f>
        <v>42208</v>
      </c>
      <c r="D1305" s="183" t="s">
        <v>1542</v>
      </c>
      <c r="E1305" s="183">
        <v>42208</v>
      </c>
      <c r="F1305" s="188" t="s">
        <v>694</v>
      </c>
      <c r="G1305" s="482" t="s">
        <v>933</v>
      </c>
      <c r="H1305" s="7" t="s">
        <v>1934</v>
      </c>
      <c r="I1305" s="255">
        <v>70</v>
      </c>
      <c r="J1305" s="255">
        <v>10511</v>
      </c>
      <c r="K1305" s="593">
        <f>ROUND(I1305*J1305,0)</f>
        <v>735770</v>
      </c>
      <c r="L1305" s="594" t="s">
        <v>259</v>
      </c>
      <c r="M1305" s="594" t="s">
        <v>174</v>
      </c>
      <c r="N1305" s="52" t="str">
        <f>IF(AND('331-CT'!$E$7=TH!H1305,OR(L1305="331",M1305="331")),"331",IF(AND(OR(L1305="131",M1305="131"),H1305='131-CT'!$E$7),"131",""))</f>
        <v/>
      </c>
      <c r="O1305" s="86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799"/>
    </row>
    <row r="1306" spans="1:27" s="210" customFormat="1" ht="15.75" customHeight="1">
      <c r="A1306" s="203" t="str">
        <f>IF(B1306&lt;&gt;"",IF(AND(B1306&gt;=_TM1,B1306&lt;=_TM2,OR(TH!L1306="1111",TH!M1306="1111")),TH!D1306,""),"")</f>
        <v/>
      </c>
      <c r="B1306" s="36">
        <f>IF(C1306&lt;&gt;"",MONTH(C1306),"")</f>
        <v>7</v>
      </c>
      <c r="C1306" s="183">
        <f>E1306</f>
        <v>42208</v>
      </c>
      <c r="D1306" s="183" t="s">
        <v>1542</v>
      </c>
      <c r="E1306" s="183">
        <v>42208</v>
      </c>
      <c r="F1306" s="188" t="s">
        <v>1769</v>
      </c>
      <c r="G1306" s="482" t="s">
        <v>932</v>
      </c>
      <c r="H1306" s="7" t="s">
        <v>1934</v>
      </c>
      <c r="I1306" s="255">
        <v>25</v>
      </c>
      <c r="J1306" s="255">
        <v>14196</v>
      </c>
      <c r="K1306" s="593">
        <f>ROUND(I1306*J1306,0)</f>
        <v>354900</v>
      </c>
      <c r="L1306" s="594" t="s">
        <v>259</v>
      </c>
      <c r="M1306" s="594" t="s">
        <v>174</v>
      </c>
      <c r="N1306" s="52" t="str">
        <f>IF(AND('331-CT'!$E$7=TH!H1306,OR(L1306="331",M1306="331")),"331",IF(AND(OR(L1306="131",M1306="131"),H1306='131-CT'!$E$7),"131",""))</f>
        <v/>
      </c>
      <c r="O1306" s="86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799"/>
    </row>
    <row r="1307" spans="1:27" s="210" customFormat="1" ht="15.75" customHeight="1">
      <c r="A1307" s="203" t="str">
        <f>IF(B1307&lt;&gt;"",IF(AND(B1307&gt;=_TM1,B1307&lt;=_TM2,OR(TH!L1307="1111",TH!M1307="1111")),TH!D1307,""),"")</f>
        <v/>
      </c>
      <c r="B1307" s="36">
        <f>IF(C1307&lt;&gt;"",MONTH(C1307),"")</f>
        <v>7</v>
      </c>
      <c r="C1307" s="183">
        <f>E1307</f>
        <v>42208</v>
      </c>
      <c r="D1307" s="183" t="s">
        <v>1542</v>
      </c>
      <c r="E1307" s="183">
        <v>42208</v>
      </c>
      <c r="F1307" s="188" t="s">
        <v>1770</v>
      </c>
      <c r="G1307" s="482" t="s">
        <v>933</v>
      </c>
      <c r="H1307" s="7" t="s">
        <v>1934</v>
      </c>
      <c r="I1307" s="255">
        <v>50</v>
      </c>
      <c r="J1307" s="255">
        <v>13541</v>
      </c>
      <c r="K1307" s="593">
        <f>ROUND(I1307*J1307,0)</f>
        <v>677050</v>
      </c>
      <c r="L1307" s="594" t="s">
        <v>259</v>
      </c>
      <c r="M1307" s="594" t="s">
        <v>174</v>
      </c>
      <c r="N1307" s="52" t="str">
        <f>IF(AND('331-CT'!$E$7=TH!H1307,OR(L1307="331",M1307="331")),"331",IF(AND(OR(L1307="131",M1307="131"),H1307='131-CT'!$E$7),"131",""))</f>
        <v/>
      </c>
      <c r="O1307" s="86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799"/>
    </row>
    <row r="1308" spans="1:27" s="210" customFormat="1" ht="15.75" customHeight="1">
      <c r="A1308" s="203" t="str">
        <f>IF(B1308&lt;&gt;"",IF(AND(B1308&gt;=_TM1,B1308&lt;=_TM2,OR(TH!L1308="1111",TH!M1308="1111")),TH!D1308,""),"")</f>
        <v/>
      </c>
      <c r="B1308" s="36">
        <f>IF(C1308&lt;&gt;"",MONTH(C1308),"")</f>
        <v>7</v>
      </c>
      <c r="C1308" s="183">
        <f>E1308</f>
        <v>42208</v>
      </c>
      <c r="D1308" s="183" t="s">
        <v>1542</v>
      </c>
      <c r="E1308" s="183">
        <v>42208</v>
      </c>
      <c r="F1308" s="191" t="s">
        <v>1771</v>
      </c>
      <c r="G1308" s="482" t="s">
        <v>932</v>
      </c>
      <c r="H1308" s="7" t="s">
        <v>1934</v>
      </c>
      <c r="I1308" s="255">
        <v>575</v>
      </c>
      <c r="J1308" s="255">
        <v>2000</v>
      </c>
      <c r="K1308" s="593">
        <f>ROUND(I1308*J1308,0)</f>
        <v>1150000</v>
      </c>
      <c r="L1308" s="594" t="s">
        <v>259</v>
      </c>
      <c r="M1308" s="594" t="s">
        <v>174</v>
      </c>
      <c r="N1308" s="52" t="str">
        <f>IF(AND('331-CT'!$E$7=TH!H1308,OR(L1308="331",M1308="331")),"331",IF(AND(OR(L1308="131",M1308="131"),H1308='131-CT'!$E$7),"131",""))</f>
        <v/>
      </c>
      <c r="O1308" s="86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799"/>
    </row>
    <row r="1309" spans="1:27" s="210" customFormat="1" ht="15.75" customHeight="1">
      <c r="A1309" s="203" t="str">
        <f>IF(B1309&lt;&gt;"",IF(AND(B1309&gt;=_TM1,B1309&lt;=_TM2,OR(TH!L1309="1111",TH!M1309="1111")),TH!D1309,""),"")</f>
        <v/>
      </c>
      <c r="B1309" s="36">
        <f>IF(C1309&lt;&gt;"",MONTH(C1309),"")</f>
        <v>7</v>
      </c>
      <c r="C1309" s="183">
        <f>E1309</f>
        <v>42208</v>
      </c>
      <c r="D1309" s="183" t="s">
        <v>1542</v>
      </c>
      <c r="E1309" s="183">
        <v>42208</v>
      </c>
      <c r="F1309" s="188" t="s">
        <v>1772</v>
      </c>
      <c r="G1309" s="482" t="s">
        <v>933</v>
      </c>
      <c r="H1309" s="7" t="s">
        <v>1934</v>
      </c>
      <c r="I1309" s="255">
        <v>500</v>
      </c>
      <c r="J1309" s="255">
        <v>5400</v>
      </c>
      <c r="K1309" s="593">
        <f>ROUND(I1309*J1309,0)</f>
        <v>2700000</v>
      </c>
      <c r="L1309" s="594" t="s">
        <v>259</v>
      </c>
      <c r="M1309" s="594" t="s">
        <v>174</v>
      </c>
      <c r="N1309" s="52" t="str">
        <f>IF(AND('331-CT'!$E$7=TH!H1309,OR(L1309="331",M1309="331")),"331",IF(AND(OR(L1309="131",M1309="131"),H1309='131-CT'!$E$7),"131",""))</f>
        <v/>
      </c>
      <c r="O1309" s="86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799"/>
    </row>
    <row r="1310" spans="1:27" s="210" customFormat="1" ht="15.75" customHeight="1">
      <c r="A1310" s="203" t="str">
        <f>IF(B1310&lt;&gt;"",IF(AND(B1310&gt;=_TM1,B1310&lt;=_TM2,OR(TH!L1310="1111",TH!M1310="1111")),TH!D1310,""),"")</f>
        <v/>
      </c>
      <c r="B1310" s="36">
        <f>IF(C1310&lt;&gt;"",MONTH(C1310),"")</f>
        <v>7</v>
      </c>
      <c r="C1310" s="183">
        <f>E1310</f>
        <v>42208</v>
      </c>
      <c r="D1310" s="183" t="s">
        <v>1542</v>
      </c>
      <c r="E1310" s="183">
        <v>42208</v>
      </c>
      <c r="F1310" s="188" t="s">
        <v>1766</v>
      </c>
      <c r="G1310" s="482" t="s">
        <v>932</v>
      </c>
      <c r="H1310" s="7" t="s">
        <v>1934</v>
      </c>
      <c r="I1310" s="255">
        <v>900</v>
      </c>
      <c r="J1310" s="255">
        <v>10910</v>
      </c>
      <c r="K1310" s="593">
        <f>ROUND(I1310*J1310,0)</f>
        <v>9819000</v>
      </c>
      <c r="L1310" s="594" t="s">
        <v>259</v>
      </c>
      <c r="M1310" s="594" t="s">
        <v>174</v>
      </c>
      <c r="N1310" s="52" t="str">
        <f>IF(AND('331-CT'!$E$7=TH!H1310,OR(L1310="331",M1310="331")),"331",IF(AND(OR(L1310="131",M1310="131"),H1310='131-CT'!$E$7),"131",""))</f>
        <v/>
      </c>
      <c r="O1310" s="86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799"/>
    </row>
    <row r="1311" spans="1:27" s="210" customFormat="1" ht="15.75" customHeight="1">
      <c r="A1311" s="203" t="str">
        <f>IF(B1311&lt;&gt;"",IF(AND(B1311&gt;=_TM1,B1311&lt;=_TM2,OR(TH!L1311="1111",TH!M1311="1111")),TH!D1311,""),"")</f>
        <v/>
      </c>
      <c r="B1311" s="36">
        <f>IF(C1311&lt;&gt;"",MONTH(C1311),"")</f>
        <v>7</v>
      </c>
      <c r="C1311" s="183">
        <f>E1311</f>
        <v>42208</v>
      </c>
      <c r="D1311" s="183" t="s">
        <v>1542</v>
      </c>
      <c r="E1311" s="183">
        <v>42208</v>
      </c>
      <c r="F1311" s="188" t="s">
        <v>731</v>
      </c>
      <c r="G1311" s="482" t="s">
        <v>933</v>
      </c>
      <c r="H1311" s="7" t="s">
        <v>1934</v>
      </c>
      <c r="I1311" s="255"/>
      <c r="J1311" s="255"/>
      <c r="K1311" s="593">
        <v>1806972</v>
      </c>
      <c r="L1311" s="594" t="s">
        <v>259</v>
      </c>
      <c r="M1311" s="594" t="s">
        <v>371</v>
      </c>
      <c r="N1311" s="52" t="str">
        <f>IF(AND('331-CT'!$E$7=TH!H1311,OR(L1311="331",M1311="331")),"331",IF(AND(OR(L1311="131",M1311="131"),H1311='131-CT'!$E$7),"131",""))</f>
        <v/>
      </c>
      <c r="O1311" s="86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799"/>
    </row>
    <row r="1312" spans="1:27" s="210" customFormat="1" ht="15.75" customHeight="1">
      <c r="A1312" s="203" t="str">
        <f>IF(B1312&lt;&gt;"",IF(AND(B1312&gt;=_TM1,B1312&lt;=_TM2,OR(TH!L1312="1111",TH!M1312="1111")),TH!D1312,""),"")</f>
        <v/>
      </c>
      <c r="B1312" s="36">
        <f>IF(C1312&lt;&gt;"",MONTH(C1312),"")</f>
        <v>7</v>
      </c>
      <c r="C1312" s="183">
        <f>E1312</f>
        <v>42208</v>
      </c>
      <c r="D1312" s="183" t="s">
        <v>1542</v>
      </c>
      <c r="E1312" s="183">
        <v>42208</v>
      </c>
      <c r="F1312" s="191" t="s">
        <v>1320</v>
      </c>
      <c r="G1312" s="482" t="s">
        <v>2059</v>
      </c>
      <c r="H1312" s="7" t="s">
        <v>1934</v>
      </c>
      <c r="I1312" s="255"/>
      <c r="J1312" s="255"/>
      <c r="K1312" s="593">
        <f>19803056+19876692</f>
        <v>39679748</v>
      </c>
      <c r="L1312" s="594" t="s">
        <v>47</v>
      </c>
      <c r="M1312" s="594" t="s">
        <v>259</v>
      </c>
      <c r="N1312" s="52" t="str">
        <f>IF(AND('331-CT'!$E$7=TH!H1312,OR(L1312="331",M1312="331")),"331",IF(AND(OR(L1312="131",M1312="131"),H1312='131-CT'!$E$7),"131",""))</f>
        <v/>
      </c>
      <c r="O1312" s="86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799"/>
    </row>
    <row r="1313" spans="1:27" s="210" customFormat="1" ht="15.75" customHeight="1">
      <c r="A1313" s="203" t="str">
        <f>IF(B1313&lt;&gt;"",IF(AND(B1313&gt;=_TM1,B1313&lt;=_TM2,OR(TH!L1313="1111",TH!M1313="1111")),TH!D1313,""),"")</f>
        <v/>
      </c>
      <c r="B1313" s="36">
        <f>IF(C1313&lt;&gt;"",MONTH(C1313),"")</f>
        <v>7</v>
      </c>
      <c r="C1313" s="183">
        <f>E1313</f>
        <v>42208</v>
      </c>
      <c r="D1313" s="183" t="s">
        <v>1324</v>
      </c>
      <c r="E1313" s="190">
        <v>42208</v>
      </c>
      <c r="F1313" s="188" t="s">
        <v>1325</v>
      </c>
      <c r="G1313" s="482" t="s">
        <v>332</v>
      </c>
      <c r="H1313" s="7" t="s">
        <v>1335</v>
      </c>
      <c r="I1313" s="255"/>
      <c r="J1313" s="255"/>
      <c r="K1313" s="593">
        <v>5000000</v>
      </c>
      <c r="L1313" s="594" t="s">
        <v>47</v>
      </c>
      <c r="M1313" s="594" t="s">
        <v>24</v>
      </c>
      <c r="N1313" s="52" t="str">
        <f>IF(AND('331-CT'!$E$7=TH!H1313,OR(L1313="331",M1313="331")),"331",IF(AND(OR(L1313="131",M1313="131"),H1313='131-CT'!$E$7),"131",""))</f>
        <v/>
      </c>
      <c r="O1313" s="86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>x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799"/>
    </row>
    <row r="1314" spans="1:27" s="210" customFormat="1" ht="15.75" customHeight="1">
      <c r="A1314" s="203" t="str">
        <f>IF(B1314&lt;&gt;"",IF(AND(B1314&gt;=_TM1,B1314&lt;=_TM2,OR(TH!L1314="1111",TH!M1314="1111")),TH!D1314,""),"")</f>
        <v/>
      </c>
      <c r="B1314" s="36">
        <f>IF(C1314&lt;&gt;"",MONTH(C1314),"")</f>
        <v>7</v>
      </c>
      <c r="C1314" s="183">
        <f>E1314</f>
        <v>42208</v>
      </c>
      <c r="D1314" s="183" t="s">
        <v>1324</v>
      </c>
      <c r="E1314" s="190">
        <v>42208</v>
      </c>
      <c r="F1314" s="188" t="s">
        <v>1330</v>
      </c>
      <c r="G1314" s="482" t="s">
        <v>332</v>
      </c>
      <c r="H1314" s="7"/>
      <c r="I1314" s="255"/>
      <c r="J1314" s="255"/>
      <c r="K1314" s="593">
        <v>15000</v>
      </c>
      <c r="L1314" s="594" t="s">
        <v>83</v>
      </c>
      <c r="M1314" s="594" t="s">
        <v>24</v>
      </c>
      <c r="N1314" s="52" t="str">
        <f>IF(AND('331-CT'!$E$7=TH!H1314,OR(L1314="331",M1314="331")),"331",IF(AND(OR(L1314="131",M1314="131"),H1314='131-CT'!$E$7),"131",""))</f>
        <v/>
      </c>
      <c r="O1314" s="86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>x</v>
      </c>
      <c r="V1314" s="52" t="str">
        <f>IF(OR(TH!L1314=TH!$V$7,M1314=TH!$V$7),"x","")</f>
        <v>x</v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799"/>
    </row>
    <row r="1315" spans="1:27" s="210" customFormat="1" ht="15.75" customHeight="1">
      <c r="A1315" s="203" t="str">
        <f>IF(B1315&lt;&gt;"",IF(AND(B1315&gt;=_TM1,B1315&lt;=_TM2,OR(TH!L1315="1111",TH!M1315="1111")),TH!D1315,""),"")</f>
        <v/>
      </c>
      <c r="B1315" s="36">
        <f>IF(C1315&lt;&gt;"",MONTH(C1315),"")</f>
        <v>7</v>
      </c>
      <c r="C1315" s="183">
        <f>E1315</f>
        <v>42208</v>
      </c>
      <c r="D1315" s="183" t="s">
        <v>1324</v>
      </c>
      <c r="E1315" s="190">
        <v>42208</v>
      </c>
      <c r="F1315" s="188" t="s">
        <v>1325</v>
      </c>
      <c r="G1315" s="482" t="s">
        <v>332</v>
      </c>
      <c r="H1315" s="7" t="s">
        <v>1331</v>
      </c>
      <c r="I1315" s="255"/>
      <c r="J1315" s="255"/>
      <c r="K1315" s="593">
        <v>42000000</v>
      </c>
      <c r="L1315" s="594" t="s">
        <v>47</v>
      </c>
      <c r="M1315" s="594" t="s">
        <v>24</v>
      </c>
      <c r="N1315" s="52" t="str">
        <f>IF(AND('331-CT'!$E$7=TH!H1315,OR(L1315="331",M1315="331")),"331",IF(AND(OR(L1315="131",M1315="131"),H1315='131-CT'!$E$7),"131",""))</f>
        <v/>
      </c>
      <c r="O1315" s="86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>x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799"/>
    </row>
    <row r="1316" spans="1:27" s="210" customFormat="1" ht="15.75" customHeight="1">
      <c r="A1316" s="203" t="str">
        <f>IF(B1316&lt;&gt;"",IF(AND(B1316&gt;=_TM1,B1316&lt;=_TM2,OR(TH!L1316="1111",TH!M1316="1111")),TH!D1316,""),"")</f>
        <v/>
      </c>
      <c r="B1316" s="36">
        <f>IF(C1316&lt;&gt;"",MONTH(C1316),"")</f>
        <v>7</v>
      </c>
      <c r="C1316" s="183">
        <f>E1316</f>
        <v>42208</v>
      </c>
      <c r="D1316" s="183" t="s">
        <v>1324</v>
      </c>
      <c r="E1316" s="190">
        <v>42208</v>
      </c>
      <c r="F1316" s="296" t="s">
        <v>1326</v>
      </c>
      <c r="G1316" s="482" t="s">
        <v>332</v>
      </c>
      <c r="H1316" s="7" t="s">
        <v>1397</v>
      </c>
      <c r="I1316" s="255"/>
      <c r="J1316" s="255"/>
      <c r="K1316" s="593">
        <v>35379820</v>
      </c>
      <c r="L1316" s="594" t="s">
        <v>8</v>
      </c>
      <c r="M1316" s="594" t="s">
        <v>24</v>
      </c>
      <c r="N1316" s="52" t="str">
        <f>IF(AND('331-CT'!$E$7=TH!H1316,OR(L1316="331",M1316="331")),"331",IF(AND(OR(L1316="131",M1316="131"),H1316='131-CT'!$E$7),"131",""))</f>
        <v/>
      </c>
      <c r="O1316" s="86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>x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799"/>
    </row>
    <row r="1317" spans="1:27" s="210" customFormat="1" ht="15.75" customHeight="1">
      <c r="A1317" s="203" t="str">
        <f>IF(B1317&lt;&gt;"",IF(AND(B1317&gt;=_TM1,B1317&lt;=_TM2,OR(TH!L1317="1111",TH!M1317="1111")),TH!D1317,""),"")</f>
        <v/>
      </c>
      <c r="B1317" s="36">
        <f>IF(C1317&lt;&gt;"",MONTH(C1317),"")</f>
        <v>7</v>
      </c>
      <c r="C1317" s="183">
        <f>E1317</f>
        <v>42209</v>
      </c>
      <c r="D1317" s="183" t="s">
        <v>1543</v>
      </c>
      <c r="E1317" s="183">
        <v>42209</v>
      </c>
      <c r="F1317" s="188" t="s">
        <v>746</v>
      </c>
      <c r="G1317" s="482" t="s">
        <v>934</v>
      </c>
      <c r="H1317" s="7" t="s">
        <v>1934</v>
      </c>
      <c r="I1317" s="255">
        <v>1000</v>
      </c>
      <c r="J1317" s="255">
        <v>12719</v>
      </c>
      <c r="K1317" s="593">
        <f>ROUND(I1317*J1317,0)</f>
        <v>12719000</v>
      </c>
      <c r="L1317" s="594" t="s">
        <v>259</v>
      </c>
      <c r="M1317" s="594" t="s">
        <v>174</v>
      </c>
      <c r="N1317" s="52" t="str">
        <f>IF(AND('331-CT'!$E$7=TH!H1317,OR(L1317="331",M1317="331")),"331",IF(AND(OR(L1317="131",M1317="131"),H1317='131-CT'!$E$7),"131",""))</f>
        <v/>
      </c>
      <c r="O1317" s="86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799"/>
    </row>
    <row r="1318" spans="1:27" s="210" customFormat="1" ht="15.75" customHeight="1">
      <c r="A1318" s="203" t="str">
        <f>IF(B1318&lt;&gt;"",IF(AND(B1318&gt;=_TM1,B1318&lt;=_TM2,OR(TH!L1318="1111",TH!M1318="1111")),TH!D1318,""),"")</f>
        <v/>
      </c>
      <c r="B1318" s="36">
        <f>IF(C1318&lt;&gt;"",MONTH(C1318),"")</f>
        <v>7</v>
      </c>
      <c r="C1318" s="183">
        <f>E1318</f>
        <v>42209</v>
      </c>
      <c r="D1318" s="183" t="s">
        <v>1543</v>
      </c>
      <c r="E1318" s="183">
        <v>42209</v>
      </c>
      <c r="F1318" s="188" t="s">
        <v>1766</v>
      </c>
      <c r="G1318" s="482" t="s">
        <v>934</v>
      </c>
      <c r="H1318" s="7" t="s">
        <v>1934</v>
      </c>
      <c r="I1318" s="255">
        <v>550</v>
      </c>
      <c r="J1318" s="255">
        <v>10910</v>
      </c>
      <c r="K1318" s="593">
        <f>ROUND(I1318*J1318,0)</f>
        <v>6000500</v>
      </c>
      <c r="L1318" s="594" t="s">
        <v>259</v>
      </c>
      <c r="M1318" s="594" t="s">
        <v>174</v>
      </c>
      <c r="N1318" s="52" t="str">
        <f>IF(AND('331-CT'!$E$7=TH!H1318,OR(L1318="331",M1318="331")),"331",IF(AND(OR(L1318="131",M1318="131"),H1318='131-CT'!$E$7),"131",""))</f>
        <v/>
      </c>
      <c r="O1318" s="86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799"/>
    </row>
    <row r="1319" spans="1:27" s="210" customFormat="1" ht="15.75" customHeight="1">
      <c r="A1319" s="203" t="str">
        <f>IF(B1319&lt;&gt;"",IF(AND(B1319&gt;=_TM1,B1319&lt;=_TM2,OR(TH!L1319="1111",TH!M1319="1111")),TH!D1319,""),"")</f>
        <v/>
      </c>
      <c r="B1319" s="36">
        <f>IF(C1319&lt;&gt;"",MONTH(C1319),"")</f>
        <v>7</v>
      </c>
      <c r="C1319" s="183">
        <f>E1319</f>
        <v>42209</v>
      </c>
      <c r="D1319" s="183" t="s">
        <v>1543</v>
      </c>
      <c r="E1319" s="183">
        <v>42209</v>
      </c>
      <c r="F1319" s="188" t="s">
        <v>731</v>
      </c>
      <c r="G1319" s="482" t="s">
        <v>934</v>
      </c>
      <c r="H1319" s="7" t="s">
        <v>1934</v>
      </c>
      <c r="I1319" s="255"/>
      <c r="J1319" s="255"/>
      <c r="K1319" s="593">
        <v>1871950</v>
      </c>
      <c r="L1319" s="594" t="s">
        <v>259</v>
      </c>
      <c r="M1319" s="594" t="s">
        <v>371</v>
      </c>
      <c r="N1319" s="52" t="str">
        <f>IF(AND('331-CT'!$E$7=TH!H1319,OR(L1319="331",M1319="331")),"331",IF(AND(OR(L1319="131",M1319="131"),H1319='131-CT'!$E$7),"131",""))</f>
        <v/>
      </c>
      <c r="O1319" s="86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799"/>
    </row>
    <row r="1320" spans="1:27" s="210" customFormat="1" ht="15.75" customHeight="1">
      <c r="A1320" s="203" t="str">
        <f>IF(B1320&lt;&gt;"",IF(AND(B1320&gt;=_TM1,B1320&lt;=_TM2,OR(TH!L1320="1111",TH!M1320="1111")),TH!D1320,""),"")</f>
        <v/>
      </c>
      <c r="B1320" s="36">
        <f>IF(C1320&lt;&gt;"",MONTH(C1320),"")</f>
        <v>7</v>
      </c>
      <c r="C1320" s="183">
        <f>E1320</f>
        <v>42209</v>
      </c>
      <c r="D1320" s="183" t="s">
        <v>1544</v>
      </c>
      <c r="E1320" s="183">
        <v>42209</v>
      </c>
      <c r="F1320" s="188" t="s">
        <v>781</v>
      </c>
      <c r="G1320" s="482" t="s">
        <v>935</v>
      </c>
      <c r="H1320" s="7" t="s">
        <v>783</v>
      </c>
      <c r="I1320" s="255">
        <v>498</v>
      </c>
      <c r="J1320" s="255">
        <v>20000</v>
      </c>
      <c r="K1320" s="593">
        <f>ROUND(I1320*J1320,0)</f>
        <v>9960000</v>
      </c>
      <c r="L1320" s="594" t="s">
        <v>259</v>
      </c>
      <c r="M1320" s="594" t="s">
        <v>174</v>
      </c>
      <c r="N1320" s="52" t="str">
        <f>IF(AND('331-CT'!$E$7=TH!H1320,OR(L1320="331",M1320="331")),"331",IF(AND(OR(L1320="131",M1320="131"),H1320='131-CT'!$E$7),"131",""))</f>
        <v/>
      </c>
      <c r="O1320" s="86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799"/>
    </row>
    <row r="1321" spans="1:27" s="210" customFormat="1" ht="15.75" customHeight="1">
      <c r="A1321" s="203" t="str">
        <f>IF(B1321&lt;&gt;"",IF(AND(B1321&gt;=_TM1,B1321&lt;=_TM2,OR(TH!L1321="1111",TH!M1321="1111")),TH!D1321,""),"")</f>
        <v/>
      </c>
      <c r="B1321" s="36">
        <f>IF(C1321&lt;&gt;"",MONTH(C1321),"")</f>
        <v>7</v>
      </c>
      <c r="C1321" s="183">
        <f>E1321</f>
        <v>42209</v>
      </c>
      <c r="D1321" s="183" t="s">
        <v>1544</v>
      </c>
      <c r="E1321" s="183">
        <v>42209</v>
      </c>
      <c r="F1321" s="188" t="s">
        <v>402</v>
      </c>
      <c r="G1321" s="482" t="s">
        <v>935</v>
      </c>
      <c r="H1321" s="7" t="s">
        <v>783</v>
      </c>
      <c r="I1321" s="255"/>
      <c r="J1321" s="255"/>
      <c r="K1321" s="593">
        <v>996000</v>
      </c>
      <c r="L1321" s="594" t="s">
        <v>259</v>
      </c>
      <c r="M1321" s="594" t="s">
        <v>371</v>
      </c>
      <c r="N1321" s="52" t="str">
        <f>IF(AND('331-CT'!$E$7=TH!H1321,OR(L1321="331",M1321="331")),"331",IF(AND(OR(L1321="131",M1321="131"),H1321='131-CT'!$E$7),"131",""))</f>
        <v/>
      </c>
      <c r="O1321" s="86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799"/>
    </row>
    <row r="1322" spans="1:27" s="210" customFormat="1" ht="15.75" customHeight="1">
      <c r="A1322" s="203" t="str">
        <f>IF(B1322&lt;&gt;"",IF(AND(B1322&gt;=_TM1,B1322&lt;=_TM2,OR(TH!L1322="1111",TH!M1322="1111")),TH!D1322,""),"")</f>
        <v/>
      </c>
      <c r="B1322" s="36">
        <f>IF(C1322&lt;&gt;"",MONTH(C1322),"")</f>
        <v>7</v>
      </c>
      <c r="C1322" s="183">
        <f>E1322</f>
        <v>42209</v>
      </c>
      <c r="D1322" s="183" t="s">
        <v>1544</v>
      </c>
      <c r="E1322" s="183">
        <v>42209</v>
      </c>
      <c r="F1322" s="191" t="s">
        <v>1320</v>
      </c>
      <c r="G1322" s="482" t="s">
        <v>2031</v>
      </c>
      <c r="H1322" s="7" t="s">
        <v>783</v>
      </c>
      <c r="I1322" s="255"/>
      <c r="J1322" s="255"/>
      <c r="K1322" s="593">
        <f>6437200+11000000+10956000</f>
        <v>28393200</v>
      </c>
      <c r="L1322" s="594" t="s">
        <v>47</v>
      </c>
      <c r="M1322" s="594" t="s">
        <v>259</v>
      </c>
      <c r="N1322" s="52" t="str">
        <f>IF(AND('331-CT'!$E$7=TH!H1322,OR(L1322="331",M1322="331")),"331",IF(AND(OR(L1322="131",M1322="131"),H1322='131-CT'!$E$7),"131",""))</f>
        <v/>
      </c>
      <c r="O1322" s="86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799"/>
    </row>
    <row r="1323" spans="1:27" s="210" customFormat="1" ht="15.75" customHeight="1">
      <c r="A1323" s="203" t="str">
        <f>IF(B1323&lt;&gt;"",IF(AND(B1323&gt;=_TM1,B1323&lt;=_TM2,OR(TH!L1323="1111",TH!M1323="1111")),TH!D1323,""),"")</f>
        <v/>
      </c>
      <c r="B1323" s="36">
        <f>IF(C1323&lt;&gt;"",MONTH(C1323),"")</f>
        <v>7</v>
      </c>
      <c r="C1323" s="183">
        <f>E1323</f>
        <v>42209</v>
      </c>
      <c r="D1323" s="183" t="s">
        <v>1545</v>
      </c>
      <c r="E1323" s="183">
        <v>42209</v>
      </c>
      <c r="F1323" s="188" t="s">
        <v>398</v>
      </c>
      <c r="G1323" s="482" t="s">
        <v>936</v>
      </c>
      <c r="H1323" s="7" t="s">
        <v>400</v>
      </c>
      <c r="I1323" s="255">
        <v>600</v>
      </c>
      <c r="J1323" s="255">
        <v>5050</v>
      </c>
      <c r="K1323" s="593">
        <f>ROUND(I1323*J1323,0)</f>
        <v>3030000</v>
      </c>
      <c r="L1323" s="594" t="s">
        <v>259</v>
      </c>
      <c r="M1323" s="594" t="s">
        <v>174</v>
      </c>
      <c r="N1323" s="52" t="str">
        <f>IF(AND('331-CT'!$E$7=TH!H1323,OR(L1323="331",M1323="331")),"331",IF(AND(OR(L1323="131",M1323="131"),H1323='131-CT'!$E$7),"131",""))</f>
        <v/>
      </c>
      <c r="O1323" s="86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799"/>
    </row>
    <row r="1324" spans="1:27" s="210" customFormat="1" ht="15.75" customHeight="1">
      <c r="A1324" s="203" t="str">
        <f>IF(B1324&lt;&gt;"",IF(AND(B1324&gt;=_TM1,B1324&lt;=_TM2,OR(TH!L1324="1111",TH!M1324="1111")),TH!D1324,""),"")</f>
        <v/>
      </c>
      <c r="B1324" s="36">
        <f>IF(C1324&lt;&gt;"",MONTH(C1324),"")</f>
        <v>7</v>
      </c>
      <c r="C1324" s="183">
        <f>E1324</f>
        <v>42209</v>
      </c>
      <c r="D1324" s="183" t="s">
        <v>1545</v>
      </c>
      <c r="E1324" s="183">
        <v>42209</v>
      </c>
      <c r="F1324" s="188" t="s">
        <v>446</v>
      </c>
      <c r="G1324" s="482" t="s">
        <v>936</v>
      </c>
      <c r="H1324" s="7" t="s">
        <v>400</v>
      </c>
      <c r="I1324" s="255">
        <v>299</v>
      </c>
      <c r="J1324" s="255">
        <v>5600</v>
      </c>
      <c r="K1324" s="593">
        <f>ROUND(I1324*J1324,0)</f>
        <v>1674400</v>
      </c>
      <c r="L1324" s="594" t="s">
        <v>259</v>
      </c>
      <c r="M1324" s="594" t="s">
        <v>174</v>
      </c>
      <c r="N1324" s="52" t="str">
        <f>IF(AND('331-CT'!$E$7=TH!H1324,OR(L1324="331",M1324="331")),"331",IF(AND(OR(L1324="131",M1324="131"),H1324='131-CT'!$E$7),"131",""))</f>
        <v/>
      </c>
      <c r="O1324" s="86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799"/>
    </row>
    <row r="1325" spans="1:27" s="210" customFormat="1" ht="15.75" customHeight="1">
      <c r="A1325" s="203" t="str">
        <f>IF(B1325&lt;&gt;"",IF(AND(B1325&gt;=_TM1,B1325&lt;=_TM2,OR(TH!L1325="1111",TH!M1325="1111")),TH!D1325,""),"")</f>
        <v/>
      </c>
      <c r="B1325" s="36">
        <f>IF(C1325&lt;&gt;"",MONTH(C1325),"")</f>
        <v>7</v>
      </c>
      <c r="C1325" s="183">
        <f>E1325</f>
        <v>42209</v>
      </c>
      <c r="D1325" s="183" t="s">
        <v>1545</v>
      </c>
      <c r="E1325" s="183">
        <v>42209</v>
      </c>
      <c r="F1325" s="188" t="s">
        <v>501</v>
      </c>
      <c r="G1325" s="482" t="s">
        <v>936</v>
      </c>
      <c r="H1325" s="7" t="s">
        <v>400</v>
      </c>
      <c r="I1325" s="255">
        <v>614</v>
      </c>
      <c r="J1325" s="255">
        <v>9800</v>
      </c>
      <c r="K1325" s="593">
        <f>ROUND(I1325*J1325,0)</f>
        <v>6017200</v>
      </c>
      <c r="L1325" s="594" t="s">
        <v>259</v>
      </c>
      <c r="M1325" s="594" t="s">
        <v>174</v>
      </c>
      <c r="N1325" s="52" t="str">
        <f>IF(AND('331-CT'!$E$7=TH!H1325,OR(L1325="331",M1325="331")),"331",IF(AND(OR(L1325="131",M1325="131"),H1325='131-CT'!$E$7),"131",""))</f>
        <v/>
      </c>
      <c r="O1325" s="86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799"/>
    </row>
    <row r="1326" spans="1:27" s="210" customFormat="1" ht="15.75" customHeight="1">
      <c r="A1326" s="203" t="str">
        <f>IF(B1326&lt;&gt;"",IF(AND(B1326&gt;=_TM1,B1326&lt;=_TM2,OR(TH!L1326="1111",TH!M1326="1111")),TH!D1326,""),"")</f>
        <v/>
      </c>
      <c r="B1326" s="36">
        <f>IF(C1326&lt;&gt;"",MONTH(C1326),"")</f>
        <v>7</v>
      </c>
      <c r="C1326" s="183">
        <f>E1326</f>
        <v>42209</v>
      </c>
      <c r="D1326" s="183" t="s">
        <v>1545</v>
      </c>
      <c r="E1326" s="183">
        <v>42209</v>
      </c>
      <c r="F1326" s="188" t="s">
        <v>402</v>
      </c>
      <c r="G1326" s="482" t="s">
        <v>936</v>
      </c>
      <c r="H1326" s="7" t="s">
        <v>400</v>
      </c>
      <c r="I1326" s="255"/>
      <c r="J1326" s="255"/>
      <c r="K1326" s="593">
        <v>1072160</v>
      </c>
      <c r="L1326" s="594" t="s">
        <v>259</v>
      </c>
      <c r="M1326" s="594" t="s">
        <v>371</v>
      </c>
      <c r="N1326" s="52" t="str">
        <f>IF(AND('331-CT'!$E$7=TH!H1326,OR(L1326="331",M1326="331")),"331",IF(AND(OR(L1326="131",M1326="131"),H1326='131-CT'!$E$7),"131",""))</f>
        <v/>
      </c>
      <c r="O1326" s="86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799"/>
    </row>
    <row r="1327" spans="1:27" s="210" customFormat="1" ht="15.75" customHeight="1">
      <c r="A1327" s="203" t="str">
        <f>IF(B1327&lt;&gt;"",IF(AND(B1327&gt;=_TM1,B1327&lt;=_TM2,OR(TH!L1327="1111",TH!M1327="1111")),TH!D1327,""),"")</f>
        <v/>
      </c>
      <c r="B1327" s="36">
        <f>IF(C1327&lt;&gt;"",MONTH(C1327),"")</f>
        <v>7</v>
      </c>
      <c r="C1327" s="183">
        <f>E1327</f>
        <v>42209</v>
      </c>
      <c r="D1327" s="183" t="s">
        <v>1546</v>
      </c>
      <c r="E1327" s="183">
        <v>42209</v>
      </c>
      <c r="F1327" s="188" t="s">
        <v>398</v>
      </c>
      <c r="G1327" s="482" t="s">
        <v>937</v>
      </c>
      <c r="H1327" s="7" t="s">
        <v>400</v>
      </c>
      <c r="I1327" s="255">
        <v>460</v>
      </c>
      <c r="J1327" s="255">
        <v>5050</v>
      </c>
      <c r="K1327" s="593">
        <f>ROUND(I1327*J1327,0)</f>
        <v>2323000</v>
      </c>
      <c r="L1327" s="594" t="s">
        <v>259</v>
      </c>
      <c r="M1327" s="594" t="s">
        <v>174</v>
      </c>
      <c r="N1327" s="52" t="str">
        <f>IF(AND('331-CT'!$E$7=TH!H1327,OR(L1327="331",M1327="331")),"331",IF(AND(OR(L1327="131",M1327="131"),H1327='131-CT'!$E$7),"131",""))</f>
        <v/>
      </c>
      <c r="O1327" s="86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799"/>
    </row>
    <row r="1328" spans="1:27" s="210" customFormat="1" ht="15.75" customHeight="1">
      <c r="A1328" s="203" t="str">
        <f>IF(B1328&lt;&gt;"",IF(AND(B1328&gt;=_TM1,B1328&lt;=_TM2,OR(TH!L1328="1111",TH!M1328="1111")),TH!D1328,""),"")</f>
        <v/>
      </c>
      <c r="B1328" s="36">
        <f>IF(C1328&lt;&gt;"",MONTH(C1328),"")</f>
        <v>7</v>
      </c>
      <c r="C1328" s="183">
        <f>E1328</f>
        <v>42209</v>
      </c>
      <c r="D1328" s="183" t="s">
        <v>1546</v>
      </c>
      <c r="E1328" s="183">
        <v>42209</v>
      </c>
      <c r="F1328" s="188" t="s">
        <v>402</v>
      </c>
      <c r="G1328" s="482" t="s">
        <v>937</v>
      </c>
      <c r="H1328" s="7" t="s">
        <v>400</v>
      </c>
      <c r="I1328" s="255"/>
      <c r="J1328" s="255"/>
      <c r="K1328" s="593">
        <v>232300</v>
      </c>
      <c r="L1328" s="594" t="s">
        <v>259</v>
      </c>
      <c r="M1328" s="594" t="s">
        <v>371</v>
      </c>
      <c r="N1328" s="52" t="str">
        <f>IF(AND('331-CT'!$E$7=TH!H1328,OR(L1328="331",M1328="331")),"331",IF(AND(OR(L1328="131",M1328="131"),H1328='131-CT'!$E$7),"131",""))</f>
        <v/>
      </c>
      <c r="O1328" s="86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799"/>
    </row>
    <row r="1329" spans="1:27" s="210" customFormat="1" ht="15.75" customHeight="1">
      <c r="A1329" s="203" t="str">
        <f>IF(B1329&lt;&gt;"",IF(AND(B1329&gt;=_TM1,B1329&lt;=_TM2,OR(TH!L1329="1111",TH!M1329="1111")),TH!D1329,""),"")</f>
        <v/>
      </c>
      <c r="B1329" s="36">
        <f>IF(C1329&lt;&gt;"",MONTH(C1329),"")</f>
        <v>7</v>
      </c>
      <c r="C1329" s="183">
        <f>E1329</f>
        <v>42210</v>
      </c>
      <c r="D1329" s="183" t="s">
        <v>1319</v>
      </c>
      <c r="E1329" s="190">
        <v>42210</v>
      </c>
      <c r="F1329" s="191" t="s">
        <v>1321</v>
      </c>
      <c r="G1329" s="482" t="s">
        <v>332</v>
      </c>
      <c r="H1329" s="45"/>
      <c r="I1329" s="255"/>
      <c r="J1329" s="255"/>
      <c r="K1329" s="593">
        <v>3096</v>
      </c>
      <c r="L1329" s="594" t="s">
        <v>24</v>
      </c>
      <c r="M1329" s="594" t="s">
        <v>40</v>
      </c>
      <c r="N1329" s="52" t="str">
        <f>IF(AND('331-CT'!$E$7=TH!H1329,OR(L1329="331",M1329="331")),"331",IF(AND(OR(L1329="131",M1329="131"),H1329='131-CT'!$E$7),"131",""))</f>
        <v/>
      </c>
      <c r="O1329" s="86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>x</v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799"/>
    </row>
    <row r="1330" spans="1:27" s="210" customFormat="1" ht="15.75" customHeight="1">
      <c r="A1330" s="203" t="str">
        <f>IF(B1330&lt;&gt;"",IF(AND(B1330&gt;=_TM1,B1330&lt;=_TM2,OR(TH!L1330="1111",TH!M1330="1111")),TH!D1330,""),"")</f>
        <v/>
      </c>
      <c r="B1330" s="36">
        <f>IF(C1330&lt;&gt;"",MONTH(C1330),"")</f>
        <v>7</v>
      </c>
      <c r="C1330" s="183">
        <f>E1330</f>
        <v>42212</v>
      </c>
      <c r="D1330" s="183" t="s">
        <v>1547</v>
      </c>
      <c r="E1330" s="183">
        <v>42212</v>
      </c>
      <c r="F1330" s="188" t="s">
        <v>510</v>
      </c>
      <c r="G1330" s="482" t="s">
        <v>938</v>
      </c>
      <c r="H1330" s="7" t="s">
        <v>869</v>
      </c>
      <c r="I1330" s="256">
        <v>48</v>
      </c>
      <c r="J1330" s="257">
        <v>11540</v>
      </c>
      <c r="K1330" s="593">
        <f>ROUND(I1330*J1330,0)</f>
        <v>553920</v>
      </c>
      <c r="L1330" s="594" t="s">
        <v>259</v>
      </c>
      <c r="M1330" s="594" t="s">
        <v>174</v>
      </c>
      <c r="N1330" s="52" t="str">
        <f>IF(AND('331-CT'!$E$7=TH!H1330,OR(L1330="331",M1330="331")),"331",IF(AND(OR(L1330="131",M1330="131"),H1330='131-CT'!$E$7),"131",""))</f>
        <v/>
      </c>
      <c r="O1330" s="86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799"/>
    </row>
    <row r="1331" spans="1:27" s="210" customFormat="1" ht="15.75" customHeight="1">
      <c r="A1331" s="203" t="str">
        <f>IF(B1331&lt;&gt;"",IF(AND(B1331&gt;=_TM1,B1331&lt;=_TM2,OR(TH!L1331="1111",TH!M1331="1111")),TH!D1331,""),"")</f>
        <v/>
      </c>
      <c r="B1331" s="36">
        <f>IF(C1331&lt;&gt;"",MONTH(C1331),"")</f>
        <v>7</v>
      </c>
      <c r="C1331" s="183">
        <f>E1331</f>
        <v>42212</v>
      </c>
      <c r="D1331" s="183" t="s">
        <v>1547</v>
      </c>
      <c r="E1331" s="183">
        <v>42212</v>
      </c>
      <c r="F1331" s="188" t="s">
        <v>512</v>
      </c>
      <c r="G1331" s="482" t="s">
        <v>938</v>
      </c>
      <c r="H1331" s="7" t="s">
        <v>869</v>
      </c>
      <c r="I1331" s="255">
        <v>150</v>
      </c>
      <c r="J1331" s="257">
        <v>11780</v>
      </c>
      <c r="K1331" s="593">
        <f>ROUND(I1331*J1331,0)</f>
        <v>1767000</v>
      </c>
      <c r="L1331" s="594" t="s">
        <v>259</v>
      </c>
      <c r="M1331" s="594" t="s">
        <v>174</v>
      </c>
      <c r="N1331" s="52" t="str">
        <f>IF(AND('331-CT'!$E$7=TH!H1331,OR(L1331="331",M1331="331")),"331",IF(AND(OR(L1331="131",M1331="131"),H1331='131-CT'!$E$7),"131",""))</f>
        <v/>
      </c>
      <c r="O1331" s="86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799"/>
    </row>
    <row r="1332" spans="1:27" s="210" customFormat="1" ht="15.75" customHeight="1">
      <c r="A1332" s="203" t="str">
        <f>IF(B1332&lt;&gt;"",IF(AND(B1332&gt;=_TM1,B1332&lt;=_TM2,OR(TH!L1332="1111",TH!M1332="1111")),TH!D1332,""),"")</f>
        <v/>
      </c>
      <c r="B1332" s="36">
        <f>IF(C1332&lt;&gt;"",MONTH(C1332),"")</f>
        <v>7</v>
      </c>
      <c r="C1332" s="183">
        <f>E1332</f>
        <v>42212</v>
      </c>
      <c r="D1332" s="183" t="s">
        <v>1547</v>
      </c>
      <c r="E1332" s="183">
        <v>42212</v>
      </c>
      <c r="F1332" s="188" t="s">
        <v>513</v>
      </c>
      <c r="G1332" s="482" t="s">
        <v>938</v>
      </c>
      <c r="H1332" s="7" t="s">
        <v>869</v>
      </c>
      <c r="I1332" s="256">
        <v>450</v>
      </c>
      <c r="J1332" s="257">
        <v>12040</v>
      </c>
      <c r="K1332" s="593">
        <f>ROUND(I1332*J1332,0)</f>
        <v>5418000</v>
      </c>
      <c r="L1332" s="594" t="s">
        <v>259</v>
      </c>
      <c r="M1332" s="594" t="s">
        <v>174</v>
      </c>
      <c r="N1332" s="52" t="str">
        <f>IF(AND('331-CT'!$E$7=TH!H1332,OR(L1332="331",M1332="331")),"331",IF(AND(OR(L1332="131",M1332="131"),H1332='131-CT'!$E$7),"131",""))</f>
        <v/>
      </c>
      <c r="O1332" s="86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799"/>
    </row>
    <row r="1333" spans="1:27" s="210" customFormat="1" ht="15.75" customHeight="1">
      <c r="A1333" s="203" t="str">
        <f>IF(B1333&lt;&gt;"",IF(AND(B1333&gt;=_TM1,B1333&lt;=_TM2,OR(TH!L1333="1111",TH!M1333="1111")),TH!D1333,""),"")</f>
        <v/>
      </c>
      <c r="B1333" s="36">
        <f>IF(C1333&lt;&gt;"",MONTH(C1333),"")</f>
        <v>7</v>
      </c>
      <c r="C1333" s="183">
        <f>E1333</f>
        <v>42212</v>
      </c>
      <c r="D1333" s="183" t="s">
        <v>1547</v>
      </c>
      <c r="E1333" s="183">
        <v>42212</v>
      </c>
      <c r="F1333" s="188" t="s">
        <v>514</v>
      </c>
      <c r="G1333" s="482" t="s">
        <v>938</v>
      </c>
      <c r="H1333" s="7" t="s">
        <v>869</v>
      </c>
      <c r="I1333" s="255">
        <v>390</v>
      </c>
      <c r="J1333" s="255">
        <v>10019</v>
      </c>
      <c r="K1333" s="593">
        <f>ROUND(I1333*J1333,0)</f>
        <v>3907410</v>
      </c>
      <c r="L1333" s="594" t="s">
        <v>259</v>
      </c>
      <c r="M1333" s="594" t="s">
        <v>174</v>
      </c>
      <c r="N1333" s="52" t="str">
        <f>IF(AND('331-CT'!$E$7=TH!H1333,OR(L1333="331",M1333="331")),"331",IF(AND(OR(L1333="131",M1333="131"),H1333='131-CT'!$E$7),"131",""))</f>
        <v/>
      </c>
      <c r="O1333" s="86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799"/>
    </row>
    <row r="1334" spans="1:27" s="210" customFormat="1" ht="15.75" customHeight="1">
      <c r="A1334" s="203" t="str">
        <f>IF(B1334&lt;&gt;"",IF(AND(B1334&gt;=_TM1,B1334&lt;=_TM2,OR(TH!L1334="1111",TH!M1334="1111")),TH!D1334,""),"")</f>
        <v/>
      </c>
      <c r="B1334" s="36">
        <f>IF(C1334&lt;&gt;"",MONTH(C1334),"")</f>
        <v>7</v>
      </c>
      <c r="C1334" s="183">
        <f>E1334</f>
        <v>42212</v>
      </c>
      <c r="D1334" s="183" t="s">
        <v>1547</v>
      </c>
      <c r="E1334" s="183">
        <v>42212</v>
      </c>
      <c r="F1334" s="188" t="s">
        <v>510</v>
      </c>
      <c r="G1334" s="482" t="s">
        <v>938</v>
      </c>
      <c r="H1334" s="7" t="s">
        <v>869</v>
      </c>
      <c r="I1334" s="256">
        <v>80</v>
      </c>
      <c r="J1334" s="257">
        <v>11540</v>
      </c>
      <c r="K1334" s="593">
        <f>ROUND(I1334*J1334,0)</f>
        <v>923200</v>
      </c>
      <c r="L1334" s="594" t="s">
        <v>259</v>
      </c>
      <c r="M1334" s="594" t="s">
        <v>174</v>
      </c>
      <c r="N1334" s="52" t="str">
        <f>IF(AND('331-CT'!$E$7=TH!H1334,OR(L1334="331",M1334="331")),"331",IF(AND(OR(L1334="131",M1334="131"),H1334='131-CT'!$E$7),"131",""))</f>
        <v/>
      </c>
      <c r="O1334" s="86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799"/>
    </row>
    <row r="1335" spans="1:27" s="210" customFormat="1" ht="15.75" customHeight="1">
      <c r="A1335" s="203" t="str">
        <f>IF(B1335&lt;&gt;"",IF(AND(B1335&gt;=_TM1,B1335&lt;=_TM2,OR(TH!L1335="1111",TH!M1335="1111")),TH!D1335,""),"")</f>
        <v/>
      </c>
      <c r="B1335" s="36">
        <f>IF(C1335&lt;&gt;"",MONTH(C1335),"")</f>
        <v>7</v>
      </c>
      <c r="C1335" s="183">
        <f>E1335</f>
        <v>42212</v>
      </c>
      <c r="D1335" s="183" t="s">
        <v>1547</v>
      </c>
      <c r="E1335" s="183">
        <v>42212</v>
      </c>
      <c r="F1335" s="188" t="s">
        <v>512</v>
      </c>
      <c r="G1335" s="482" t="s">
        <v>938</v>
      </c>
      <c r="H1335" s="7" t="s">
        <v>869</v>
      </c>
      <c r="I1335" s="255">
        <v>470</v>
      </c>
      <c r="J1335" s="257">
        <v>11780</v>
      </c>
      <c r="K1335" s="593">
        <f>ROUND(I1335*J1335,0)</f>
        <v>5536600</v>
      </c>
      <c r="L1335" s="594" t="s">
        <v>259</v>
      </c>
      <c r="M1335" s="594" t="s">
        <v>174</v>
      </c>
      <c r="N1335" s="52" t="str">
        <f>IF(AND('331-CT'!$E$7=TH!H1335,OR(L1335="331",M1335="331")),"331",IF(AND(OR(L1335="131",M1335="131"),H1335='131-CT'!$E$7),"131",""))</f>
        <v/>
      </c>
      <c r="O1335" s="86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799"/>
    </row>
    <row r="1336" spans="1:27" s="210" customFormat="1" ht="15.75" customHeight="1">
      <c r="A1336" s="203" t="str">
        <f>IF(B1336&lt;&gt;"",IF(AND(B1336&gt;=_TM1,B1336&lt;=_TM2,OR(TH!L1336="1111",TH!M1336="1111")),TH!D1336,""),"")</f>
        <v/>
      </c>
      <c r="B1336" s="36">
        <f>IF(C1336&lt;&gt;"",MONTH(C1336),"")</f>
        <v>7</v>
      </c>
      <c r="C1336" s="183">
        <f>E1336</f>
        <v>42212</v>
      </c>
      <c r="D1336" s="183" t="s">
        <v>1547</v>
      </c>
      <c r="E1336" s="183">
        <v>42212</v>
      </c>
      <c r="F1336" s="188" t="s">
        <v>513</v>
      </c>
      <c r="G1336" s="482" t="s">
        <v>938</v>
      </c>
      <c r="H1336" s="7" t="s">
        <v>869</v>
      </c>
      <c r="I1336" s="256">
        <v>350</v>
      </c>
      <c r="J1336" s="257">
        <v>12040</v>
      </c>
      <c r="K1336" s="593">
        <f>ROUND(I1336*J1336,0)</f>
        <v>4214000</v>
      </c>
      <c r="L1336" s="594" t="s">
        <v>259</v>
      </c>
      <c r="M1336" s="594" t="s">
        <v>174</v>
      </c>
      <c r="N1336" s="52" t="str">
        <f>IF(AND('331-CT'!$E$7=TH!H1336,OR(L1336="331",M1336="331")),"331",IF(AND(OR(L1336="131",M1336="131"),H1336='131-CT'!$E$7),"131",""))</f>
        <v/>
      </c>
      <c r="O1336" s="86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799"/>
    </row>
    <row r="1337" spans="1:27" s="210" customFormat="1" ht="15.75" customHeight="1">
      <c r="A1337" s="203" t="str">
        <f>IF(B1337&lt;&gt;"",IF(AND(B1337&gt;=_TM1,B1337&lt;=_TM2,OR(TH!L1337="1111",TH!M1337="1111")),TH!D1337,""),"")</f>
        <v/>
      </c>
      <c r="B1337" s="36">
        <f>IF(C1337&lt;&gt;"",MONTH(C1337),"")</f>
        <v>7</v>
      </c>
      <c r="C1337" s="183">
        <f>E1337</f>
        <v>42212</v>
      </c>
      <c r="D1337" s="183" t="s">
        <v>1547</v>
      </c>
      <c r="E1337" s="183">
        <v>42212</v>
      </c>
      <c r="F1337" s="188" t="s">
        <v>514</v>
      </c>
      <c r="G1337" s="482" t="s">
        <v>938</v>
      </c>
      <c r="H1337" s="7" t="s">
        <v>869</v>
      </c>
      <c r="I1337" s="255">
        <v>251</v>
      </c>
      <c r="J1337" s="255">
        <v>10027</v>
      </c>
      <c r="K1337" s="593">
        <f>ROUND(I1337*J1337,0)</f>
        <v>2516777</v>
      </c>
      <c r="L1337" s="594" t="s">
        <v>259</v>
      </c>
      <c r="M1337" s="594" t="s">
        <v>174</v>
      </c>
      <c r="N1337" s="52" t="str">
        <f>IF(AND('331-CT'!$E$7=TH!H1337,OR(L1337="331",M1337="331")),"331",IF(AND(OR(L1337="131",M1337="131"),H1337='131-CT'!$E$7),"131",""))</f>
        <v/>
      </c>
      <c r="O1337" s="86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799"/>
    </row>
    <row r="1338" spans="1:27" s="210" customFormat="1" ht="15.75" customHeight="1">
      <c r="A1338" s="203" t="str">
        <f>IF(B1338&lt;&gt;"",IF(AND(B1338&gt;=_TM1,B1338&lt;=_TM2,OR(TH!L1338="1111",TH!M1338="1111")),TH!D1338,""),"")</f>
        <v/>
      </c>
      <c r="B1338" s="36">
        <f>IF(C1338&lt;&gt;"",MONTH(C1338),"")</f>
        <v>7</v>
      </c>
      <c r="C1338" s="183">
        <f>E1338</f>
        <v>42212</v>
      </c>
      <c r="D1338" s="183" t="s">
        <v>1547</v>
      </c>
      <c r="E1338" s="183">
        <v>42212</v>
      </c>
      <c r="F1338" s="188" t="s">
        <v>510</v>
      </c>
      <c r="G1338" s="482" t="s">
        <v>938</v>
      </c>
      <c r="H1338" s="7" t="s">
        <v>869</v>
      </c>
      <c r="I1338" s="256">
        <v>150</v>
      </c>
      <c r="J1338" s="257">
        <v>11540</v>
      </c>
      <c r="K1338" s="593">
        <f>ROUND(I1338*J1338,0)</f>
        <v>1731000</v>
      </c>
      <c r="L1338" s="594" t="s">
        <v>259</v>
      </c>
      <c r="M1338" s="594" t="s">
        <v>174</v>
      </c>
      <c r="N1338" s="52" t="str">
        <f>IF(AND('331-CT'!$E$7=TH!H1338,OR(L1338="331",M1338="331")),"331",IF(AND(OR(L1338="131",M1338="131"),H1338='131-CT'!$E$7),"131",""))</f>
        <v/>
      </c>
      <c r="O1338" s="86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799"/>
    </row>
    <row r="1339" spans="1:27" s="210" customFormat="1" ht="15.75" customHeight="1">
      <c r="A1339" s="203" t="str">
        <f>IF(B1339&lt;&gt;"",IF(AND(B1339&gt;=_TM1,B1339&lt;=_TM2,OR(TH!L1339="1111",TH!M1339="1111")),TH!D1339,""),"")</f>
        <v/>
      </c>
      <c r="B1339" s="36">
        <f>IF(C1339&lt;&gt;"",MONTH(C1339),"")</f>
        <v>7</v>
      </c>
      <c r="C1339" s="183">
        <f>E1339</f>
        <v>42212</v>
      </c>
      <c r="D1339" s="183" t="s">
        <v>1547</v>
      </c>
      <c r="E1339" s="183">
        <v>42212</v>
      </c>
      <c r="F1339" s="188" t="s">
        <v>512</v>
      </c>
      <c r="G1339" s="482" t="s">
        <v>938</v>
      </c>
      <c r="H1339" s="7" t="s">
        <v>869</v>
      </c>
      <c r="I1339" s="255">
        <v>200</v>
      </c>
      <c r="J1339" s="257">
        <v>11780</v>
      </c>
      <c r="K1339" s="593">
        <f>ROUND(I1339*J1339,0)</f>
        <v>2356000</v>
      </c>
      <c r="L1339" s="594" t="s">
        <v>259</v>
      </c>
      <c r="M1339" s="594" t="s">
        <v>174</v>
      </c>
      <c r="N1339" s="52" t="str">
        <f>IF(AND('331-CT'!$E$7=TH!H1339,OR(L1339="331",M1339="331")),"331",IF(AND(OR(L1339="131",M1339="131"),H1339='131-CT'!$E$7),"131",""))</f>
        <v/>
      </c>
      <c r="O1339" s="86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799"/>
    </row>
    <row r="1340" spans="1:27" s="210" customFormat="1" ht="15.75" customHeight="1">
      <c r="A1340" s="203" t="str">
        <f>IF(B1340&lt;&gt;"",IF(AND(B1340&gt;=_TM1,B1340&lt;=_TM2,OR(TH!L1340="1111",TH!M1340="1111")),TH!D1340,""),"")</f>
        <v/>
      </c>
      <c r="B1340" s="36">
        <f>IF(C1340&lt;&gt;"",MONTH(C1340),"")</f>
        <v>7</v>
      </c>
      <c r="C1340" s="183">
        <f>E1340</f>
        <v>42212</v>
      </c>
      <c r="D1340" s="183" t="s">
        <v>1547</v>
      </c>
      <c r="E1340" s="183">
        <v>42212</v>
      </c>
      <c r="F1340" s="188" t="s">
        <v>402</v>
      </c>
      <c r="G1340" s="482" t="s">
        <v>938</v>
      </c>
      <c r="H1340" s="7" t="s">
        <v>869</v>
      </c>
      <c r="I1340" s="255"/>
      <c r="J1340" s="255"/>
      <c r="K1340" s="593">
        <v>2892391</v>
      </c>
      <c r="L1340" s="594" t="s">
        <v>259</v>
      </c>
      <c r="M1340" s="594" t="s">
        <v>371</v>
      </c>
      <c r="N1340" s="52" t="str">
        <f>IF(AND('331-CT'!$E$7=TH!H1340,OR(L1340="331",M1340="331")),"331",IF(AND(OR(L1340="131",M1340="131"),H1340='131-CT'!$E$7),"131",""))</f>
        <v/>
      </c>
      <c r="O1340" s="86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799"/>
    </row>
    <row r="1341" spans="1:27" s="210" customFormat="1" ht="15.75" customHeight="1">
      <c r="A1341" s="203" t="str">
        <f>IF(B1341&lt;&gt;"",IF(AND(B1341&gt;=_TM1,B1341&lt;=_TM2,OR(TH!L1341="1111",TH!M1341="1111")),TH!D1341,""),"")</f>
        <v/>
      </c>
      <c r="B1341" s="36">
        <f>IF(C1341&lt;&gt;"",MONTH(C1341),"")</f>
        <v>7</v>
      </c>
      <c r="C1341" s="183">
        <f>E1341</f>
        <v>42212</v>
      </c>
      <c r="D1341" s="183" t="s">
        <v>1548</v>
      </c>
      <c r="E1341" s="183">
        <v>42212</v>
      </c>
      <c r="F1341" s="188" t="s">
        <v>682</v>
      </c>
      <c r="G1341" s="482" t="s">
        <v>939</v>
      </c>
      <c r="H1341" s="7" t="s">
        <v>834</v>
      </c>
      <c r="I1341" s="255">
        <v>222</v>
      </c>
      <c r="J1341" s="255">
        <v>4900</v>
      </c>
      <c r="K1341" s="593">
        <f>ROUND(I1341*J1341,0)</f>
        <v>1087800</v>
      </c>
      <c r="L1341" s="594" t="s">
        <v>259</v>
      </c>
      <c r="M1341" s="594" t="s">
        <v>174</v>
      </c>
      <c r="N1341" s="52" t="str">
        <f>IF(AND('331-CT'!$E$7=TH!H1341,OR(L1341="331",M1341="331")),"331",IF(AND(OR(L1341="131",M1341="131"),H1341='131-CT'!$E$7),"131",""))</f>
        <v/>
      </c>
      <c r="O1341" s="86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799"/>
    </row>
    <row r="1342" spans="1:27" s="210" customFormat="1" ht="15.75" customHeight="1">
      <c r="A1342" s="203" t="str">
        <f>IF(B1342&lt;&gt;"",IF(AND(B1342&gt;=_TM1,B1342&lt;=_TM2,OR(TH!L1342="1111",TH!M1342="1111")),TH!D1342,""),"")</f>
        <v/>
      </c>
      <c r="B1342" s="36">
        <f>IF(C1342&lt;&gt;"",MONTH(C1342),"")</f>
        <v>7</v>
      </c>
      <c r="C1342" s="183">
        <f>E1342</f>
        <v>42212</v>
      </c>
      <c r="D1342" s="183" t="s">
        <v>1548</v>
      </c>
      <c r="E1342" s="183">
        <v>42212</v>
      </c>
      <c r="F1342" s="188" t="s">
        <v>910</v>
      </c>
      <c r="G1342" s="482" t="s">
        <v>939</v>
      </c>
      <c r="H1342" s="7" t="s">
        <v>834</v>
      </c>
      <c r="I1342" s="255">
        <v>494</v>
      </c>
      <c r="J1342" s="255">
        <v>5900</v>
      </c>
      <c r="K1342" s="593">
        <f>ROUND(I1342*J1342,0)</f>
        <v>2914600</v>
      </c>
      <c r="L1342" s="594" t="s">
        <v>259</v>
      </c>
      <c r="M1342" s="594" t="s">
        <v>174</v>
      </c>
      <c r="N1342" s="52" t="str">
        <f>IF(AND('331-CT'!$E$7=TH!H1342,OR(L1342="331",M1342="331")),"331",IF(AND(OR(L1342="131",M1342="131"),H1342='131-CT'!$E$7),"131",""))</f>
        <v/>
      </c>
      <c r="O1342" s="86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799"/>
    </row>
    <row r="1343" spans="1:27" s="210" customFormat="1" ht="15.75" customHeight="1">
      <c r="A1343" s="203" t="str">
        <f>IF(B1343&lt;&gt;"",IF(AND(B1343&gt;=_TM1,B1343&lt;=_TM2,OR(TH!L1343="1111",TH!M1343="1111")),TH!D1343,""),"")</f>
        <v/>
      </c>
      <c r="B1343" s="36">
        <f>IF(C1343&lt;&gt;"",MONTH(C1343),"")</f>
        <v>7</v>
      </c>
      <c r="C1343" s="183">
        <f>E1343</f>
        <v>42212</v>
      </c>
      <c r="D1343" s="183" t="s">
        <v>1548</v>
      </c>
      <c r="E1343" s="183">
        <v>42212</v>
      </c>
      <c r="F1343" s="188" t="s">
        <v>402</v>
      </c>
      <c r="G1343" s="482" t="s">
        <v>939</v>
      </c>
      <c r="H1343" s="7" t="s">
        <v>834</v>
      </c>
      <c r="I1343" s="255"/>
      <c r="J1343" s="255"/>
      <c r="K1343" s="593">
        <v>400240</v>
      </c>
      <c r="L1343" s="594" t="s">
        <v>259</v>
      </c>
      <c r="M1343" s="594" t="s">
        <v>371</v>
      </c>
      <c r="N1343" s="52" t="str">
        <f>IF(AND('331-CT'!$E$7=TH!H1343,OR(L1343="331",M1343="331")),"331",IF(AND(OR(L1343="131",M1343="131"),H1343='131-CT'!$E$7),"131",""))</f>
        <v/>
      </c>
      <c r="O1343" s="86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799"/>
    </row>
    <row r="1344" spans="1:27" s="210" customFormat="1" ht="15.75" customHeight="1">
      <c r="A1344" s="203" t="str">
        <f>IF(B1344&lt;&gt;"",IF(AND(B1344&gt;=_TM1,B1344&lt;=_TM2,OR(TH!L1344="1111",TH!M1344="1111")),TH!D1344,""),"")</f>
        <v/>
      </c>
      <c r="B1344" s="36">
        <f>IF(C1344&lt;&gt;"",MONTH(C1344),"")</f>
        <v>7</v>
      </c>
      <c r="C1344" s="183">
        <f>E1344</f>
        <v>42212</v>
      </c>
      <c r="D1344" s="183" t="s">
        <v>1548</v>
      </c>
      <c r="E1344" s="183">
        <v>42212</v>
      </c>
      <c r="F1344" s="191" t="s">
        <v>1320</v>
      </c>
      <c r="G1344" s="482" t="s">
        <v>2049</v>
      </c>
      <c r="H1344" s="7" t="s">
        <v>834</v>
      </c>
      <c r="I1344" s="255"/>
      <c r="J1344" s="255"/>
      <c r="K1344" s="593">
        <f>7092360+7950250+7541380+4402640</f>
        <v>26986630</v>
      </c>
      <c r="L1344" s="594" t="s">
        <v>47</v>
      </c>
      <c r="M1344" s="594" t="s">
        <v>259</v>
      </c>
      <c r="N1344" s="52" t="str">
        <f>IF(AND('331-CT'!$E$7=TH!H1344,OR(L1344="331",M1344="331")),"331",IF(AND(OR(L1344="131",M1344="131"),H1344='131-CT'!$E$7),"131",""))</f>
        <v/>
      </c>
      <c r="O1344" s="86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799"/>
    </row>
    <row r="1345" spans="1:28" s="210" customFormat="1" ht="15.75" customHeight="1">
      <c r="A1345" s="203" t="str">
        <f>IF(B1345&lt;&gt;"",IF(AND(B1345&gt;=_TM1,B1345&lt;=_TM2,OR(TH!L1345="1111",TH!M1345="1111")),TH!D1345,""),"")</f>
        <v/>
      </c>
      <c r="B1345" s="36">
        <f>IF(C1345&lt;&gt;"",MONTH(C1345),"")</f>
        <v>7</v>
      </c>
      <c r="C1345" s="183">
        <f>E1345</f>
        <v>42212</v>
      </c>
      <c r="D1345" s="183" t="s">
        <v>1319</v>
      </c>
      <c r="E1345" s="190">
        <v>42212</v>
      </c>
      <c r="F1345" s="191" t="s">
        <v>1320</v>
      </c>
      <c r="G1345" s="482" t="s">
        <v>332</v>
      </c>
      <c r="H1345" s="45" t="s">
        <v>416</v>
      </c>
      <c r="I1345" s="255"/>
      <c r="J1345" s="255"/>
      <c r="K1345" s="593">
        <v>20000000</v>
      </c>
      <c r="L1345" s="594" t="s">
        <v>24</v>
      </c>
      <c r="M1345" s="594" t="s">
        <v>259</v>
      </c>
      <c r="N1345" s="52" t="str">
        <f>IF(AND('331-CT'!$E$7=TH!H1345,OR(L1345="331",M1345="331")),"331",IF(AND(OR(L1345="131",M1345="131"),H1345='131-CT'!$E$7),"131",""))</f>
        <v/>
      </c>
      <c r="O1345" s="86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799"/>
    </row>
    <row r="1346" spans="1:28" s="210" customFormat="1" ht="15.75" customHeight="1">
      <c r="A1346" s="203" t="str">
        <f>IF(B1346&lt;&gt;"",IF(AND(B1346&gt;=_TM1,B1346&lt;=_TM2,OR(TH!L1346="1111",TH!M1346="1111")),TH!D1346,""),"")</f>
        <v/>
      </c>
      <c r="B1346" s="36">
        <f>IF(C1346&lt;&gt;"",MONTH(C1346),"")</f>
        <v>7</v>
      </c>
      <c r="C1346" s="183">
        <f>E1346</f>
        <v>42214</v>
      </c>
      <c r="D1346" s="183" t="s">
        <v>1549</v>
      </c>
      <c r="E1346" s="183">
        <v>42214</v>
      </c>
      <c r="F1346" s="40" t="s">
        <v>1692</v>
      </c>
      <c r="G1346" s="482" t="s">
        <v>940</v>
      </c>
      <c r="H1346" s="7" t="s">
        <v>1651</v>
      </c>
      <c r="I1346" s="255">
        <v>400</v>
      </c>
      <c r="J1346" s="255">
        <v>750</v>
      </c>
      <c r="K1346" s="593">
        <f>ROUND(I1346*J1346,0)</f>
        <v>300000</v>
      </c>
      <c r="L1346" s="594" t="s">
        <v>259</v>
      </c>
      <c r="M1346" s="594" t="s">
        <v>174</v>
      </c>
      <c r="N1346" s="52" t="str">
        <f>IF(AND('331-CT'!$E$7=TH!H1346,OR(L1346="331",M1346="331")),"331",IF(AND(OR(L1346="131",M1346="131"),H1346='131-CT'!$E$7),"131",""))</f>
        <v/>
      </c>
      <c r="O1346" s="86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799"/>
    </row>
    <row r="1347" spans="1:28" s="210" customFormat="1" ht="15.75" customHeight="1">
      <c r="A1347" s="203" t="str">
        <f>IF(B1347&lt;&gt;"",IF(AND(B1347&gt;=_TM1,B1347&lt;=_TM2,OR(TH!L1347="1111",TH!M1347="1111")),TH!D1347,""),"")</f>
        <v/>
      </c>
      <c r="B1347" s="36">
        <f>IF(C1347&lt;&gt;"",MONTH(C1347),"")</f>
        <v>7</v>
      </c>
      <c r="C1347" s="183">
        <f>E1347</f>
        <v>42214</v>
      </c>
      <c r="D1347" s="183" t="s">
        <v>1549</v>
      </c>
      <c r="E1347" s="183">
        <v>42214</v>
      </c>
      <c r="F1347" s="188" t="s">
        <v>731</v>
      </c>
      <c r="G1347" s="482" t="s">
        <v>940</v>
      </c>
      <c r="H1347" s="7" t="s">
        <v>1651</v>
      </c>
      <c r="I1347" s="255"/>
      <c r="J1347" s="255"/>
      <c r="K1347" s="593">
        <v>30000</v>
      </c>
      <c r="L1347" s="594" t="s">
        <v>259</v>
      </c>
      <c r="M1347" s="594" t="s">
        <v>371</v>
      </c>
      <c r="N1347" s="52" t="str">
        <f>IF(AND('331-CT'!$E$7=TH!H1347,OR(L1347="331",M1347="331")),"331",IF(AND(OR(L1347="131",M1347="131"),H1347='131-CT'!$E$7),"131",""))</f>
        <v/>
      </c>
      <c r="O1347" s="86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799"/>
    </row>
    <row r="1348" spans="1:28" s="210" customFormat="1" ht="15.75" customHeight="1">
      <c r="A1348" s="203" t="str">
        <f>IF(B1348&lt;&gt;"",IF(AND(B1348&gt;=_TM1,B1348&lt;=_TM2,OR(TH!L1348="1111",TH!M1348="1111")),TH!D1348,""),"")</f>
        <v/>
      </c>
      <c r="B1348" s="36">
        <f>IF(C1348&lt;&gt;"",MONTH(C1348),"")</f>
        <v>7</v>
      </c>
      <c r="C1348" s="183">
        <f>E1348</f>
        <v>42214</v>
      </c>
      <c r="D1348" s="183" t="s">
        <v>1549</v>
      </c>
      <c r="E1348" s="183">
        <v>42214</v>
      </c>
      <c r="F1348" s="191" t="s">
        <v>1320</v>
      </c>
      <c r="G1348" s="482" t="s">
        <v>940</v>
      </c>
      <c r="H1348" s="7" t="s">
        <v>1651</v>
      </c>
      <c r="I1348" s="255"/>
      <c r="J1348" s="255"/>
      <c r="K1348" s="593">
        <v>330000</v>
      </c>
      <c r="L1348" s="594" t="s">
        <v>47</v>
      </c>
      <c r="M1348" s="594" t="s">
        <v>259</v>
      </c>
      <c r="N1348" s="52" t="str">
        <f>IF(AND('331-CT'!$E$7=TH!H1348,OR(L1348="331",M1348="331")),"331",IF(AND(OR(L1348="131",M1348="131"),H1348='131-CT'!$E$7),"131",""))</f>
        <v/>
      </c>
      <c r="O1348" s="86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799"/>
    </row>
    <row r="1349" spans="1:28" s="210" customFormat="1" ht="15.75" customHeight="1">
      <c r="A1349" s="203" t="str">
        <f>IF(B1349&lt;&gt;"",IF(AND(B1349&gt;=_TM1,B1349&lt;=_TM2,OR(TH!L1349="1111",TH!M1349="1111")),TH!D1349,""),"")</f>
        <v/>
      </c>
      <c r="B1349" s="36">
        <f>IF(C1349&lt;&gt;"",MONTH(C1349),"")</f>
        <v>7</v>
      </c>
      <c r="C1349" s="183">
        <f>E1349</f>
        <v>42214</v>
      </c>
      <c r="D1349" s="183" t="s">
        <v>1319</v>
      </c>
      <c r="E1349" s="190">
        <v>42214</v>
      </c>
      <c r="F1349" s="191" t="s">
        <v>1320</v>
      </c>
      <c r="G1349" s="482" t="s">
        <v>332</v>
      </c>
      <c r="H1349" s="7" t="s">
        <v>400</v>
      </c>
      <c r="I1349" s="255"/>
      <c r="J1349" s="255"/>
      <c r="K1349" s="593">
        <v>8579560</v>
      </c>
      <c r="L1349" s="594" t="s">
        <v>24</v>
      </c>
      <c r="M1349" s="594" t="s">
        <v>259</v>
      </c>
      <c r="N1349" s="52" t="str">
        <f>IF(AND('331-CT'!$E$7=TH!H1349,OR(L1349="331",M1349="331")),"331",IF(AND(OR(L1349="131",M1349="131"),H1349='131-CT'!$E$7),"131",""))</f>
        <v/>
      </c>
      <c r="O1349" s="86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>x</v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799"/>
    </row>
    <row r="1350" spans="1:28" s="210" customFormat="1" ht="15.75" customHeight="1">
      <c r="A1350" s="203" t="str">
        <f>IF(B1350&lt;&gt;"",IF(AND(B1350&gt;=_TM1,B1350&lt;=_TM2,OR(TH!L1350="1111",TH!M1350="1111")),TH!D1350,""),"")</f>
        <v/>
      </c>
      <c r="B1350" s="36">
        <f>IF(C1350&lt;&gt;"",MONTH(C1350),"")</f>
        <v>7</v>
      </c>
      <c r="C1350" s="183">
        <f>E1350</f>
        <v>42214</v>
      </c>
      <c r="D1350" s="190" t="s">
        <v>1965</v>
      </c>
      <c r="E1350" s="190">
        <v>42214</v>
      </c>
      <c r="F1350" s="296" t="s">
        <v>1445</v>
      </c>
      <c r="G1350" s="482" t="s">
        <v>1447</v>
      </c>
      <c r="H1350" s="7" t="s">
        <v>1448</v>
      </c>
      <c r="I1350" s="255">
        <v>9427</v>
      </c>
      <c r="J1350" s="255">
        <v>9200</v>
      </c>
      <c r="K1350" s="593">
        <f>ROUND(I1350*J1350,0)</f>
        <v>86728400</v>
      </c>
      <c r="L1350" s="594" t="s">
        <v>159</v>
      </c>
      <c r="M1350" s="594" t="s">
        <v>8</v>
      </c>
      <c r="N1350" s="52" t="str">
        <f>IF(AND('331-CT'!$E$7=TH!H1350,OR(L1350="331",M1350="331")),"331",IF(AND(OR(L1350="131",M1350="131"),H1350='131-CT'!$E$7),"131",""))</f>
        <v>331</v>
      </c>
      <c r="O1350" s="86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799"/>
    </row>
    <row r="1351" spans="1:28" s="210" customFormat="1" ht="15.75" customHeight="1">
      <c r="A1351" s="203" t="str">
        <f>IF(B1351&lt;&gt;"",IF(AND(B1351&gt;=_TM1,B1351&lt;=_TM2,OR(TH!L1351="1111",TH!M1351="1111")),TH!D1351,""),"")</f>
        <v/>
      </c>
      <c r="B1351" s="36">
        <f>IF(C1351&lt;&gt;"",MONTH(C1351),"")</f>
        <v>7</v>
      </c>
      <c r="C1351" s="183">
        <f>E1351</f>
        <v>42214</v>
      </c>
      <c r="D1351" s="190" t="s">
        <v>1965</v>
      </c>
      <c r="E1351" s="190">
        <v>42214</v>
      </c>
      <c r="F1351" s="296" t="s">
        <v>1446</v>
      </c>
      <c r="G1351" s="482" t="s">
        <v>1447</v>
      </c>
      <c r="H1351" s="7" t="s">
        <v>1448</v>
      </c>
      <c r="I1351" s="255"/>
      <c r="J1351" s="255"/>
      <c r="K1351" s="593">
        <v>8672840</v>
      </c>
      <c r="L1351" s="594" t="s">
        <v>9</v>
      </c>
      <c r="M1351" s="594" t="s">
        <v>8</v>
      </c>
      <c r="N1351" s="52" t="str">
        <f>IF(AND('331-CT'!$E$7=TH!H1351,OR(L1351="331",M1351="331")),"331",IF(AND(OR(L1351="131",M1351="131"),H1351='131-CT'!$E$7),"131",""))</f>
        <v>331</v>
      </c>
      <c r="O1351" s="86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799"/>
    </row>
    <row r="1352" spans="1:28" s="210" customFormat="1" ht="15.75" customHeight="1">
      <c r="A1352" s="203" t="str">
        <f>IF(B1352&lt;&gt;"",IF(AND(B1352&gt;=_TM1,B1352&lt;=_TM2,OR(TH!L1352="1111",TH!M1352="1111")),TH!D1352,""),"")</f>
        <v/>
      </c>
      <c r="B1352" s="36">
        <f>IF(C1352&lt;&gt;"",MONTH(C1352),"")</f>
        <v>7</v>
      </c>
      <c r="C1352" s="888">
        <f>E1352</f>
        <v>42216</v>
      </c>
      <c r="D1352" s="888" t="s">
        <v>334</v>
      </c>
      <c r="E1352" s="888">
        <v>42216</v>
      </c>
      <c r="F1352" s="889" t="s">
        <v>1939</v>
      </c>
      <c r="G1352" s="890"/>
      <c r="H1352" s="891"/>
      <c r="I1352" s="892"/>
      <c r="J1352" s="892"/>
      <c r="K1352" s="893">
        <v>16715000</v>
      </c>
      <c r="L1352" s="894" t="s">
        <v>83</v>
      </c>
      <c r="M1352" s="894" t="s">
        <v>262</v>
      </c>
      <c r="N1352" s="52" t="str">
        <f>IF(AND('331-CT'!$E$7=TH!H1352,OR(L1352="331",M1352="331")),"331",IF(AND(OR(L1352="131",M1352="131"),H1352='131-CT'!$E$7),"131",""))</f>
        <v/>
      </c>
      <c r="O1352" s="86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>x</v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197"/>
      <c r="AB1352" s="197"/>
    </row>
    <row r="1353" spans="1:28" s="210" customFormat="1" ht="15.75" customHeight="1">
      <c r="A1353" s="203" t="str">
        <f>IF(B1353&lt;&gt;"",IF(AND(B1353&gt;=_TM1,B1353&lt;=_TM2,OR(TH!L1353="1111",TH!M1353="1111")),TH!D1353,""),"")</f>
        <v/>
      </c>
      <c r="B1353" s="36">
        <f>IF(C1353&lt;&gt;"",MONTH(C1353),"")</f>
        <v>7</v>
      </c>
      <c r="C1353" s="888">
        <f>E1353</f>
        <v>42216</v>
      </c>
      <c r="D1353" s="888" t="s">
        <v>334</v>
      </c>
      <c r="E1353" s="888">
        <v>42216</v>
      </c>
      <c r="F1353" s="889" t="s">
        <v>1940</v>
      </c>
      <c r="G1353" s="890"/>
      <c r="H1353" s="891"/>
      <c r="I1353" s="892"/>
      <c r="J1353" s="892"/>
      <c r="K1353" s="893">
        <v>34635000</v>
      </c>
      <c r="L1353" s="894" t="s">
        <v>165</v>
      </c>
      <c r="M1353" s="894" t="s">
        <v>262</v>
      </c>
      <c r="N1353" s="52" t="str">
        <f>IF(AND('331-CT'!$E$7=TH!H1353,OR(L1353="331",M1353="331")),"331",IF(AND(OR(L1353="131",M1353="131"),H1353='131-CT'!$E$7),"131",""))</f>
        <v/>
      </c>
      <c r="O1353" s="86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197"/>
      <c r="AB1353" s="197"/>
    </row>
    <row r="1354" spans="1:28" s="210" customFormat="1" ht="15.75" customHeight="1">
      <c r="A1354" s="203" t="str">
        <f>IF(B1354&lt;&gt;"",IF(AND(B1354&gt;=_TM1,B1354&lt;=_TM2,OR(TH!L1354="1111",TH!M1354="1111")),TH!D1354,""),"")</f>
        <v/>
      </c>
      <c r="B1354" s="36">
        <f>IF(C1354&lt;&gt;"",MONTH(C1354),"")</f>
        <v>7</v>
      </c>
      <c r="C1354" s="888">
        <f>E1354</f>
        <v>42216</v>
      </c>
      <c r="D1354" s="888" t="s">
        <v>334</v>
      </c>
      <c r="E1354" s="888">
        <v>42216</v>
      </c>
      <c r="F1354" s="889" t="str">
        <f>"Thanh toán tiền lương tháng "&amp;MONTH(E1354)&amp;"/"&amp;YEAR(E1354)</f>
        <v>Thanh toán tiền lương tháng 7/2015</v>
      </c>
      <c r="G1354" s="890"/>
      <c r="H1354" s="891"/>
      <c r="I1354" s="892"/>
      <c r="J1354" s="892"/>
      <c r="K1354" s="893">
        <f>K1352+K1353</f>
        <v>51350000</v>
      </c>
      <c r="L1354" s="894" t="s">
        <v>262</v>
      </c>
      <c r="M1354" s="894" t="s">
        <v>47</v>
      </c>
      <c r="N1354" s="52" t="str">
        <f>IF(AND('331-CT'!$E$7=TH!H1354,OR(L1354="331",M1354="331")),"331",IF(AND(OR(L1354="131",M1354="131"),H1354='131-CT'!$E$7),"131",""))</f>
        <v/>
      </c>
      <c r="O1354" s="86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197"/>
      <c r="AB1354" s="197"/>
    </row>
    <row r="1355" spans="1:28" s="210" customFormat="1" ht="15.75" customHeight="1">
      <c r="A1355" s="203" t="str">
        <f>IF(B1355&lt;&gt;"",IF(AND(B1355&gt;=_TM1,B1355&lt;=_TM2,OR(TH!L1355="1111",TH!M1355="1111")),TH!D1355,""),"")</f>
        <v/>
      </c>
      <c r="B1355" s="36">
        <f>IF(C1355&lt;&gt;"",MONTH(C1355),"")</f>
        <v>7</v>
      </c>
      <c r="C1355" s="183">
        <f>E1355</f>
        <v>42216</v>
      </c>
      <c r="D1355" s="183" t="s">
        <v>1550</v>
      </c>
      <c r="E1355" s="183">
        <v>42216</v>
      </c>
      <c r="F1355" s="188" t="s">
        <v>892</v>
      </c>
      <c r="G1355" s="482" t="s">
        <v>941</v>
      </c>
      <c r="H1355" s="7" t="s">
        <v>412</v>
      </c>
      <c r="I1355" s="255">
        <v>308</v>
      </c>
      <c r="J1355" s="255">
        <v>6800</v>
      </c>
      <c r="K1355" s="593">
        <f>ROUND(I1355*J1355,0)</f>
        <v>2094400</v>
      </c>
      <c r="L1355" s="594" t="s">
        <v>259</v>
      </c>
      <c r="M1355" s="594" t="s">
        <v>174</v>
      </c>
      <c r="N1355" s="52" t="str">
        <f>IF(AND('331-CT'!$E$7=TH!H1355,OR(L1355="331",M1355="331")),"331",IF(AND(OR(L1355="131",M1355="131"),H1355='131-CT'!$E$7),"131",""))</f>
        <v/>
      </c>
      <c r="O1355" s="86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799"/>
    </row>
    <row r="1356" spans="1:28" s="210" customFormat="1" ht="15.75" customHeight="1">
      <c r="A1356" s="203" t="str">
        <f>IF(B1356&lt;&gt;"",IF(AND(B1356&gt;=_TM1,B1356&lt;=_TM2,OR(TH!L1356="1111",TH!M1356="1111")),TH!D1356,""),"")</f>
        <v/>
      </c>
      <c r="B1356" s="36">
        <f>IF(C1356&lt;&gt;"",MONTH(C1356),"")</f>
        <v>7</v>
      </c>
      <c r="C1356" s="183">
        <f>E1356</f>
        <v>42216</v>
      </c>
      <c r="D1356" s="183" t="s">
        <v>1550</v>
      </c>
      <c r="E1356" s="183">
        <v>42216</v>
      </c>
      <c r="F1356" s="188" t="s">
        <v>402</v>
      </c>
      <c r="G1356" s="482" t="s">
        <v>941</v>
      </c>
      <c r="H1356" s="7" t="s">
        <v>412</v>
      </c>
      <c r="I1356" s="255"/>
      <c r="J1356" s="255"/>
      <c r="K1356" s="593">
        <v>209440</v>
      </c>
      <c r="L1356" s="594" t="s">
        <v>259</v>
      </c>
      <c r="M1356" s="594" t="s">
        <v>371</v>
      </c>
      <c r="N1356" s="52" t="str">
        <f>IF(AND('331-CT'!$E$7=TH!H1356,OR(L1356="331",M1356="331")),"331",IF(AND(OR(L1356="131",M1356="131"),H1356='131-CT'!$E$7),"131",""))</f>
        <v/>
      </c>
      <c r="O1356" s="86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799"/>
    </row>
    <row r="1357" spans="1:28" s="210" customFormat="1" ht="15.75" customHeight="1">
      <c r="A1357" s="203" t="str">
        <f>IF(B1357&lt;&gt;"",IF(AND(B1357&gt;=_TM1,B1357&lt;=_TM2,OR(TH!L1357="1111",TH!M1357="1111")),TH!D1357,""),"")</f>
        <v/>
      </c>
      <c r="B1357" s="36">
        <f>IF(C1357&lt;&gt;"",MONTH(C1357),"")</f>
        <v>7</v>
      </c>
      <c r="C1357" s="183">
        <f>E1357</f>
        <v>42216</v>
      </c>
      <c r="D1357" s="183" t="s">
        <v>1551</v>
      </c>
      <c r="E1357" s="183">
        <v>42216</v>
      </c>
      <c r="F1357" s="188" t="s">
        <v>596</v>
      </c>
      <c r="G1357" s="482" t="s">
        <v>942</v>
      </c>
      <c r="H1357" s="7" t="s">
        <v>464</v>
      </c>
      <c r="I1357" s="255">
        <v>196</v>
      </c>
      <c r="J1357" s="255">
        <v>20000</v>
      </c>
      <c r="K1357" s="593">
        <f>ROUND(I1357*J1357,0)</f>
        <v>3920000</v>
      </c>
      <c r="L1357" s="594" t="s">
        <v>259</v>
      </c>
      <c r="M1357" s="594" t="s">
        <v>174</v>
      </c>
      <c r="N1357" s="52" t="str">
        <f>IF(AND('331-CT'!$E$7=TH!H1357,OR(L1357="331",M1357="331")),"331",IF(AND(OR(L1357="131",M1357="131"),H1357='131-CT'!$E$7),"131",""))</f>
        <v/>
      </c>
      <c r="O1357" s="86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799"/>
    </row>
    <row r="1358" spans="1:28" s="210" customFormat="1" ht="15.75" customHeight="1">
      <c r="A1358" s="203" t="str">
        <f>IF(B1358&lt;&gt;"",IF(AND(B1358&gt;=_TM1,B1358&lt;=_TM2,OR(TH!L1358="1111",TH!M1358="1111")),TH!D1358,""),"")</f>
        <v/>
      </c>
      <c r="B1358" s="36">
        <f>IF(C1358&lt;&gt;"",MONTH(C1358),"")</f>
        <v>7</v>
      </c>
      <c r="C1358" s="183">
        <f>E1358</f>
        <v>42216</v>
      </c>
      <c r="D1358" s="183" t="s">
        <v>1551</v>
      </c>
      <c r="E1358" s="183">
        <v>42216</v>
      </c>
      <c r="F1358" s="188" t="s">
        <v>1675</v>
      </c>
      <c r="G1358" s="482" t="s">
        <v>942</v>
      </c>
      <c r="H1358" s="7" t="s">
        <v>464</v>
      </c>
      <c r="I1358" s="255">
        <v>500</v>
      </c>
      <c r="J1358" s="255">
        <v>2000</v>
      </c>
      <c r="K1358" s="593">
        <f>ROUND(I1358*J1358,0)</f>
        <v>1000000</v>
      </c>
      <c r="L1358" s="594" t="s">
        <v>259</v>
      </c>
      <c r="M1358" s="594" t="s">
        <v>174</v>
      </c>
      <c r="N1358" s="52" t="str">
        <f>IF(AND('331-CT'!$E$7=TH!H1358,OR(L1358="331",M1358="331")),"331",IF(AND(OR(L1358="131",M1358="131"),H1358='131-CT'!$E$7),"131",""))</f>
        <v/>
      </c>
      <c r="O1358" s="86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799"/>
    </row>
    <row r="1359" spans="1:28" s="210" customFormat="1" ht="15.75" customHeight="1">
      <c r="A1359" s="203" t="str">
        <f>IF(B1359&lt;&gt;"",IF(AND(B1359&gt;=_TM1,B1359&lt;=_TM2,OR(TH!L1359="1111",TH!M1359="1111")),TH!D1359,""),"")</f>
        <v/>
      </c>
      <c r="B1359" s="36">
        <f>IF(C1359&lt;&gt;"",MONTH(C1359),"")</f>
        <v>7</v>
      </c>
      <c r="C1359" s="183">
        <f>E1359</f>
        <v>42216</v>
      </c>
      <c r="D1359" s="183" t="s">
        <v>1551</v>
      </c>
      <c r="E1359" s="183">
        <v>42216</v>
      </c>
      <c r="F1359" s="188" t="s">
        <v>402</v>
      </c>
      <c r="G1359" s="482" t="s">
        <v>942</v>
      </c>
      <c r="H1359" s="7" t="s">
        <v>464</v>
      </c>
      <c r="I1359" s="255"/>
      <c r="J1359" s="255"/>
      <c r="K1359" s="593">
        <v>492000</v>
      </c>
      <c r="L1359" s="594" t="s">
        <v>259</v>
      </c>
      <c r="M1359" s="594" t="s">
        <v>371</v>
      </c>
      <c r="N1359" s="52" t="str">
        <f>IF(AND('331-CT'!$E$7=TH!H1359,OR(L1359="331",M1359="331")),"331",IF(AND(OR(L1359="131",M1359="131"),H1359='131-CT'!$E$7),"131",""))</f>
        <v/>
      </c>
      <c r="O1359" s="86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799"/>
    </row>
    <row r="1360" spans="1:28" s="210" customFormat="1" ht="15.75" customHeight="1">
      <c r="A1360" s="203" t="str">
        <f>IF(B1360&lt;&gt;"",IF(AND(B1360&gt;=_TM1,B1360&lt;=_TM2,OR(TH!L1360="1111",TH!M1360="1111")),TH!D1360,""),"")</f>
        <v/>
      </c>
      <c r="B1360" s="36">
        <f>IF(C1360&lt;&gt;"",MONTH(C1360),"")</f>
        <v>7</v>
      </c>
      <c r="C1360" s="183">
        <f>E1360</f>
        <v>42216</v>
      </c>
      <c r="D1360" s="183" t="s">
        <v>1552</v>
      </c>
      <c r="E1360" s="183">
        <v>42216</v>
      </c>
      <c r="F1360" s="188" t="s">
        <v>943</v>
      </c>
      <c r="G1360" s="482" t="s">
        <v>944</v>
      </c>
      <c r="H1360" s="7" t="s">
        <v>453</v>
      </c>
      <c r="I1360" s="255">
        <v>61</v>
      </c>
      <c r="J1360" s="255">
        <v>21150</v>
      </c>
      <c r="K1360" s="593">
        <f>ROUND(I1360*J1360,0)</f>
        <v>1290150</v>
      </c>
      <c r="L1360" s="594" t="s">
        <v>259</v>
      </c>
      <c r="M1360" s="594" t="s">
        <v>174</v>
      </c>
      <c r="N1360" s="52" t="str">
        <f>IF(AND('331-CT'!$E$7=TH!H1360,OR(L1360="331",M1360="331")),"331",IF(AND(OR(L1360="131",M1360="131"),H1360='131-CT'!$E$7),"131",""))</f>
        <v/>
      </c>
      <c r="O1360" s="86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799"/>
    </row>
    <row r="1361" spans="1:27" s="210" customFormat="1" ht="15.75" customHeight="1">
      <c r="A1361" s="203" t="str">
        <f>IF(B1361&lt;&gt;"",IF(AND(B1361&gt;=_TM1,B1361&lt;=_TM2,OR(TH!L1361="1111",TH!M1361="1111")),TH!D1361,""),"")</f>
        <v/>
      </c>
      <c r="B1361" s="36">
        <f>IF(C1361&lt;&gt;"",MONTH(C1361),"")</f>
        <v>7</v>
      </c>
      <c r="C1361" s="183">
        <f>E1361</f>
        <v>42216</v>
      </c>
      <c r="D1361" s="183" t="s">
        <v>1552</v>
      </c>
      <c r="E1361" s="183">
        <v>42216</v>
      </c>
      <c r="F1361" s="188" t="s">
        <v>539</v>
      </c>
      <c r="G1361" s="482" t="s">
        <v>944</v>
      </c>
      <c r="H1361" s="7" t="s">
        <v>453</v>
      </c>
      <c r="I1361" s="255">
        <v>316</v>
      </c>
      <c r="J1361" s="255">
        <v>9400</v>
      </c>
      <c r="K1361" s="593">
        <f>ROUND(I1361*J1361,0)</f>
        <v>2970400</v>
      </c>
      <c r="L1361" s="594" t="s">
        <v>259</v>
      </c>
      <c r="M1361" s="594" t="s">
        <v>174</v>
      </c>
      <c r="N1361" s="52" t="str">
        <f>IF(AND('331-CT'!$E$7=TH!H1361,OR(L1361="331",M1361="331")),"331",IF(AND(OR(L1361="131",M1361="131"),H1361='131-CT'!$E$7),"131",""))</f>
        <v/>
      </c>
      <c r="O1361" s="86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799"/>
    </row>
    <row r="1362" spans="1:27" s="210" customFormat="1" ht="15.75" customHeight="1">
      <c r="A1362" s="203" t="str">
        <f>IF(B1362&lt;&gt;"",IF(AND(B1362&gt;=_TM1,B1362&lt;=_TM2,OR(TH!L1362="1111",TH!M1362="1111")),TH!D1362,""),"")</f>
        <v/>
      </c>
      <c r="B1362" s="36">
        <f>IF(C1362&lt;&gt;"",MONTH(C1362),"")</f>
        <v>7</v>
      </c>
      <c r="C1362" s="183">
        <f>E1362</f>
        <v>42216</v>
      </c>
      <c r="D1362" s="183" t="s">
        <v>1552</v>
      </c>
      <c r="E1362" s="183">
        <v>42216</v>
      </c>
      <c r="F1362" s="188" t="s">
        <v>402</v>
      </c>
      <c r="G1362" s="482" t="s">
        <v>944</v>
      </c>
      <c r="H1362" s="7" t="s">
        <v>453</v>
      </c>
      <c r="I1362" s="255"/>
      <c r="J1362" s="255"/>
      <c r="K1362" s="593">
        <v>426055</v>
      </c>
      <c r="L1362" s="594" t="s">
        <v>259</v>
      </c>
      <c r="M1362" s="594" t="s">
        <v>371</v>
      </c>
      <c r="N1362" s="52" t="str">
        <f>IF(AND('331-CT'!$E$7=TH!H1362,OR(L1362="331",M1362="331")),"331",IF(AND(OR(L1362="131",M1362="131"),H1362='131-CT'!$E$7),"131",""))</f>
        <v/>
      </c>
      <c r="O1362" s="86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799"/>
    </row>
    <row r="1363" spans="1:27" s="210" customFormat="1" ht="15.75" customHeight="1">
      <c r="A1363" s="203" t="str">
        <f>IF(B1363&lt;&gt;"",IF(AND(B1363&gt;=_TM1,B1363&lt;=_TM2,OR(TH!L1363="1111",TH!M1363="1111")),TH!D1363,""),"")</f>
        <v/>
      </c>
      <c r="B1363" s="36">
        <f>IF(C1363&lt;&gt;"",MONTH(C1363),"")</f>
        <v>7</v>
      </c>
      <c r="C1363" s="183">
        <f>E1363</f>
        <v>42216</v>
      </c>
      <c r="D1363" s="183" t="s">
        <v>1319</v>
      </c>
      <c r="E1363" s="190">
        <v>42216</v>
      </c>
      <c r="F1363" s="191" t="s">
        <v>1320</v>
      </c>
      <c r="G1363" s="482" t="s">
        <v>332</v>
      </c>
      <c r="H1363" s="7" t="s">
        <v>976</v>
      </c>
      <c r="I1363" s="255"/>
      <c r="J1363" s="255"/>
      <c r="K1363" s="593">
        <v>16854629</v>
      </c>
      <c r="L1363" s="594" t="s">
        <v>24</v>
      </c>
      <c r="M1363" s="594" t="s">
        <v>259</v>
      </c>
      <c r="N1363" s="52" t="str">
        <f>IF(AND('331-CT'!$E$7=TH!H1363,OR(L1363="331",M1363="331")),"331",IF(AND(OR(L1363="131",M1363="131"),H1363='131-CT'!$E$7),"131",""))</f>
        <v/>
      </c>
      <c r="O1363" s="86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>x</v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799"/>
    </row>
    <row r="1364" spans="1:27" s="210" customFormat="1" ht="15.75" customHeight="1">
      <c r="A1364" s="203" t="str">
        <f>IF(B1364&lt;&gt;"",IF(AND(B1364&gt;=_TM1,B1364&lt;=_TM2,OR(TH!L1364="1111",TH!M1364="1111")),TH!D1364,""),"")</f>
        <v/>
      </c>
      <c r="B1364" s="36">
        <f>IF(C1364&lt;&gt;"",MONTH(C1364),"")</f>
        <v>8</v>
      </c>
      <c r="C1364" s="183">
        <f>E1364</f>
        <v>42219</v>
      </c>
      <c r="D1364" s="183" t="s">
        <v>1553</v>
      </c>
      <c r="E1364" s="183">
        <v>42219</v>
      </c>
      <c r="F1364" s="188" t="s">
        <v>439</v>
      </c>
      <c r="G1364" s="482" t="s">
        <v>945</v>
      </c>
      <c r="H1364" s="7" t="s">
        <v>438</v>
      </c>
      <c r="I1364" s="255">
        <v>517</v>
      </c>
      <c r="J1364" s="255">
        <v>5300</v>
      </c>
      <c r="K1364" s="593">
        <f>ROUND(I1364*J1364,0)</f>
        <v>2740100</v>
      </c>
      <c r="L1364" s="594" t="s">
        <v>259</v>
      </c>
      <c r="M1364" s="594" t="s">
        <v>174</v>
      </c>
      <c r="N1364" s="52" t="str">
        <f>IF(AND('331-CT'!$E$7=TH!H1364,OR(L1364="331",M1364="331")),"331",IF(AND(OR(L1364="131",M1364="131"),H1364='131-CT'!$E$7),"131",""))</f>
        <v/>
      </c>
      <c r="O1364" s="86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799"/>
    </row>
    <row r="1365" spans="1:27" s="210" customFormat="1" ht="15.75" customHeight="1">
      <c r="A1365" s="203" t="str">
        <f>IF(B1365&lt;&gt;"",IF(AND(B1365&gt;=_TM1,B1365&lt;=_TM2,OR(TH!L1365="1111",TH!M1365="1111")),TH!D1365,""),"")</f>
        <v/>
      </c>
      <c r="B1365" s="36">
        <f>IF(C1365&lt;&gt;"",MONTH(C1365),"")</f>
        <v>8</v>
      </c>
      <c r="C1365" s="183">
        <f>E1365</f>
        <v>42219</v>
      </c>
      <c r="D1365" s="183" t="s">
        <v>1553</v>
      </c>
      <c r="E1365" s="183">
        <v>42219</v>
      </c>
      <c r="F1365" s="40" t="s">
        <v>522</v>
      </c>
      <c r="G1365" s="482" t="s">
        <v>945</v>
      </c>
      <c r="H1365" s="7" t="s">
        <v>438</v>
      </c>
      <c r="I1365" s="255">
        <v>296</v>
      </c>
      <c r="J1365" s="255">
        <v>4700</v>
      </c>
      <c r="K1365" s="593">
        <f>ROUND(I1365*J1365,0)</f>
        <v>1391200</v>
      </c>
      <c r="L1365" s="594" t="s">
        <v>259</v>
      </c>
      <c r="M1365" s="594" t="s">
        <v>174</v>
      </c>
      <c r="N1365" s="52" t="str">
        <f>IF(AND('331-CT'!$E$7=TH!H1365,OR(L1365="331",M1365="331")),"331",IF(AND(OR(L1365="131",M1365="131"),H1365='131-CT'!$E$7),"131",""))</f>
        <v/>
      </c>
      <c r="O1365" s="86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799"/>
    </row>
    <row r="1366" spans="1:27" s="210" customFormat="1" ht="15.75" customHeight="1">
      <c r="A1366" s="203" t="str">
        <f>IF(B1366&lt;&gt;"",IF(AND(B1366&gt;=_TM1,B1366&lt;=_TM2,OR(TH!L1366="1111",TH!M1366="1111")),TH!D1366,""),"")</f>
        <v/>
      </c>
      <c r="B1366" s="36">
        <f>IF(C1366&lt;&gt;"",MONTH(C1366),"")</f>
        <v>8</v>
      </c>
      <c r="C1366" s="183">
        <f>E1366</f>
        <v>42219</v>
      </c>
      <c r="D1366" s="183" t="s">
        <v>1553</v>
      </c>
      <c r="E1366" s="183">
        <v>42219</v>
      </c>
      <c r="F1366" s="188" t="s">
        <v>441</v>
      </c>
      <c r="G1366" s="482" t="s">
        <v>945</v>
      </c>
      <c r="H1366" s="7" t="s">
        <v>438</v>
      </c>
      <c r="I1366" s="255">
        <v>518</v>
      </c>
      <c r="J1366" s="255">
        <v>4400</v>
      </c>
      <c r="K1366" s="593">
        <f>ROUND(I1366*J1366,0)</f>
        <v>2279200</v>
      </c>
      <c r="L1366" s="594" t="s">
        <v>259</v>
      </c>
      <c r="M1366" s="594" t="s">
        <v>174</v>
      </c>
      <c r="N1366" s="52" t="str">
        <f>IF(AND('331-CT'!$E$7=TH!H1366,OR(L1366="331",M1366="331")),"331",IF(AND(OR(L1366="131",M1366="131"),H1366='131-CT'!$E$7),"131",""))</f>
        <v/>
      </c>
      <c r="O1366" s="86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799"/>
    </row>
    <row r="1367" spans="1:27" s="210" customFormat="1" ht="15.75" customHeight="1">
      <c r="A1367" s="203" t="str">
        <f>IF(B1367&lt;&gt;"",IF(AND(B1367&gt;=_TM1,B1367&lt;=_TM2,OR(TH!L1367="1111",TH!M1367="1111")),TH!D1367,""),"")</f>
        <v/>
      </c>
      <c r="B1367" s="36">
        <f>IF(C1367&lt;&gt;"",MONTH(C1367),"")</f>
        <v>8</v>
      </c>
      <c r="C1367" s="183">
        <f>E1367</f>
        <v>42219</v>
      </c>
      <c r="D1367" s="183" t="s">
        <v>1553</v>
      </c>
      <c r="E1367" s="183">
        <v>42219</v>
      </c>
      <c r="F1367" s="188" t="s">
        <v>946</v>
      </c>
      <c r="G1367" s="482" t="s">
        <v>945</v>
      </c>
      <c r="H1367" s="7" t="s">
        <v>438</v>
      </c>
      <c r="I1367" s="255">
        <v>514</v>
      </c>
      <c r="J1367" s="255">
        <v>6000</v>
      </c>
      <c r="K1367" s="593">
        <f>ROUND(I1367*J1367,0)</f>
        <v>3084000</v>
      </c>
      <c r="L1367" s="594" t="s">
        <v>259</v>
      </c>
      <c r="M1367" s="594" t="s">
        <v>174</v>
      </c>
      <c r="N1367" s="52" t="str">
        <f>IF(AND('331-CT'!$E$7=TH!H1367,OR(L1367="331",M1367="331")),"331",IF(AND(OR(L1367="131",M1367="131"),H1367='131-CT'!$E$7),"131",""))</f>
        <v/>
      </c>
      <c r="O1367" s="86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799"/>
    </row>
    <row r="1368" spans="1:27" s="210" customFormat="1" ht="15.75" customHeight="1">
      <c r="A1368" s="203" t="str">
        <f>IF(B1368&lt;&gt;"",IF(AND(B1368&gt;=_TM1,B1368&lt;=_TM2,OR(TH!L1368="1111",TH!M1368="1111")),TH!D1368,""),"")</f>
        <v/>
      </c>
      <c r="B1368" s="36">
        <f>IF(C1368&lt;&gt;"",MONTH(C1368),"")</f>
        <v>8</v>
      </c>
      <c r="C1368" s="183">
        <f>E1368</f>
        <v>42219</v>
      </c>
      <c r="D1368" s="183" t="s">
        <v>1553</v>
      </c>
      <c r="E1368" s="183">
        <v>42219</v>
      </c>
      <c r="F1368" s="188" t="s">
        <v>947</v>
      </c>
      <c r="G1368" s="482" t="s">
        <v>945</v>
      </c>
      <c r="H1368" s="7" t="s">
        <v>438</v>
      </c>
      <c r="I1368" s="255">
        <v>106</v>
      </c>
      <c r="J1368" s="255">
        <v>17800</v>
      </c>
      <c r="K1368" s="593">
        <f>ROUND(I1368*J1368,0)</f>
        <v>1886800</v>
      </c>
      <c r="L1368" s="594" t="s">
        <v>259</v>
      </c>
      <c r="M1368" s="594" t="s">
        <v>174</v>
      </c>
      <c r="N1368" s="52" t="str">
        <f>IF(AND('331-CT'!$E$7=TH!H1368,OR(L1368="331",M1368="331")),"331",IF(AND(OR(L1368="131",M1368="131"),H1368='131-CT'!$E$7),"131",""))</f>
        <v/>
      </c>
      <c r="O1368" s="86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799"/>
    </row>
    <row r="1369" spans="1:27" s="210" customFormat="1" ht="15.75" customHeight="1">
      <c r="A1369" s="203" t="str">
        <f>IF(B1369&lt;&gt;"",IF(AND(B1369&gt;=_TM1,B1369&lt;=_TM2,OR(TH!L1369="1111",TH!M1369="1111")),TH!D1369,""),"")</f>
        <v/>
      </c>
      <c r="B1369" s="36">
        <f>IF(C1369&lt;&gt;"",MONTH(C1369),"")</f>
        <v>8</v>
      </c>
      <c r="C1369" s="183">
        <f>E1369</f>
        <v>42219</v>
      </c>
      <c r="D1369" s="183" t="s">
        <v>1553</v>
      </c>
      <c r="E1369" s="773">
        <v>42219</v>
      </c>
      <c r="F1369" s="191" t="s">
        <v>948</v>
      </c>
      <c r="G1369" s="482" t="s">
        <v>945</v>
      </c>
      <c r="H1369" s="209" t="s">
        <v>438</v>
      </c>
      <c r="I1369" s="255">
        <v>116</v>
      </c>
      <c r="J1369" s="255">
        <v>5700</v>
      </c>
      <c r="K1369" s="593">
        <f>ROUND(I1369*J1369,0)</f>
        <v>661200</v>
      </c>
      <c r="L1369" s="594" t="s">
        <v>259</v>
      </c>
      <c r="M1369" s="594" t="s">
        <v>174</v>
      </c>
      <c r="N1369" s="52" t="str">
        <f>IF(AND('331-CT'!$E$7=TH!H1369,OR(L1369="331",M1369="331")),"331",IF(AND(OR(L1369="131",M1369="131"),H1369='131-CT'!$E$7),"131",""))</f>
        <v/>
      </c>
      <c r="O1369" s="86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799"/>
    </row>
    <row r="1370" spans="1:27" s="210" customFormat="1" ht="15.75" customHeight="1">
      <c r="A1370" s="203" t="str">
        <f>IF(B1370&lt;&gt;"",IF(AND(B1370&gt;=_TM1,B1370&lt;=_TM2,OR(TH!L1370="1111",TH!M1370="1111")),TH!D1370,""),"")</f>
        <v/>
      </c>
      <c r="B1370" s="36">
        <f>IF(C1370&lt;&gt;"",MONTH(C1370),"")</f>
        <v>8</v>
      </c>
      <c r="C1370" s="183">
        <f>E1370</f>
        <v>42219</v>
      </c>
      <c r="D1370" s="183" t="s">
        <v>1553</v>
      </c>
      <c r="E1370" s="773">
        <v>42219</v>
      </c>
      <c r="F1370" s="191" t="s">
        <v>402</v>
      </c>
      <c r="G1370" s="482" t="s">
        <v>945</v>
      </c>
      <c r="H1370" s="7" t="s">
        <v>438</v>
      </c>
      <c r="I1370" s="255"/>
      <c r="J1370" s="255"/>
      <c r="K1370" s="593">
        <v>1204250</v>
      </c>
      <c r="L1370" s="594" t="s">
        <v>259</v>
      </c>
      <c r="M1370" s="594" t="s">
        <v>371</v>
      </c>
      <c r="N1370" s="52" t="str">
        <f>IF(AND('331-CT'!$E$7=TH!H1370,OR(L1370="331",M1370="331")),"331",IF(AND(OR(L1370="131",M1370="131"),H1370='131-CT'!$E$7),"131",""))</f>
        <v/>
      </c>
      <c r="O1370" s="86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799"/>
    </row>
    <row r="1371" spans="1:27" s="210" customFormat="1" ht="15.75" customHeight="1">
      <c r="A1371" s="203" t="str">
        <f>IF(B1371&lt;&gt;"",IF(AND(B1371&gt;=_TM1,B1371&lt;=_TM2,OR(TH!L1371="1111",TH!M1371="1111")),TH!D1371,""),"")</f>
        <v/>
      </c>
      <c r="B1371" s="36">
        <f>IF(C1371&lt;&gt;"",MONTH(C1371),"")</f>
        <v>8</v>
      </c>
      <c r="C1371" s="183">
        <f>E1371</f>
        <v>42219</v>
      </c>
      <c r="D1371" s="183" t="s">
        <v>1554</v>
      </c>
      <c r="E1371" s="773">
        <v>42219</v>
      </c>
      <c r="F1371" s="191" t="s">
        <v>602</v>
      </c>
      <c r="G1371" s="482" t="s">
        <v>949</v>
      </c>
      <c r="H1371" s="7" t="s">
        <v>950</v>
      </c>
      <c r="I1371" s="255">
        <v>1131</v>
      </c>
      <c r="J1371" s="255">
        <v>8970</v>
      </c>
      <c r="K1371" s="593">
        <f>ROUND(I1371*J1371,0)</f>
        <v>10145070</v>
      </c>
      <c r="L1371" s="594" t="s">
        <v>259</v>
      </c>
      <c r="M1371" s="594" t="s">
        <v>174</v>
      </c>
      <c r="N1371" s="52" t="str">
        <f>IF(AND('331-CT'!$E$7=TH!H1371,OR(L1371="331",M1371="331")),"331",IF(AND(OR(L1371="131",M1371="131"),H1371='131-CT'!$E$7),"131",""))</f>
        <v/>
      </c>
      <c r="O1371" s="86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799"/>
    </row>
    <row r="1372" spans="1:27" s="210" customFormat="1" ht="15.75" customHeight="1">
      <c r="A1372" s="203" t="str">
        <f>IF(B1372&lt;&gt;"",IF(AND(B1372&gt;=_TM1,B1372&lt;=_TM2,OR(TH!L1372="1111",TH!M1372="1111")),TH!D1372,""),"")</f>
        <v/>
      </c>
      <c r="B1372" s="36">
        <f>IF(C1372&lt;&gt;"",MONTH(C1372),"")</f>
        <v>8</v>
      </c>
      <c r="C1372" s="183">
        <f>E1372</f>
        <v>42219</v>
      </c>
      <c r="D1372" s="183" t="s">
        <v>1554</v>
      </c>
      <c r="E1372" s="773">
        <v>42219</v>
      </c>
      <c r="F1372" s="191" t="s">
        <v>951</v>
      </c>
      <c r="G1372" s="482" t="s">
        <v>949</v>
      </c>
      <c r="H1372" s="7" t="s">
        <v>950</v>
      </c>
      <c r="I1372" s="255">
        <v>210</v>
      </c>
      <c r="J1372" s="255">
        <v>8950</v>
      </c>
      <c r="K1372" s="593">
        <f>ROUND(I1372*J1372,0)</f>
        <v>1879500</v>
      </c>
      <c r="L1372" s="594" t="s">
        <v>259</v>
      </c>
      <c r="M1372" s="594" t="s">
        <v>174</v>
      </c>
      <c r="N1372" s="52" t="str">
        <f>IF(AND('331-CT'!$E$7=TH!H1372,OR(L1372="331",M1372="331")),"331",IF(AND(OR(L1372="131",M1372="131"),H1372='131-CT'!$E$7),"131",""))</f>
        <v/>
      </c>
      <c r="O1372" s="86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799"/>
    </row>
    <row r="1373" spans="1:27" s="210" customFormat="1" ht="15.75" customHeight="1">
      <c r="A1373" s="203" t="str">
        <f>IF(B1373&lt;&gt;"",IF(AND(B1373&gt;=_TM1,B1373&lt;=_TM2,OR(TH!L1373="1111",TH!M1373="1111")),TH!D1373,""),"")</f>
        <v/>
      </c>
      <c r="B1373" s="36">
        <f>IF(C1373&lt;&gt;"",MONTH(C1373),"")</f>
        <v>8</v>
      </c>
      <c r="C1373" s="183">
        <f>E1373</f>
        <v>42219</v>
      </c>
      <c r="D1373" s="183" t="s">
        <v>1554</v>
      </c>
      <c r="E1373" s="773">
        <v>42219</v>
      </c>
      <c r="F1373" s="191" t="s">
        <v>402</v>
      </c>
      <c r="G1373" s="482" t="s">
        <v>949</v>
      </c>
      <c r="H1373" s="7" t="s">
        <v>950</v>
      </c>
      <c r="I1373" s="255"/>
      <c r="J1373" s="255"/>
      <c r="K1373" s="593">
        <v>1202457</v>
      </c>
      <c r="L1373" s="594" t="s">
        <v>259</v>
      </c>
      <c r="M1373" s="594" t="s">
        <v>371</v>
      </c>
      <c r="N1373" s="52" t="str">
        <f>IF(AND('331-CT'!$E$7=TH!H1373,OR(L1373="331",M1373="331")),"331",IF(AND(OR(L1373="131",M1373="131"),H1373='131-CT'!$E$7),"131",""))</f>
        <v/>
      </c>
      <c r="O1373" s="86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799"/>
    </row>
    <row r="1374" spans="1:27" s="210" customFormat="1" ht="15.75" customHeight="1">
      <c r="A1374" s="203" t="str">
        <f>IF(B1374&lt;&gt;"",IF(AND(B1374&gt;=_TM1,B1374&lt;=_TM2,OR(TH!L1374="1111",TH!M1374="1111")),TH!D1374,""),"")</f>
        <v/>
      </c>
      <c r="B1374" s="36">
        <f>IF(C1374&lt;&gt;"",MONTH(C1374),"")</f>
        <v>8</v>
      </c>
      <c r="C1374" s="183">
        <f>E1374</f>
        <v>42219</v>
      </c>
      <c r="D1374" s="183" t="s">
        <v>1319</v>
      </c>
      <c r="E1374" s="763">
        <v>42219</v>
      </c>
      <c r="F1374" s="191" t="s">
        <v>1320</v>
      </c>
      <c r="G1374" s="482" t="s">
        <v>332</v>
      </c>
      <c r="H1374" s="7" t="s">
        <v>762</v>
      </c>
      <c r="I1374" s="255"/>
      <c r="J1374" s="255"/>
      <c r="K1374" s="593">
        <v>7110400</v>
      </c>
      <c r="L1374" s="594" t="s">
        <v>24</v>
      </c>
      <c r="M1374" s="594" t="s">
        <v>259</v>
      </c>
      <c r="N1374" s="52" t="str">
        <f>IF(AND('331-CT'!$E$7=TH!H1374,OR(L1374="331",M1374="331")),"331",IF(AND(OR(L1374="131",M1374="131"),H1374='131-CT'!$E$7),"131",""))</f>
        <v/>
      </c>
      <c r="O1374" s="86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>x</v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799"/>
    </row>
    <row r="1375" spans="1:27" s="210" customFormat="1" ht="15.75" customHeight="1">
      <c r="A1375" s="203" t="str">
        <f>IF(B1375&lt;&gt;"",IF(AND(B1375&gt;=_TM1,B1375&lt;=_TM2,OR(TH!L1375="1111",TH!M1375="1111")),TH!D1375,""),"")</f>
        <v/>
      </c>
      <c r="B1375" s="36">
        <f>IF(C1375&lt;&gt;"",MONTH(C1375),"")</f>
        <v>8</v>
      </c>
      <c r="C1375" s="183">
        <f>E1375</f>
        <v>42219</v>
      </c>
      <c r="D1375" s="183" t="s">
        <v>1319</v>
      </c>
      <c r="E1375" s="763">
        <v>42219</v>
      </c>
      <c r="F1375" s="191" t="s">
        <v>1320</v>
      </c>
      <c r="G1375" s="482" t="s">
        <v>332</v>
      </c>
      <c r="H1375" s="7" t="s">
        <v>400</v>
      </c>
      <c r="I1375" s="255"/>
      <c r="J1375" s="255"/>
      <c r="K1375" s="593">
        <v>14349060</v>
      </c>
      <c r="L1375" s="594" t="s">
        <v>24</v>
      </c>
      <c r="M1375" s="594" t="s">
        <v>259</v>
      </c>
      <c r="N1375" s="52" t="str">
        <f>IF(AND('331-CT'!$E$7=TH!H1375,OR(L1375="331",M1375="331")),"331",IF(AND(OR(L1375="131",M1375="131"),H1375='131-CT'!$E$7),"131",""))</f>
        <v/>
      </c>
      <c r="O1375" s="86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>x</v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799"/>
    </row>
    <row r="1376" spans="1:27" s="210" customFormat="1" ht="15.75" customHeight="1">
      <c r="A1376" s="203" t="str">
        <f>IF(B1376&lt;&gt;"",IF(AND(B1376&gt;=_TM1,B1376&lt;=_TM2,OR(TH!L1376="1111",TH!M1376="1111")),TH!D1376,""),"")</f>
        <v/>
      </c>
      <c r="B1376" s="36">
        <f>IF(C1376&lt;&gt;"",MONTH(C1376),"")</f>
        <v>8</v>
      </c>
      <c r="C1376" s="183">
        <f>E1376</f>
        <v>42220</v>
      </c>
      <c r="D1376" s="183" t="s">
        <v>1319</v>
      </c>
      <c r="E1376" s="763">
        <v>42220</v>
      </c>
      <c r="F1376" s="191" t="s">
        <v>1320</v>
      </c>
      <c r="G1376" s="482" t="s">
        <v>332</v>
      </c>
      <c r="H1376" s="7" t="s">
        <v>438</v>
      </c>
      <c r="I1376" s="255"/>
      <c r="J1376" s="255"/>
      <c r="K1376" s="593">
        <v>10156960</v>
      </c>
      <c r="L1376" s="594" t="s">
        <v>24</v>
      </c>
      <c r="M1376" s="594" t="s">
        <v>259</v>
      </c>
      <c r="N1376" s="52" t="str">
        <f>IF(AND('331-CT'!$E$7=TH!H1376,OR(L1376="331",M1376="331")),"331",IF(AND(OR(L1376="131",M1376="131"),H1376='131-CT'!$E$7),"131",""))</f>
        <v/>
      </c>
      <c r="O1376" s="86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799"/>
    </row>
    <row r="1377" spans="1:27" s="210" customFormat="1" ht="15.75" customHeight="1">
      <c r="A1377" s="203" t="str">
        <f>IF(B1377&lt;&gt;"",IF(AND(B1377&gt;=_TM1,B1377&lt;=_TM2,OR(TH!L1377="1111",TH!M1377="1111")),TH!D1377,""),"")</f>
        <v/>
      </c>
      <c r="B1377" s="36">
        <f>IF(C1377&lt;&gt;"",MONTH(C1377),"")</f>
        <v>8</v>
      </c>
      <c r="C1377" s="183">
        <f>E1377</f>
        <v>42221</v>
      </c>
      <c r="D1377" s="183" t="s">
        <v>1319</v>
      </c>
      <c r="E1377" s="190">
        <v>42221</v>
      </c>
      <c r="F1377" s="191" t="s">
        <v>1320</v>
      </c>
      <c r="G1377" s="482" t="s">
        <v>332</v>
      </c>
      <c r="H1377" s="7" t="s">
        <v>764</v>
      </c>
      <c r="I1377" s="255"/>
      <c r="J1377" s="255"/>
      <c r="K1377" s="593">
        <v>5266800</v>
      </c>
      <c r="L1377" s="594" t="s">
        <v>24</v>
      </c>
      <c r="M1377" s="594" t="s">
        <v>259</v>
      </c>
      <c r="N1377" s="52" t="str">
        <f>IF(AND('331-CT'!$E$7=TH!H1377,OR(L1377="331",M1377="331")),"331",IF(AND(OR(L1377="131",M1377="131"),H1377='131-CT'!$E$7),"131",""))</f>
        <v/>
      </c>
      <c r="O1377" s="86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>x</v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799"/>
    </row>
    <row r="1378" spans="1:27" s="210" customFormat="1" ht="15.75" customHeight="1">
      <c r="A1378" s="203" t="str">
        <f>IF(B1378&lt;&gt;"",IF(AND(B1378&gt;=_TM1,B1378&lt;=_TM2,OR(TH!L1378="1111",TH!M1378="1111")),TH!D1378,""),"")</f>
        <v/>
      </c>
      <c r="B1378" s="36">
        <f>IF(C1378&lt;&gt;"",MONTH(C1378),"")</f>
        <v>8</v>
      </c>
      <c r="C1378" s="183">
        <f>E1378</f>
        <v>42221</v>
      </c>
      <c r="D1378" s="183" t="s">
        <v>1324</v>
      </c>
      <c r="E1378" s="190">
        <v>42221</v>
      </c>
      <c r="F1378" s="188" t="s">
        <v>1325</v>
      </c>
      <c r="G1378" s="482" t="s">
        <v>332</v>
      </c>
      <c r="H1378" s="7" t="s">
        <v>1336</v>
      </c>
      <c r="I1378" s="255"/>
      <c r="J1378" s="255"/>
      <c r="K1378" s="593">
        <v>5000000</v>
      </c>
      <c r="L1378" s="594" t="s">
        <v>47</v>
      </c>
      <c r="M1378" s="594" t="s">
        <v>24</v>
      </c>
      <c r="N1378" s="52" t="str">
        <f>IF(AND('331-CT'!$E$7=TH!H1378,OR(L1378="331",M1378="331")),"331",IF(AND(OR(L1378="131",M1378="131"),H1378='131-CT'!$E$7),"131",""))</f>
        <v/>
      </c>
      <c r="O1378" s="86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>x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799"/>
    </row>
    <row r="1379" spans="1:27" s="210" customFormat="1" ht="15.75" customHeight="1">
      <c r="A1379" s="203" t="str">
        <f>IF(B1379&lt;&gt;"",IF(AND(B1379&gt;=_TM1,B1379&lt;=_TM2,OR(TH!L1379="1111",TH!M1379="1111")),TH!D1379,""),"")</f>
        <v/>
      </c>
      <c r="B1379" s="36">
        <f>IF(C1379&lt;&gt;"",MONTH(C1379),"")</f>
        <v>8</v>
      </c>
      <c r="C1379" s="183">
        <f>E1379</f>
        <v>42222</v>
      </c>
      <c r="D1379" s="183" t="s">
        <v>1555</v>
      </c>
      <c r="E1379" s="183">
        <v>42222</v>
      </c>
      <c r="F1379" s="191" t="s">
        <v>952</v>
      </c>
      <c r="G1379" s="482" t="s">
        <v>953</v>
      </c>
      <c r="H1379" s="7" t="s">
        <v>954</v>
      </c>
      <c r="I1379" s="255">
        <v>157</v>
      </c>
      <c r="J1379" s="255">
        <v>22750</v>
      </c>
      <c r="K1379" s="593">
        <f>ROUND(I1379*J1379,0)</f>
        <v>3571750</v>
      </c>
      <c r="L1379" s="594" t="s">
        <v>259</v>
      </c>
      <c r="M1379" s="594" t="s">
        <v>174</v>
      </c>
      <c r="N1379" s="52" t="str">
        <f>IF(AND('331-CT'!$E$7=TH!H1379,OR(L1379="331",M1379="331")),"331",IF(AND(OR(L1379="131",M1379="131"),H1379='131-CT'!$E$7),"131",""))</f>
        <v/>
      </c>
      <c r="O1379" s="86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799"/>
    </row>
    <row r="1380" spans="1:27" s="210" customFormat="1" ht="15.75" customHeight="1">
      <c r="A1380" s="203" t="str">
        <f>IF(B1380&lt;&gt;"",IF(AND(B1380&gt;=_TM1,B1380&lt;=_TM2,OR(TH!L1380="1111",TH!M1380="1111")),TH!D1380,""),"")</f>
        <v/>
      </c>
      <c r="B1380" s="36">
        <f>IF(C1380&lt;&gt;"",MONTH(C1380),"")</f>
        <v>8</v>
      </c>
      <c r="C1380" s="183">
        <f>E1380</f>
        <v>42222</v>
      </c>
      <c r="D1380" s="183" t="s">
        <v>1555</v>
      </c>
      <c r="E1380" s="183">
        <v>42222</v>
      </c>
      <c r="F1380" s="191" t="s">
        <v>402</v>
      </c>
      <c r="G1380" s="482" t="s">
        <v>953</v>
      </c>
      <c r="H1380" s="7" t="s">
        <v>954</v>
      </c>
      <c r="I1380" s="255"/>
      <c r="J1380" s="255"/>
      <c r="K1380" s="593">
        <v>357175</v>
      </c>
      <c r="L1380" s="594" t="s">
        <v>259</v>
      </c>
      <c r="M1380" s="594" t="s">
        <v>371</v>
      </c>
      <c r="N1380" s="52" t="str">
        <f>IF(AND('331-CT'!$E$7=TH!H1380,OR(L1380="331",M1380="331")),"331",IF(AND(OR(L1380="131",M1380="131"),H1380='131-CT'!$E$7),"131",""))</f>
        <v/>
      </c>
      <c r="O1380" s="86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799"/>
    </row>
    <row r="1381" spans="1:27" s="210" customFormat="1" ht="15.75" customHeight="1">
      <c r="A1381" s="203" t="str">
        <f>IF(B1381&lt;&gt;"",IF(AND(B1381&gt;=_TM1,B1381&lt;=_TM2,OR(TH!L1381="1111",TH!M1381="1111")),TH!D1381,""),"")</f>
        <v/>
      </c>
      <c r="B1381" s="36">
        <f>IF(C1381&lt;&gt;"",MONTH(C1381),"")</f>
        <v>8</v>
      </c>
      <c r="C1381" s="183">
        <f>E1381</f>
        <v>42222</v>
      </c>
      <c r="D1381" s="183" t="s">
        <v>1324</v>
      </c>
      <c r="E1381" s="190">
        <v>42222</v>
      </c>
      <c r="F1381" s="188" t="s">
        <v>1325</v>
      </c>
      <c r="G1381" s="482" t="s">
        <v>332</v>
      </c>
      <c r="H1381" s="7" t="s">
        <v>1333</v>
      </c>
      <c r="I1381" s="255"/>
      <c r="J1381" s="255"/>
      <c r="K1381" s="593">
        <v>52300000</v>
      </c>
      <c r="L1381" s="594" t="s">
        <v>47</v>
      </c>
      <c r="M1381" s="594" t="s">
        <v>24</v>
      </c>
      <c r="N1381" s="52" t="str">
        <f>IF(AND('331-CT'!$E$7=TH!H1381,OR(L1381="331",M1381="331")),"331",IF(AND(OR(L1381="131",M1381="131"),H1381='131-CT'!$E$7),"131",""))</f>
        <v/>
      </c>
      <c r="O1381" s="86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>x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799"/>
    </row>
    <row r="1382" spans="1:27" s="210" customFormat="1" ht="15.75" customHeight="1">
      <c r="A1382" s="203" t="str">
        <f>IF(B1382&lt;&gt;"",IF(AND(B1382&gt;=_TM1,B1382&lt;=_TM2,OR(TH!L1382="1111",TH!M1382="1111")),TH!D1382,""),"")</f>
        <v/>
      </c>
      <c r="B1382" s="36">
        <f>IF(C1382&lt;&gt;"",MONTH(C1382),"")</f>
        <v>8</v>
      </c>
      <c r="C1382" s="183">
        <f>E1382</f>
        <v>42222</v>
      </c>
      <c r="D1382" s="183" t="s">
        <v>1324</v>
      </c>
      <c r="E1382" s="190">
        <v>42222</v>
      </c>
      <c r="F1382" s="296" t="s">
        <v>1326</v>
      </c>
      <c r="G1382" s="482" t="s">
        <v>332</v>
      </c>
      <c r="H1382" s="7" t="s">
        <v>1928</v>
      </c>
      <c r="I1382" s="255"/>
      <c r="J1382" s="255"/>
      <c r="K1382" s="593">
        <v>25000000</v>
      </c>
      <c r="L1382" s="594" t="s">
        <v>8</v>
      </c>
      <c r="M1382" s="594" t="s">
        <v>24</v>
      </c>
      <c r="N1382" s="52" t="str">
        <f>IF(AND('331-CT'!$E$7=TH!H1382,OR(L1382="331",M1382="331")),"331",IF(AND(OR(L1382="131",M1382="131"),H1382='131-CT'!$E$7),"131",""))</f>
        <v/>
      </c>
      <c r="O1382" s="86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>x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799"/>
    </row>
    <row r="1383" spans="1:27" s="210" customFormat="1" ht="15.75" customHeight="1">
      <c r="A1383" s="203" t="str">
        <f>IF(B1383&lt;&gt;"",IF(AND(B1383&gt;=_TM1,B1383&lt;=_TM2,OR(TH!L1383="1111",TH!M1383="1111")),TH!D1383,""),"")</f>
        <v/>
      </c>
      <c r="B1383" s="36">
        <f>IF(C1383&lt;&gt;"",MONTH(C1383),"")</f>
        <v>8</v>
      </c>
      <c r="C1383" s="183">
        <f>E1383</f>
        <v>42222</v>
      </c>
      <c r="D1383" s="183" t="s">
        <v>1324</v>
      </c>
      <c r="E1383" s="190">
        <v>42222</v>
      </c>
      <c r="F1383" s="188" t="s">
        <v>1327</v>
      </c>
      <c r="G1383" s="482" t="s">
        <v>332</v>
      </c>
      <c r="H1383" s="7"/>
      <c r="I1383" s="255"/>
      <c r="J1383" s="255"/>
      <c r="K1383" s="593">
        <v>15000</v>
      </c>
      <c r="L1383" s="594" t="s">
        <v>83</v>
      </c>
      <c r="M1383" s="594" t="s">
        <v>24</v>
      </c>
      <c r="N1383" s="52" t="str">
        <f>IF(AND('331-CT'!$E$7=TH!H1383,OR(L1383="331",M1383="331")),"331",IF(AND(OR(L1383="131",M1383="131"),H1383='131-CT'!$E$7),"131",""))</f>
        <v/>
      </c>
      <c r="O1383" s="86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>x</v>
      </c>
      <c r="V1383" s="52" t="str">
        <f>IF(OR(TH!L1383=TH!$V$7,M1383=TH!$V$7),"x","")</f>
        <v>x</v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799"/>
    </row>
    <row r="1384" spans="1:27" s="210" customFormat="1" ht="15.75" customHeight="1">
      <c r="A1384" s="203" t="str">
        <f>IF(B1384&lt;&gt;"",IF(AND(B1384&gt;=_TM1,B1384&lt;=_TM2,OR(TH!L1384="1111",TH!M1384="1111")),TH!D1384,""),"")</f>
        <v/>
      </c>
      <c r="B1384" s="36">
        <f>IF(C1384&lt;&gt;"",MONTH(C1384),"")</f>
        <v>8</v>
      </c>
      <c r="C1384" s="183">
        <f>E1384</f>
        <v>42222</v>
      </c>
      <c r="D1384" s="190" t="s">
        <v>1966</v>
      </c>
      <c r="E1384" s="190">
        <v>42222</v>
      </c>
      <c r="F1384" s="296" t="s">
        <v>1380</v>
      </c>
      <c r="G1384" s="482" t="s">
        <v>434</v>
      </c>
      <c r="H1384" s="7" t="s">
        <v>1449</v>
      </c>
      <c r="I1384" s="255">
        <f>906+951</f>
        <v>1857</v>
      </c>
      <c r="J1384" s="255">
        <v>8700</v>
      </c>
      <c r="K1384" s="593">
        <f>ROUND(I1384*J1384,0)</f>
        <v>16155900</v>
      </c>
      <c r="L1384" s="594" t="s">
        <v>159</v>
      </c>
      <c r="M1384" s="594" t="s">
        <v>8</v>
      </c>
      <c r="N1384" s="52" t="str">
        <f>IF(AND('331-CT'!$E$7=TH!H1384,OR(L1384="331",M1384="331")),"331",IF(AND(OR(L1384="131",M1384="131"),H1384='131-CT'!$E$7),"131",""))</f>
        <v/>
      </c>
      <c r="O1384" s="86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>x</v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799"/>
    </row>
    <row r="1385" spans="1:27" s="210" customFormat="1" ht="15.75" customHeight="1">
      <c r="A1385" s="203" t="str">
        <f>IF(B1385&lt;&gt;"",IF(AND(B1385&gt;=_TM1,B1385&lt;=_TM2,OR(TH!L1385="1111",TH!M1385="1111")),TH!D1385,""),"")</f>
        <v/>
      </c>
      <c r="B1385" s="36">
        <f>IF(C1385&lt;&gt;"",MONTH(C1385),"")</f>
        <v>8</v>
      </c>
      <c r="C1385" s="183">
        <f>E1385</f>
        <v>42222</v>
      </c>
      <c r="D1385" s="190" t="s">
        <v>1966</v>
      </c>
      <c r="E1385" s="190">
        <v>42222</v>
      </c>
      <c r="F1385" s="296" t="s">
        <v>1381</v>
      </c>
      <c r="G1385" s="482" t="s">
        <v>434</v>
      </c>
      <c r="H1385" s="7" t="s">
        <v>1449</v>
      </c>
      <c r="I1385" s="255"/>
      <c r="J1385" s="255"/>
      <c r="K1385" s="593">
        <v>1615590</v>
      </c>
      <c r="L1385" s="594" t="s">
        <v>9</v>
      </c>
      <c r="M1385" s="594" t="s">
        <v>8</v>
      </c>
      <c r="N1385" s="52" t="str">
        <f>IF(AND('331-CT'!$E$7=TH!H1385,OR(L1385="331",M1385="331")),"331",IF(AND(OR(L1385="131",M1385="131"),H1385='131-CT'!$E$7),"131",""))</f>
        <v/>
      </c>
      <c r="O1385" s="86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799"/>
    </row>
    <row r="1386" spans="1:27" s="210" customFormat="1" ht="15.75" customHeight="1">
      <c r="A1386" s="203" t="str">
        <f>IF(B1386&lt;&gt;"",IF(AND(B1386&gt;=_TM1,B1386&lt;=_TM2,OR(TH!L1386="1111",TH!M1386="1111")),TH!D1386,""),"")</f>
        <v/>
      </c>
      <c r="B1386" s="36">
        <f>IF(C1386&lt;&gt;"",MONTH(C1386),"")</f>
        <v>8</v>
      </c>
      <c r="C1386" s="183">
        <f>E1386</f>
        <v>42222</v>
      </c>
      <c r="D1386" s="190" t="s">
        <v>1966</v>
      </c>
      <c r="E1386" s="190">
        <v>42222</v>
      </c>
      <c r="F1386" s="296" t="s">
        <v>1326</v>
      </c>
      <c r="G1386" s="482" t="s">
        <v>434</v>
      </c>
      <c r="H1386" s="7" t="s">
        <v>1449</v>
      </c>
      <c r="I1386" s="255"/>
      <c r="J1386" s="255"/>
      <c r="K1386" s="593">
        <v>17771490</v>
      </c>
      <c r="L1386" s="594" t="s">
        <v>8</v>
      </c>
      <c r="M1386" s="594" t="s">
        <v>47</v>
      </c>
      <c r="N1386" s="52" t="str">
        <f>IF(AND('331-CT'!$E$7=TH!H1386,OR(L1386="331",M1386="331")),"331",IF(AND(OR(L1386="131",M1386="131"),H1386='131-CT'!$E$7),"131",""))</f>
        <v/>
      </c>
      <c r="O1386" s="86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799"/>
    </row>
    <row r="1387" spans="1:27" s="210" customFormat="1" ht="15.75" customHeight="1">
      <c r="A1387" s="203" t="str">
        <f>IF(B1387&lt;&gt;"",IF(AND(B1387&gt;=_TM1,B1387&lt;=_TM2,OR(TH!L1387="1111",TH!M1387="1111")),TH!D1387,""),"")</f>
        <v/>
      </c>
      <c r="B1387" s="36">
        <f>IF(C1387&lt;&gt;"",MONTH(C1387),"")</f>
        <v>8</v>
      </c>
      <c r="C1387" s="183">
        <f>E1387</f>
        <v>42222</v>
      </c>
      <c r="D1387" s="190" t="s">
        <v>1967</v>
      </c>
      <c r="E1387" s="190">
        <v>42222</v>
      </c>
      <c r="F1387" s="296" t="s">
        <v>1380</v>
      </c>
      <c r="G1387" s="482" t="s">
        <v>613</v>
      </c>
      <c r="H1387" s="7" t="s">
        <v>1450</v>
      </c>
      <c r="I1387" s="255">
        <v>3025</v>
      </c>
      <c r="J1387" s="255">
        <v>7400</v>
      </c>
      <c r="K1387" s="593">
        <f>ROUND(I1387*J1387,0)</f>
        <v>22385000</v>
      </c>
      <c r="L1387" s="594" t="s">
        <v>159</v>
      </c>
      <c r="M1387" s="594" t="s">
        <v>8</v>
      </c>
      <c r="N1387" s="52" t="str">
        <f>IF(AND('331-CT'!$E$7=TH!H1387,OR(L1387="331",M1387="331")),"331",IF(AND(OR(L1387="131",M1387="131"),H1387='131-CT'!$E$7),"131",""))</f>
        <v/>
      </c>
      <c r="O1387" s="86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>x</v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799"/>
    </row>
    <row r="1388" spans="1:27" s="210" customFormat="1" ht="15.75" customHeight="1">
      <c r="A1388" s="203" t="str">
        <f>IF(B1388&lt;&gt;"",IF(AND(B1388&gt;=_TM1,B1388&lt;=_TM2,OR(TH!L1388="1111",TH!M1388="1111")),TH!D1388,""),"")</f>
        <v/>
      </c>
      <c r="B1388" s="36">
        <f>IF(C1388&lt;&gt;"",MONTH(C1388),"")</f>
        <v>8</v>
      </c>
      <c r="C1388" s="183">
        <f>E1388</f>
        <v>42222</v>
      </c>
      <c r="D1388" s="190" t="s">
        <v>1967</v>
      </c>
      <c r="E1388" s="190">
        <v>42222</v>
      </c>
      <c r="F1388" s="296" t="s">
        <v>1381</v>
      </c>
      <c r="G1388" s="482" t="s">
        <v>613</v>
      </c>
      <c r="H1388" s="7" t="s">
        <v>1450</v>
      </c>
      <c r="I1388" s="255"/>
      <c r="J1388" s="255"/>
      <c r="K1388" s="593">
        <v>2238500</v>
      </c>
      <c r="L1388" s="594" t="s">
        <v>9</v>
      </c>
      <c r="M1388" s="594" t="s">
        <v>8</v>
      </c>
      <c r="N1388" s="52" t="str">
        <f>IF(AND('331-CT'!$E$7=TH!H1388,OR(L1388="331",M1388="331")),"331",IF(AND(OR(L1388="131",M1388="131"),H1388='131-CT'!$E$7),"131",""))</f>
        <v/>
      </c>
      <c r="O1388" s="86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799"/>
    </row>
    <row r="1389" spans="1:27" s="210" customFormat="1" ht="15.75" customHeight="1">
      <c r="A1389" s="203" t="str">
        <f>IF(B1389&lt;&gt;"",IF(AND(B1389&gt;=_TM1,B1389&lt;=_TM2,OR(TH!L1389="1111",TH!M1389="1111")),TH!D1389,""),"")</f>
        <v/>
      </c>
      <c r="B1389" s="36">
        <f>IF(C1389&lt;&gt;"",MONTH(C1389),"")</f>
        <v>8</v>
      </c>
      <c r="C1389" s="183">
        <f>E1389</f>
        <v>42223</v>
      </c>
      <c r="D1389" s="183" t="s">
        <v>1556</v>
      </c>
      <c r="E1389" s="183">
        <v>42223</v>
      </c>
      <c r="F1389" s="191" t="s">
        <v>398</v>
      </c>
      <c r="G1389" s="482" t="s">
        <v>955</v>
      </c>
      <c r="H1389" s="7" t="s">
        <v>400</v>
      </c>
      <c r="I1389" s="255">
        <v>922</v>
      </c>
      <c r="J1389" s="255">
        <v>5050</v>
      </c>
      <c r="K1389" s="593">
        <f>ROUND(I1389*J1389,0)</f>
        <v>4656100</v>
      </c>
      <c r="L1389" s="594" t="s">
        <v>259</v>
      </c>
      <c r="M1389" s="594" t="s">
        <v>174</v>
      </c>
      <c r="N1389" s="52" t="str">
        <f>IF(AND('331-CT'!$E$7=TH!H1389,OR(L1389="331",M1389="331")),"331",IF(AND(OR(L1389="131",M1389="131"),H1389='131-CT'!$E$7),"131",""))</f>
        <v/>
      </c>
      <c r="O1389" s="86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799"/>
    </row>
    <row r="1390" spans="1:27" s="210" customFormat="1" ht="15.75" customHeight="1">
      <c r="A1390" s="203" t="str">
        <f>IF(B1390&lt;&gt;"",IF(AND(B1390&gt;=_TM1,B1390&lt;=_TM2,OR(TH!L1390="1111",TH!M1390="1111")),TH!D1390,""),"")</f>
        <v/>
      </c>
      <c r="B1390" s="36">
        <f>IF(C1390&lt;&gt;"",MONTH(C1390),"")</f>
        <v>8</v>
      </c>
      <c r="C1390" s="183">
        <f>E1390</f>
        <v>42223</v>
      </c>
      <c r="D1390" s="183" t="s">
        <v>1556</v>
      </c>
      <c r="E1390" s="190">
        <v>42223</v>
      </c>
      <c r="F1390" s="191" t="s">
        <v>446</v>
      </c>
      <c r="G1390" s="482" t="s">
        <v>955</v>
      </c>
      <c r="H1390" s="7" t="s">
        <v>400</v>
      </c>
      <c r="I1390" s="255">
        <v>307</v>
      </c>
      <c r="J1390" s="255">
        <v>5600</v>
      </c>
      <c r="K1390" s="593">
        <f>ROUND(I1390*J1390,0)</f>
        <v>1719200</v>
      </c>
      <c r="L1390" s="594" t="s">
        <v>259</v>
      </c>
      <c r="M1390" s="594" t="s">
        <v>174</v>
      </c>
      <c r="N1390" s="52" t="str">
        <f>IF(AND('331-CT'!$E$7=TH!H1390,OR(L1390="331",M1390="331")),"331",IF(AND(OR(L1390="131",M1390="131"),H1390='131-CT'!$E$7),"131",""))</f>
        <v/>
      </c>
      <c r="O1390" s="86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799"/>
    </row>
    <row r="1391" spans="1:27" s="210" customFormat="1" ht="15.75" customHeight="1">
      <c r="A1391" s="203" t="str">
        <f>IF(B1391&lt;&gt;"",IF(AND(B1391&gt;=_TM1,B1391&lt;=_TM2,OR(TH!L1391="1111",TH!M1391="1111")),TH!D1391,""),"")</f>
        <v/>
      </c>
      <c r="B1391" s="36">
        <f>IF(C1391&lt;&gt;"",MONTH(C1391),"")</f>
        <v>8</v>
      </c>
      <c r="C1391" s="183">
        <f>E1391</f>
        <v>42223</v>
      </c>
      <c r="D1391" s="183" t="s">
        <v>1556</v>
      </c>
      <c r="E1391" s="190">
        <v>42223</v>
      </c>
      <c r="F1391" s="191" t="s">
        <v>402</v>
      </c>
      <c r="G1391" s="482" t="s">
        <v>955</v>
      </c>
      <c r="H1391" s="7" t="s">
        <v>400</v>
      </c>
      <c r="I1391" s="255"/>
      <c r="J1391" s="255"/>
      <c r="K1391" s="593">
        <v>637530</v>
      </c>
      <c r="L1391" s="594" t="s">
        <v>259</v>
      </c>
      <c r="M1391" s="594" t="s">
        <v>371</v>
      </c>
      <c r="N1391" s="52" t="str">
        <f>IF(AND('331-CT'!$E$7=TH!H1391,OR(L1391="331",M1391="331")),"331",IF(AND(OR(L1391="131",M1391="131"),H1391='131-CT'!$E$7),"131",""))</f>
        <v/>
      </c>
      <c r="O1391" s="86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799"/>
    </row>
    <row r="1392" spans="1:27" s="210" customFormat="1" ht="15.75" customHeight="1">
      <c r="A1392" s="203" t="str">
        <f>IF(B1392&lt;&gt;"",IF(AND(B1392&gt;=_TM1,B1392&lt;=_TM2,OR(TH!L1392="1111",TH!M1392="1111")),TH!D1392,""),"")</f>
        <v/>
      </c>
      <c r="B1392" s="36">
        <f>IF(C1392&lt;&gt;"",MONTH(C1392),"")</f>
        <v>8</v>
      </c>
      <c r="C1392" s="183">
        <f>E1392</f>
        <v>42223</v>
      </c>
      <c r="D1392" s="183" t="s">
        <v>1557</v>
      </c>
      <c r="E1392" s="190">
        <v>42223</v>
      </c>
      <c r="F1392" s="40" t="s">
        <v>2010</v>
      </c>
      <c r="G1392" s="482" t="s">
        <v>956</v>
      </c>
      <c r="H1392" s="7" t="s">
        <v>957</v>
      </c>
      <c r="I1392" s="255">
        <v>1667</v>
      </c>
      <c r="J1392" s="255">
        <v>11300</v>
      </c>
      <c r="K1392" s="593">
        <f>ROUND(I1392*J1392,0)</f>
        <v>18837100</v>
      </c>
      <c r="L1392" s="594" t="s">
        <v>259</v>
      </c>
      <c r="M1392" s="594" t="s">
        <v>174</v>
      </c>
      <c r="N1392" s="52" t="str">
        <f>IF(AND('331-CT'!$E$7=TH!H1392,OR(L1392="331",M1392="331")),"331",IF(AND(OR(L1392="131",M1392="131"),H1392='131-CT'!$E$7),"131",""))</f>
        <v/>
      </c>
      <c r="O1392" s="86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99"/>
    </row>
    <row r="1393" spans="1:27" s="210" customFormat="1" ht="15.75" customHeight="1">
      <c r="A1393" s="203" t="str">
        <f>IF(B1393&lt;&gt;"",IF(AND(B1393&gt;=_TM1,B1393&lt;=_TM2,OR(TH!L1393="1111",TH!M1393="1111")),TH!D1393,""),"")</f>
        <v/>
      </c>
      <c r="B1393" s="36">
        <f>IF(C1393&lt;&gt;"",MONTH(C1393),"")</f>
        <v>8</v>
      </c>
      <c r="C1393" s="183">
        <f>E1393</f>
        <v>42223</v>
      </c>
      <c r="D1393" s="183" t="s">
        <v>1557</v>
      </c>
      <c r="E1393" s="190">
        <v>42223</v>
      </c>
      <c r="F1393" s="191" t="s">
        <v>402</v>
      </c>
      <c r="G1393" s="482" t="s">
        <v>956</v>
      </c>
      <c r="H1393" s="7" t="s">
        <v>957</v>
      </c>
      <c r="I1393" s="255"/>
      <c r="J1393" s="255"/>
      <c r="K1393" s="593">
        <v>1883710</v>
      </c>
      <c r="L1393" s="594" t="s">
        <v>259</v>
      </c>
      <c r="M1393" s="594" t="s">
        <v>371</v>
      </c>
      <c r="N1393" s="52" t="str">
        <f>IF(AND('331-CT'!$E$7=TH!H1393,OR(L1393="331",M1393="331")),"331",IF(AND(OR(L1393="131",M1393="131"),H1393='131-CT'!$E$7),"131",""))</f>
        <v/>
      </c>
      <c r="O1393" s="86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99"/>
    </row>
    <row r="1394" spans="1:27" s="210" customFormat="1" ht="15.75" customHeight="1">
      <c r="A1394" s="203" t="str">
        <f>IF(B1394&lt;&gt;"",IF(AND(B1394&gt;=_TM1,B1394&lt;=_TM2,OR(TH!L1394="1111",TH!M1394="1111")),TH!D1394,""),"")</f>
        <v/>
      </c>
      <c r="B1394" s="36">
        <f>IF(C1394&lt;&gt;"",MONTH(C1394),"")</f>
        <v>8</v>
      </c>
      <c r="C1394" s="183">
        <f>E1394</f>
        <v>42223</v>
      </c>
      <c r="D1394" s="183" t="s">
        <v>1558</v>
      </c>
      <c r="E1394" s="190">
        <v>42223</v>
      </c>
      <c r="F1394" s="191" t="s">
        <v>1773</v>
      </c>
      <c r="G1394" s="482" t="s">
        <v>958</v>
      </c>
      <c r="H1394" s="7" t="s">
        <v>1934</v>
      </c>
      <c r="I1394" s="255">
        <v>450</v>
      </c>
      <c r="J1394" s="255">
        <v>8826</v>
      </c>
      <c r="K1394" s="593">
        <f>ROUND(I1394*J1394,0)</f>
        <v>3971700</v>
      </c>
      <c r="L1394" s="594" t="s">
        <v>259</v>
      </c>
      <c r="M1394" s="594" t="s">
        <v>174</v>
      </c>
      <c r="N1394" s="52" t="str">
        <f>IF(AND('331-CT'!$E$7=TH!H1394,OR(L1394="331",M1394="331")),"331",IF(AND(OR(L1394="131",M1394="131"),H1394='131-CT'!$E$7),"131",""))</f>
        <v/>
      </c>
      <c r="O1394" s="86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99"/>
    </row>
    <row r="1395" spans="1:27" s="210" customFormat="1" ht="15.75" customHeight="1">
      <c r="A1395" s="203" t="str">
        <f>IF(B1395&lt;&gt;"",IF(AND(B1395&gt;=_TM1,B1395&lt;=_TM2,OR(TH!L1395="1111",TH!M1395="1111")),TH!D1395,""),"")</f>
        <v/>
      </c>
      <c r="B1395" s="36">
        <f>IF(C1395&lt;&gt;"",MONTH(C1395),"")</f>
        <v>8</v>
      </c>
      <c r="C1395" s="183">
        <f>E1395</f>
        <v>42223</v>
      </c>
      <c r="D1395" s="183" t="s">
        <v>1558</v>
      </c>
      <c r="E1395" s="190">
        <v>42223</v>
      </c>
      <c r="F1395" s="191" t="s">
        <v>1774</v>
      </c>
      <c r="G1395" s="482" t="s">
        <v>958</v>
      </c>
      <c r="H1395" s="7" t="s">
        <v>1934</v>
      </c>
      <c r="I1395" s="255">
        <v>58</v>
      </c>
      <c r="J1395" s="255">
        <v>10055</v>
      </c>
      <c r="K1395" s="593">
        <f>ROUND(I1395*J1395,0)</f>
        <v>583190</v>
      </c>
      <c r="L1395" s="594" t="s">
        <v>259</v>
      </c>
      <c r="M1395" s="594" t="s">
        <v>174</v>
      </c>
      <c r="N1395" s="52" t="str">
        <f>IF(AND('331-CT'!$E$7=TH!H1395,OR(L1395="331",M1395="331")),"331",IF(AND(OR(L1395="131",M1395="131"),H1395='131-CT'!$E$7),"131",""))</f>
        <v/>
      </c>
      <c r="O1395" s="86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99"/>
    </row>
    <row r="1396" spans="1:27" s="210" customFormat="1" ht="15.75" customHeight="1">
      <c r="A1396" s="203" t="str">
        <f>IF(B1396&lt;&gt;"",IF(AND(B1396&gt;=_TM1,B1396&lt;=_TM2,OR(TH!L1396="1111",TH!M1396="1111")),TH!D1396,""),"")</f>
        <v/>
      </c>
      <c r="B1396" s="36">
        <f>IF(C1396&lt;&gt;"",MONTH(C1396),"")</f>
        <v>8</v>
      </c>
      <c r="C1396" s="183">
        <f>E1396</f>
        <v>42223</v>
      </c>
      <c r="D1396" s="183" t="s">
        <v>1558</v>
      </c>
      <c r="E1396" s="190">
        <v>42223</v>
      </c>
      <c r="F1396" s="191" t="s">
        <v>1727</v>
      </c>
      <c r="G1396" s="482" t="s">
        <v>958</v>
      </c>
      <c r="H1396" s="7" t="s">
        <v>1934</v>
      </c>
      <c r="I1396" s="255">
        <v>10</v>
      </c>
      <c r="J1396" s="255">
        <v>17035</v>
      </c>
      <c r="K1396" s="593">
        <f>ROUND(I1396*J1396,0)</f>
        <v>170350</v>
      </c>
      <c r="L1396" s="594" t="s">
        <v>259</v>
      </c>
      <c r="M1396" s="594" t="s">
        <v>174</v>
      </c>
      <c r="N1396" s="52" t="str">
        <f>IF(AND('331-CT'!$E$7=TH!H1396,OR(L1396="331",M1396="331")),"331",IF(AND(OR(L1396="131",M1396="131"),H1396='131-CT'!$E$7),"131",""))</f>
        <v/>
      </c>
      <c r="O1396" s="86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99"/>
    </row>
    <row r="1397" spans="1:27" s="210" customFormat="1" ht="15.75" customHeight="1">
      <c r="A1397" s="203" t="str">
        <f>IF(B1397&lt;&gt;"",IF(AND(B1397&gt;=_TM1,B1397&lt;=_TM2,OR(TH!L1397="1111",TH!M1397="1111")),TH!D1397,""),"")</f>
        <v/>
      </c>
      <c r="B1397" s="36">
        <f>IF(C1397&lt;&gt;"",MONTH(C1397),"")</f>
        <v>8</v>
      </c>
      <c r="C1397" s="183">
        <f>E1397</f>
        <v>42223</v>
      </c>
      <c r="D1397" s="183" t="s">
        <v>1558</v>
      </c>
      <c r="E1397" s="190">
        <v>42223</v>
      </c>
      <c r="F1397" s="191" t="s">
        <v>1728</v>
      </c>
      <c r="G1397" s="482" t="s">
        <v>958</v>
      </c>
      <c r="H1397" s="7" t="s">
        <v>1934</v>
      </c>
      <c r="I1397" s="255">
        <v>10</v>
      </c>
      <c r="J1397" s="255">
        <v>15616</v>
      </c>
      <c r="K1397" s="593">
        <f>ROUND(I1397*J1397,0)</f>
        <v>156160</v>
      </c>
      <c r="L1397" s="594" t="s">
        <v>259</v>
      </c>
      <c r="M1397" s="594" t="s">
        <v>174</v>
      </c>
      <c r="N1397" s="52" t="str">
        <f>IF(AND('331-CT'!$E$7=TH!H1397,OR(L1397="331",M1397="331")),"331",IF(AND(OR(L1397="131",M1397="131"),H1397='131-CT'!$E$7),"131",""))</f>
        <v/>
      </c>
      <c r="O1397" s="86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99"/>
    </row>
    <row r="1398" spans="1:27" s="210" customFormat="1" ht="15.75" customHeight="1">
      <c r="A1398" s="203" t="str">
        <f>IF(B1398&lt;&gt;"",IF(AND(B1398&gt;=_TM1,B1398&lt;=_TM2,OR(TH!L1398="1111",TH!M1398="1111")),TH!D1398,""),"")</f>
        <v/>
      </c>
      <c r="B1398" s="36">
        <f>IF(C1398&lt;&gt;"",MONTH(C1398),"")</f>
        <v>8</v>
      </c>
      <c r="C1398" s="183">
        <f>E1398</f>
        <v>42223</v>
      </c>
      <c r="D1398" s="183" t="s">
        <v>1558</v>
      </c>
      <c r="E1398" s="190">
        <v>42223</v>
      </c>
      <c r="F1398" s="191" t="s">
        <v>1704</v>
      </c>
      <c r="G1398" s="482" t="s">
        <v>958</v>
      </c>
      <c r="H1398" s="7" t="s">
        <v>1934</v>
      </c>
      <c r="I1398" s="255">
        <v>10</v>
      </c>
      <c r="J1398" s="255">
        <v>15097</v>
      </c>
      <c r="K1398" s="593">
        <f>ROUND(I1398*J1398,0)</f>
        <v>150970</v>
      </c>
      <c r="L1398" s="594" t="s">
        <v>259</v>
      </c>
      <c r="M1398" s="594" t="s">
        <v>174</v>
      </c>
      <c r="N1398" s="52" t="str">
        <f>IF(AND('331-CT'!$E$7=TH!H1398,OR(L1398="331",M1398="331")),"331",IF(AND(OR(L1398="131",M1398="131"),H1398='131-CT'!$E$7),"131",""))</f>
        <v/>
      </c>
      <c r="O1398" s="86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99"/>
    </row>
    <row r="1399" spans="1:27" s="210" customFormat="1" ht="15.75" customHeight="1">
      <c r="A1399" s="203" t="str">
        <f>IF(B1399&lt;&gt;"",IF(AND(B1399&gt;=_TM1,B1399&lt;=_TM2,OR(TH!L1399="1111",TH!M1399="1111")),TH!D1399,""),"")</f>
        <v/>
      </c>
      <c r="B1399" s="36">
        <f>IF(C1399&lt;&gt;"",MONTH(C1399),"")</f>
        <v>8</v>
      </c>
      <c r="C1399" s="183">
        <f>E1399</f>
        <v>42223</v>
      </c>
      <c r="D1399" s="183" t="s">
        <v>1558</v>
      </c>
      <c r="E1399" s="190">
        <v>42223</v>
      </c>
      <c r="F1399" s="191" t="s">
        <v>1756</v>
      </c>
      <c r="G1399" s="482" t="s">
        <v>958</v>
      </c>
      <c r="H1399" s="7" t="s">
        <v>1934</v>
      </c>
      <c r="I1399" s="255">
        <v>10</v>
      </c>
      <c r="J1399" s="255">
        <v>14378</v>
      </c>
      <c r="K1399" s="593">
        <f>ROUND(I1399*J1399,0)</f>
        <v>143780</v>
      </c>
      <c r="L1399" s="594" t="s">
        <v>259</v>
      </c>
      <c r="M1399" s="594" t="s">
        <v>174</v>
      </c>
      <c r="N1399" s="52" t="str">
        <f>IF(AND('331-CT'!$E$7=TH!H1399,OR(L1399="331",M1399="331")),"331",IF(AND(OR(L1399="131",M1399="131"),H1399='131-CT'!$E$7),"131",""))</f>
        <v/>
      </c>
      <c r="O1399" s="86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99"/>
    </row>
    <row r="1400" spans="1:27" s="210" customFormat="1" ht="15.75" customHeight="1">
      <c r="A1400" s="203" t="str">
        <f>IF(B1400&lt;&gt;"",IF(AND(B1400&gt;=_TM1,B1400&lt;=_TM2,OR(TH!L1400="1111",TH!M1400="1111")),TH!D1400,""),"")</f>
        <v/>
      </c>
      <c r="B1400" s="36">
        <f>IF(C1400&lt;&gt;"",MONTH(C1400),"")</f>
        <v>8</v>
      </c>
      <c r="C1400" s="183">
        <f>E1400</f>
        <v>42223</v>
      </c>
      <c r="D1400" s="183" t="s">
        <v>1558</v>
      </c>
      <c r="E1400" s="190">
        <v>42223</v>
      </c>
      <c r="F1400" s="191" t="s">
        <v>1741</v>
      </c>
      <c r="G1400" s="482" t="s">
        <v>958</v>
      </c>
      <c r="H1400" s="7" t="s">
        <v>1934</v>
      </c>
      <c r="I1400" s="255">
        <v>10</v>
      </c>
      <c r="J1400" s="255">
        <v>10056</v>
      </c>
      <c r="K1400" s="593">
        <f>ROUND(I1400*J1400,0)</f>
        <v>100560</v>
      </c>
      <c r="L1400" s="594" t="s">
        <v>259</v>
      </c>
      <c r="M1400" s="594" t="s">
        <v>174</v>
      </c>
      <c r="N1400" s="52" t="str">
        <f>IF(AND('331-CT'!$E$7=TH!H1400,OR(L1400="331",M1400="331")),"331",IF(AND(OR(L1400="131",M1400="131"),H1400='131-CT'!$E$7),"131",""))</f>
        <v/>
      </c>
      <c r="O1400" s="86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99"/>
    </row>
    <row r="1401" spans="1:27" s="210" customFormat="1" ht="15.75" customHeight="1">
      <c r="A1401" s="203" t="str">
        <f>IF(B1401&lt;&gt;"",IF(AND(B1401&gt;=_TM1,B1401&lt;=_TM2,OR(TH!L1401="1111",TH!M1401="1111")),TH!D1401,""),"")</f>
        <v/>
      </c>
      <c r="B1401" s="36">
        <f>IF(C1401&lt;&gt;"",MONTH(C1401),"")</f>
        <v>8</v>
      </c>
      <c r="C1401" s="183">
        <f>E1401</f>
        <v>42223</v>
      </c>
      <c r="D1401" s="183" t="s">
        <v>1558</v>
      </c>
      <c r="E1401" s="190">
        <v>42223</v>
      </c>
      <c r="F1401" s="191" t="s">
        <v>668</v>
      </c>
      <c r="G1401" s="482" t="s">
        <v>958</v>
      </c>
      <c r="H1401" s="7" t="s">
        <v>1934</v>
      </c>
      <c r="I1401" s="255">
        <v>40</v>
      </c>
      <c r="J1401" s="255">
        <v>20302</v>
      </c>
      <c r="K1401" s="593">
        <f>ROUND(I1401*J1401,0)</f>
        <v>812080</v>
      </c>
      <c r="L1401" s="594" t="s">
        <v>259</v>
      </c>
      <c r="M1401" s="594" t="s">
        <v>174</v>
      </c>
      <c r="N1401" s="52" t="str">
        <f>IF(AND('331-CT'!$E$7=TH!H1401,OR(L1401="331",M1401="331")),"331",IF(AND(OR(L1401="131",M1401="131"),H1401='131-CT'!$E$7),"131",""))</f>
        <v/>
      </c>
      <c r="O1401" s="86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99"/>
    </row>
    <row r="1402" spans="1:27" s="210" customFormat="1" ht="15.75" customHeight="1">
      <c r="A1402" s="203" t="str">
        <f>IF(B1402&lt;&gt;"",IF(AND(B1402&gt;=_TM1,B1402&lt;=_TM2,OR(TH!L1402="1111",TH!M1402="1111")),TH!D1402,""),"")</f>
        <v/>
      </c>
      <c r="B1402" s="36">
        <f>IF(C1402&lt;&gt;"",MONTH(C1402),"")</f>
        <v>8</v>
      </c>
      <c r="C1402" s="183">
        <f>E1402</f>
        <v>42223</v>
      </c>
      <c r="D1402" s="183" t="s">
        <v>1558</v>
      </c>
      <c r="E1402" s="190">
        <v>42223</v>
      </c>
      <c r="F1402" s="191" t="s">
        <v>1736</v>
      </c>
      <c r="G1402" s="482" t="s">
        <v>958</v>
      </c>
      <c r="H1402" s="7" t="s">
        <v>1934</v>
      </c>
      <c r="I1402" s="255">
        <v>10</v>
      </c>
      <c r="J1402" s="255">
        <v>16380</v>
      </c>
      <c r="K1402" s="593">
        <f>ROUND(I1402*J1402,0)</f>
        <v>163800</v>
      </c>
      <c r="L1402" s="594" t="s">
        <v>259</v>
      </c>
      <c r="M1402" s="594" t="s">
        <v>174</v>
      </c>
      <c r="N1402" s="52" t="str">
        <f>IF(AND('331-CT'!$E$7=TH!H1402,OR(L1402="331",M1402="331")),"331",IF(AND(OR(L1402="131",M1402="131"),H1402='131-CT'!$E$7),"131",""))</f>
        <v/>
      </c>
      <c r="O1402" s="86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799"/>
    </row>
    <row r="1403" spans="1:27" s="210" customFormat="1" ht="15.75" customHeight="1">
      <c r="A1403" s="203" t="str">
        <f>IF(B1403&lt;&gt;"",IF(AND(B1403&gt;=_TM1,B1403&lt;=_TM2,OR(TH!L1403="1111",TH!M1403="1111")),TH!D1403,""),"")</f>
        <v/>
      </c>
      <c r="B1403" s="36">
        <f>IF(C1403&lt;&gt;"",MONTH(C1403),"")</f>
        <v>8</v>
      </c>
      <c r="C1403" s="183">
        <f>E1403</f>
        <v>42223</v>
      </c>
      <c r="D1403" s="183" t="s">
        <v>1558</v>
      </c>
      <c r="E1403" s="190">
        <v>42223</v>
      </c>
      <c r="F1403" s="191" t="s">
        <v>1775</v>
      </c>
      <c r="G1403" s="482" t="s">
        <v>958</v>
      </c>
      <c r="H1403" s="7" t="s">
        <v>1934</v>
      </c>
      <c r="I1403" s="255">
        <v>10</v>
      </c>
      <c r="J1403" s="255">
        <v>19419</v>
      </c>
      <c r="K1403" s="593">
        <f>ROUND(I1403*J1403,0)</f>
        <v>194190</v>
      </c>
      <c r="L1403" s="594" t="s">
        <v>259</v>
      </c>
      <c r="M1403" s="594" t="s">
        <v>174</v>
      </c>
      <c r="N1403" s="52" t="str">
        <f>IF(AND('331-CT'!$E$7=TH!H1403,OR(L1403="331",M1403="331")),"331",IF(AND(OR(L1403="131",M1403="131"),H1403='131-CT'!$E$7),"131",""))</f>
        <v/>
      </c>
      <c r="O1403" s="86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799"/>
    </row>
    <row r="1404" spans="1:27" s="210" customFormat="1" ht="15.75" customHeight="1">
      <c r="A1404" s="203" t="str">
        <f>IF(B1404&lt;&gt;"",IF(AND(B1404&gt;=_TM1,B1404&lt;=_TM2,OR(TH!L1404="1111",TH!M1404="1111")),TH!D1404,""),"")</f>
        <v/>
      </c>
      <c r="B1404" s="36">
        <f>IF(C1404&lt;&gt;"",MONTH(C1404),"")</f>
        <v>8</v>
      </c>
      <c r="C1404" s="183">
        <f>E1404</f>
        <v>42223</v>
      </c>
      <c r="D1404" s="183" t="s">
        <v>1558</v>
      </c>
      <c r="E1404" s="190">
        <v>42223</v>
      </c>
      <c r="F1404" s="191" t="s">
        <v>731</v>
      </c>
      <c r="G1404" s="482" t="s">
        <v>958</v>
      </c>
      <c r="H1404" s="7" t="s">
        <v>1934</v>
      </c>
      <c r="I1404" s="255"/>
      <c r="J1404" s="255"/>
      <c r="K1404" s="593">
        <v>644678</v>
      </c>
      <c r="L1404" s="594" t="s">
        <v>259</v>
      </c>
      <c r="M1404" s="594" t="s">
        <v>371</v>
      </c>
      <c r="N1404" s="52" t="str">
        <f>IF(AND('331-CT'!$E$7=TH!H1404,OR(L1404="331",M1404="331")),"331",IF(AND(OR(L1404="131",M1404="131"),H1404='131-CT'!$E$7),"131",""))</f>
        <v/>
      </c>
      <c r="O1404" s="86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799"/>
    </row>
    <row r="1405" spans="1:27" s="210" customFormat="1" ht="15.75" customHeight="1">
      <c r="A1405" s="203" t="str">
        <f>IF(B1405&lt;&gt;"",IF(AND(B1405&gt;=_TM1,B1405&lt;=_TM2,OR(TH!L1405="1111",TH!M1405="1111")),TH!D1405,""),"")</f>
        <v/>
      </c>
      <c r="B1405" s="36">
        <f>IF(C1405&lt;&gt;"",MONTH(C1405),"")</f>
        <v>8</v>
      </c>
      <c r="C1405" s="183">
        <f>E1405</f>
        <v>42223</v>
      </c>
      <c r="D1405" s="183" t="s">
        <v>1559</v>
      </c>
      <c r="E1405" s="190">
        <v>42223</v>
      </c>
      <c r="F1405" s="191" t="s">
        <v>454</v>
      </c>
      <c r="G1405" s="482" t="s">
        <v>959</v>
      </c>
      <c r="H1405" s="7" t="s">
        <v>733</v>
      </c>
      <c r="I1405" s="255">
        <v>277</v>
      </c>
      <c r="J1405" s="255">
        <v>47449</v>
      </c>
      <c r="K1405" s="593">
        <f>ROUND(I1405*J1405,0)</f>
        <v>13143373</v>
      </c>
      <c r="L1405" s="594" t="s">
        <v>259</v>
      </c>
      <c r="M1405" s="594" t="s">
        <v>174</v>
      </c>
      <c r="N1405" s="52" t="str">
        <f>IF(AND('331-CT'!$E$7=TH!H1405,OR(L1405="331",M1405="331")),"331",IF(AND(OR(L1405="131",M1405="131"),H1405='131-CT'!$E$7),"131",""))</f>
        <v/>
      </c>
      <c r="O1405" s="86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799"/>
    </row>
    <row r="1406" spans="1:27" s="210" customFormat="1" ht="15.75" customHeight="1">
      <c r="A1406" s="203" t="str">
        <f>IF(B1406&lt;&gt;"",IF(AND(B1406&gt;=_TM1,B1406&lt;=_TM2,OR(TH!L1406="1111",TH!M1406="1111")),TH!D1406,""),"")</f>
        <v/>
      </c>
      <c r="B1406" s="36">
        <f>IF(C1406&lt;&gt;"",MONTH(C1406),"")</f>
        <v>8</v>
      </c>
      <c r="C1406" s="183">
        <f>E1406</f>
        <v>42223</v>
      </c>
      <c r="D1406" s="183" t="s">
        <v>1559</v>
      </c>
      <c r="E1406" s="190">
        <v>42223</v>
      </c>
      <c r="F1406" s="188" t="s">
        <v>402</v>
      </c>
      <c r="G1406" s="482" t="s">
        <v>959</v>
      </c>
      <c r="H1406" s="7" t="s">
        <v>733</v>
      </c>
      <c r="I1406" s="255"/>
      <c r="J1406" s="255"/>
      <c r="K1406" s="593">
        <v>1314337</v>
      </c>
      <c r="L1406" s="594" t="s">
        <v>259</v>
      </c>
      <c r="M1406" s="594" t="s">
        <v>371</v>
      </c>
      <c r="N1406" s="52" t="str">
        <f>IF(AND('331-CT'!$E$7=TH!H1406,OR(L1406="331",M1406="331")),"331",IF(AND(OR(L1406="131",M1406="131"),H1406='131-CT'!$E$7),"131",""))</f>
        <v/>
      </c>
      <c r="O1406" s="86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799"/>
    </row>
    <row r="1407" spans="1:27" s="210" customFormat="1" ht="15.75" customHeight="1">
      <c r="A1407" s="203" t="str">
        <f>IF(B1407&lt;&gt;"",IF(AND(B1407&gt;=_TM1,B1407&lt;=_TM2,OR(TH!L1407="1111",TH!M1407="1111")),TH!D1407,""),"")</f>
        <v/>
      </c>
      <c r="B1407" s="36">
        <f>IF(C1407&lt;&gt;"",MONTH(C1407),"")</f>
        <v>8</v>
      </c>
      <c r="C1407" s="183">
        <f>E1407</f>
        <v>42223</v>
      </c>
      <c r="D1407" s="183" t="s">
        <v>1559</v>
      </c>
      <c r="E1407" s="190">
        <v>42223</v>
      </c>
      <c r="F1407" s="191" t="s">
        <v>1320</v>
      </c>
      <c r="G1407" s="482" t="s">
        <v>959</v>
      </c>
      <c r="H1407" s="7" t="s">
        <v>733</v>
      </c>
      <c r="I1407" s="255"/>
      <c r="J1407" s="255"/>
      <c r="K1407" s="593">
        <v>14457710</v>
      </c>
      <c r="L1407" s="594" t="s">
        <v>47</v>
      </c>
      <c r="M1407" s="594" t="s">
        <v>259</v>
      </c>
      <c r="N1407" s="52" t="str">
        <f>IF(AND('331-CT'!$E$7=TH!H1407,OR(L1407="331",M1407="331")),"331",IF(AND(OR(L1407="131",M1407="131"),H1407='131-CT'!$E$7),"131",""))</f>
        <v/>
      </c>
      <c r="O1407" s="86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799"/>
    </row>
    <row r="1408" spans="1:27" s="210" customFormat="1" ht="15.75" customHeight="1">
      <c r="A1408" s="203" t="str">
        <f>IF(B1408&lt;&gt;"",IF(AND(B1408&gt;=_TM1,B1408&lt;=_TM2,OR(TH!L1408="1111",TH!M1408="1111")),TH!D1408,""),"")</f>
        <v/>
      </c>
      <c r="B1408" s="36">
        <f>IF(C1408&lt;&gt;"",MONTH(C1408),"")</f>
        <v>8</v>
      </c>
      <c r="C1408" s="183">
        <f>E1408</f>
        <v>42223</v>
      </c>
      <c r="D1408" s="190"/>
      <c r="E1408" s="190">
        <v>42223</v>
      </c>
      <c r="F1408" s="296" t="s">
        <v>1452</v>
      </c>
      <c r="G1408" s="482" t="s">
        <v>1454</v>
      </c>
      <c r="H1408" s="7" t="s">
        <v>1451</v>
      </c>
      <c r="I1408" s="255"/>
      <c r="J1408" s="255"/>
      <c r="K1408" s="593">
        <v>2200000</v>
      </c>
      <c r="L1408" s="594" t="s">
        <v>83</v>
      </c>
      <c r="M1408" s="594" t="s">
        <v>47</v>
      </c>
      <c r="N1408" s="52" t="str">
        <f>IF(AND('331-CT'!$E$7=TH!H1408,OR(L1408="331",M1408="331")),"331",IF(AND(OR(L1408="131",M1408="131"),H1408='131-CT'!$E$7),"131",""))</f>
        <v/>
      </c>
      <c r="O1408" s="86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>x</v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799"/>
    </row>
    <row r="1409" spans="1:27" s="210" customFormat="1" ht="15.75" customHeight="1">
      <c r="A1409" s="203" t="str">
        <f>IF(B1409&lt;&gt;"",IF(AND(B1409&gt;=_TM1,B1409&lt;=_TM2,OR(TH!L1409="1111",TH!M1409="1111")),TH!D1409,""),"")</f>
        <v/>
      </c>
      <c r="B1409" s="36">
        <f>IF(C1409&lt;&gt;"",MONTH(C1409),"")</f>
        <v>8</v>
      </c>
      <c r="C1409" s="183">
        <f>E1409</f>
        <v>42223</v>
      </c>
      <c r="D1409" s="190"/>
      <c r="E1409" s="190">
        <v>42223</v>
      </c>
      <c r="F1409" s="296" t="s">
        <v>1453</v>
      </c>
      <c r="G1409" s="482" t="s">
        <v>1454</v>
      </c>
      <c r="H1409" s="7" t="s">
        <v>1451</v>
      </c>
      <c r="I1409" s="255"/>
      <c r="J1409" s="255"/>
      <c r="K1409" s="593">
        <v>220000</v>
      </c>
      <c r="L1409" s="594" t="s">
        <v>9</v>
      </c>
      <c r="M1409" s="594" t="s">
        <v>47</v>
      </c>
      <c r="N1409" s="52" t="str">
        <f>IF(AND('331-CT'!$E$7=TH!H1409,OR(L1409="331",M1409="331")),"331",IF(AND(OR(L1409="131",M1409="131"),H1409='131-CT'!$E$7),"131",""))</f>
        <v/>
      </c>
      <c r="O1409" s="86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799"/>
    </row>
    <row r="1410" spans="1:27" s="210" customFormat="1" ht="15.75" customHeight="1">
      <c r="A1410" s="203" t="str">
        <f>IF(B1410&lt;&gt;"",IF(AND(B1410&gt;=_TM1,B1410&lt;=_TM2,OR(TH!L1410="1111",TH!M1410="1111")),TH!D1410,""),"")</f>
        <v/>
      </c>
      <c r="B1410" s="36">
        <f>IF(C1410&lt;&gt;"",MONTH(C1410),"")</f>
        <v>8</v>
      </c>
      <c r="C1410" s="183">
        <f>E1410</f>
        <v>42227</v>
      </c>
      <c r="D1410" s="183" t="s">
        <v>1560</v>
      </c>
      <c r="E1410" s="190">
        <v>42227</v>
      </c>
      <c r="F1410" s="191" t="s">
        <v>741</v>
      </c>
      <c r="G1410" s="482" t="s">
        <v>960</v>
      </c>
      <c r="H1410" s="7" t="s">
        <v>1934</v>
      </c>
      <c r="I1410" s="255">
        <v>140</v>
      </c>
      <c r="J1410" s="255">
        <v>8973</v>
      </c>
      <c r="K1410" s="593">
        <f>ROUND(I1410*J1410,0)</f>
        <v>1256220</v>
      </c>
      <c r="L1410" s="594" t="s">
        <v>259</v>
      </c>
      <c r="M1410" s="594" t="s">
        <v>174</v>
      </c>
      <c r="N1410" s="52" t="str">
        <f>IF(AND('331-CT'!$E$7=TH!H1410,OR(L1410="331",M1410="331")),"331",IF(AND(OR(L1410="131",M1410="131"),H1410='131-CT'!$E$7),"131",""))</f>
        <v/>
      </c>
      <c r="O1410" s="86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799"/>
    </row>
    <row r="1411" spans="1:27" s="210" customFormat="1" ht="15.75" customHeight="1">
      <c r="A1411" s="203" t="str">
        <f>IF(B1411&lt;&gt;"",IF(AND(B1411&gt;=_TM1,B1411&lt;=_TM2,OR(TH!L1411="1111",TH!M1411="1111")),TH!D1411,""),"")</f>
        <v/>
      </c>
      <c r="B1411" s="36">
        <f>IF(C1411&lt;&gt;"",MONTH(C1411),"")</f>
        <v>8</v>
      </c>
      <c r="C1411" s="183">
        <f>E1411</f>
        <v>42227</v>
      </c>
      <c r="D1411" s="183" t="s">
        <v>1560</v>
      </c>
      <c r="E1411" s="190">
        <v>42227</v>
      </c>
      <c r="F1411" s="191" t="s">
        <v>692</v>
      </c>
      <c r="G1411" s="482" t="s">
        <v>960</v>
      </c>
      <c r="H1411" s="7" t="s">
        <v>1934</v>
      </c>
      <c r="I1411" s="255">
        <v>60</v>
      </c>
      <c r="J1411" s="255">
        <v>16244</v>
      </c>
      <c r="K1411" s="593">
        <f>ROUND(I1411*J1411,0)</f>
        <v>974640</v>
      </c>
      <c r="L1411" s="594" t="s">
        <v>259</v>
      </c>
      <c r="M1411" s="594" t="s">
        <v>174</v>
      </c>
      <c r="N1411" s="52" t="str">
        <f>IF(AND('331-CT'!$E$7=TH!H1411,OR(L1411="331",M1411="331")),"331",IF(AND(OR(L1411="131",M1411="131"),H1411='131-CT'!$E$7),"131",""))</f>
        <v/>
      </c>
      <c r="O1411" s="86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799"/>
    </row>
    <row r="1412" spans="1:27" s="210" customFormat="1" ht="15.75" customHeight="1">
      <c r="A1412" s="203" t="str">
        <f>IF(B1412&lt;&gt;"",IF(AND(B1412&gt;=_TM1,B1412&lt;=_TM2,OR(TH!L1412="1111",TH!M1412="1111")),TH!D1412,""),"")</f>
        <v/>
      </c>
      <c r="B1412" s="36">
        <f>IF(C1412&lt;&gt;"",MONTH(C1412),"")</f>
        <v>8</v>
      </c>
      <c r="C1412" s="183">
        <f>E1412</f>
        <v>42227</v>
      </c>
      <c r="D1412" s="183" t="s">
        <v>1560</v>
      </c>
      <c r="E1412" s="37">
        <v>42227</v>
      </c>
      <c r="F1412" s="191" t="s">
        <v>694</v>
      </c>
      <c r="G1412" s="40" t="s">
        <v>960</v>
      </c>
      <c r="H1412" s="7" t="s">
        <v>1934</v>
      </c>
      <c r="I1412" s="754">
        <v>25</v>
      </c>
      <c r="J1412" s="745">
        <v>13377</v>
      </c>
      <c r="K1412" s="593">
        <f>ROUND(I1412*J1412,0)</f>
        <v>334425</v>
      </c>
      <c r="L1412" s="594" t="s">
        <v>259</v>
      </c>
      <c r="M1412" s="594" t="s">
        <v>174</v>
      </c>
      <c r="N1412" s="52" t="str">
        <f>IF(AND('331-CT'!$E$7=TH!H1412,OR(L1412="331",M1412="331")),"331",IF(AND(OR(L1412="131",M1412="131"),H1412='131-CT'!$E$7),"131",""))</f>
        <v/>
      </c>
      <c r="O1412" s="86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799"/>
    </row>
    <row r="1413" spans="1:27" s="210" customFormat="1" ht="15.75" customHeight="1">
      <c r="A1413" s="203" t="str">
        <f>IF(B1413&lt;&gt;"",IF(AND(B1413&gt;=_TM1,B1413&lt;=_TM2,OR(TH!L1413="1111",TH!M1413="1111")),TH!D1413,""),"")</f>
        <v/>
      </c>
      <c r="B1413" s="36">
        <f>IF(C1413&lt;&gt;"",MONTH(C1413),"")</f>
        <v>8</v>
      </c>
      <c r="C1413" s="183">
        <f>E1413</f>
        <v>42227</v>
      </c>
      <c r="D1413" s="183" t="s">
        <v>1560</v>
      </c>
      <c r="E1413" s="37">
        <v>42227</v>
      </c>
      <c r="F1413" s="40" t="s">
        <v>1776</v>
      </c>
      <c r="G1413" s="40" t="s">
        <v>960</v>
      </c>
      <c r="H1413" s="7" t="s">
        <v>1934</v>
      </c>
      <c r="I1413" s="754">
        <v>300</v>
      </c>
      <c r="J1413" s="745">
        <v>12012</v>
      </c>
      <c r="K1413" s="593">
        <f>ROUND(I1413*J1413,0)</f>
        <v>3603600</v>
      </c>
      <c r="L1413" s="594" t="s">
        <v>259</v>
      </c>
      <c r="M1413" s="594" t="s">
        <v>174</v>
      </c>
      <c r="N1413" s="52" t="str">
        <f>IF(AND('331-CT'!$E$7=TH!H1413,OR(L1413="331",M1413="331")),"331",IF(AND(OR(L1413="131",M1413="131"),H1413='131-CT'!$E$7),"131",""))</f>
        <v/>
      </c>
      <c r="O1413" s="86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799"/>
    </row>
    <row r="1414" spans="1:27" s="210" customFormat="1" ht="15.75" customHeight="1">
      <c r="A1414" s="203" t="str">
        <f>IF(B1414&lt;&gt;"",IF(AND(B1414&gt;=_TM1,B1414&lt;=_TM2,OR(TH!L1414="1111",TH!M1414="1111")),TH!D1414,""),"")</f>
        <v/>
      </c>
      <c r="B1414" s="36">
        <f>IF(C1414&lt;&gt;"",MONTH(C1414),"")</f>
        <v>8</v>
      </c>
      <c r="C1414" s="183">
        <f>E1414</f>
        <v>42227</v>
      </c>
      <c r="D1414" s="183" t="s">
        <v>1560</v>
      </c>
      <c r="E1414" s="37">
        <v>42227</v>
      </c>
      <c r="F1414" s="188" t="s">
        <v>1777</v>
      </c>
      <c r="G1414" s="40" t="s">
        <v>960</v>
      </c>
      <c r="H1414" s="7" t="s">
        <v>1934</v>
      </c>
      <c r="I1414" s="754">
        <v>305</v>
      </c>
      <c r="J1414" s="745">
        <v>13755</v>
      </c>
      <c r="K1414" s="593">
        <f>ROUND(I1414*J1414,0)</f>
        <v>4195275</v>
      </c>
      <c r="L1414" s="594" t="s">
        <v>259</v>
      </c>
      <c r="M1414" s="594" t="s">
        <v>174</v>
      </c>
      <c r="N1414" s="52" t="str">
        <f>IF(AND('331-CT'!$E$7=TH!H1414,OR(L1414="331",M1414="331")),"331",IF(AND(OR(L1414="131",M1414="131"),H1414='131-CT'!$E$7),"131",""))</f>
        <v/>
      </c>
      <c r="O1414" s="86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799"/>
    </row>
    <row r="1415" spans="1:27" s="210" customFormat="1" ht="15.75" customHeight="1">
      <c r="A1415" s="203" t="str">
        <f>IF(B1415&lt;&gt;"",IF(AND(B1415&gt;=_TM1,B1415&lt;=_TM2,OR(TH!L1415="1111",TH!M1415="1111")),TH!D1415,""),"")</f>
        <v/>
      </c>
      <c r="B1415" s="36">
        <f>IF(C1415&lt;&gt;"",MONTH(C1415),"")</f>
        <v>8</v>
      </c>
      <c r="C1415" s="183">
        <f>E1415</f>
        <v>42227</v>
      </c>
      <c r="D1415" s="183" t="s">
        <v>1560</v>
      </c>
      <c r="E1415" s="37">
        <v>42227</v>
      </c>
      <c r="F1415" s="296" t="s">
        <v>1713</v>
      </c>
      <c r="G1415" s="40" t="s">
        <v>960</v>
      </c>
      <c r="H1415" s="7" t="s">
        <v>1934</v>
      </c>
      <c r="I1415" s="754">
        <v>920</v>
      </c>
      <c r="J1415" s="745">
        <v>8109</v>
      </c>
      <c r="K1415" s="593">
        <f>ROUND(I1415*J1415,0)</f>
        <v>7460280</v>
      </c>
      <c r="L1415" s="594" t="s">
        <v>259</v>
      </c>
      <c r="M1415" s="594" t="s">
        <v>174</v>
      </c>
      <c r="N1415" s="52" t="str">
        <f>IF(AND('331-CT'!$E$7=TH!H1415,OR(L1415="331",M1415="331")),"331",IF(AND(OR(L1415="131",M1415="131"),H1415='131-CT'!$E$7),"131",""))</f>
        <v/>
      </c>
      <c r="O1415" s="86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799"/>
    </row>
    <row r="1416" spans="1:27" s="210" customFormat="1" ht="15.75" customHeight="1">
      <c r="A1416" s="203" t="str">
        <f>IF(B1416&lt;&gt;"",IF(AND(B1416&gt;=_TM1,B1416&lt;=_TM2,OR(TH!L1416="1111",TH!M1416="1111")),TH!D1416,""),"")</f>
        <v/>
      </c>
      <c r="B1416" s="36">
        <f>IF(C1416&lt;&gt;"",MONTH(C1416),"")</f>
        <v>8</v>
      </c>
      <c r="C1416" s="183">
        <f>E1416</f>
        <v>42227</v>
      </c>
      <c r="D1416" s="183" t="s">
        <v>1560</v>
      </c>
      <c r="E1416" s="37">
        <v>42227</v>
      </c>
      <c r="F1416" s="188" t="s">
        <v>1778</v>
      </c>
      <c r="G1416" s="40" t="s">
        <v>960</v>
      </c>
      <c r="H1416" s="7" t="s">
        <v>1934</v>
      </c>
      <c r="I1416" s="754">
        <v>124</v>
      </c>
      <c r="J1416" s="745">
        <v>7155</v>
      </c>
      <c r="K1416" s="593">
        <f>ROUND(I1416*J1416,0)</f>
        <v>887220</v>
      </c>
      <c r="L1416" s="594" t="s">
        <v>259</v>
      </c>
      <c r="M1416" s="594" t="s">
        <v>174</v>
      </c>
      <c r="N1416" s="52" t="str">
        <f>IF(AND('331-CT'!$E$7=TH!H1416,OR(L1416="331",M1416="331")),"331",IF(AND(OR(L1416="131",M1416="131"),H1416='131-CT'!$E$7),"131",""))</f>
        <v/>
      </c>
      <c r="O1416" s="86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799"/>
    </row>
    <row r="1417" spans="1:27" s="210" customFormat="1" ht="15.75" customHeight="1">
      <c r="A1417" s="203" t="str">
        <f>IF(B1417&lt;&gt;"",IF(AND(B1417&gt;=_TM1,B1417&lt;=_TM2,OR(TH!L1417="1111",TH!M1417="1111")),TH!D1417,""),"")</f>
        <v/>
      </c>
      <c r="B1417" s="36">
        <f>IF(C1417&lt;&gt;"",MONTH(C1417),"")</f>
        <v>8</v>
      </c>
      <c r="C1417" s="183">
        <f>E1417</f>
        <v>42227</v>
      </c>
      <c r="D1417" s="183" t="s">
        <v>1560</v>
      </c>
      <c r="E1417" s="37">
        <v>42227</v>
      </c>
      <c r="F1417" s="296" t="s">
        <v>1779</v>
      </c>
      <c r="G1417" s="40" t="s">
        <v>960</v>
      </c>
      <c r="H1417" s="7" t="s">
        <v>1934</v>
      </c>
      <c r="I1417" s="754">
        <v>50</v>
      </c>
      <c r="J1417" s="745">
        <v>8455</v>
      </c>
      <c r="K1417" s="593">
        <f>ROUND(I1417*J1417,0)</f>
        <v>422750</v>
      </c>
      <c r="L1417" s="594" t="s">
        <v>259</v>
      </c>
      <c r="M1417" s="594" t="s">
        <v>174</v>
      </c>
      <c r="N1417" s="52" t="str">
        <f>IF(AND('331-CT'!$E$7=TH!H1417,OR(L1417="331",M1417="331")),"331",IF(AND(OR(L1417="131",M1417="131"),H1417='131-CT'!$E$7),"131",""))</f>
        <v/>
      </c>
      <c r="O1417" s="86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99"/>
    </row>
    <row r="1418" spans="1:27" s="210" customFormat="1" ht="15.75" customHeight="1">
      <c r="A1418" s="203" t="str">
        <f>IF(B1418&lt;&gt;"",IF(AND(B1418&gt;=_TM1,B1418&lt;=_TM2,OR(TH!L1418="1111",TH!M1418="1111")),TH!D1418,""),"")</f>
        <v/>
      </c>
      <c r="B1418" s="36">
        <f>IF(C1418&lt;&gt;"",MONTH(C1418),"")</f>
        <v>8</v>
      </c>
      <c r="C1418" s="183">
        <f>E1418</f>
        <v>42227</v>
      </c>
      <c r="D1418" s="183" t="s">
        <v>1560</v>
      </c>
      <c r="E1418" s="37">
        <v>42227</v>
      </c>
      <c r="F1418" s="296" t="s">
        <v>1780</v>
      </c>
      <c r="G1418" s="40" t="s">
        <v>960</v>
      </c>
      <c r="H1418" s="7" t="s">
        <v>1934</v>
      </c>
      <c r="I1418" s="754">
        <v>100</v>
      </c>
      <c r="J1418" s="745">
        <v>5307</v>
      </c>
      <c r="K1418" s="593">
        <f>ROUND(I1418*J1418,0)</f>
        <v>530700</v>
      </c>
      <c r="L1418" s="594" t="s">
        <v>259</v>
      </c>
      <c r="M1418" s="594" t="s">
        <v>174</v>
      </c>
      <c r="N1418" s="52" t="str">
        <f>IF(AND('331-CT'!$E$7=TH!H1418,OR(L1418="331",M1418="331")),"331",IF(AND(OR(L1418="131",M1418="131"),H1418='131-CT'!$E$7),"131",""))</f>
        <v/>
      </c>
      <c r="O1418" s="86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99"/>
    </row>
    <row r="1419" spans="1:27" s="210" customFormat="1" ht="15.75" customHeight="1">
      <c r="A1419" s="203" t="str">
        <f>IF(B1419&lt;&gt;"",IF(AND(B1419&gt;=_TM1,B1419&lt;=_TM2,OR(TH!L1419="1111",TH!M1419="1111")),TH!D1419,""),"")</f>
        <v/>
      </c>
      <c r="B1419" s="36">
        <f>IF(C1419&lt;&gt;"",MONTH(C1419),"")</f>
        <v>8</v>
      </c>
      <c r="C1419" s="183">
        <f>E1419</f>
        <v>42227</v>
      </c>
      <c r="D1419" s="183" t="s">
        <v>1560</v>
      </c>
      <c r="E1419" s="37">
        <v>42227</v>
      </c>
      <c r="F1419" s="296" t="s">
        <v>731</v>
      </c>
      <c r="G1419" s="40" t="s">
        <v>960</v>
      </c>
      <c r="H1419" s="7" t="s">
        <v>1934</v>
      </c>
      <c r="I1419" s="754"/>
      <c r="J1419" s="745"/>
      <c r="K1419" s="593">
        <v>1966511</v>
      </c>
      <c r="L1419" s="594" t="s">
        <v>259</v>
      </c>
      <c r="M1419" s="594" t="s">
        <v>371</v>
      </c>
      <c r="N1419" s="52" t="str">
        <f>IF(AND('331-CT'!$E$7=TH!H1419,OR(L1419="331",M1419="331")),"331",IF(AND(OR(L1419="131",M1419="131"),H1419='131-CT'!$E$7),"131",""))</f>
        <v/>
      </c>
      <c r="O1419" s="86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99"/>
    </row>
    <row r="1420" spans="1:27" s="210" customFormat="1" ht="15.75" customHeight="1">
      <c r="A1420" s="203" t="str">
        <f>IF(B1420&lt;&gt;"",IF(AND(B1420&gt;=_TM1,B1420&lt;=_TM2,OR(TH!L1420="1111",TH!M1420="1111")),TH!D1420,""),"")</f>
        <v/>
      </c>
      <c r="B1420" s="36">
        <f>IF(C1420&lt;&gt;"",MONTH(C1420),"")</f>
        <v>8</v>
      </c>
      <c r="C1420" s="183">
        <f>E1420</f>
        <v>42227</v>
      </c>
      <c r="D1420" s="183" t="s">
        <v>1561</v>
      </c>
      <c r="E1420" s="37">
        <v>42227</v>
      </c>
      <c r="F1420" s="188" t="s">
        <v>1140</v>
      </c>
      <c r="G1420" s="40" t="s">
        <v>961</v>
      </c>
      <c r="H1420" s="7" t="s">
        <v>473</v>
      </c>
      <c r="I1420" s="754">
        <v>803</v>
      </c>
      <c r="J1420" s="745">
        <v>14000</v>
      </c>
      <c r="K1420" s="593">
        <f>ROUND(I1420*J1420,0)</f>
        <v>11242000</v>
      </c>
      <c r="L1420" s="594" t="s">
        <v>259</v>
      </c>
      <c r="M1420" s="594" t="s">
        <v>174</v>
      </c>
      <c r="N1420" s="52" t="str">
        <f>IF(AND('331-CT'!$E$7=TH!H1420,OR(L1420="331",M1420="331")),"331",IF(AND(OR(L1420="131",M1420="131"),H1420='131-CT'!$E$7),"131",""))</f>
        <v/>
      </c>
      <c r="O1420" s="86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99"/>
    </row>
    <row r="1421" spans="1:27" s="210" customFormat="1" ht="15.75" customHeight="1">
      <c r="A1421" s="203" t="str">
        <f>IF(B1421&lt;&gt;"",IF(AND(B1421&gt;=_TM1,B1421&lt;=_TM2,OR(TH!L1421="1111",TH!M1421="1111")),TH!D1421,""),"")</f>
        <v/>
      </c>
      <c r="B1421" s="36">
        <f>IF(C1421&lt;&gt;"",MONTH(C1421),"")</f>
        <v>8</v>
      </c>
      <c r="C1421" s="183">
        <f>E1421</f>
        <v>42227</v>
      </c>
      <c r="D1421" s="183" t="s">
        <v>1561</v>
      </c>
      <c r="E1421" s="37">
        <v>42227</v>
      </c>
      <c r="F1421" s="188" t="s">
        <v>1140</v>
      </c>
      <c r="G1421" s="40" t="s">
        <v>961</v>
      </c>
      <c r="H1421" s="7" t="s">
        <v>473</v>
      </c>
      <c r="I1421" s="754">
        <v>50</v>
      </c>
      <c r="J1421" s="745">
        <v>13600</v>
      </c>
      <c r="K1421" s="593">
        <f>ROUND(I1421*J1421,0)</f>
        <v>680000</v>
      </c>
      <c r="L1421" s="594" t="s">
        <v>259</v>
      </c>
      <c r="M1421" s="594" t="s">
        <v>174</v>
      </c>
      <c r="N1421" s="52" t="str">
        <f>IF(AND('331-CT'!$E$7=TH!H1421,OR(L1421="331",M1421="331")),"331",IF(AND(OR(L1421="131",M1421="131"),H1421='131-CT'!$E$7),"131",""))</f>
        <v/>
      </c>
      <c r="O1421" s="86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799"/>
    </row>
    <row r="1422" spans="1:27" s="210" customFormat="1" ht="15.75" customHeight="1">
      <c r="A1422" s="203" t="str">
        <f>IF(B1422&lt;&gt;"",IF(AND(B1422&gt;=_TM1,B1422&lt;=_TM2,OR(TH!L1422="1111",TH!M1422="1111")),TH!D1422,""),"")</f>
        <v/>
      </c>
      <c r="B1422" s="36">
        <f>IF(C1422&lt;&gt;"",MONTH(C1422),"")</f>
        <v>8</v>
      </c>
      <c r="C1422" s="183">
        <f>E1422</f>
        <v>42227</v>
      </c>
      <c r="D1422" s="183" t="s">
        <v>1561</v>
      </c>
      <c r="E1422" s="37">
        <v>42227</v>
      </c>
      <c r="F1422" s="191" t="s">
        <v>1654</v>
      </c>
      <c r="G1422" s="40" t="s">
        <v>961</v>
      </c>
      <c r="H1422" s="7" t="s">
        <v>473</v>
      </c>
      <c r="I1422" s="754">
        <v>1706</v>
      </c>
      <c r="J1422" s="745">
        <v>1500</v>
      </c>
      <c r="K1422" s="593">
        <f>ROUND(I1422*J1422,0)</f>
        <v>2559000</v>
      </c>
      <c r="L1422" s="594" t="s">
        <v>259</v>
      </c>
      <c r="M1422" s="594" t="s">
        <v>174</v>
      </c>
      <c r="N1422" s="52" t="str">
        <f>IF(AND('331-CT'!$E$7=TH!H1422,OR(L1422="331",M1422="331")),"331",IF(AND(OR(L1422="131",M1422="131"),H1422='131-CT'!$E$7),"131",""))</f>
        <v/>
      </c>
      <c r="O1422" s="86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799"/>
    </row>
    <row r="1423" spans="1:27" s="210" customFormat="1" ht="15.75" customHeight="1">
      <c r="A1423" s="203" t="str">
        <f>IF(B1423&lt;&gt;"",IF(AND(B1423&gt;=_TM1,B1423&lt;=_TM2,OR(TH!L1423="1111",TH!M1423="1111")),TH!D1423,""),"")</f>
        <v/>
      </c>
      <c r="B1423" s="36">
        <f>IF(C1423&lt;&gt;"",MONTH(C1423),"")</f>
        <v>8</v>
      </c>
      <c r="C1423" s="183">
        <f>E1423</f>
        <v>42227</v>
      </c>
      <c r="D1423" s="183" t="s">
        <v>1561</v>
      </c>
      <c r="E1423" s="37">
        <v>42227</v>
      </c>
      <c r="F1423" s="191" t="s">
        <v>402</v>
      </c>
      <c r="G1423" s="40" t="s">
        <v>961</v>
      </c>
      <c r="H1423" s="7" t="s">
        <v>473</v>
      </c>
      <c r="I1423" s="754"/>
      <c r="J1423" s="745"/>
      <c r="K1423" s="593">
        <v>1448100</v>
      </c>
      <c r="L1423" s="594" t="s">
        <v>259</v>
      </c>
      <c r="M1423" s="594" t="s">
        <v>371</v>
      </c>
      <c r="N1423" s="52" t="str">
        <f>IF(AND('331-CT'!$E$7=TH!H1423,OR(L1423="331",M1423="331")),"331",IF(AND(OR(L1423="131",M1423="131"),H1423='131-CT'!$E$7),"131",""))</f>
        <v/>
      </c>
      <c r="O1423" s="86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799"/>
    </row>
    <row r="1424" spans="1:27" s="210" customFormat="1" ht="15.75" customHeight="1">
      <c r="A1424" s="203" t="str">
        <f>IF(B1424&lt;&gt;"",IF(AND(B1424&gt;=_TM1,B1424&lt;=_TM2,OR(TH!L1424="1111",TH!M1424="1111")),TH!D1424,""),"")</f>
        <v/>
      </c>
      <c r="B1424" s="36">
        <f>IF(C1424&lt;&gt;"",MONTH(C1424),"")</f>
        <v>8</v>
      </c>
      <c r="C1424" s="183">
        <f>E1424</f>
        <v>42227</v>
      </c>
      <c r="D1424" s="183" t="s">
        <v>1562</v>
      </c>
      <c r="E1424" s="37">
        <v>42227</v>
      </c>
      <c r="F1424" s="40" t="s">
        <v>962</v>
      </c>
      <c r="G1424" s="40" t="s">
        <v>963</v>
      </c>
      <c r="H1424" s="7" t="s">
        <v>964</v>
      </c>
      <c r="I1424" s="754">
        <v>301</v>
      </c>
      <c r="J1424" s="745">
        <v>13400</v>
      </c>
      <c r="K1424" s="593">
        <f>ROUND(I1424*J1424,0)</f>
        <v>4033400</v>
      </c>
      <c r="L1424" s="594" t="s">
        <v>259</v>
      </c>
      <c r="M1424" s="594" t="s">
        <v>174</v>
      </c>
      <c r="N1424" s="52" t="str">
        <f>IF(AND('331-CT'!$E$7=TH!H1424,OR(L1424="331",M1424="331")),"331",IF(AND(OR(L1424="131",M1424="131"),H1424='131-CT'!$E$7),"131",""))</f>
        <v/>
      </c>
      <c r="O1424" s="86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799"/>
    </row>
    <row r="1425" spans="1:27" s="210" customFormat="1" ht="15.75" customHeight="1">
      <c r="A1425" s="203" t="str">
        <f>IF(B1425&lt;&gt;"",IF(AND(B1425&gt;=_TM1,B1425&lt;=_TM2,OR(TH!L1425="1111",TH!M1425="1111")),TH!D1425,""),"")</f>
        <v/>
      </c>
      <c r="B1425" s="36">
        <f>IF(C1425&lt;&gt;"",MONTH(C1425),"")</f>
        <v>8</v>
      </c>
      <c r="C1425" s="183">
        <f>E1425</f>
        <v>42227</v>
      </c>
      <c r="D1425" s="183" t="s">
        <v>1562</v>
      </c>
      <c r="E1425" s="37">
        <v>42227</v>
      </c>
      <c r="F1425" s="188" t="s">
        <v>962</v>
      </c>
      <c r="G1425" s="40" t="s">
        <v>963</v>
      </c>
      <c r="H1425" s="7" t="s">
        <v>964</v>
      </c>
      <c r="I1425" s="754">
        <v>990</v>
      </c>
      <c r="J1425" s="745">
        <v>13700</v>
      </c>
      <c r="K1425" s="593">
        <f>ROUND(I1425*J1425,0)</f>
        <v>13563000</v>
      </c>
      <c r="L1425" s="594" t="s">
        <v>259</v>
      </c>
      <c r="M1425" s="594" t="s">
        <v>174</v>
      </c>
      <c r="N1425" s="52" t="str">
        <f>IF(AND('331-CT'!$E$7=TH!H1425,OR(L1425="331",M1425="331")),"331",IF(AND(OR(L1425="131",M1425="131"),H1425='131-CT'!$E$7),"131",""))</f>
        <v/>
      </c>
      <c r="O1425" s="86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799"/>
    </row>
    <row r="1426" spans="1:27" s="210" customFormat="1" ht="15.75" customHeight="1">
      <c r="A1426" s="203" t="str">
        <f>IF(B1426&lt;&gt;"",IF(AND(B1426&gt;=_TM1,B1426&lt;=_TM2,OR(TH!L1426="1111",TH!M1426="1111")),TH!D1426,""),"")</f>
        <v/>
      </c>
      <c r="B1426" s="36">
        <f>IF(C1426&lt;&gt;"",MONTH(C1426),"")</f>
        <v>8</v>
      </c>
      <c r="C1426" s="183">
        <f>E1426</f>
        <v>42227</v>
      </c>
      <c r="D1426" s="183" t="s">
        <v>1562</v>
      </c>
      <c r="E1426" s="37">
        <v>42227</v>
      </c>
      <c r="F1426" s="188" t="s">
        <v>402</v>
      </c>
      <c r="G1426" s="40" t="s">
        <v>963</v>
      </c>
      <c r="H1426" s="7" t="s">
        <v>964</v>
      </c>
      <c r="I1426" s="754"/>
      <c r="J1426" s="745"/>
      <c r="K1426" s="593">
        <v>1759640</v>
      </c>
      <c r="L1426" s="594" t="s">
        <v>259</v>
      </c>
      <c r="M1426" s="594" t="s">
        <v>371</v>
      </c>
      <c r="N1426" s="52" t="str">
        <f>IF(AND('331-CT'!$E$7=TH!H1426,OR(L1426="331",M1426="331")),"331",IF(AND(OR(L1426="131",M1426="131"),H1426='131-CT'!$E$7),"131",""))</f>
        <v/>
      </c>
      <c r="O1426" s="86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799"/>
    </row>
    <row r="1427" spans="1:27" s="210" customFormat="1" ht="15.75" customHeight="1">
      <c r="A1427" s="203" t="str">
        <f>IF(B1427&lt;&gt;"",IF(AND(B1427&gt;=_TM1,B1427&lt;=_TM2,OR(TH!L1427="1111",TH!M1427="1111")),TH!D1427,""),"")</f>
        <v/>
      </c>
      <c r="B1427" s="36">
        <f>IF(C1427&lt;&gt;"",MONTH(C1427),"")</f>
        <v>8</v>
      </c>
      <c r="C1427" s="183">
        <f>E1427</f>
        <v>42227</v>
      </c>
      <c r="D1427" s="190" t="s">
        <v>1324</v>
      </c>
      <c r="E1427" s="727">
        <v>42227</v>
      </c>
      <c r="F1427" s="191" t="s">
        <v>1896</v>
      </c>
      <c r="G1427" s="482" t="s">
        <v>1907</v>
      </c>
      <c r="H1427" s="192" t="s">
        <v>1337</v>
      </c>
      <c r="I1427" s="255"/>
      <c r="J1427" s="255"/>
      <c r="K1427" s="593">
        <v>290000000</v>
      </c>
      <c r="L1427" s="193" t="s">
        <v>24</v>
      </c>
      <c r="M1427" s="594" t="s">
        <v>47</v>
      </c>
      <c r="N1427" s="52" t="str">
        <f>IF(AND('331-CT'!$E$7=TH!H1427,OR(L1427="331",M1427="331")),"331",IF(AND(OR(L1427="131",M1427="131"),H1427='131-CT'!$E$7),"131",""))</f>
        <v/>
      </c>
      <c r="O1427" s="86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799"/>
    </row>
    <row r="1428" spans="1:27" s="210" customFormat="1" ht="15.75" customHeight="1">
      <c r="A1428" s="203" t="str">
        <f>IF(B1428&lt;&gt;"",IF(AND(B1428&gt;=_TM1,B1428&lt;=_TM2,OR(TH!L1428="1111",TH!M1428="1111")),TH!D1428,""),"")</f>
        <v/>
      </c>
      <c r="B1428" s="36">
        <f>IF(C1428&lt;&gt;"",MONTH(C1428),"")</f>
        <v>8</v>
      </c>
      <c r="C1428" s="183">
        <f>E1428</f>
        <v>42227</v>
      </c>
      <c r="D1428" s="190" t="s">
        <v>1324</v>
      </c>
      <c r="E1428" s="727">
        <v>42227</v>
      </c>
      <c r="F1428" s="296" t="s">
        <v>1326</v>
      </c>
      <c r="G1428" s="482" t="s">
        <v>1907</v>
      </c>
      <c r="H1428" s="7" t="s">
        <v>1450</v>
      </c>
      <c r="I1428" s="255"/>
      <c r="J1428" s="255"/>
      <c r="K1428" s="593">
        <v>94871700</v>
      </c>
      <c r="L1428" s="594" t="s">
        <v>8</v>
      </c>
      <c r="M1428" s="594" t="s">
        <v>24</v>
      </c>
      <c r="N1428" s="52" t="str">
        <f>IF(AND('331-CT'!$E$7=TH!H1428,OR(L1428="331",M1428="331")),"331",IF(AND(OR(L1428="131",M1428="131"),H1428='131-CT'!$E$7),"131",""))</f>
        <v/>
      </c>
      <c r="O1428" s="86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799"/>
    </row>
    <row r="1429" spans="1:27" s="210" customFormat="1" ht="15.75" customHeight="1">
      <c r="A1429" s="203" t="str">
        <f>IF(B1429&lt;&gt;"",IF(AND(B1429&gt;=_TM1,B1429&lt;=_TM2,OR(TH!L1429="1111",TH!M1429="1111")),TH!D1429,""),"")</f>
        <v/>
      </c>
      <c r="B1429" s="36">
        <f>IF(C1429&lt;&gt;"",MONTH(C1429),"")</f>
        <v>8</v>
      </c>
      <c r="C1429" s="183">
        <f>E1429</f>
        <v>42227</v>
      </c>
      <c r="D1429" s="190" t="s">
        <v>1324</v>
      </c>
      <c r="E1429" s="727">
        <v>42227</v>
      </c>
      <c r="F1429" s="191" t="s">
        <v>1327</v>
      </c>
      <c r="G1429" s="482" t="s">
        <v>1907</v>
      </c>
      <c r="H1429" s="192"/>
      <c r="I1429" s="255"/>
      <c r="J1429" s="255"/>
      <c r="K1429" s="593">
        <v>28238</v>
      </c>
      <c r="L1429" s="594" t="s">
        <v>83</v>
      </c>
      <c r="M1429" s="594" t="s">
        <v>24</v>
      </c>
      <c r="N1429" s="52" t="str">
        <f>IF(AND('331-CT'!$E$7=TH!H1429,OR(L1429="331",M1429="331")),"331",IF(AND(OR(L1429="131",M1429="131"),H1429='131-CT'!$E$7),"131",""))</f>
        <v/>
      </c>
      <c r="O1429" s="86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>x</v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799"/>
    </row>
    <row r="1430" spans="1:27" s="210" customFormat="1" ht="15.75" customHeight="1">
      <c r="A1430" s="203" t="str">
        <f>IF(B1430&lt;&gt;"",IF(AND(B1430&gt;=_TM1,B1430&lt;=_TM2,OR(TH!L1430="1111",TH!M1430="1111")),TH!D1430,""),"")</f>
        <v/>
      </c>
      <c r="B1430" s="36">
        <f>IF(C1430&lt;&gt;"",MONTH(C1430),"")</f>
        <v>8</v>
      </c>
      <c r="C1430" s="183">
        <f>E1430</f>
        <v>42227</v>
      </c>
      <c r="D1430" s="190" t="s">
        <v>1324</v>
      </c>
      <c r="E1430" s="727">
        <v>42227</v>
      </c>
      <c r="F1430" s="191" t="s">
        <v>1914</v>
      </c>
      <c r="G1430" s="482" t="s">
        <v>1907</v>
      </c>
      <c r="H1430" s="192"/>
      <c r="I1430" s="255"/>
      <c r="J1430" s="255"/>
      <c r="K1430" s="593">
        <v>2823</v>
      </c>
      <c r="L1430" s="594" t="s">
        <v>9</v>
      </c>
      <c r="M1430" s="594" t="s">
        <v>24</v>
      </c>
      <c r="N1430" s="52" t="str">
        <f>IF(AND('331-CT'!$E$7=TH!H1430,OR(L1430="331",M1430="331")),"331",IF(AND(OR(L1430="131",M1430="131"),H1430='131-CT'!$E$7),"131",""))</f>
        <v/>
      </c>
      <c r="O1430" s="86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799"/>
    </row>
    <row r="1431" spans="1:27" s="210" customFormat="1" ht="15.75" customHeight="1">
      <c r="A1431" s="203" t="str">
        <f>IF(B1431&lt;&gt;"",IF(AND(B1431&gt;=_TM1,B1431&lt;=_TM2,OR(TH!L1431="1111",TH!M1431="1111")),TH!D1431,""),"")</f>
        <v/>
      </c>
      <c r="B1431" s="36">
        <f>IF(C1431&lt;&gt;"",MONTH(C1431),"")</f>
        <v>8</v>
      </c>
      <c r="C1431" s="183">
        <f>E1431</f>
        <v>42228</v>
      </c>
      <c r="D1431" s="190" t="s">
        <v>1324</v>
      </c>
      <c r="E1431" s="727">
        <v>42228</v>
      </c>
      <c r="F1431" s="296" t="s">
        <v>1326</v>
      </c>
      <c r="G1431" s="482" t="s">
        <v>1907</v>
      </c>
      <c r="H1431" s="7" t="s">
        <v>1397</v>
      </c>
      <c r="I1431" s="255"/>
      <c r="J1431" s="255"/>
      <c r="K1431" s="593">
        <v>194098850</v>
      </c>
      <c r="L1431" s="594" t="s">
        <v>8</v>
      </c>
      <c r="M1431" s="594" t="s">
        <v>24</v>
      </c>
      <c r="N1431" s="52" t="str">
        <f>IF(AND('331-CT'!$E$7=TH!H1431,OR(L1431="331",M1431="331")),"331",IF(AND(OR(L1431="131",M1431="131"),H1431='131-CT'!$E$7),"131",""))</f>
        <v/>
      </c>
      <c r="O1431" s="86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799"/>
    </row>
    <row r="1432" spans="1:27" s="210" customFormat="1" ht="15.75" customHeight="1">
      <c r="A1432" s="203" t="str">
        <f>IF(B1432&lt;&gt;"",IF(AND(B1432&gt;=_TM1,B1432&lt;=_TM2,OR(TH!L1432="1111",TH!M1432="1111")),TH!D1432,""),"")</f>
        <v/>
      </c>
      <c r="B1432" s="36">
        <f>IF(C1432&lt;&gt;"",MONTH(C1432),"")</f>
        <v>8</v>
      </c>
      <c r="C1432" s="183">
        <f>E1432</f>
        <v>42228</v>
      </c>
      <c r="D1432" s="190" t="s">
        <v>1324</v>
      </c>
      <c r="E1432" s="727">
        <v>42228</v>
      </c>
      <c r="F1432" s="191" t="s">
        <v>1327</v>
      </c>
      <c r="G1432" s="482" t="s">
        <v>1907</v>
      </c>
      <c r="H1432" s="192"/>
      <c r="I1432" s="255"/>
      <c r="J1432" s="255"/>
      <c r="K1432" s="593">
        <v>116460</v>
      </c>
      <c r="L1432" s="594" t="s">
        <v>83</v>
      </c>
      <c r="M1432" s="594" t="s">
        <v>24</v>
      </c>
      <c r="N1432" s="52" t="str">
        <f>IF(AND('331-CT'!$E$7=TH!H1432,OR(L1432="331",M1432="331")),"331",IF(AND(OR(L1432="131",M1432="131"),H1432='131-CT'!$E$7),"131",""))</f>
        <v/>
      </c>
      <c r="O1432" s="86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>x</v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99"/>
    </row>
    <row r="1433" spans="1:27" s="210" customFormat="1" ht="15.75" customHeight="1">
      <c r="A1433" s="203" t="str">
        <f>IF(B1433&lt;&gt;"",IF(AND(B1433&gt;=_TM1,B1433&lt;=_TM2,OR(TH!L1433="1111",TH!M1433="1111")),TH!D1433,""),"")</f>
        <v/>
      </c>
      <c r="B1433" s="36">
        <f>IF(C1433&lt;&gt;"",MONTH(C1433),"")</f>
        <v>8</v>
      </c>
      <c r="C1433" s="183">
        <f>E1433</f>
        <v>42228</v>
      </c>
      <c r="D1433" s="190" t="s">
        <v>1324</v>
      </c>
      <c r="E1433" s="727">
        <v>42228</v>
      </c>
      <c r="F1433" s="191" t="s">
        <v>1914</v>
      </c>
      <c r="G1433" s="482" t="s">
        <v>1907</v>
      </c>
      <c r="H1433" s="192"/>
      <c r="I1433" s="255"/>
      <c r="J1433" s="255"/>
      <c r="K1433" s="593">
        <v>11646</v>
      </c>
      <c r="L1433" s="594" t="s">
        <v>9</v>
      </c>
      <c r="M1433" s="594" t="s">
        <v>24</v>
      </c>
      <c r="N1433" s="52" t="str">
        <f>IF(AND('331-CT'!$E$7=TH!H1433,OR(L1433="331",M1433="331")),"331",IF(AND(OR(L1433="131",M1433="131"),H1433='131-CT'!$E$7),"131",""))</f>
        <v/>
      </c>
      <c r="O1433" s="86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99"/>
    </row>
    <row r="1434" spans="1:27" s="210" customFormat="1" ht="15.75" customHeight="1">
      <c r="A1434" s="203" t="str">
        <f>IF(B1434&lt;&gt;"",IF(AND(B1434&gt;=_TM1,B1434&lt;=_TM2,OR(TH!L1434="1111",TH!M1434="1111")),TH!D1434,""),"")</f>
        <v/>
      </c>
      <c r="B1434" s="36">
        <f>IF(C1434&lt;&gt;"",MONTH(C1434),"")</f>
        <v>8</v>
      </c>
      <c r="C1434" s="183">
        <f>E1434</f>
        <v>42229</v>
      </c>
      <c r="D1434" s="183" t="s">
        <v>1563</v>
      </c>
      <c r="E1434" s="37">
        <v>42229</v>
      </c>
      <c r="F1434" s="40" t="s">
        <v>965</v>
      </c>
      <c r="G1434" s="40" t="s">
        <v>966</v>
      </c>
      <c r="H1434" s="7" t="s">
        <v>967</v>
      </c>
      <c r="I1434" s="754">
        <v>309</v>
      </c>
      <c r="J1434" s="745">
        <v>17000</v>
      </c>
      <c r="K1434" s="593">
        <f>ROUND(I1434*J1434,0)</f>
        <v>5253000</v>
      </c>
      <c r="L1434" s="594" t="s">
        <v>259</v>
      </c>
      <c r="M1434" s="594" t="s">
        <v>174</v>
      </c>
      <c r="N1434" s="52" t="str">
        <f>IF(AND('331-CT'!$E$7=TH!H1434,OR(L1434="331",M1434="331")),"331",IF(AND(OR(L1434="131",M1434="131"),H1434='131-CT'!$E$7),"131",""))</f>
        <v/>
      </c>
      <c r="O1434" s="86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99"/>
    </row>
    <row r="1435" spans="1:27" s="210" customFormat="1" ht="15.75" customHeight="1">
      <c r="A1435" s="203" t="str">
        <f>IF(B1435&lt;&gt;"",IF(AND(B1435&gt;=_TM1,B1435&lt;=_TM2,OR(TH!L1435="1111",TH!M1435="1111")),TH!D1435,""),"")</f>
        <v/>
      </c>
      <c r="B1435" s="36">
        <f>IF(C1435&lt;&gt;"",MONTH(C1435),"")</f>
        <v>8</v>
      </c>
      <c r="C1435" s="183">
        <f>E1435</f>
        <v>42229</v>
      </c>
      <c r="D1435" s="183" t="s">
        <v>1563</v>
      </c>
      <c r="E1435" s="37">
        <v>42229</v>
      </c>
      <c r="F1435" s="191" t="s">
        <v>402</v>
      </c>
      <c r="G1435" s="40" t="s">
        <v>966</v>
      </c>
      <c r="H1435" s="7" t="s">
        <v>967</v>
      </c>
      <c r="I1435" s="754"/>
      <c r="J1435" s="745"/>
      <c r="K1435" s="593">
        <v>525300</v>
      </c>
      <c r="L1435" s="594" t="s">
        <v>259</v>
      </c>
      <c r="M1435" s="594" t="s">
        <v>371</v>
      </c>
      <c r="N1435" s="52" t="str">
        <f>IF(AND('331-CT'!$E$7=TH!H1435,OR(L1435="331",M1435="331")),"331",IF(AND(OR(L1435="131",M1435="131"),H1435='131-CT'!$E$7),"131",""))</f>
        <v/>
      </c>
      <c r="O1435" s="86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99"/>
    </row>
    <row r="1436" spans="1:27" s="210" customFormat="1" ht="15.75" customHeight="1">
      <c r="A1436" s="203" t="str">
        <f>IF(B1436&lt;&gt;"",IF(AND(B1436&gt;=_TM1,B1436&lt;=_TM2,OR(TH!L1436="1111",TH!M1436="1111")),TH!D1436,""),"")</f>
        <v/>
      </c>
      <c r="B1436" s="36">
        <f>IF(C1436&lt;&gt;"",MONTH(C1436),"")</f>
        <v>8</v>
      </c>
      <c r="C1436" s="183">
        <f>E1436</f>
        <v>42229</v>
      </c>
      <c r="D1436" s="183" t="s">
        <v>1564</v>
      </c>
      <c r="E1436" s="37">
        <v>42229</v>
      </c>
      <c r="F1436" s="296" t="s">
        <v>910</v>
      </c>
      <c r="G1436" s="40" t="s">
        <v>968</v>
      </c>
      <c r="H1436" s="7" t="s">
        <v>834</v>
      </c>
      <c r="I1436" s="754">
        <v>311</v>
      </c>
      <c r="J1436" s="745">
        <v>5900</v>
      </c>
      <c r="K1436" s="593">
        <f>ROUND(I1436*J1436,0)</f>
        <v>1834900</v>
      </c>
      <c r="L1436" s="594" t="s">
        <v>259</v>
      </c>
      <c r="M1436" s="594" t="s">
        <v>174</v>
      </c>
      <c r="N1436" s="52" t="str">
        <f>IF(AND('331-CT'!$E$7=TH!H1436,OR(L1436="331",M1436="331")),"331",IF(AND(OR(L1436="131",M1436="131"),H1436='131-CT'!$E$7),"131",""))</f>
        <v/>
      </c>
      <c r="O1436" s="86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99"/>
    </row>
    <row r="1437" spans="1:27" s="210" customFormat="1" ht="15.75" customHeight="1">
      <c r="A1437" s="203" t="str">
        <f>IF(B1437&lt;&gt;"",IF(AND(B1437&gt;=_TM1,B1437&lt;=_TM2,OR(TH!L1437="1111",TH!M1437="1111")),TH!D1437,""),"")</f>
        <v/>
      </c>
      <c r="B1437" s="36">
        <f>IF(C1437&lt;&gt;"",MONTH(C1437),"")</f>
        <v>8</v>
      </c>
      <c r="C1437" s="183">
        <f>E1437</f>
        <v>42229</v>
      </c>
      <c r="D1437" s="183" t="s">
        <v>1564</v>
      </c>
      <c r="E1437" s="37">
        <v>42229</v>
      </c>
      <c r="F1437" s="296" t="s">
        <v>402</v>
      </c>
      <c r="G1437" s="40" t="s">
        <v>968</v>
      </c>
      <c r="H1437" s="7" t="s">
        <v>834</v>
      </c>
      <c r="I1437" s="754"/>
      <c r="J1437" s="745"/>
      <c r="K1437" s="593">
        <v>183490</v>
      </c>
      <c r="L1437" s="594" t="s">
        <v>259</v>
      </c>
      <c r="M1437" s="594" t="s">
        <v>371</v>
      </c>
      <c r="N1437" s="52" t="str">
        <f>IF(AND('331-CT'!$E$7=TH!H1437,OR(L1437="331",M1437="331")),"331",IF(AND(OR(L1437="131",M1437="131"),H1437='131-CT'!$E$7),"131",""))</f>
        <v/>
      </c>
      <c r="O1437" s="86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99"/>
    </row>
    <row r="1438" spans="1:27" s="210" customFormat="1" ht="15.75" customHeight="1">
      <c r="A1438" s="203" t="str">
        <f>IF(B1438&lt;&gt;"",IF(AND(B1438&gt;=_TM1,B1438&lt;=_TM2,OR(TH!L1438="1111",TH!M1438="1111")),TH!D1438,""),"")</f>
        <v/>
      </c>
      <c r="B1438" s="36">
        <f>IF(C1438&lt;&gt;"",MONTH(C1438),"")</f>
        <v>8</v>
      </c>
      <c r="C1438" s="183">
        <f>E1438</f>
        <v>42229</v>
      </c>
      <c r="D1438" s="183" t="s">
        <v>1565</v>
      </c>
      <c r="E1438" s="37">
        <v>42229</v>
      </c>
      <c r="F1438" s="296" t="s">
        <v>760</v>
      </c>
      <c r="G1438" s="40" t="s">
        <v>969</v>
      </c>
      <c r="H1438" s="7" t="s">
        <v>762</v>
      </c>
      <c r="I1438" s="754">
        <v>512</v>
      </c>
      <c r="J1438" s="745">
        <v>6400</v>
      </c>
      <c r="K1438" s="593">
        <f>ROUND(I1438*J1438,0)</f>
        <v>3276800</v>
      </c>
      <c r="L1438" s="594" t="s">
        <v>259</v>
      </c>
      <c r="M1438" s="594" t="s">
        <v>174</v>
      </c>
      <c r="N1438" s="52" t="str">
        <f>IF(AND('331-CT'!$E$7=TH!H1438,OR(L1438="331",M1438="331")),"331",IF(AND(OR(L1438="131",M1438="131"),H1438='131-CT'!$E$7),"131",""))</f>
        <v/>
      </c>
      <c r="O1438" s="86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99"/>
    </row>
    <row r="1439" spans="1:27" s="210" customFormat="1" ht="15.75" customHeight="1">
      <c r="A1439" s="203" t="str">
        <f>IF(B1439&lt;&gt;"",IF(AND(B1439&gt;=_TM1,B1439&lt;=_TM2,OR(TH!L1439="1111",TH!M1439="1111")),TH!D1439,""),"")</f>
        <v/>
      </c>
      <c r="B1439" s="36">
        <f>IF(C1439&lt;&gt;"",MONTH(C1439),"")</f>
        <v>8</v>
      </c>
      <c r="C1439" s="183">
        <f>E1439</f>
        <v>42229</v>
      </c>
      <c r="D1439" s="183" t="s">
        <v>1565</v>
      </c>
      <c r="E1439" s="37">
        <v>42229</v>
      </c>
      <c r="F1439" s="296" t="s">
        <v>402</v>
      </c>
      <c r="G1439" s="40" t="s">
        <v>969</v>
      </c>
      <c r="H1439" s="7" t="s">
        <v>762</v>
      </c>
      <c r="I1439" s="754"/>
      <c r="J1439" s="745"/>
      <c r="K1439" s="593">
        <v>327680</v>
      </c>
      <c r="L1439" s="594" t="s">
        <v>259</v>
      </c>
      <c r="M1439" s="594" t="s">
        <v>371</v>
      </c>
      <c r="N1439" s="52" t="str">
        <f>IF(AND('331-CT'!$E$7=TH!H1439,OR(L1439="331",M1439="331")),"331",IF(AND(OR(L1439="131",M1439="131"),H1439='131-CT'!$E$7),"131",""))</f>
        <v/>
      </c>
      <c r="O1439" s="86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99"/>
    </row>
    <row r="1440" spans="1:27" s="210" customFormat="1" ht="15.75" customHeight="1">
      <c r="A1440" s="203" t="str">
        <f>IF(B1440&lt;&gt;"",IF(AND(B1440&gt;=_TM1,B1440&lt;=_TM2,OR(TH!L1440="1111",TH!M1440="1111")),TH!D1440,""),"")</f>
        <v/>
      </c>
      <c r="B1440" s="36">
        <f>IF(C1440&lt;&gt;"",MONTH(C1440),"")</f>
        <v>8</v>
      </c>
      <c r="C1440" s="183">
        <f>E1440</f>
        <v>42229</v>
      </c>
      <c r="D1440" s="183" t="s">
        <v>1565</v>
      </c>
      <c r="E1440" s="37">
        <v>42229</v>
      </c>
      <c r="F1440" s="191" t="s">
        <v>1320</v>
      </c>
      <c r="G1440" s="40" t="s">
        <v>969</v>
      </c>
      <c r="H1440" s="7" t="s">
        <v>762</v>
      </c>
      <c r="I1440" s="754"/>
      <c r="J1440" s="745"/>
      <c r="K1440" s="593">
        <v>3604480</v>
      </c>
      <c r="L1440" s="594" t="s">
        <v>47</v>
      </c>
      <c r="M1440" s="594" t="s">
        <v>259</v>
      </c>
      <c r="N1440" s="52" t="str">
        <f>IF(AND('331-CT'!$E$7=TH!H1440,OR(L1440="331",M1440="331")),"331",IF(AND(OR(L1440="131",M1440="131"),H1440='131-CT'!$E$7),"131",""))</f>
        <v/>
      </c>
      <c r="O1440" s="86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799"/>
    </row>
    <row r="1441" spans="1:27" s="210" customFormat="1" ht="15.75" customHeight="1">
      <c r="A1441" s="203" t="str">
        <f>IF(B1441&lt;&gt;"",IF(AND(B1441&gt;=_TM1,B1441&lt;=_TM2,OR(TH!L1441="1111",TH!M1441="1111")),TH!D1441,""),"")</f>
        <v/>
      </c>
      <c r="B1441" s="36">
        <f>IF(C1441&lt;&gt;"",MONTH(C1441),"")</f>
        <v>8</v>
      </c>
      <c r="C1441" s="183">
        <f>E1441</f>
        <v>42229</v>
      </c>
      <c r="D1441" s="183" t="s">
        <v>1566</v>
      </c>
      <c r="E1441" s="37">
        <v>42229</v>
      </c>
      <c r="F1441" s="296" t="s">
        <v>1753</v>
      </c>
      <c r="G1441" s="40" t="s">
        <v>970</v>
      </c>
      <c r="H1441" s="7" t="s">
        <v>1934</v>
      </c>
      <c r="I1441" s="754">
        <v>50</v>
      </c>
      <c r="J1441" s="745">
        <v>11133</v>
      </c>
      <c r="K1441" s="593">
        <f>ROUND(I1441*J1441,0)</f>
        <v>556650</v>
      </c>
      <c r="L1441" s="594" t="s">
        <v>259</v>
      </c>
      <c r="M1441" s="594" t="s">
        <v>174</v>
      </c>
      <c r="N1441" s="52" t="str">
        <f>IF(AND('331-CT'!$E$7=TH!H1441,OR(L1441="331",M1441="331")),"331",IF(AND(OR(L1441="131",M1441="131"),H1441='131-CT'!$E$7),"131",""))</f>
        <v/>
      </c>
      <c r="O1441" s="86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799"/>
    </row>
    <row r="1442" spans="1:27" s="210" customFormat="1" ht="15.75" customHeight="1">
      <c r="A1442" s="203" t="str">
        <f>IF(B1442&lt;&gt;"",IF(AND(B1442&gt;=_TM1,B1442&lt;=_TM2,OR(TH!L1442="1111",TH!M1442="1111")),TH!D1442,""),"")</f>
        <v/>
      </c>
      <c r="B1442" s="36">
        <f>IF(C1442&lt;&gt;"",MONTH(C1442),"")</f>
        <v>8</v>
      </c>
      <c r="C1442" s="183">
        <f>E1442</f>
        <v>42229</v>
      </c>
      <c r="D1442" s="183" t="s">
        <v>1566</v>
      </c>
      <c r="E1442" s="37">
        <v>42229</v>
      </c>
      <c r="F1442" s="191" t="s">
        <v>748</v>
      </c>
      <c r="G1442" s="40" t="s">
        <v>970</v>
      </c>
      <c r="H1442" s="7" t="s">
        <v>1934</v>
      </c>
      <c r="I1442" s="754">
        <v>100</v>
      </c>
      <c r="J1442" s="745">
        <v>11997</v>
      </c>
      <c r="K1442" s="593">
        <f>ROUND(I1442*J1442,0)</f>
        <v>1199700</v>
      </c>
      <c r="L1442" s="594" t="s">
        <v>259</v>
      </c>
      <c r="M1442" s="594" t="s">
        <v>174</v>
      </c>
      <c r="N1442" s="52" t="str">
        <f>IF(AND('331-CT'!$E$7=TH!H1442,OR(L1442="331",M1442="331")),"331",IF(AND(OR(L1442="131",M1442="131"),H1442='131-CT'!$E$7),"131",""))</f>
        <v/>
      </c>
      <c r="O1442" s="86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799"/>
    </row>
    <row r="1443" spans="1:27" s="210" customFormat="1" ht="15.75" customHeight="1">
      <c r="A1443" s="203" t="str">
        <f>IF(B1443&lt;&gt;"",IF(AND(B1443&gt;=_TM1,B1443&lt;=_TM2,OR(TH!L1443="1111",TH!M1443="1111")),TH!D1443,""),"")</f>
        <v/>
      </c>
      <c r="B1443" s="36">
        <f>IF(C1443&lt;&gt;"",MONTH(C1443),"")</f>
        <v>8</v>
      </c>
      <c r="C1443" s="183">
        <f>E1443</f>
        <v>42229</v>
      </c>
      <c r="D1443" s="183" t="s">
        <v>1566</v>
      </c>
      <c r="E1443" s="37">
        <v>42229</v>
      </c>
      <c r="F1443" s="188" t="s">
        <v>731</v>
      </c>
      <c r="G1443" s="40" t="s">
        <v>970</v>
      </c>
      <c r="H1443" s="7" t="s">
        <v>1934</v>
      </c>
      <c r="I1443" s="754"/>
      <c r="J1443" s="255"/>
      <c r="K1443" s="593">
        <v>175635</v>
      </c>
      <c r="L1443" s="594" t="s">
        <v>259</v>
      </c>
      <c r="M1443" s="594" t="s">
        <v>371</v>
      </c>
      <c r="N1443" s="52" t="str">
        <f>IF(AND('331-CT'!$E$7=TH!H1443,OR(L1443="331",M1443="331")),"331",IF(AND(OR(L1443="131",M1443="131"),H1443='131-CT'!$E$7),"131",""))</f>
        <v/>
      </c>
      <c r="O1443" s="86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799"/>
    </row>
    <row r="1444" spans="1:27" s="210" customFormat="1" ht="15.75" customHeight="1">
      <c r="A1444" s="203" t="str">
        <f>IF(B1444&lt;&gt;"",IF(AND(B1444&gt;=_TM1,B1444&lt;=_TM2,OR(TH!L1444="1111",TH!M1444="1111")),TH!D1444,""),"")</f>
        <v/>
      </c>
      <c r="B1444" s="36">
        <f>IF(C1444&lt;&gt;"",MONTH(C1444),"")</f>
        <v>8</v>
      </c>
      <c r="C1444" s="183">
        <f>E1444</f>
        <v>42229</v>
      </c>
      <c r="D1444" s="183" t="s">
        <v>1319</v>
      </c>
      <c r="E1444" s="190">
        <v>42229</v>
      </c>
      <c r="F1444" s="191" t="s">
        <v>1320</v>
      </c>
      <c r="G1444" s="482" t="s">
        <v>332</v>
      </c>
      <c r="H1444" s="7" t="s">
        <v>1934</v>
      </c>
      <c r="I1444" s="255"/>
      <c r="J1444" s="255"/>
      <c r="K1444" s="593">
        <v>41268942</v>
      </c>
      <c r="L1444" s="594" t="s">
        <v>24</v>
      </c>
      <c r="M1444" s="594" t="s">
        <v>259</v>
      </c>
      <c r="N1444" s="52" t="str">
        <f>IF(AND('331-CT'!$E$7=TH!H1444,OR(L1444="331",M1444="331")),"331",IF(AND(OR(L1444="131",M1444="131"),H1444='131-CT'!$E$7),"131",""))</f>
        <v/>
      </c>
      <c r="O1444" s="86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>x</v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799"/>
    </row>
    <row r="1445" spans="1:27" s="210" customFormat="1" ht="15.75" customHeight="1">
      <c r="A1445" s="203" t="str">
        <f>IF(B1445&lt;&gt;"",IF(AND(B1445&gt;=_TM1,B1445&lt;=_TM2,OR(TH!L1445="1111",TH!M1445="1111")),TH!D1445,""),"")</f>
        <v/>
      </c>
      <c r="B1445" s="36">
        <f>IF(C1445&lt;&gt;"",MONTH(C1445),"")</f>
        <v>8</v>
      </c>
      <c r="C1445" s="183">
        <f>E1445</f>
        <v>42229</v>
      </c>
      <c r="D1445" s="183" t="s">
        <v>1324</v>
      </c>
      <c r="E1445" s="190">
        <v>42229</v>
      </c>
      <c r="F1445" s="188" t="s">
        <v>1325</v>
      </c>
      <c r="G1445" s="482" t="s">
        <v>332</v>
      </c>
      <c r="H1445" s="7" t="s">
        <v>1331</v>
      </c>
      <c r="I1445" s="255"/>
      <c r="J1445" s="255"/>
      <c r="K1445" s="593">
        <v>31200000</v>
      </c>
      <c r="L1445" s="594" t="s">
        <v>47</v>
      </c>
      <c r="M1445" s="594" t="s">
        <v>24</v>
      </c>
      <c r="N1445" s="52" t="str">
        <f>IF(AND('331-CT'!$E$7=TH!H1445,OR(L1445="331",M1445="331")),"331",IF(AND(OR(L1445="131",M1445="131"),H1445='131-CT'!$E$7),"131",""))</f>
        <v/>
      </c>
      <c r="O1445" s="86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>x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799"/>
    </row>
    <row r="1446" spans="1:27" s="210" customFormat="1" ht="15.75" customHeight="1">
      <c r="A1446" s="203" t="str">
        <f>IF(B1446&lt;&gt;"",IF(AND(B1446&gt;=_TM1,B1446&lt;=_TM2,OR(TH!L1446="1111",TH!M1446="1111")),TH!D1446,""),"")</f>
        <v/>
      </c>
      <c r="B1446" s="36">
        <f>IF(C1446&lt;&gt;"",MONTH(C1446),"")</f>
        <v>8</v>
      </c>
      <c r="C1446" s="183">
        <f>E1446</f>
        <v>42231</v>
      </c>
      <c r="D1446" s="183" t="s">
        <v>1324</v>
      </c>
      <c r="E1446" s="190">
        <v>42231</v>
      </c>
      <c r="F1446" s="296" t="s">
        <v>1326</v>
      </c>
      <c r="G1446" s="482" t="s">
        <v>332</v>
      </c>
      <c r="H1446" s="192" t="s">
        <v>1927</v>
      </c>
      <c r="I1446" s="255"/>
      <c r="J1446" s="255"/>
      <c r="K1446" s="593">
        <v>10000000</v>
      </c>
      <c r="L1446" s="594" t="s">
        <v>8</v>
      </c>
      <c r="M1446" s="594" t="s">
        <v>24</v>
      </c>
      <c r="N1446" s="52" t="str">
        <f>IF(AND('331-CT'!$E$7=TH!H1446,OR(L1446="331",M1446="331")),"331",IF(AND(OR(L1446="131",M1446="131"),H1446='131-CT'!$E$7),"131",""))</f>
        <v/>
      </c>
      <c r="O1446" s="86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>x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799"/>
    </row>
    <row r="1447" spans="1:27" s="210" customFormat="1" ht="15.75" customHeight="1">
      <c r="A1447" s="203" t="str">
        <f>IF(B1447&lt;&gt;"",IF(AND(B1447&gt;=_TM1,B1447&lt;=_TM2,OR(TH!L1447="1111",TH!M1447="1111")),TH!D1447,""),"")</f>
        <v/>
      </c>
      <c r="B1447" s="36">
        <f>IF(C1447&lt;&gt;"",MONTH(C1447),"")</f>
        <v>8</v>
      </c>
      <c r="C1447" s="183">
        <f>E1447</f>
        <v>42231</v>
      </c>
      <c r="D1447" s="183" t="s">
        <v>1324</v>
      </c>
      <c r="E1447" s="190">
        <v>42231</v>
      </c>
      <c r="F1447" s="188" t="s">
        <v>1327</v>
      </c>
      <c r="G1447" s="482" t="s">
        <v>332</v>
      </c>
      <c r="H1447" s="7"/>
      <c r="I1447" s="255"/>
      <c r="J1447" s="255"/>
      <c r="K1447" s="593">
        <v>15000</v>
      </c>
      <c r="L1447" s="594" t="s">
        <v>83</v>
      </c>
      <c r="M1447" s="594" t="s">
        <v>24</v>
      </c>
      <c r="N1447" s="52" t="str">
        <f>IF(AND('331-CT'!$E$7=TH!H1447,OR(L1447="331",M1447="331")),"331",IF(AND(OR(L1447="131",M1447="131"),H1447='131-CT'!$E$7),"131",""))</f>
        <v/>
      </c>
      <c r="O1447" s="86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>x</v>
      </c>
      <c r="V1447" s="52" t="str">
        <f>IF(OR(TH!L1447=TH!$V$7,M1447=TH!$V$7),"x","")</f>
        <v>x</v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99"/>
    </row>
    <row r="1448" spans="1:27" s="210" customFormat="1" ht="15.75" customHeight="1">
      <c r="A1448" s="203" t="str">
        <f>IF(B1448&lt;&gt;"",IF(AND(B1448&gt;=_TM1,B1448&lt;=_TM2,OR(TH!L1448="1111",TH!M1448="1111")),TH!D1448,""),"")</f>
        <v/>
      </c>
      <c r="B1448" s="36">
        <f>IF(C1448&lt;&gt;"",MONTH(C1448),"")</f>
        <v>8</v>
      </c>
      <c r="C1448" s="183">
        <f>E1448</f>
        <v>42233</v>
      </c>
      <c r="D1448" s="190" t="s">
        <v>1961</v>
      </c>
      <c r="E1448" s="190">
        <v>42233</v>
      </c>
      <c r="F1448" s="296" t="s">
        <v>1455</v>
      </c>
      <c r="G1448" s="482" t="s">
        <v>1108</v>
      </c>
      <c r="H1448" s="7" t="s">
        <v>1457</v>
      </c>
      <c r="I1448" s="255">
        <v>15560</v>
      </c>
      <c r="J1448" s="255">
        <v>810</v>
      </c>
      <c r="K1448" s="593">
        <f>ROUND(I1448*J1448,0)</f>
        <v>12603600</v>
      </c>
      <c r="L1448" s="594" t="s">
        <v>161</v>
      </c>
      <c r="M1448" s="594" t="s">
        <v>8</v>
      </c>
      <c r="N1448" s="52" t="str">
        <f>IF(AND('331-CT'!$E$7=TH!H1448,OR(L1448="331",M1448="331")),"331",IF(AND(OR(L1448="131",M1448="131"),H1448='131-CT'!$E$7),"131",""))</f>
        <v/>
      </c>
      <c r="O1448" s="86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99"/>
    </row>
    <row r="1449" spans="1:27" s="210" customFormat="1" ht="15.75" customHeight="1">
      <c r="A1449" s="203" t="str">
        <f>IF(B1449&lt;&gt;"",IF(AND(B1449&gt;=_TM1,B1449&lt;=_TM2,OR(TH!L1449="1111",TH!M1449="1111")),TH!D1449,""),"")</f>
        <v/>
      </c>
      <c r="B1449" s="36">
        <f>IF(C1449&lt;&gt;"",MONTH(C1449),"")</f>
        <v>8</v>
      </c>
      <c r="C1449" s="183">
        <f>E1449</f>
        <v>42233</v>
      </c>
      <c r="D1449" s="190" t="s">
        <v>1961</v>
      </c>
      <c r="E1449" s="190">
        <v>42233</v>
      </c>
      <c r="F1449" s="296" t="s">
        <v>1456</v>
      </c>
      <c r="G1449" s="482" t="s">
        <v>1108</v>
      </c>
      <c r="H1449" s="7" t="s">
        <v>1457</v>
      </c>
      <c r="I1449" s="255"/>
      <c r="J1449" s="255"/>
      <c r="K1449" s="593">
        <v>1260360</v>
      </c>
      <c r="L1449" s="594" t="s">
        <v>9</v>
      </c>
      <c r="M1449" s="594" t="s">
        <v>8</v>
      </c>
      <c r="N1449" s="52" t="str">
        <f>IF(AND('331-CT'!$E$7=TH!H1449,OR(L1449="331",M1449="331")),"331",IF(AND(OR(L1449="131",M1449="131"),H1449='131-CT'!$E$7),"131",""))</f>
        <v/>
      </c>
      <c r="O1449" s="86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99"/>
    </row>
    <row r="1450" spans="1:27" s="210" customFormat="1" ht="15.75" customHeight="1">
      <c r="A1450" s="203" t="str">
        <f>IF(B1450&lt;&gt;"",IF(AND(B1450&gt;=_TM1,B1450&lt;=_TM2,OR(TH!L1450="1111",TH!M1450="1111")),TH!D1450,""),"")</f>
        <v/>
      </c>
      <c r="B1450" s="36">
        <f>IF(C1450&lt;&gt;"",MONTH(C1450),"")</f>
        <v>8</v>
      </c>
      <c r="C1450" s="183">
        <f>E1450</f>
        <v>42233</v>
      </c>
      <c r="D1450" s="190" t="s">
        <v>1961</v>
      </c>
      <c r="E1450" s="190">
        <v>42233</v>
      </c>
      <c r="F1450" s="296" t="s">
        <v>1326</v>
      </c>
      <c r="G1450" s="482" t="s">
        <v>1108</v>
      </c>
      <c r="H1450" s="7" t="s">
        <v>1457</v>
      </c>
      <c r="I1450" s="255"/>
      <c r="J1450" s="255"/>
      <c r="K1450" s="593">
        <v>13863960</v>
      </c>
      <c r="L1450" s="594" t="s">
        <v>8</v>
      </c>
      <c r="M1450" s="594" t="s">
        <v>47</v>
      </c>
      <c r="N1450" s="52" t="str">
        <f>IF(AND('331-CT'!$E$7=TH!H1450,OR(L1450="331",M1450="331")),"331",IF(AND(OR(L1450="131",M1450="131"),H1450='131-CT'!$E$7),"131",""))</f>
        <v/>
      </c>
      <c r="O1450" s="86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799"/>
    </row>
    <row r="1451" spans="1:27" s="210" customFormat="1" ht="15.75" customHeight="1">
      <c r="A1451" s="203" t="str">
        <f>IF(B1451&lt;&gt;"",IF(AND(B1451&gt;=_TM1,B1451&lt;=_TM2,OR(TH!L1451="1111",TH!M1451="1111")),TH!D1451,""),"")</f>
        <v/>
      </c>
      <c r="B1451" s="36">
        <f>IF(C1451&lt;&gt;"",MONTH(C1451),"")</f>
        <v>8</v>
      </c>
      <c r="C1451" s="183">
        <f>E1451</f>
        <v>42234</v>
      </c>
      <c r="D1451" s="183" t="s">
        <v>1567</v>
      </c>
      <c r="E1451" s="37">
        <v>42234</v>
      </c>
      <c r="F1451" s="40" t="s">
        <v>728</v>
      </c>
      <c r="G1451" s="40" t="s">
        <v>971</v>
      </c>
      <c r="H1451" s="7" t="s">
        <v>1934</v>
      </c>
      <c r="I1451" s="754">
        <v>600</v>
      </c>
      <c r="J1451" s="745">
        <v>10854</v>
      </c>
      <c r="K1451" s="593">
        <f>ROUND(I1451*J1451,0)</f>
        <v>6512400</v>
      </c>
      <c r="L1451" s="594" t="s">
        <v>259</v>
      </c>
      <c r="M1451" s="594" t="s">
        <v>174</v>
      </c>
      <c r="N1451" s="52" t="str">
        <f>IF(AND('331-CT'!$E$7=TH!H1451,OR(L1451="331",M1451="331")),"331",IF(AND(OR(L1451="131",M1451="131"),H1451='131-CT'!$E$7),"131",""))</f>
        <v/>
      </c>
      <c r="O1451" s="86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799"/>
    </row>
    <row r="1452" spans="1:27" s="210" customFormat="1" ht="15.75" customHeight="1">
      <c r="A1452" s="203" t="str">
        <f>IF(B1452&lt;&gt;"",IF(AND(B1452&gt;=_TM1,B1452&lt;=_TM2,OR(TH!L1452="1111",TH!M1452="1111")),TH!D1452,""),"")</f>
        <v/>
      </c>
      <c r="B1452" s="36">
        <f>IF(C1452&lt;&gt;"",MONTH(C1452),"")</f>
        <v>8</v>
      </c>
      <c r="C1452" s="183">
        <f>E1452</f>
        <v>42234</v>
      </c>
      <c r="D1452" s="183" t="s">
        <v>1567</v>
      </c>
      <c r="E1452" s="37">
        <v>42234</v>
      </c>
      <c r="F1452" s="188" t="s">
        <v>747</v>
      </c>
      <c r="G1452" s="40" t="s">
        <v>971</v>
      </c>
      <c r="H1452" s="7" t="s">
        <v>1934</v>
      </c>
      <c r="I1452" s="754">
        <v>300</v>
      </c>
      <c r="J1452" s="745">
        <v>4050</v>
      </c>
      <c r="K1452" s="593">
        <f>ROUND(I1452*J1452,0)</f>
        <v>1215000</v>
      </c>
      <c r="L1452" s="594" t="s">
        <v>259</v>
      </c>
      <c r="M1452" s="594" t="s">
        <v>174</v>
      </c>
      <c r="N1452" s="52" t="str">
        <f>IF(AND('331-CT'!$E$7=TH!H1452,OR(L1452="331",M1452="331")),"331",IF(AND(OR(L1452="131",M1452="131"),H1452='131-CT'!$E$7),"131",""))</f>
        <v/>
      </c>
      <c r="O1452" s="86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799"/>
    </row>
    <row r="1453" spans="1:27" s="210" customFormat="1" ht="15.75" customHeight="1">
      <c r="A1453" s="203" t="str">
        <f>IF(B1453&lt;&gt;"",IF(AND(B1453&gt;=_TM1,B1453&lt;=_TM2,OR(TH!L1453="1111",TH!M1453="1111")),TH!D1453,""),"")</f>
        <v/>
      </c>
      <c r="B1453" s="36">
        <f>IF(C1453&lt;&gt;"",MONTH(C1453),"")</f>
        <v>8</v>
      </c>
      <c r="C1453" s="183">
        <f>E1453</f>
        <v>42234</v>
      </c>
      <c r="D1453" s="183" t="s">
        <v>1567</v>
      </c>
      <c r="E1453" s="37">
        <v>42234</v>
      </c>
      <c r="F1453" s="188" t="s">
        <v>1781</v>
      </c>
      <c r="G1453" s="40" t="s">
        <v>971</v>
      </c>
      <c r="H1453" s="7" t="s">
        <v>1934</v>
      </c>
      <c r="I1453" s="754">
        <v>200</v>
      </c>
      <c r="J1453" s="745">
        <v>11968</v>
      </c>
      <c r="K1453" s="593">
        <f>ROUND(I1453*J1453,0)</f>
        <v>2393600</v>
      </c>
      <c r="L1453" s="594" t="s">
        <v>259</v>
      </c>
      <c r="M1453" s="594" t="s">
        <v>174</v>
      </c>
      <c r="N1453" s="52" t="str">
        <f>IF(AND('331-CT'!$E$7=TH!H1453,OR(L1453="331",M1453="331")),"331",IF(AND(OR(L1453="131",M1453="131"),H1453='131-CT'!$E$7),"131",""))</f>
        <v/>
      </c>
      <c r="O1453" s="86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99"/>
    </row>
    <row r="1454" spans="1:27" s="210" customFormat="1" ht="15.75" customHeight="1">
      <c r="A1454" s="203" t="str">
        <f>IF(B1454&lt;&gt;"",IF(AND(B1454&gt;=_TM1,B1454&lt;=_TM2,OR(TH!L1454="1111",TH!M1454="1111")),TH!D1454,""),"")</f>
        <v/>
      </c>
      <c r="B1454" s="36">
        <f>IF(C1454&lt;&gt;"",MONTH(C1454),"")</f>
        <v>8</v>
      </c>
      <c r="C1454" s="183">
        <f>E1454</f>
        <v>42234</v>
      </c>
      <c r="D1454" s="183" t="s">
        <v>1567</v>
      </c>
      <c r="E1454" s="37">
        <v>42234</v>
      </c>
      <c r="F1454" s="40" t="s">
        <v>731</v>
      </c>
      <c r="G1454" s="40" t="s">
        <v>971</v>
      </c>
      <c r="H1454" s="7" t="s">
        <v>1934</v>
      </c>
      <c r="I1454" s="754"/>
      <c r="J1454" s="745"/>
      <c r="K1454" s="593">
        <v>1012100</v>
      </c>
      <c r="L1454" s="594" t="s">
        <v>259</v>
      </c>
      <c r="M1454" s="594" t="s">
        <v>371</v>
      </c>
      <c r="N1454" s="52" t="str">
        <f>IF(AND('331-CT'!$E$7=TH!H1454,OR(L1454="331",M1454="331")),"331",IF(AND(OR(L1454="131",M1454="131"),H1454='131-CT'!$E$7),"131",""))</f>
        <v/>
      </c>
      <c r="O1454" s="86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99"/>
    </row>
    <row r="1455" spans="1:27" s="210" customFormat="1" ht="15.75" customHeight="1">
      <c r="A1455" s="203" t="str">
        <f>IF(B1455&lt;&gt;"",IF(AND(B1455&gt;=_TM1,B1455&lt;=_TM2,OR(TH!L1455="1111",TH!M1455="1111")),TH!D1455,""),"")</f>
        <v/>
      </c>
      <c r="B1455" s="36">
        <f>IF(C1455&lt;&gt;"",MONTH(C1455),"")</f>
        <v>8</v>
      </c>
      <c r="C1455" s="183">
        <f>E1455</f>
        <v>42234</v>
      </c>
      <c r="D1455" s="183" t="s">
        <v>1568</v>
      </c>
      <c r="E1455" s="37">
        <v>42234</v>
      </c>
      <c r="F1455" s="188" t="s">
        <v>409</v>
      </c>
      <c r="G1455" s="40" t="s">
        <v>973</v>
      </c>
      <c r="H1455" s="7" t="s">
        <v>837</v>
      </c>
      <c r="I1455" s="754">
        <v>1280</v>
      </c>
      <c r="J1455" s="745">
        <v>7400</v>
      </c>
      <c r="K1455" s="593">
        <f>ROUND(I1455*J1455,0)</f>
        <v>9472000</v>
      </c>
      <c r="L1455" s="594" t="s">
        <v>259</v>
      </c>
      <c r="M1455" s="594" t="s">
        <v>174</v>
      </c>
      <c r="N1455" s="52" t="str">
        <f>IF(AND('331-CT'!$E$7=TH!H1455,OR(L1455="331",M1455="331")),"331",IF(AND(OR(L1455="131",M1455="131"),H1455='131-CT'!$E$7),"131",""))</f>
        <v/>
      </c>
      <c r="O1455" s="86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799"/>
    </row>
    <row r="1456" spans="1:27" s="210" customFormat="1" ht="15.75" customHeight="1">
      <c r="A1456" s="203" t="str">
        <f>IF(B1456&lt;&gt;"",IF(AND(B1456&gt;=_TM1,B1456&lt;=_TM2,OR(TH!L1456="1111",TH!M1456="1111")),TH!D1456,""),"")</f>
        <v/>
      </c>
      <c r="B1456" s="36">
        <f>IF(C1456&lt;&gt;"",MONTH(C1456),"")</f>
        <v>8</v>
      </c>
      <c r="C1456" s="183">
        <f>E1456</f>
        <v>42234</v>
      </c>
      <c r="D1456" s="183" t="s">
        <v>1568</v>
      </c>
      <c r="E1456" s="37">
        <v>42234</v>
      </c>
      <c r="F1456" s="40" t="s">
        <v>402</v>
      </c>
      <c r="G1456" s="40" t="s">
        <v>973</v>
      </c>
      <c r="H1456" s="7" t="s">
        <v>837</v>
      </c>
      <c r="I1456" s="754"/>
      <c r="J1456" s="745"/>
      <c r="K1456" s="593">
        <v>947200</v>
      </c>
      <c r="L1456" s="594" t="s">
        <v>259</v>
      </c>
      <c r="M1456" s="594" t="s">
        <v>371</v>
      </c>
      <c r="N1456" s="52" t="str">
        <f>IF(AND('331-CT'!$E$7=TH!H1456,OR(L1456="331",M1456="331")),"331",IF(AND(OR(L1456="131",M1456="131"),H1456='131-CT'!$E$7),"131",""))</f>
        <v/>
      </c>
      <c r="O1456" s="86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799"/>
    </row>
    <row r="1457" spans="1:27" s="210" customFormat="1" ht="15.75" customHeight="1">
      <c r="A1457" s="203" t="str">
        <f>IF(B1457&lt;&gt;"",IF(AND(B1457&gt;=_TM1,B1457&lt;=_TM2,OR(TH!L1457="1111",TH!M1457="1111")),TH!D1457,""),"")</f>
        <v/>
      </c>
      <c r="B1457" s="36">
        <f>IF(C1457&lt;&gt;"",MONTH(C1457),"")</f>
        <v>8</v>
      </c>
      <c r="C1457" s="183">
        <f>E1457</f>
        <v>42234</v>
      </c>
      <c r="D1457" s="183" t="s">
        <v>1319</v>
      </c>
      <c r="E1457" s="190">
        <v>42234</v>
      </c>
      <c r="F1457" s="188" t="s">
        <v>1320</v>
      </c>
      <c r="G1457" s="482" t="s">
        <v>332</v>
      </c>
      <c r="H1457" s="7" t="s">
        <v>869</v>
      </c>
      <c r="I1457" s="255"/>
      <c r="J1457" s="255"/>
      <c r="K1457" s="593">
        <v>31805298</v>
      </c>
      <c r="L1457" s="594" t="s">
        <v>24</v>
      </c>
      <c r="M1457" s="594" t="s">
        <v>259</v>
      </c>
      <c r="N1457" s="52" t="str">
        <f>IF(AND('331-CT'!$E$7=TH!H1457,OR(L1457="331",M1457="331")),"331",IF(AND(OR(L1457="131",M1457="131"),H1457='131-CT'!$E$7),"131",""))</f>
        <v/>
      </c>
      <c r="O1457" s="86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>x</v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799"/>
    </row>
    <row r="1458" spans="1:27" s="210" customFormat="1" ht="15.75" customHeight="1">
      <c r="A1458" s="203" t="str">
        <f>IF(B1458&lt;&gt;"",IF(AND(B1458&gt;=_TM1,B1458&lt;=_TM2,OR(TH!L1458="1111",TH!M1458="1111")),TH!D1458,""),"")</f>
        <v/>
      </c>
      <c r="B1458" s="36">
        <f>IF(C1458&lt;&gt;"",MONTH(C1458),"")</f>
        <v>8</v>
      </c>
      <c r="C1458" s="183">
        <f>E1458</f>
        <v>42235</v>
      </c>
      <c r="D1458" s="183" t="s">
        <v>1569</v>
      </c>
      <c r="E1458" s="37">
        <v>42235</v>
      </c>
      <c r="F1458" s="296" t="s">
        <v>494</v>
      </c>
      <c r="G1458" s="40" t="s">
        <v>972</v>
      </c>
      <c r="H1458" s="7" t="s">
        <v>834</v>
      </c>
      <c r="I1458" s="754">
        <v>710</v>
      </c>
      <c r="J1458" s="255">
        <v>5900</v>
      </c>
      <c r="K1458" s="593">
        <f>ROUND(I1458*J1458,0)</f>
        <v>4189000</v>
      </c>
      <c r="L1458" s="594" t="s">
        <v>259</v>
      </c>
      <c r="M1458" s="594" t="s">
        <v>174</v>
      </c>
      <c r="N1458" s="52" t="str">
        <f>IF(AND('331-CT'!$E$7=TH!H1458,OR(L1458="331",M1458="331")),"331",IF(AND(OR(L1458="131",M1458="131"),H1458='131-CT'!$E$7),"131",""))</f>
        <v/>
      </c>
      <c r="O1458" s="86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799"/>
    </row>
    <row r="1459" spans="1:27" s="210" customFormat="1" ht="15.75" customHeight="1">
      <c r="A1459" s="203" t="str">
        <f>IF(B1459&lt;&gt;"",IF(AND(B1459&gt;=_TM1,B1459&lt;=_TM2,OR(TH!L1459="1111",TH!M1459="1111")),TH!D1459,""),"")</f>
        <v/>
      </c>
      <c r="B1459" s="36">
        <f>IF(C1459&lt;&gt;"",MONTH(C1459),"")</f>
        <v>8</v>
      </c>
      <c r="C1459" s="183">
        <f>E1459</f>
        <v>42235</v>
      </c>
      <c r="D1459" s="183" t="s">
        <v>1569</v>
      </c>
      <c r="E1459" s="37">
        <v>42235</v>
      </c>
      <c r="F1459" s="188" t="s">
        <v>402</v>
      </c>
      <c r="G1459" s="40" t="s">
        <v>972</v>
      </c>
      <c r="H1459" s="7" t="s">
        <v>834</v>
      </c>
      <c r="I1459" s="754"/>
      <c r="J1459" s="745"/>
      <c r="K1459" s="593">
        <v>418900</v>
      </c>
      <c r="L1459" s="594" t="s">
        <v>259</v>
      </c>
      <c r="M1459" s="594" t="s">
        <v>371</v>
      </c>
      <c r="N1459" s="52" t="str">
        <f>IF(AND('331-CT'!$E$7=TH!H1459,OR(L1459="331",M1459="331")),"331",IF(AND(OR(L1459="131",M1459="131"),H1459='131-CT'!$E$7),"131",""))</f>
        <v/>
      </c>
      <c r="O1459" s="86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799"/>
    </row>
    <row r="1460" spans="1:27" s="210" customFormat="1" ht="15.75" customHeight="1">
      <c r="A1460" s="203" t="str">
        <f>IF(B1460&lt;&gt;"",IF(AND(B1460&gt;=_TM1,B1460&lt;=_TM2,OR(TH!L1460="1111",TH!M1460="1111")),TH!D1460,""),"")</f>
        <v/>
      </c>
      <c r="B1460" s="36">
        <f>IF(C1460&lt;&gt;"",MONTH(C1460),"")</f>
        <v>8</v>
      </c>
      <c r="C1460" s="183">
        <f>E1460</f>
        <v>42235</v>
      </c>
      <c r="D1460" s="183" t="s">
        <v>1324</v>
      </c>
      <c r="E1460" s="190">
        <v>42235</v>
      </c>
      <c r="F1460" s="188" t="s">
        <v>1325</v>
      </c>
      <c r="G1460" s="482" t="s">
        <v>332</v>
      </c>
      <c r="H1460" s="7" t="s">
        <v>1331</v>
      </c>
      <c r="I1460" s="255"/>
      <c r="J1460" s="255"/>
      <c r="K1460" s="593">
        <v>38800000</v>
      </c>
      <c r="L1460" s="594" t="s">
        <v>47</v>
      </c>
      <c r="M1460" s="594" t="s">
        <v>24</v>
      </c>
      <c r="N1460" s="52" t="str">
        <f>IF(AND('331-CT'!$E$7=TH!H1460,OR(L1460="331",M1460="331")),"331",IF(AND(OR(L1460="131",M1460="131"),H1460='131-CT'!$E$7),"131",""))</f>
        <v/>
      </c>
      <c r="O1460" s="86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>x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799"/>
    </row>
    <row r="1461" spans="1:27" s="210" customFormat="1" ht="15.75" customHeight="1">
      <c r="A1461" s="203" t="str">
        <f>IF(B1461&lt;&gt;"",IF(AND(B1461&gt;=_TM1,B1461&lt;=_TM2,OR(TH!L1461="1111",TH!M1461="1111")),TH!D1461,""),"")</f>
        <v/>
      </c>
      <c r="B1461" s="36">
        <f>IF(C1461&lt;&gt;"",MONTH(C1461),"")</f>
        <v>8</v>
      </c>
      <c r="C1461" s="183">
        <f>E1461</f>
        <v>42235</v>
      </c>
      <c r="D1461" s="183" t="s">
        <v>1319</v>
      </c>
      <c r="E1461" s="190">
        <v>42235</v>
      </c>
      <c r="F1461" s="188" t="s">
        <v>1320</v>
      </c>
      <c r="G1461" s="482" t="s">
        <v>332</v>
      </c>
      <c r="H1461" s="7" t="s">
        <v>400</v>
      </c>
      <c r="I1461" s="255"/>
      <c r="J1461" s="255"/>
      <c r="K1461" s="593">
        <v>7012830</v>
      </c>
      <c r="L1461" s="594" t="s">
        <v>24</v>
      </c>
      <c r="M1461" s="594" t="s">
        <v>259</v>
      </c>
      <c r="N1461" s="52" t="str">
        <f>IF(AND('331-CT'!$E$7=TH!H1461,OR(L1461="331",M1461="331")),"331",IF(AND(OR(L1461="131",M1461="131"),H1461='131-CT'!$E$7),"131",""))</f>
        <v/>
      </c>
      <c r="O1461" s="86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>x</v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799"/>
    </row>
    <row r="1462" spans="1:27" s="210" customFormat="1" ht="15.75" customHeight="1">
      <c r="A1462" s="203" t="str">
        <f>IF(B1462&lt;&gt;"",IF(AND(B1462&gt;=_TM1,B1462&lt;=_TM2,OR(TH!L1462="1111",TH!M1462="1111")),TH!D1462,""),"")</f>
        <v/>
      </c>
      <c r="B1462" s="36">
        <f>IF(C1462&lt;&gt;"",MONTH(C1462),"")</f>
        <v>8</v>
      </c>
      <c r="C1462" s="183">
        <f>E1462</f>
        <v>42235</v>
      </c>
      <c r="D1462" s="183" t="s">
        <v>1319</v>
      </c>
      <c r="E1462" s="190">
        <v>42235</v>
      </c>
      <c r="F1462" s="188" t="s">
        <v>1320</v>
      </c>
      <c r="G1462" s="482" t="s">
        <v>332</v>
      </c>
      <c r="H1462" s="7" t="s">
        <v>473</v>
      </c>
      <c r="I1462" s="255"/>
      <c r="J1462" s="255"/>
      <c r="K1462" s="593">
        <v>15929100</v>
      </c>
      <c r="L1462" s="594" t="s">
        <v>24</v>
      </c>
      <c r="M1462" s="594" t="s">
        <v>259</v>
      </c>
      <c r="N1462" s="52" t="str">
        <f>IF(AND('331-CT'!$E$7=TH!H1462,OR(L1462="331",M1462="331")),"331",IF(AND(OR(L1462="131",M1462="131"),H1462='131-CT'!$E$7),"131",""))</f>
        <v/>
      </c>
      <c r="O1462" s="86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>x</v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99"/>
    </row>
    <row r="1463" spans="1:27" s="210" customFormat="1" ht="15.75" customHeight="1">
      <c r="A1463" s="203" t="str">
        <f>IF(B1463&lt;&gt;"",IF(AND(B1463&gt;=_TM1,B1463&lt;=_TM2,OR(TH!L1463="1111",TH!M1463="1111")),TH!D1463,""),"")</f>
        <v/>
      </c>
      <c r="B1463" s="36">
        <f>IF(C1463&lt;&gt;"",MONTH(C1463),"")</f>
        <v>8</v>
      </c>
      <c r="C1463" s="183">
        <f>E1463</f>
        <v>42235</v>
      </c>
      <c r="D1463" s="190" t="s">
        <v>1324</v>
      </c>
      <c r="E1463" s="727">
        <v>42235</v>
      </c>
      <c r="F1463" s="191" t="s">
        <v>1896</v>
      </c>
      <c r="G1463" s="482" t="s">
        <v>1907</v>
      </c>
      <c r="H1463" s="192" t="s">
        <v>1923</v>
      </c>
      <c r="I1463" s="255"/>
      <c r="J1463" s="255"/>
      <c r="K1463" s="593">
        <v>17800000</v>
      </c>
      <c r="L1463" s="193" t="s">
        <v>24</v>
      </c>
      <c r="M1463" s="594" t="s">
        <v>47</v>
      </c>
      <c r="N1463" s="52" t="str">
        <f>IF(AND('331-CT'!$E$7=TH!H1463,OR(L1463="331",M1463="331")),"331",IF(AND(OR(L1463="131",M1463="131"),H1463='131-CT'!$E$7),"131",""))</f>
        <v/>
      </c>
      <c r="O1463" s="86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99"/>
    </row>
    <row r="1464" spans="1:27" s="210" customFormat="1" ht="15.75" customHeight="1">
      <c r="A1464" s="203" t="str">
        <f>IF(B1464&lt;&gt;"",IF(AND(B1464&gt;=_TM1,B1464&lt;=_TM2,OR(TH!L1464="1111",TH!M1464="1111")),TH!D1464,""),"")</f>
        <v/>
      </c>
      <c r="B1464" s="36">
        <f>IF(C1464&lt;&gt;"",MONTH(C1464),"")</f>
        <v>8</v>
      </c>
      <c r="C1464" s="183">
        <f>E1464</f>
        <v>42235</v>
      </c>
      <c r="D1464" s="190" t="s">
        <v>1324</v>
      </c>
      <c r="E1464" s="727">
        <v>42235</v>
      </c>
      <c r="F1464" s="191" t="s">
        <v>1924</v>
      </c>
      <c r="G1464" s="482" t="s">
        <v>1907</v>
      </c>
      <c r="H1464" s="192" t="s">
        <v>1909</v>
      </c>
      <c r="I1464" s="255"/>
      <c r="J1464" s="255"/>
      <c r="K1464" s="593">
        <v>12944008</v>
      </c>
      <c r="L1464" s="594" t="s">
        <v>81</v>
      </c>
      <c r="M1464" s="594" t="s">
        <v>24</v>
      </c>
      <c r="N1464" s="52" t="str">
        <f>IF(AND('331-CT'!$E$7=TH!H1464,OR(L1464="331",M1464="331")),"331",IF(AND(OR(L1464="131",M1464="131"),H1464='131-CT'!$E$7),"131",""))</f>
        <v/>
      </c>
      <c r="O1464" s="86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799"/>
    </row>
    <row r="1465" spans="1:27" s="210" customFormat="1" ht="15.75" customHeight="1">
      <c r="A1465" s="203" t="str">
        <f>IF(B1465&lt;&gt;"",IF(AND(B1465&gt;=_TM1,B1465&lt;=_TM2,OR(TH!L1465="1111",TH!M1465="1111")),TH!D1465,""),"")</f>
        <v/>
      </c>
      <c r="B1465" s="36">
        <f>IF(C1465&lt;&gt;"",MONTH(C1465),"")</f>
        <v>8</v>
      </c>
      <c r="C1465" s="183">
        <f>E1465</f>
        <v>42235</v>
      </c>
      <c r="D1465" s="190" t="s">
        <v>1324</v>
      </c>
      <c r="E1465" s="727">
        <v>42235</v>
      </c>
      <c r="F1465" s="191" t="s">
        <v>1924</v>
      </c>
      <c r="G1465" s="482" t="s">
        <v>1907</v>
      </c>
      <c r="H1465" s="192" t="s">
        <v>1920</v>
      </c>
      <c r="I1465" s="255"/>
      <c r="J1465" s="255"/>
      <c r="K1465" s="593">
        <v>4874801</v>
      </c>
      <c r="L1465" s="594" t="s">
        <v>81</v>
      </c>
      <c r="M1465" s="594" t="s">
        <v>24</v>
      </c>
      <c r="N1465" s="52" t="str">
        <f>IF(AND('331-CT'!$E$7=TH!H1465,OR(L1465="331",M1465="331")),"331",IF(AND(OR(L1465="131",M1465="131"),H1465='131-CT'!$E$7),"131",""))</f>
        <v/>
      </c>
      <c r="O1465" s="86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799"/>
    </row>
    <row r="1466" spans="1:27" s="210" customFormat="1" ht="15.75" customHeight="1">
      <c r="A1466" s="203" t="str">
        <f>IF(B1466&lt;&gt;"",IF(AND(B1466&gt;=_TM1,B1466&lt;=_TM2,OR(TH!L1466="1111",TH!M1466="1111")),TH!D1466,""),"")</f>
        <v/>
      </c>
      <c r="B1466" s="36">
        <f>IF(C1466&lt;&gt;"",MONTH(C1466),"")</f>
        <v>8</v>
      </c>
      <c r="C1466" s="183">
        <f>E1466</f>
        <v>42236</v>
      </c>
      <c r="D1466" s="183" t="s">
        <v>1570</v>
      </c>
      <c r="E1466" s="37">
        <v>42236</v>
      </c>
      <c r="F1466" s="191" t="s">
        <v>595</v>
      </c>
      <c r="G1466" s="40" t="s">
        <v>974</v>
      </c>
      <c r="H1466" s="7" t="s">
        <v>453</v>
      </c>
      <c r="I1466" s="754">
        <v>169</v>
      </c>
      <c r="J1466" s="255">
        <v>6400</v>
      </c>
      <c r="K1466" s="593">
        <f>ROUND(I1466*J1466,0)</f>
        <v>1081600</v>
      </c>
      <c r="L1466" s="594" t="s">
        <v>259</v>
      </c>
      <c r="M1466" s="594" t="s">
        <v>174</v>
      </c>
      <c r="N1466" s="52" t="str">
        <f>IF(AND('331-CT'!$E$7=TH!H1466,OR(L1466="331",M1466="331")),"331",IF(AND(OR(L1466="131",M1466="131"),H1466='131-CT'!$E$7),"131",""))</f>
        <v/>
      </c>
      <c r="O1466" s="86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799"/>
    </row>
    <row r="1467" spans="1:27" s="210" customFormat="1" ht="15.75" customHeight="1">
      <c r="A1467" s="203" t="str">
        <f>IF(B1467&lt;&gt;"",IF(AND(B1467&gt;=_TM1,B1467&lt;=_TM2,OR(TH!L1467="1111",TH!M1467="1111")),TH!D1467,""),"")</f>
        <v/>
      </c>
      <c r="B1467" s="36">
        <f>IF(C1467&lt;&gt;"",MONTH(C1467),"")</f>
        <v>8</v>
      </c>
      <c r="C1467" s="183">
        <f>E1467</f>
        <v>42236</v>
      </c>
      <c r="D1467" s="183" t="s">
        <v>1570</v>
      </c>
      <c r="E1467" s="37">
        <v>42236</v>
      </c>
      <c r="F1467" s="40" t="s">
        <v>539</v>
      </c>
      <c r="G1467" s="40" t="s">
        <v>974</v>
      </c>
      <c r="H1467" s="7" t="s">
        <v>453</v>
      </c>
      <c r="I1467" s="754">
        <v>315</v>
      </c>
      <c r="J1467" s="745">
        <v>9400</v>
      </c>
      <c r="K1467" s="593">
        <f>ROUND(I1467*J1467,0)</f>
        <v>2961000</v>
      </c>
      <c r="L1467" s="594" t="s">
        <v>259</v>
      </c>
      <c r="M1467" s="594" t="s">
        <v>174</v>
      </c>
      <c r="N1467" s="52" t="str">
        <f>IF(AND('331-CT'!$E$7=TH!H1467,OR(L1467="331",M1467="331")),"331",IF(AND(OR(L1467="131",M1467="131"),H1467='131-CT'!$E$7),"131",""))</f>
        <v/>
      </c>
      <c r="O1467" s="86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799"/>
    </row>
    <row r="1468" spans="1:27" s="210" customFormat="1" ht="15.75" customHeight="1">
      <c r="A1468" s="203" t="str">
        <f>IF(B1468&lt;&gt;"",IF(AND(B1468&gt;=_TM1,B1468&lt;=_TM2,OR(TH!L1468="1111",TH!M1468="1111")),TH!D1468,""),"")</f>
        <v/>
      </c>
      <c r="B1468" s="36">
        <f>IF(C1468&lt;&gt;"",MONTH(C1468),"")</f>
        <v>8</v>
      </c>
      <c r="C1468" s="183">
        <f>E1468</f>
        <v>42236</v>
      </c>
      <c r="D1468" s="183" t="s">
        <v>1570</v>
      </c>
      <c r="E1468" s="37">
        <v>42236</v>
      </c>
      <c r="F1468" s="40" t="s">
        <v>402</v>
      </c>
      <c r="G1468" s="40" t="s">
        <v>974</v>
      </c>
      <c r="H1468" s="7" t="s">
        <v>453</v>
      </c>
      <c r="I1468" s="754"/>
      <c r="J1468" s="745"/>
      <c r="K1468" s="593">
        <v>404260</v>
      </c>
      <c r="L1468" s="594" t="s">
        <v>259</v>
      </c>
      <c r="M1468" s="594" t="s">
        <v>371</v>
      </c>
      <c r="N1468" s="52" t="str">
        <f>IF(AND('331-CT'!$E$7=TH!H1468,OR(L1468="331",M1468="331")),"331",IF(AND(OR(L1468="131",M1468="131"),H1468='131-CT'!$E$7),"131",""))</f>
        <v/>
      </c>
      <c r="O1468" s="86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799"/>
    </row>
    <row r="1469" spans="1:27" s="210" customFormat="1" ht="15.75" customHeight="1">
      <c r="A1469" s="203" t="str">
        <f>IF(B1469&lt;&gt;"",IF(AND(B1469&gt;=_TM1,B1469&lt;=_TM2,OR(TH!L1469="1111",TH!M1469="1111")),TH!D1469,""),"")</f>
        <v/>
      </c>
      <c r="B1469" s="36">
        <f>IF(C1469&lt;&gt;"",MONTH(C1469),"")</f>
        <v>8</v>
      </c>
      <c r="C1469" s="183">
        <f>E1469</f>
        <v>42236</v>
      </c>
      <c r="D1469" s="183" t="s">
        <v>1571</v>
      </c>
      <c r="E1469" s="37">
        <v>42236</v>
      </c>
      <c r="F1469" s="188" t="s">
        <v>906</v>
      </c>
      <c r="G1469" s="40" t="s">
        <v>975</v>
      </c>
      <c r="H1469" s="7" t="s">
        <v>976</v>
      </c>
      <c r="I1469" s="754">
        <v>320</v>
      </c>
      <c r="J1469" s="745">
        <v>7170</v>
      </c>
      <c r="K1469" s="593">
        <f>ROUND(I1469*J1469,0)</f>
        <v>2294400</v>
      </c>
      <c r="L1469" s="594" t="s">
        <v>259</v>
      </c>
      <c r="M1469" s="594" t="s">
        <v>174</v>
      </c>
      <c r="N1469" s="52" t="str">
        <f>IF(AND('331-CT'!$E$7=TH!H1469,OR(L1469="331",M1469="331")),"331",IF(AND(OR(L1469="131",M1469="131"),H1469='131-CT'!$E$7),"131",""))</f>
        <v/>
      </c>
      <c r="O1469" s="86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799"/>
    </row>
    <row r="1470" spans="1:27" s="210" customFormat="1" ht="15.75" customHeight="1">
      <c r="A1470" s="203" t="str">
        <f>IF(B1470&lt;&gt;"",IF(AND(B1470&gt;=_TM1,B1470&lt;=_TM2,OR(TH!L1470="1111",TH!M1470="1111")),TH!D1470,""),"")</f>
        <v/>
      </c>
      <c r="B1470" s="36">
        <f>IF(C1470&lt;&gt;"",MONTH(C1470),"")</f>
        <v>8</v>
      </c>
      <c r="C1470" s="183">
        <f>E1470</f>
        <v>42236</v>
      </c>
      <c r="D1470" s="183" t="s">
        <v>1571</v>
      </c>
      <c r="E1470" s="37">
        <v>42236</v>
      </c>
      <c r="F1470" s="191" t="s">
        <v>614</v>
      </c>
      <c r="G1470" s="40" t="s">
        <v>975</v>
      </c>
      <c r="H1470" s="7" t="s">
        <v>976</v>
      </c>
      <c r="I1470" s="754">
        <v>356</v>
      </c>
      <c r="J1470" s="745">
        <v>5490</v>
      </c>
      <c r="K1470" s="593">
        <f>ROUND(I1470*J1470,0)</f>
        <v>1954440</v>
      </c>
      <c r="L1470" s="594" t="s">
        <v>259</v>
      </c>
      <c r="M1470" s="594" t="s">
        <v>174</v>
      </c>
      <c r="N1470" s="52" t="str">
        <f>IF(AND('331-CT'!$E$7=TH!H1470,OR(L1470="331",M1470="331")),"331",IF(AND(OR(L1470="131",M1470="131"),H1470='131-CT'!$E$7),"131",""))</f>
        <v/>
      </c>
      <c r="O1470" s="86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799"/>
    </row>
    <row r="1471" spans="1:27" s="210" customFormat="1" ht="15.75" customHeight="1">
      <c r="A1471" s="203" t="str">
        <f>IF(B1471&lt;&gt;"",IF(AND(B1471&gt;=_TM1,B1471&lt;=_TM2,OR(TH!L1471="1111",TH!M1471="1111")),TH!D1471,""),"")</f>
        <v/>
      </c>
      <c r="B1471" s="36">
        <f>IF(C1471&lt;&gt;"",MONTH(C1471),"")</f>
        <v>8</v>
      </c>
      <c r="C1471" s="183">
        <f>E1471</f>
        <v>42236</v>
      </c>
      <c r="D1471" s="183" t="s">
        <v>1571</v>
      </c>
      <c r="E1471" s="37">
        <v>42236</v>
      </c>
      <c r="F1471" s="40" t="s">
        <v>402</v>
      </c>
      <c r="G1471" s="40" t="s">
        <v>975</v>
      </c>
      <c r="H1471" s="7" t="s">
        <v>976</v>
      </c>
      <c r="I1471" s="754"/>
      <c r="J1471" s="745"/>
      <c r="K1471" s="593">
        <v>424884</v>
      </c>
      <c r="L1471" s="594" t="s">
        <v>259</v>
      </c>
      <c r="M1471" s="594" t="s">
        <v>371</v>
      </c>
      <c r="N1471" s="52" t="str">
        <f>IF(AND('331-CT'!$E$7=TH!H1471,OR(L1471="331",M1471="331")),"331",IF(AND(OR(L1471="131",M1471="131"),H1471='131-CT'!$E$7),"131",""))</f>
        <v/>
      </c>
      <c r="O1471" s="86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799"/>
    </row>
    <row r="1472" spans="1:27" s="210" customFormat="1" ht="15.75" customHeight="1">
      <c r="A1472" s="203" t="str">
        <f>IF(B1472&lt;&gt;"",IF(AND(B1472&gt;=_TM1,B1472&lt;=_TM2,OR(TH!L1472="1111",TH!M1472="1111")),TH!D1472,""),"")</f>
        <v/>
      </c>
      <c r="B1472" s="36">
        <f>IF(C1472&lt;&gt;"",MONTH(C1472),"")</f>
        <v>8</v>
      </c>
      <c r="C1472" s="183">
        <f>E1472</f>
        <v>42236</v>
      </c>
      <c r="D1472" s="183" t="s">
        <v>1572</v>
      </c>
      <c r="E1472" s="37">
        <v>42236</v>
      </c>
      <c r="F1472" s="40" t="s">
        <v>977</v>
      </c>
      <c r="G1472" s="40" t="s">
        <v>978</v>
      </c>
      <c r="H1472" s="7" t="s">
        <v>416</v>
      </c>
      <c r="I1472" s="754">
        <v>31</v>
      </c>
      <c r="J1472" s="745">
        <v>36720</v>
      </c>
      <c r="K1472" s="593">
        <f>ROUND(I1472*J1472,0)</f>
        <v>1138320</v>
      </c>
      <c r="L1472" s="594" t="s">
        <v>259</v>
      </c>
      <c r="M1472" s="594" t="s">
        <v>174</v>
      </c>
      <c r="N1472" s="52" t="str">
        <f>IF(AND('331-CT'!$E$7=TH!H1472,OR(L1472="331",M1472="331")),"331",IF(AND(OR(L1472="131",M1472="131"),H1472='131-CT'!$E$7),"131",""))</f>
        <v/>
      </c>
      <c r="O1472" s="86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799"/>
    </row>
    <row r="1473" spans="1:27" s="210" customFormat="1" ht="15.75" customHeight="1">
      <c r="A1473" s="203" t="str">
        <f>IF(B1473&lt;&gt;"",IF(AND(B1473&gt;=_TM1,B1473&lt;=_TM2,OR(TH!L1473="1111",TH!M1473="1111")),TH!D1473,""),"")</f>
        <v/>
      </c>
      <c r="B1473" s="36">
        <f>IF(C1473&lt;&gt;"",MONTH(C1473),"")</f>
        <v>8</v>
      </c>
      <c r="C1473" s="183">
        <f>E1473</f>
        <v>42236</v>
      </c>
      <c r="D1473" s="183" t="s">
        <v>1572</v>
      </c>
      <c r="E1473" s="37">
        <v>42236</v>
      </c>
      <c r="F1473" s="40" t="s">
        <v>979</v>
      </c>
      <c r="G1473" s="40" t="s">
        <v>978</v>
      </c>
      <c r="H1473" s="7" t="s">
        <v>416</v>
      </c>
      <c r="I1473" s="754">
        <v>60</v>
      </c>
      <c r="J1473" s="745">
        <v>14400</v>
      </c>
      <c r="K1473" s="593">
        <f>ROUND(I1473*J1473,0)</f>
        <v>864000</v>
      </c>
      <c r="L1473" s="594" t="s">
        <v>259</v>
      </c>
      <c r="M1473" s="594" t="s">
        <v>174</v>
      </c>
      <c r="N1473" s="52" t="str">
        <f>IF(AND('331-CT'!$E$7=TH!H1473,OR(L1473="331",M1473="331")),"331",IF(AND(OR(L1473="131",M1473="131"),H1473='131-CT'!$E$7),"131",""))</f>
        <v/>
      </c>
      <c r="O1473" s="86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799"/>
    </row>
    <row r="1474" spans="1:27" s="210" customFormat="1" ht="15.75" customHeight="1">
      <c r="A1474" s="203" t="str">
        <f>IF(B1474&lt;&gt;"",IF(AND(B1474&gt;=_TM1,B1474&lt;=_TM2,OR(TH!L1474="1111",TH!M1474="1111")),TH!D1474,""),"")</f>
        <v/>
      </c>
      <c r="B1474" s="36">
        <f>IF(C1474&lt;&gt;"",MONTH(C1474),"")</f>
        <v>8</v>
      </c>
      <c r="C1474" s="183">
        <f>E1474</f>
        <v>42236</v>
      </c>
      <c r="D1474" s="183" t="s">
        <v>1572</v>
      </c>
      <c r="E1474" s="37">
        <v>42236</v>
      </c>
      <c r="F1474" s="188" t="s">
        <v>1661</v>
      </c>
      <c r="G1474" s="40" t="s">
        <v>978</v>
      </c>
      <c r="H1474" s="7" t="s">
        <v>416</v>
      </c>
      <c r="I1474" s="754">
        <v>120</v>
      </c>
      <c r="J1474" s="745">
        <v>540</v>
      </c>
      <c r="K1474" s="593">
        <f>ROUND(I1474*J1474,0)</f>
        <v>64800</v>
      </c>
      <c r="L1474" s="594" t="s">
        <v>259</v>
      </c>
      <c r="M1474" s="594" t="s">
        <v>174</v>
      </c>
      <c r="N1474" s="52" t="str">
        <f>IF(AND('331-CT'!$E$7=TH!H1474,OR(L1474="331",M1474="331")),"331",IF(AND(OR(L1474="131",M1474="131"),H1474='131-CT'!$E$7),"131",""))</f>
        <v/>
      </c>
      <c r="O1474" s="86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799"/>
    </row>
    <row r="1475" spans="1:27" s="210" customFormat="1" ht="15.75" customHeight="1">
      <c r="A1475" s="203" t="str">
        <f>IF(B1475&lt;&gt;"",IF(AND(B1475&gt;=_TM1,B1475&lt;=_TM2,OR(TH!L1475="1111",TH!M1475="1111")),TH!D1475,""),"")</f>
        <v/>
      </c>
      <c r="B1475" s="36">
        <f>IF(C1475&lt;&gt;"",MONTH(C1475),"")</f>
        <v>8</v>
      </c>
      <c r="C1475" s="183">
        <f>E1475</f>
        <v>42236</v>
      </c>
      <c r="D1475" s="183" t="s">
        <v>1572</v>
      </c>
      <c r="E1475" s="37">
        <v>42236</v>
      </c>
      <c r="F1475" s="40" t="s">
        <v>402</v>
      </c>
      <c r="G1475" s="40" t="s">
        <v>978</v>
      </c>
      <c r="H1475" s="7" t="s">
        <v>416</v>
      </c>
      <c r="I1475" s="754"/>
      <c r="J1475" s="745"/>
      <c r="K1475" s="593">
        <v>206712</v>
      </c>
      <c r="L1475" s="594" t="s">
        <v>259</v>
      </c>
      <c r="M1475" s="594" t="s">
        <v>371</v>
      </c>
      <c r="N1475" s="52" t="str">
        <f>IF(AND('331-CT'!$E$7=TH!H1475,OR(L1475="331",M1475="331")),"331",IF(AND(OR(L1475="131",M1475="131"),H1475='131-CT'!$E$7),"131",""))</f>
        <v/>
      </c>
      <c r="O1475" s="86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799"/>
    </row>
    <row r="1476" spans="1:27" s="210" customFormat="1" ht="15.75" customHeight="1">
      <c r="A1476" s="203" t="str">
        <f>IF(B1476&lt;&gt;"",IF(AND(B1476&gt;=_TM1,B1476&lt;=_TM2,OR(TH!L1476="1111",TH!M1476="1111")),TH!D1476,""),"")</f>
        <v/>
      </c>
      <c r="B1476" s="36">
        <f>IF(C1476&lt;&gt;"",MONTH(C1476),"")</f>
        <v>8</v>
      </c>
      <c r="C1476" s="183">
        <f>E1476</f>
        <v>42236</v>
      </c>
      <c r="D1476" s="183" t="s">
        <v>1573</v>
      </c>
      <c r="E1476" s="37">
        <v>42236</v>
      </c>
      <c r="F1476" s="296" t="s">
        <v>746</v>
      </c>
      <c r="G1476" s="40" t="s">
        <v>980</v>
      </c>
      <c r="H1476" s="7" t="s">
        <v>1934</v>
      </c>
      <c r="I1476" s="754">
        <v>1000</v>
      </c>
      <c r="J1476" s="745">
        <v>12719</v>
      </c>
      <c r="K1476" s="593">
        <f>ROUND(I1476*J1476,0)</f>
        <v>12719000</v>
      </c>
      <c r="L1476" s="594" t="s">
        <v>259</v>
      </c>
      <c r="M1476" s="594" t="s">
        <v>174</v>
      </c>
      <c r="N1476" s="52" t="str">
        <f>IF(AND('331-CT'!$E$7=TH!H1476,OR(L1476="331",M1476="331")),"331",IF(AND(OR(L1476="131",M1476="131"),H1476='131-CT'!$E$7),"131",""))</f>
        <v/>
      </c>
      <c r="O1476" s="86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799"/>
    </row>
    <row r="1477" spans="1:27" s="210" customFormat="1" ht="15.75" customHeight="1">
      <c r="A1477" s="203" t="str">
        <f>IF(B1477&lt;&gt;"",IF(AND(B1477&gt;=_TM1,B1477&lt;=_TM2,OR(TH!L1477="1111",TH!M1477="1111")),TH!D1477,""),"")</f>
        <v/>
      </c>
      <c r="B1477" s="36">
        <f>IF(C1477&lt;&gt;"",MONTH(C1477),"")</f>
        <v>8</v>
      </c>
      <c r="C1477" s="183">
        <f>E1477</f>
        <v>42236</v>
      </c>
      <c r="D1477" s="183" t="s">
        <v>1573</v>
      </c>
      <c r="E1477" s="37">
        <v>42236</v>
      </c>
      <c r="F1477" s="40" t="s">
        <v>745</v>
      </c>
      <c r="G1477" s="40" t="s">
        <v>980</v>
      </c>
      <c r="H1477" s="7" t="s">
        <v>1934</v>
      </c>
      <c r="I1477" s="754">
        <v>400</v>
      </c>
      <c r="J1477" s="745">
        <v>9350</v>
      </c>
      <c r="K1477" s="593">
        <f>ROUND(I1477*J1477,0)</f>
        <v>3740000</v>
      </c>
      <c r="L1477" s="594" t="s">
        <v>259</v>
      </c>
      <c r="M1477" s="594" t="s">
        <v>174</v>
      </c>
      <c r="N1477" s="52" t="str">
        <f>IF(AND('331-CT'!$E$7=TH!H1477,OR(L1477="331",M1477="331")),"331",IF(AND(OR(L1477="131",M1477="131"),H1477='131-CT'!$E$7),"131",""))</f>
        <v/>
      </c>
      <c r="O1477" s="86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799"/>
    </row>
    <row r="1478" spans="1:27" s="210" customFormat="1" ht="15.75" customHeight="1">
      <c r="A1478" s="203" t="str">
        <f>IF(B1478&lt;&gt;"",IF(AND(B1478&gt;=_TM1,B1478&lt;=_TM2,OR(TH!L1478="1111",TH!M1478="1111")),TH!D1478,""),"")</f>
        <v/>
      </c>
      <c r="B1478" s="36">
        <f>IF(C1478&lt;&gt;"",MONTH(C1478),"")</f>
        <v>8</v>
      </c>
      <c r="C1478" s="183">
        <f>E1478</f>
        <v>42236</v>
      </c>
      <c r="D1478" s="183" t="s">
        <v>1573</v>
      </c>
      <c r="E1478" s="37">
        <v>42236</v>
      </c>
      <c r="F1478" s="188" t="s">
        <v>731</v>
      </c>
      <c r="G1478" s="40" t="s">
        <v>980</v>
      </c>
      <c r="H1478" s="7" t="s">
        <v>1934</v>
      </c>
      <c r="I1478" s="754"/>
      <c r="J1478" s="745"/>
      <c r="K1478" s="593">
        <v>1645900</v>
      </c>
      <c r="L1478" s="594" t="s">
        <v>259</v>
      </c>
      <c r="M1478" s="594" t="s">
        <v>371</v>
      </c>
      <c r="N1478" s="52" t="str">
        <f>IF(AND('331-CT'!$E$7=TH!H1478,OR(L1478="331",M1478="331")),"331",IF(AND(OR(L1478="131",M1478="131"),H1478='131-CT'!$E$7),"131",""))</f>
        <v/>
      </c>
      <c r="O1478" s="86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799"/>
    </row>
    <row r="1479" spans="1:27" s="210" customFormat="1" ht="15.75" customHeight="1">
      <c r="A1479" s="203" t="str">
        <f>IF(B1479&lt;&gt;"",IF(AND(B1479&gt;=_TM1,B1479&lt;=_TM2,OR(TH!L1479="1111",TH!M1479="1111")),TH!D1479,""),"")</f>
        <v/>
      </c>
      <c r="B1479" s="36">
        <f>IF(C1479&lt;&gt;"",MONTH(C1479),"")</f>
        <v>8</v>
      </c>
      <c r="C1479" s="183">
        <f>E1479</f>
        <v>42236</v>
      </c>
      <c r="D1479" s="183" t="s">
        <v>1573</v>
      </c>
      <c r="E1479" s="37">
        <v>42236</v>
      </c>
      <c r="F1479" s="191" t="s">
        <v>1320</v>
      </c>
      <c r="G1479" s="481" t="s">
        <v>2060</v>
      </c>
      <c r="H1479" s="7" t="s">
        <v>1934</v>
      </c>
      <c r="I1479" s="754"/>
      <c r="J1479" s="745"/>
      <c r="K1479" s="593">
        <f>7091458+1931985+11133100+18104900</f>
        <v>38261443</v>
      </c>
      <c r="L1479" s="594" t="s">
        <v>47</v>
      </c>
      <c r="M1479" s="594" t="s">
        <v>259</v>
      </c>
      <c r="N1479" s="52" t="str">
        <f>IF(AND('331-CT'!$E$7=TH!H1479,OR(L1479="331",M1479="331")),"331",IF(AND(OR(L1479="131",M1479="131"),H1479='131-CT'!$E$7),"131",""))</f>
        <v/>
      </c>
      <c r="O1479" s="86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799"/>
    </row>
    <row r="1480" spans="1:27" s="210" customFormat="1" ht="15.75" customHeight="1">
      <c r="A1480" s="203" t="str">
        <f>IF(B1480&lt;&gt;"",IF(AND(B1480&gt;=_TM1,B1480&lt;=_TM2,OR(TH!L1480="1111",TH!M1480="1111")),TH!D1480,""),"")</f>
        <v/>
      </c>
      <c r="B1480" s="36">
        <f>IF(C1480&lt;&gt;"",MONTH(C1480),"")</f>
        <v>8</v>
      </c>
      <c r="C1480" s="183">
        <f>E1480</f>
        <v>42236</v>
      </c>
      <c r="D1480" s="190" t="s">
        <v>1968</v>
      </c>
      <c r="E1480" s="190">
        <v>42236</v>
      </c>
      <c r="F1480" s="188" t="s">
        <v>1445</v>
      </c>
      <c r="G1480" s="482" t="s">
        <v>1486</v>
      </c>
      <c r="H1480" s="7" t="s">
        <v>1448</v>
      </c>
      <c r="I1480" s="255">
        <v>3530</v>
      </c>
      <c r="J1480" s="255">
        <v>9200</v>
      </c>
      <c r="K1480" s="593">
        <f>ROUND(I1480*J1480,0)</f>
        <v>32476000</v>
      </c>
      <c r="L1480" s="594" t="s">
        <v>159</v>
      </c>
      <c r="M1480" s="594" t="s">
        <v>8</v>
      </c>
      <c r="N1480" s="52" t="str">
        <f>IF(AND('331-CT'!$E$7=TH!H1480,OR(L1480="331",M1480="331")),"331",IF(AND(OR(L1480="131",M1480="131"),H1480='131-CT'!$E$7),"131",""))</f>
        <v>331</v>
      </c>
      <c r="O1480" s="86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799"/>
    </row>
    <row r="1481" spans="1:27" s="210" customFormat="1" ht="15.75" customHeight="1">
      <c r="A1481" s="203" t="str">
        <f>IF(B1481&lt;&gt;"",IF(AND(B1481&gt;=_TM1,B1481&lt;=_TM2,OR(TH!L1481="1111",TH!M1481="1111")),TH!D1481,""),"")</f>
        <v/>
      </c>
      <c r="B1481" s="36">
        <f>IF(C1481&lt;&gt;"",MONTH(C1481),"")</f>
        <v>8</v>
      </c>
      <c r="C1481" s="183">
        <f>E1481</f>
        <v>42236</v>
      </c>
      <c r="D1481" s="190" t="s">
        <v>1968</v>
      </c>
      <c r="E1481" s="190">
        <v>42236</v>
      </c>
      <c r="F1481" s="191" t="s">
        <v>1378</v>
      </c>
      <c r="G1481" s="482" t="s">
        <v>1486</v>
      </c>
      <c r="H1481" s="7" t="s">
        <v>1448</v>
      </c>
      <c r="I1481" s="255">
        <v>4716</v>
      </c>
      <c r="J1481" s="255">
        <v>9200</v>
      </c>
      <c r="K1481" s="593">
        <f>ROUND(I1481*J1481,0)</f>
        <v>43387200</v>
      </c>
      <c r="L1481" s="594" t="s">
        <v>159</v>
      </c>
      <c r="M1481" s="594" t="s">
        <v>8</v>
      </c>
      <c r="N1481" s="52" t="str">
        <f>IF(AND('331-CT'!$E$7=TH!H1481,OR(L1481="331",M1481="331")),"331",IF(AND(OR(L1481="131",M1481="131"),H1481='131-CT'!$E$7),"131",""))</f>
        <v>331</v>
      </c>
      <c r="O1481" s="86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799"/>
    </row>
    <row r="1482" spans="1:27" s="210" customFormat="1" ht="15.75" customHeight="1">
      <c r="A1482" s="203" t="str">
        <f>IF(B1482&lt;&gt;"",IF(AND(B1482&gt;=_TM1,B1482&lt;=_TM2,OR(TH!L1482="1111",TH!M1482="1111")),TH!D1482,""),"")</f>
        <v/>
      </c>
      <c r="B1482" s="36">
        <f>IF(C1482&lt;&gt;"",MONTH(C1482),"")</f>
        <v>8</v>
      </c>
      <c r="C1482" s="183">
        <f>E1482</f>
        <v>42236</v>
      </c>
      <c r="D1482" s="190" t="s">
        <v>1968</v>
      </c>
      <c r="E1482" s="190">
        <v>42236</v>
      </c>
      <c r="F1482" s="188" t="s">
        <v>731</v>
      </c>
      <c r="G1482" s="482" t="s">
        <v>1486</v>
      </c>
      <c r="H1482" s="7" t="s">
        <v>1448</v>
      </c>
      <c r="I1482" s="255"/>
      <c r="J1482" s="255"/>
      <c r="K1482" s="593">
        <v>7586320</v>
      </c>
      <c r="L1482" s="594" t="s">
        <v>9</v>
      </c>
      <c r="M1482" s="594" t="s">
        <v>8</v>
      </c>
      <c r="N1482" s="52" t="str">
        <f>IF(AND('331-CT'!$E$7=TH!H1482,OR(L1482="331",M1482="331")),"331",IF(AND(OR(L1482="131",M1482="131"),H1482='131-CT'!$E$7),"131",""))</f>
        <v>331</v>
      </c>
      <c r="O1482" s="86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799"/>
    </row>
    <row r="1483" spans="1:27" s="210" customFormat="1" ht="15.75" customHeight="1">
      <c r="A1483" s="203" t="str">
        <f>IF(B1483&lt;&gt;"",IF(AND(B1483&gt;=_TM1,B1483&lt;=_TM2,OR(TH!L1483="1111",TH!M1483="1111")),TH!D1483,""),"")</f>
        <v/>
      </c>
      <c r="B1483" s="36">
        <f>IF(C1483&lt;&gt;"",MONTH(C1483),"")</f>
        <v>8</v>
      </c>
      <c r="C1483" s="183">
        <f>E1483</f>
        <v>42238</v>
      </c>
      <c r="D1483" s="183" t="s">
        <v>1574</v>
      </c>
      <c r="E1483" s="37">
        <v>42238</v>
      </c>
      <c r="F1483" s="188" t="s">
        <v>745</v>
      </c>
      <c r="G1483" s="40" t="s">
        <v>981</v>
      </c>
      <c r="H1483" s="7" t="s">
        <v>1934</v>
      </c>
      <c r="I1483" s="754">
        <v>600</v>
      </c>
      <c r="J1483" s="745">
        <v>9350</v>
      </c>
      <c r="K1483" s="593">
        <f>ROUND(I1483*J1483,0)</f>
        <v>5610000</v>
      </c>
      <c r="L1483" s="594" t="s">
        <v>259</v>
      </c>
      <c r="M1483" s="594" t="s">
        <v>174</v>
      </c>
      <c r="N1483" s="52" t="str">
        <f>IF(AND('331-CT'!$E$7=TH!H1483,OR(L1483="331",M1483="331")),"331",IF(AND(OR(L1483="131",M1483="131"),H1483='131-CT'!$E$7),"131",""))</f>
        <v/>
      </c>
      <c r="O1483" s="86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799"/>
    </row>
    <row r="1484" spans="1:27" s="210" customFormat="1" ht="15.75" customHeight="1">
      <c r="A1484" s="203" t="str">
        <f>IF(B1484&lt;&gt;"",IF(AND(B1484&gt;=_TM1,B1484&lt;=_TM2,OR(TH!L1484="1111",TH!M1484="1111")),TH!D1484,""),"")</f>
        <v/>
      </c>
      <c r="B1484" s="36">
        <f>IF(C1484&lt;&gt;"",MONTH(C1484),"")</f>
        <v>8</v>
      </c>
      <c r="C1484" s="183">
        <f>E1484</f>
        <v>42238</v>
      </c>
      <c r="D1484" s="183" t="s">
        <v>1574</v>
      </c>
      <c r="E1484" s="37">
        <v>42238</v>
      </c>
      <c r="F1484" s="188" t="s">
        <v>1766</v>
      </c>
      <c r="G1484" s="40" t="s">
        <v>981</v>
      </c>
      <c r="H1484" s="7" t="s">
        <v>1934</v>
      </c>
      <c r="I1484" s="754">
        <v>1000</v>
      </c>
      <c r="J1484" s="745">
        <v>10010</v>
      </c>
      <c r="K1484" s="593">
        <f>ROUND(I1484*J1484,0)</f>
        <v>10010000</v>
      </c>
      <c r="L1484" s="594" t="s">
        <v>259</v>
      </c>
      <c r="M1484" s="594" t="s">
        <v>174</v>
      </c>
      <c r="N1484" s="52" t="str">
        <f>IF(AND('331-CT'!$E$7=TH!H1484,OR(L1484="331",M1484="331")),"331",IF(AND(OR(L1484="131",M1484="131"),H1484='131-CT'!$E$7),"131",""))</f>
        <v/>
      </c>
      <c r="O1484" s="86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799"/>
    </row>
    <row r="1485" spans="1:27" s="210" customFormat="1" ht="15.75" customHeight="1">
      <c r="A1485" s="203" t="str">
        <f>IF(B1485&lt;&gt;"",IF(AND(B1485&gt;=_TM1,B1485&lt;=_TM2,OR(TH!L1485="1111",TH!M1485="1111")),TH!D1485,""),"")</f>
        <v/>
      </c>
      <c r="B1485" s="36">
        <f>IF(C1485&lt;&gt;"",MONTH(C1485),"")</f>
        <v>8</v>
      </c>
      <c r="C1485" s="183">
        <f>E1485</f>
        <v>42238</v>
      </c>
      <c r="D1485" s="183" t="s">
        <v>1574</v>
      </c>
      <c r="E1485" s="37">
        <v>42238</v>
      </c>
      <c r="F1485" s="188" t="s">
        <v>731</v>
      </c>
      <c r="G1485" s="40" t="s">
        <v>981</v>
      </c>
      <c r="H1485" s="7" t="s">
        <v>1934</v>
      </c>
      <c r="I1485" s="754"/>
      <c r="J1485" s="745"/>
      <c r="K1485" s="593">
        <v>1562000</v>
      </c>
      <c r="L1485" s="594" t="s">
        <v>259</v>
      </c>
      <c r="M1485" s="594" t="s">
        <v>371</v>
      </c>
      <c r="N1485" s="52" t="str">
        <f>IF(AND('331-CT'!$E$7=TH!H1485,OR(L1485="331",M1485="331")),"331",IF(AND(OR(L1485="131",M1485="131"),H1485='131-CT'!$E$7),"131",""))</f>
        <v/>
      </c>
      <c r="O1485" s="86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799"/>
    </row>
    <row r="1486" spans="1:27" s="210" customFormat="1" ht="15.75" customHeight="1">
      <c r="A1486" s="203" t="str">
        <f>IF(B1486&lt;&gt;"",IF(AND(B1486&gt;=_TM1,B1486&lt;=_TM2,OR(TH!L1486="1111",TH!M1486="1111")),TH!D1486,""),"")</f>
        <v/>
      </c>
      <c r="B1486" s="36">
        <f>IF(C1486&lt;&gt;"",MONTH(C1486),"")</f>
        <v>8</v>
      </c>
      <c r="C1486" s="183">
        <f>E1486</f>
        <v>42238</v>
      </c>
      <c r="D1486" s="183" t="s">
        <v>1575</v>
      </c>
      <c r="E1486" s="37">
        <v>42238</v>
      </c>
      <c r="F1486" s="191" t="s">
        <v>602</v>
      </c>
      <c r="G1486" s="40" t="s">
        <v>982</v>
      </c>
      <c r="H1486" s="7" t="s">
        <v>950</v>
      </c>
      <c r="I1486" s="754">
        <v>868</v>
      </c>
      <c r="J1486" s="255">
        <v>8820</v>
      </c>
      <c r="K1486" s="593">
        <f>ROUND(I1486*J1486,0)</f>
        <v>7655760</v>
      </c>
      <c r="L1486" s="594" t="s">
        <v>259</v>
      </c>
      <c r="M1486" s="594" t="s">
        <v>174</v>
      </c>
      <c r="N1486" s="52" t="str">
        <f>IF(AND('331-CT'!$E$7=TH!H1486,OR(L1486="331",M1486="331")),"331",IF(AND(OR(L1486="131",M1486="131"),H1486='131-CT'!$E$7),"131",""))</f>
        <v/>
      </c>
      <c r="O1486" s="86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799"/>
    </row>
    <row r="1487" spans="1:27" s="210" customFormat="1" ht="15.75" customHeight="1">
      <c r="A1487" s="203" t="str">
        <f>IF(B1487&lt;&gt;"",IF(AND(B1487&gt;=_TM1,B1487&lt;=_TM2,OR(TH!L1487="1111",TH!M1487="1111")),TH!D1487,""),"")</f>
        <v/>
      </c>
      <c r="B1487" s="36">
        <f>IF(C1487&lt;&gt;"",MONTH(C1487),"")</f>
        <v>8</v>
      </c>
      <c r="C1487" s="183">
        <f>E1487</f>
        <v>42238</v>
      </c>
      <c r="D1487" s="183" t="s">
        <v>1575</v>
      </c>
      <c r="E1487" s="37">
        <v>42238</v>
      </c>
      <c r="F1487" s="188" t="s">
        <v>424</v>
      </c>
      <c r="G1487" s="40" t="s">
        <v>982</v>
      </c>
      <c r="H1487" s="7" t="s">
        <v>950</v>
      </c>
      <c r="I1487" s="754">
        <v>1027</v>
      </c>
      <c r="J1487" s="745">
        <v>7500</v>
      </c>
      <c r="K1487" s="593">
        <f>ROUND(I1487*J1487,0)</f>
        <v>7702500</v>
      </c>
      <c r="L1487" s="594" t="s">
        <v>259</v>
      </c>
      <c r="M1487" s="594" t="s">
        <v>174</v>
      </c>
      <c r="N1487" s="52" t="str">
        <f>IF(AND('331-CT'!$E$7=TH!H1487,OR(L1487="331",M1487="331")),"331",IF(AND(OR(L1487="131",M1487="131"),H1487='131-CT'!$E$7),"131",""))</f>
        <v/>
      </c>
      <c r="O1487" s="86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799"/>
    </row>
    <row r="1488" spans="1:27" s="210" customFormat="1" ht="15.75" customHeight="1">
      <c r="A1488" s="203" t="str">
        <f>IF(B1488&lt;&gt;"",IF(AND(B1488&gt;=_TM1,B1488&lt;=_TM2,OR(TH!L1488="1111",TH!M1488="1111")),TH!D1488,""),"")</f>
        <v/>
      </c>
      <c r="B1488" s="36">
        <f>IF(C1488&lt;&gt;"",MONTH(C1488),"")</f>
        <v>8</v>
      </c>
      <c r="C1488" s="183">
        <f>E1488</f>
        <v>42238</v>
      </c>
      <c r="D1488" s="183" t="s">
        <v>1575</v>
      </c>
      <c r="E1488" s="37">
        <v>42238</v>
      </c>
      <c r="F1488" s="296" t="s">
        <v>983</v>
      </c>
      <c r="G1488" s="40" t="s">
        <v>982</v>
      </c>
      <c r="H1488" s="7" t="s">
        <v>950</v>
      </c>
      <c r="I1488" s="754">
        <v>252</v>
      </c>
      <c r="J1488" s="745">
        <v>9350</v>
      </c>
      <c r="K1488" s="593">
        <f>ROUND(I1488*J1488,0)</f>
        <v>2356200</v>
      </c>
      <c r="L1488" s="594" t="s">
        <v>259</v>
      </c>
      <c r="M1488" s="594" t="s">
        <v>174</v>
      </c>
      <c r="N1488" s="52" t="str">
        <f>IF(AND('331-CT'!$E$7=TH!H1488,OR(L1488="331",M1488="331")),"331",IF(AND(OR(L1488="131",M1488="131"),H1488='131-CT'!$E$7),"131",""))</f>
        <v/>
      </c>
      <c r="O1488" s="86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799"/>
    </row>
    <row r="1489" spans="1:27" s="210" customFormat="1" ht="15.75" customHeight="1">
      <c r="A1489" s="203" t="str">
        <f>IF(B1489&lt;&gt;"",IF(AND(B1489&gt;=_TM1,B1489&lt;=_TM2,OR(TH!L1489="1111",TH!M1489="1111")),TH!D1489,""),"")</f>
        <v/>
      </c>
      <c r="B1489" s="36">
        <f>IF(C1489&lt;&gt;"",MONTH(C1489),"")</f>
        <v>8</v>
      </c>
      <c r="C1489" s="183">
        <f>E1489</f>
        <v>42238</v>
      </c>
      <c r="D1489" s="183" t="s">
        <v>1575</v>
      </c>
      <c r="E1489" s="37">
        <v>42238</v>
      </c>
      <c r="F1489" s="188" t="s">
        <v>602</v>
      </c>
      <c r="G1489" s="40" t="s">
        <v>982</v>
      </c>
      <c r="H1489" s="7" t="s">
        <v>950</v>
      </c>
      <c r="I1489" s="754">
        <v>480</v>
      </c>
      <c r="J1489" s="745">
        <v>8820</v>
      </c>
      <c r="K1489" s="593">
        <f>ROUND(I1489*J1489,0)</f>
        <v>4233600</v>
      </c>
      <c r="L1489" s="594" t="s">
        <v>259</v>
      </c>
      <c r="M1489" s="594" t="s">
        <v>174</v>
      </c>
      <c r="N1489" s="52" t="str">
        <f>IF(AND('331-CT'!$E$7=TH!H1489,OR(L1489="331",M1489="331")),"331",IF(AND(OR(L1489="131",M1489="131"),H1489='131-CT'!$E$7),"131",""))</f>
        <v/>
      </c>
      <c r="O1489" s="86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799"/>
    </row>
    <row r="1490" spans="1:27" s="210" customFormat="1" ht="15.75" customHeight="1">
      <c r="A1490" s="203" t="str">
        <f>IF(B1490&lt;&gt;"",IF(AND(B1490&gt;=_TM1,B1490&lt;=_TM2,OR(TH!L1490="1111",TH!M1490="1111")),TH!D1490,""),"")</f>
        <v/>
      </c>
      <c r="B1490" s="36">
        <f>IF(C1490&lt;&gt;"",MONTH(C1490),"")</f>
        <v>8</v>
      </c>
      <c r="C1490" s="183">
        <f>E1490</f>
        <v>42238</v>
      </c>
      <c r="D1490" s="183" t="s">
        <v>1575</v>
      </c>
      <c r="E1490" s="37">
        <v>42238</v>
      </c>
      <c r="F1490" s="296" t="s">
        <v>402</v>
      </c>
      <c r="G1490" s="40" t="s">
        <v>982</v>
      </c>
      <c r="H1490" s="7" t="s">
        <v>950</v>
      </c>
      <c r="I1490" s="754"/>
      <c r="J1490" s="745"/>
      <c r="K1490" s="593">
        <v>2194806</v>
      </c>
      <c r="L1490" s="594" t="s">
        <v>259</v>
      </c>
      <c r="M1490" s="594" t="s">
        <v>371</v>
      </c>
      <c r="N1490" s="52" t="str">
        <f>IF(AND('331-CT'!$E$7=TH!H1490,OR(L1490="331",M1490="331")),"331",IF(AND(OR(L1490="131",M1490="131"),H1490='131-CT'!$E$7),"131",""))</f>
        <v/>
      </c>
      <c r="O1490" s="86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799"/>
    </row>
    <row r="1491" spans="1:27" s="210" customFormat="1" ht="15.75" customHeight="1">
      <c r="A1491" s="203" t="str">
        <f>IF(B1491&lt;&gt;"",IF(AND(B1491&gt;=_TM1,B1491&lt;=_TM2,OR(TH!L1491="1111",TH!M1491="1111")),TH!D1491,""),"")</f>
        <v/>
      </c>
      <c r="B1491" s="36">
        <f>IF(C1491&lt;&gt;"",MONTH(C1491),"")</f>
        <v>8</v>
      </c>
      <c r="C1491" s="183">
        <f>E1491</f>
        <v>42240</v>
      </c>
      <c r="D1491" s="183" t="s">
        <v>1576</v>
      </c>
      <c r="E1491" s="37">
        <v>42240</v>
      </c>
      <c r="F1491" s="296" t="s">
        <v>1766</v>
      </c>
      <c r="G1491" s="40" t="s">
        <v>984</v>
      </c>
      <c r="H1491" s="7" t="s">
        <v>1934</v>
      </c>
      <c r="I1491" s="754">
        <v>1000</v>
      </c>
      <c r="J1491" s="745">
        <v>10010</v>
      </c>
      <c r="K1491" s="593">
        <f>ROUND(I1491*J1491,0)</f>
        <v>10010000</v>
      </c>
      <c r="L1491" s="594" t="s">
        <v>259</v>
      </c>
      <c r="M1491" s="594" t="s">
        <v>174</v>
      </c>
      <c r="N1491" s="52" t="str">
        <f>IF(AND('331-CT'!$E$7=TH!H1491,OR(L1491="331",M1491="331")),"331",IF(AND(OR(L1491="131",M1491="131"),H1491='131-CT'!$E$7),"131",""))</f>
        <v/>
      </c>
      <c r="O1491" s="86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799"/>
    </row>
    <row r="1492" spans="1:27" s="210" customFormat="1" ht="15.75" customHeight="1">
      <c r="A1492" s="203" t="str">
        <f>IF(B1492&lt;&gt;"",IF(AND(B1492&gt;=_TM1,B1492&lt;=_TM2,OR(TH!L1492="1111",TH!M1492="1111")),TH!D1492,""),"")</f>
        <v/>
      </c>
      <c r="B1492" s="36">
        <f>IF(C1492&lt;&gt;"",MONTH(C1492),"")</f>
        <v>8</v>
      </c>
      <c r="C1492" s="183">
        <f>E1492</f>
        <v>42240</v>
      </c>
      <c r="D1492" s="183" t="s">
        <v>1576</v>
      </c>
      <c r="E1492" s="37">
        <v>42240</v>
      </c>
      <c r="F1492" s="296" t="s">
        <v>747</v>
      </c>
      <c r="G1492" s="40" t="s">
        <v>984</v>
      </c>
      <c r="H1492" s="7" t="s">
        <v>1934</v>
      </c>
      <c r="I1492" s="754">
        <v>600</v>
      </c>
      <c r="J1492" s="745">
        <v>4050</v>
      </c>
      <c r="K1492" s="593">
        <f>ROUND(I1492*J1492,0)</f>
        <v>2430000</v>
      </c>
      <c r="L1492" s="594" t="s">
        <v>259</v>
      </c>
      <c r="M1492" s="594" t="s">
        <v>174</v>
      </c>
      <c r="N1492" s="52" t="str">
        <f>IF(AND('331-CT'!$E$7=TH!H1492,OR(L1492="331",M1492="331")),"331",IF(AND(OR(L1492="131",M1492="131"),H1492='131-CT'!$E$7),"131",""))</f>
        <v/>
      </c>
      <c r="O1492" s="86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799"/>
    </row>
    <row r="1493" spans="1:27" s="210" customFormat="1" ht="15.75" customHeight="1">
      <c r="A1493" s="203" t="str">
        <f>IF(B1493&lt;&gt;"",IF(AND(B1493&gt;=_TM1,B1493&lt;=_TM2,OR(TH!L1493="1111",TH!M1493="1111")),TH!D1493,""),"")</f>
        <v/>
      </c>
      <c r="B1493" s="36">
        <f>IF(C1493&lt;&gt;"",MONTH(C1493),"")</f>
        <v>8</v>
      </c>
      <c r="C1493" s="183">
        <f>E1493</f>
        <v>42240</v>
      </c>
      <c r="D1493" s="183" t="s">
        <v>1576</v>
      </c>
      <c r="E1493" s="37">
        <v>42240</v>
      </c>
      <c r="F1493" s="40" t="s">
        <v>731</v>
      </c>
      <c r="G1493" s="40" t="s">
        <v>984</v>
      </c>
      <c r="H1493" s="7" t="s">
        <v>1934</v>
      </c>
      <c r="I1493" s="754"/>
      <c r="J1493" s="745"/>
      <c r="K1493" s="593">
        <v>1244000</v>
      </c>
      <c r="L1493" s="594" t="s">
        <v>259</v>
      </c>
      <c r="M1493" s="594" t="s">
        <v>371</v>
      </c>
      <c r="N1493" s="52" t="str">
        <f>IF(AND('331-CT'!$E$7=TH!H1493,OR(L1493="331",M1493="331")),"331",IF(AND(OR(L1493="131",M1493="131"),H1493='131-CT'!$E$7),"131",""))</f>
        <v/>
      </c>
      <c r="O1493" s="86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799"/>
    </row>
    <row r="1494" spans="1:27" s="210" customFormat="1" ht="15.75" customHeight="1">
      <c r="A1494" s="203" t="str">
        <f>IF(B1494&lt;&gt;"",IF(AND(B1494&gt;=_TM1,B1494&lt;=_TM2,OR(TH!L1494="1111",TH!M1494="1111")),TH!D1494,""),"")</f>
        <v/>
      </c>
      <c r="B1494" s="36">
        <f>IF(C1494&lt;&gt;"",MONTH(C1494),"")</f>
        <v>8</v>
      </c>
      <c r="C1494" s="183">
        <f>E1494</f>
        <v>42240</v>
      </c>
      <c r="D1494" s="183" t="s">
        <v>1576</v>
      </c>
      <c r="E1494" s="37">
        <v>42240</v>
      </c>
      <c r="F1494" s="191" t="s">
        <v>1320</v>
      </c>
      <c r="G1494" s="40" t="s">
        <v>2061</v>
      </c>
      <c r="H1494" s="7" t="s">
        <v>1934</v>
      </c>
      <c r="I1494" s="754"/>
      <c r="J1494" s="745"/>
      <c r="K1494" s="593">
        <f>17182000+13684000</f>
        <v>30866000</v>
      </c>
      <c r="L1494" s="594" t="s">
        <v>47</v>
      </c>
      <c r="M1494" s="594" t="s">
        <v>259</v>
      </c>
      <c r="N1494" s="52" t="str">
        <f>IF(AND('331-CT'!$E$7=TH!H1494,OR(L1494="331",M1494="331")),"331",IF(AND(OR(L1494="131",M1494="131"),H1494='131-CT'!$E$7),"131",""))</f>
        <v/>
      </c>
      <c r="O1494" s="86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799"/>
    </row>
    <row r="1495" spans="1:27" s="210" customFormat="1" ht="15.75" customHeight="1">
      <c r="A1495" s="203" t="str">
        <f>IF(B1495&lt;&gt;"",IF(AND(B1495&gt;=_TM1,B1495&lt;=_TM2,OR(TH!L1495="1111",TH!M1495="1111")),TH!D1495,""),"")</f>
        <v/>
      </c>
      <c r="B1495" s="36">
        <f>IF(C1495&lt;&gt;"",MONTH(C1495),"")</f>
        <v>8</v>
      </c>
      <c r="C1495" s="183">
        <f>E1495</f>
        <v>42240</v>
      </c>
      <c r="D1495" s="183" t="s">
        <v>1577</v>
      </c>
      <c r="E1495" s="37">
        <v>42240</v>
      </c>
      <c r="F1495" s="296" t="s">
        <v>494</v>
      </c>
      <c r="G1495" s="40" t="s">
        <v>985</v>
      </c>
      <c r="H1495" s="7" t="s">
        <v>834</v>
      </c>
      <c r="I1495" s="754">
        <v>1000</v>
      </c>
      <c r="J1495" s="745">
        <v>5900</v>
      </c>
      <c r="K1495" s="593">
        <f>ROUND(I1495*J1495,0)</f>
        <v>5900000</v>
      </c>
      <c r="L1495" s="594" t="s">
        <v>259</v>
      </c>
      <c r="M1495" s="594" t="s">
        <v>174</v>
      </c>
      <c r="N1495" s="52" t="str">
        <f>IF(AND('331-CT'!$E$7=TH!H1495,OR(L1495="331",M1495="331")),"331",IF(AND(OR(L1495="131",M1495="131"),H1495='131-CT'!$E$7),"131",""))</f>
        <v/>
      </c>
      <c r="O1495" s="86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799"/>
    </row>
    <row r="1496" spans="1:27" s="210" customFormat="1" ht="15.75" customHeight="1">
      <c r="A1496" s="203" t="str">
        <f>IF(B1496&lt;&gt;"",IF(AND(B1496&gt;=_TM1,B1496&lt;=_TM2,OR(TH!L1496="1111",TH!M1496="1111")),TH!D1496,""),"")</f>
        <v/>
      </c>
      <c r="B1496" s="36">
        <f>IF(C1496&lt;&gt;"",MONTH(C1496),"")</f>
        <v>8</v>
      </c>
      <c r="C1496" s="183">
        <f>E1496</f>
        <v>42240</v>
      </c>
      <c r="D1496" s="183" t="s">
        <v>1577</v>
      </c>
      <c r="E1496" s="37">
        <v>42240</v>
      </c>
      <c r="F1496" s="296" t="s">
        <v>402</v>
      </c>
      <c r="G1496" s="40" t="s">
        <v>985</v>
      </c>
      <c r="H1496" s="7" t="s">
        <v>834</v>
      </c>
      <c r="I1496" s="754"/>
      <c r="J1496" s="255"/>
      <c r="K1496" s="593">
        <v>590000</v>
      </c>
      <c r="L1496" s="594" t="s">
        <v>259</v>
      </c>
      <c r="M1496" s="594" t="s">
        <v>371</v>
      </c>
      <c r="N1496" s="52" t="str">
        <f>IF(AND('331-CT'!$E$7=TH!H1496,OR(L1496="331",M1496="331")),"331",IF(AND(OR(L1496="131",M1496="131"),H1496='131-CT'!$E$7),"131",""))</f>
        <v/>
      </c>
      <c r="O1496" s="86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799"/>
    </row>
    <row r="1497" spans="1:27" s="210" customFormat="1" ht="15.75" customHeight="1">
      <c r="A1497" s="203" t="str">
        <f>IF(B1497&lt;&gt;"",IF(AND(B1497&gt;=_TM1,B1497&lt;=_TM2,OR(TH!L1497="1111",TH!M1497="1111")),TH!D1497,""),"")</f>
        <v/>
      </c>
      <c r="B1497" s="36">
        <f>IF(C1497&lt;&gt;"",MONTH(C1497),"")</f>
        <v>8</v>
      </c>
      <c r="C1497" s="183">
        <f>E1497</f>
        <v>42240</v>
      </c>
      <c r="D1497" s="183" t="s">
        <v>1324</v>
      </c>
      <c r="E1497" s="190">
        <v>42240</v>
      </c>
      <c r="F1497" s="188" t="s">
        <v>1325</v>
      </c>
      <c r="G1497" s="482" t="s">
        <v>332</v>
      </c>
      <c r="H1497" s="7" t="s">
        <v>1322</v>
      </c>
      <c r="I1497" s="255"/>
      <c r="J1497" s="255"/>
      <c r="K1497" s="593">
        <v>16000000</v>
      </c>
      <c r="L1497" s="594" t="s">
        <v>47</v>
      </c>
      <c r="M1497" s="594" t="s">
        <v>24</v>
      </c>
      <c r="N1497" s="52" t="str">
        <f>IF(AND('331-CT'!$E$7=TH!H1497,OR(L1497="331",M1497="331")),"331",IF(AND(OR(L1497="131",M1497="131"),H1497='131-CT'!$E$7),"131",""))</f>
        <v/>
      </c>
      <c r="O1497" s="86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>x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799"/>
    </row>
    <row r="1498" spans="1:27" s="210" customFormat="1" ht="15.75" customHeight="1">
      <c r="A1498" s="203" t="str">
        <f>IF(B1498&lt;&gt;"",IF(AND(B1498&gt;=_TM1,B1498&lt;=_TM2,OR(TH!L1498="1111",TH!M1498="1111")),TH!D1498,""),"")</f>
        <v/>
      </c>
      <c r="B1498" s="36">
        <f>IF(C1498&lt;&gt;"",MONTH(C1498),"")</f>
        <v>8</v>
      </c>
      <c r="C1498" s="183">
        <f>E1498</f>
        <v>42240</v>
      </c>
      <c r="D1498" s="190" t="s">
        <v>1969</v>
      </c>
      <c r="E1498" s="190">
        <v>42240</v>
      </c>
      <c r="F1498" s="296" t="s">
        <v>1357</v>
      </c>
      <c r="G1498" s="482" t="s">
        <v>1036</v>
      </c>
      <c r="H1498" s="7" t="s">
        <v>1391</v>
      </c>
      <c r="I1498" s="255">
        <v>2152</v>
      </c>
      <c r="J1498" s="255">
        <v>7300</v>
      </c>
      <c r="K1498" s="593">
        <f>ROUND(I1498*J1498,0)</f>
        <v>15709600</v>
      </c>
      <c r="L1498" s="594" t="s">
        <v>159</v>
      </c>
      <c r="M1498" s="594" t="s">
        <v>8</v>
      </c>
      <c r="N1498" s="52" t="str">
        <f>IF(AND('331-CT'!$E$7=TH!H1498,OR(L1498="331",M1498="331")),"331",IF(AND(OR(L1498="131",M1498="131"),H1498='131-CT'!$E$7),"131",""))</f>
        <v/>
      </c>
      <c r="O1498" s="86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799"/>
    </row>
    <row r="1499" spans="1:27" s="210" customFormat="1" ht="15.75" customHeight="1">
      <c r="A1499" s="203" t="str">
        <f>IF(B1499&lt;&gt;"",IF(AND(B1499&gt;=_TM1,B1499&lt;=_TM2,OR(TH!L1499="1111",TH!M1499="1111")),TH!D1499,""),"")</f>
        <v/>
      </c>
      <c r="B1499" s="36">
        <f>IF(C1499&lt;&gt;"",MONTH(C1499),"")</f>
        <v>8</v>
      </c>
      <c r="C1499" s="183">
        <f>E1499</f>
        <v>42240</v>
      </c>
      <c r="D1499" s="190" t="s">
        <v>1969</v>
      </c>
      <c r="E1499" s="190">
        <v>42240</v>
      </c>
      <c r="F1499" s="296" t="s">
        <v>1393</v>
      </c>
      <c r="G1499" s="482" t="s">
        <v>1036</v>
      </c>
      <c r="H1499" s="7" t="s">
        <v>1391</v>
      </c>
      <c r="I1499" s="255"/>
      <c r="J1499" s="255"/>
      <c r="K1499" s="593">
        <v>1570960</v>
      </c>
      <c r="L1499" s="594" t="s">
        <v>9</v>
      </c>
      <c r="M1499" s="594" t="s">
        <v>8</v>
      </c>
      <c r="N1499" s="52" t="str">
        <f>IF(AND('331-CT'!$E$7=TH!H1499,OR(L1499="331",M1499="331")),"331",IF(AND(OR(L1499="131",M1499="131"),H1499='131-CT'!$E$7),"131",""))</f>
        <v/>
      </c>
      <c r="O1499" s="86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799"/>
    </row>
    <row r="1500" spans="1:27" s="210" customFormat="1" ht="15.75" customHeight="1">
      <c r="A1500" s="203" t="str">
        <f>IF(B1500&lt;&gt;"",IF(AND(B1500&gt;=_TM1,B1500&lt;=_TM2,OR(TH!L1500="1111",TH!M1500="1111")),TH!D1500,""),"")</f>
        <v/>
      </c>
      <c r="B1500" s="36">
        <f>IF(C1500&lt;&gt;"",MONTH(C1500),"")</f>
        <v>8</v>
      </c>
      <c r="C1500" s="183">
        <f>E1500</f>
        <v>42240</v>
      </c>
      <c r="D1500" s="190" t="s">
        <v>1969</v>
      </c>
      <c r="E1500" s="190">
        <v>42240</v>
      </c>
      <c r="F1500" s="296" t="s">
        <v>1326</v>
      </c>
      <c r="G1500" s="482" t="s">
        <v>1036</v>
      </c>
      <c r="H1500" s="7" t="s">
        <v>1391</v>
      </c>
      <c r="I1500" s="255"/>
      <c r="J1500" s="255"/>
      <c r="K1500" s="593">
        <v>17280560</v>
      </c>
      <c r="L1500" s="594" t="s">
        <v>8</v>
      </c>
      <c r="M1500" s="594" t="s">
        <v>47</v>
      </c>
      <c r="N1500" s="52" t="str">
        <f>IF(AND('331-CT'!$E$7=TH!H1500,OR(L1500="331",M1500="331")),"331",IF(AND(OR(L1500="131",M1500="131"),H1500='131-CT'!$E$7),"131",""))</f>
        <v/>
      </c>
      <c r="O1500" s="86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799"/>
    </row>
    <row r="1501" spans="1:27" s="210" customFormat="1" ht="15.75" customHeight="1">
      <c r="A1501" s="203" t="str">
        <f>IF(B1501&lt;&gt;"",IF(AND(B1501&gt;=_TM1,B1501&lt;=_TM2,OR(TH!L1501="1111",TH!M1501="1111")),TH!D1501,""),"")</f>
        <v/>
      </c>
      <c r="B1501" s="36">
        <f>IF(C1501&lt;&gt;"",MONTH(C1501),"")</f>
        <v>8</v>
      </c>
      <c r="C1501" s="183">
        <f>E1501</f>
        <v>42241</v>
      </c>
      <c r="D1501" s="183" t="s">
        <v>1578</v>
      </c>
      <c r="E1501" s="37">
        <v>42241</v>
      </c>
      <c r="F1501" s="188" t="s">
        <v>986</v>
      </c>
      <c r="G1501" s="40" t="s">
        <v>987</v>
      </c>
      <c r="H1501" s="7" t="s">
        <v>438</v>
      </c>
      <c r="I1501" s="754">
        <v>306</v>
      </c>
      <c r="J1501" s="745">
        <v>8300</v>
      </c>
      <c r="K1501" s="593">
        <f>ROUND(I1501*J1501,0)</f>
        <v>2539800</v>
      </c>
      <c r="L1501" s="594" t="s">
        <v>259</v>
      </c>
      <c r="M1501" s="594" t="s">
        <v>174</v>
      </c>
      <c r="N1501" s="52" t="str">
        <f>IF(AND('331-CT'!$E$7=TH!H1501,OR(L1501="331",M1501="331")),"331",IF(AND(OR(L1501="131",M1501="131"),H1501='131-CT'!$E$7),"131",""))</f>
        <v/>
      </c>
      <c r="O1501" s="86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799"/>
    </row>
    <row r="1502" spans="1:27" s="210" customFormat="1" ht="15.75" customHeight="1">
      <c r="A1502" s="203" t="str">
        <f>IF(B1502&lt;&gt;"",IF(AND(B1502&gt;=_TM1,B1502&lt;=_TM2,OR(TH!L1502="1111",TH!M1502="1111")),TH!D1502,""),"")</f>
        <v/>
      </c>
      <c r="B1502" s="36">
        <f>IF(C1502&lt;&gt;"",MONTH(C1502),"")</f>
        <v>8</v>
      </c>
      <c r="C1502" s="183">
        <f>E1502</f>
        <v>42241</v>
      </c>
      <c r="D1502" s="183" t="s">
        <v>1578</v>
      </c>
      <c r="E1502" s="37">
        <v>42241</v>
      </c>
      <c r="F1502" s="191" t="s">
        <v>948</v>
      </c>
      <c r="G1502" s="595" t="s">
        <v>987</v>
      </c>
      <c r="H1502" s="7" t="s">
        <v>438</v>
      </c>
      <c r="I1502" s="255">
        <v>200</v>
      </c>
      <c r="J1502" s="255">
        <v>5700</v>
      </c>
      <c r="K1502" s="593">
        <f>ROUND(I1502*J1502,0)</f>
        <v>1140000</v>
      </c>
      <c r="L1502" s="594" t="s">
        <v>259</v>
      </c>
      <c r="M1502" s="594" t="s">
        <v>174</v>
      </c>
      <c r="N1502" s="52" t="str">
        <f>IF(AND('331-CT'!$E$7=TH!H1502,OR(L1502="331",M1502="331")),"331",IF(AND(OR(L1502="131",M1502="131"),H1502='131-CT'!$E$7),"131",""))</f>
        <v/>
      </c>
      <c r="O1502" s="86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799"/>
    </row>
    <row r="1503" spans="1:27" s="210" customFormat="1" ht="15.75" customHeight="1">
      <c r="A1503" s="203" t="str">
        <f>IF(B1503&lt;&gt;"",IF(AND(B1503&gt;=_TM1,B1503&lt;=_TM2,OR(TH!L1503="1111",TH!M1503="1111")),TH!D1503,""),"")</f>
        <v/>
      </c>
      <c r="B1503" s="36">
        <f>IF(C1503&lt;&gt;"",MONTH(C1503),"")</f>
        <v>8</v>
      </c>
      <c r="C1503" s="183">
        <f>E1503</f>
        <v>42241</v>
      </c>
      <c r="D1503" s="183" t="s">
        <v>1578</v>
      </c>
      <c r="E1503" s="190">
        <v>42241</v>
      </c>
      <c r="F1503" s="191" t="s">
        <v>402</v>
      </c>
      <c r="G1503" s="479" t="s">
        <v>987</v>
      </c>
      <c r="H1503" s="45" t="s">
        <v>438</v>
      </c>
      <c r="I1503" s="256"/>
      <c r="J1503" s="255"/>
      <c r="K1503" s="38">
        <v>367980</v>
      </c>
      <c r="L1503" s="594" t="s">
        <v>259</v>
      </c>
      <c r="M1503" s="594" t="s">
        <v>371</v>
      </c>
      <c r="N1503" s="52" t="str">
        <f>IF(AND('331-CT'!$E$7=TH!H1503,OR(L1503="331",M1503="331")),"331",IF(AND(OR(L1503="131",M1503="131"),H1503='131-CT'!$E$7),"131",""))</f>
        <v/>
      </c>
      <c r="O1503" s="86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799"/>
    </row>
    <row r="1504" spans="1:27" s="210" customFormat="1" ht="15.75" customHeight="1">
      <c r="A1504" s="203" t="str">
        <f>IF(B1504&lt;&gt;"",IF(AND(B1504&gt;=_TM1,B1504&lt;=_TM2,OR(TH!L1504="1111",TH!M1504="1111")),TH!D1504,""),"")</f>
        <v/>
      </c>
      <c r="B1504" s="36">
        <f>IF(C1504&lt;&gt;"",MONTH(C1504),"")</f>
        <v>8</v>
      </c>
      <c r="C1504" s="183">
        <f>E1504</f>
        <v>42241</v>
      </c>
      <c r="D1504" s="183" t="s">
        <v>1319</v>
      </c>
      <c r="E1504" s="190">
        <v>42241</v>
      </c>
      <c r="F1504" s="188" t="s">
        <v>1321</v>
      </c>
      <c r="G1504" s="482" t="s">
        <v>332</v>
      </c>
      <c r="H1504" s="7"/>
      <c r="I1504" s="255"/>
      <c r="J1504" s="255"/>
      <c r="K1504" s="593">
        <v>8153</v>
      </c>
      <c r="L1504" s="594" t="s">
        <v>24</v>
      </c>
      <c r="M1504" s="594" t="s">
        <v>40</v>
      </c>
      <c r="N1504" s="52" t="str">
        <f>IF(AND('331-CT'!$E$7=TH!H1504,OR(L1504="331",M1504="331")),"331",IF(AND(OR(L1504="131",M1504="131"),H1504='131-CT'!$E$7),"131",""))</f>
        <v/>
      </c>
      <c r="O1504" s="86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>x</v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799"/>
    </row>
    <row r="1505" spans="1:27" s="210" customFormat="1" ht="15.75" customHeight="1">
      <c r="A1505" s="203" t="str">
        <f>IF(B1505&lt;&gt;"",IF(AND(B1505&gt;=_TM1,B1505&lt;=_TM2,OR(TH!L1505="1111",TH!M1505="1111")),TH!D1505,""),"")</f>
        <v/>
      </c>
      <c r="B1505" s="36">
        <f>IF(C1505&lt;&gt;"",MONTH(C1505),"")</f>
        <v>8</v>
      </c>
      <c r="C1505" s="183">
        <f>E1505</f>
        <v>42241</v>
      </c>
      <c r="D1505" s="190" t="s">
        <v>1970</v>
      </c>
      <c r="E1505" s="190">
        <v>42241</v>
      </c>
      <c r="F1505" s="296" t="s">
        <v>1357</v>
      </c>
      <c r="G1505" s="482" t="s">
        <v>1042</v>
      </c>
      <c r="H1505" s="7" t="s">
        <v>1391</v>
      </c>
      <c r="I1505" s="255">
        <v>2000</v>
      </c>
      <c r="J1505" s="255">
        <v>7300</v>
      </c>
      <c r="K1505" s="593">
        <f>ROUND(I1505*J1505,0)</f>
        <v>14600000</v>
      </c>
      <c r="L1505" s="594" t="s">
        <v>159</v>
      </c>
      <c r="M1505" s="594" t="s">
        <v>8</v>
      </c>
      <c r="N1505" s="52" t="str">
        <f>IF(AND('331-CT'!$E$7=TH!H1505,OR(L1505="331",M1505="331")),"331",IF(AND(OR(L1505="131",M1505="131"),H1505='131-CT'!$E$7),"131",""))</f>
        <v/>
      </c>
      <c r="O1505" s="86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799"/>
    </row>
    <row r="1506" spans="1:27" s="210" customFormat="1" ht="15.75" customHeight="1">
      <c r="A1506" s="203" t="str">
        <f>IF(B1506&lt;&gt;"",IF(AND(B1506&gt;=_TM1,B1506&lt;=_TM2,OR(TH!L1506="1111",TH!M1506="1111")),TH!D1506,""),"")</f>
        <v/>
      </c>
      <c r="B1506" s="36">
        <f>IF(C1506&lt;&gt;"",MONTH(C1506),"")</f>
        <v>8</v>
      </c>
      <c r="C1506" s="183">
        <f>E1506</f>
        <v>42241</v>
      </c>
      <c r="D1506" s="190" t="s">
        <v>1970</v>
      </c>
      <c r="E1506" s="190">
        <v>42241</v>
      </c>
      <c r="F1506" s="296" t="s">
        <v>1393</v>
      </c>
      <c r="G1506" s="482" t="s">
        <v>1042</v>
      </c>
      <c r="H1506" s="7" t="s">
        <v>1391</v>
      </c>
      <c r="I1506" s="255"/>
      <c r="J1506" s="255"/>
      <c r="K1506" s="593">
        <v>1460000</v>
      </c>
      <c r="L1506" s="594" t="s">
        <v>9</v>
      </c>
      <c r="M1506" s="594" t="s">
        <v>8</v>
      </c>
      <c r="N1506" s="52" t="str">
        <f>IF(AND('331-CT'!$E$7=TH!H1506,OR(L1506="331",M1506="331")),"331",IF(AND(OR(L1506="131",M1506="131"),H1506='131-CT'!$E$7),"131",""))</f>
        <v/>
      </c>
      <c r="O1506" s="86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799"/>
    </row>
    <row r="1507" spans="1:27" s="210" customFormat="1" ht="15.75" customHeight="1">
      <c r="A1507" s="203" t="str">
        <f>IF(B1507&lt;&gt;"",IF(AND(B1507&gt;=_TM1,B1507&lt;=_TM2,OR(TH!L1507="1111",TH!M1507="1111")),TH!D1507,""),"")</f>
        <v/>
      </c>
      <c r="B1507" s="36">
        <f>IF(C1507&lt;&gt;"",MONTH(C1507),"")</f>
        <v>8</v>
      </c>
      <c r="C1507" s="183">
        <f>E1507</f>
        <v>42241</v>
      </c>
      <c r="D1507" s="190" t="s">
        <v>1970</v>
      </c>
      <c r="E1507" s="190">
        <v>42241</v>
      </c>
      <c r="F1507" s="296" t="s">
        <v>1326</v>
      </c>
      <c r="G1507" s="482" t="s">
        <v>1042</v>
      </c>
      <c r="H1507" s="7" t="s">
        <v>1391</v>
      </c>
      <c r="I1507" s="255"/>
      <c r="J1507" s="255"/>
      <c r="K1507" s="593">
        <v>16060000</v>
      </c>
      <c r="L1507" s="594" t="s">
        <v>8</v>
      </c>
      <c r="M1507" s="594" t="s">
        <v>47</v>
      </c>
      <c r="N1507" s="52" t="str">
        <f>IF(AND('331-CT'!$E$7=TH!H1507,OR(L1507="331",M1507="331")),"331",IF(AND(OR(L1507="131",M1507="131"),H1507='131-CT'!$E$7),"131",""))</f>
        <v/>
      </c>
      <c r="O1507" s="86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799"/>
    </row>
    <row r="1508" spans="1:27" s="210" customFormat="1" ht="15.75" customHeight="1">
      <c r="A1508" s="203" t="str">
        <f>IF(B1508&lt;&gt;"",IF(AND(B1508&gt;=_TM1,B1508&lt;=_TM2,OR(TH!L1508="1111",TH!M1508="1111")),TH!D1508,""),"")</f>
        <v/>
      </c>
      <c r="B1508" s="36">
        <f>IF(C1508&lt;&gt;"",MONTH(C1508),"")</f>
        <v>8</v>
      </c>
      <c r="C1508" s="183">
        <f>E1508</f>
        <v>42241</v>
      </c>
      <c r="D1508" s="190" t="s">
        <v>1324</v>
      </c>
      <c r="E1508" s="183">
        <v>42241</v>
      </c>
      <c r="F1508" s="191" t="s">
        <v>1917</v>
      </c>
      <c r="G1508" s="482" t="s">
        <v>1907</v>
      </c>
      <c r="H1508" s="192"/>
      <c r="I1508" s="255"/>
      <c r="J1508" s="255"/>
      <c r="K1508" s="593">
        <v>50000</v>
      </c>
      <c r="L1508" s="594" t="s">
        <v>83</v>
      </c>
      <c r="M1508" s="594" t="s">
        <v>24</v>
      </c>
      <c r="N1508" s="52" t="str">
        <f>IF(AND('331-CT'!$E$7=TH!H1508,OR(L1508="331",M1508="331")),"331",IF(AND(OR(L1508="131",M1508="131"),H1508='131-CT'!$E$7),"131",""))</f>
        <v/>
      </c>
      <c r="O1508" s="86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>x</v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799"/>
    </row>
    <row r="1509" spans="1:27" s="210" customFormat="1" ht="15.75" customHeight="1">
      <c r="A1509" s="203" t="str">
        <f>IF(B1509&lt;&gt;"",IF(AND(B1509&gt;=_TM1,B1509&lt;=_TM2,OR(TH!L1509="1111",TH!M1509="1111")),TH!D1509,""),"")</f>
        <v/>
      </c>
      <c r="B1509" s="36">
        <f>IF(C1509&lt;&gt;"",MONTH(C1509),"")</f>
        <v>8</v>
      </c>
      <c r="C1509" s="183">
        <f>E1509</f>
        <v>42241</v>
      </c>
      <c r="D1509" s="190" t="s">
        <v>1324</v>
      </c>
      <c r="E1509" s="183">
        <v>42241</v>
      </c>
      <c r="F1509" s="191" t="s">
        <v>1918</v>
      </c>
      <c r="G1509" s="482" t="s">
        <v>1907</v>
      </c>
      <c r="H1509" s="192"/>
      <c r="I1509" s="255"/>
      <c r="J1509" s="255"/>
      <c r="K1509" s="593">
        <v>5000</v>
      </c>
      <c r="L1509" s="594" t="s">
        <v>9</v>
      </c>
      <c r="M1509" s="594" t="s">
        <v>24</v>
      </c>
      <c r="N1509" s="52" t="str">
        <f>IF(AND('331-CT'!$E$7=TH!H1509,OR(L1509="331",M1509="331")),"331",IF(AND(OR(L1509="131",M1509="131"),H1509='131-CT'!$E$7),"131",""))</f>
        <v/>
      </c>
      <c r="O1509" s="86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799"/>
    </row>
    <row r="1510" spans="1:27" s="210" customFormat="1" ht="15.75" customHeight="1">
      <c r="A1510" s="203" t="str">
        <f>IF(B1510&lt;&gt;"",IF(AND(B1510&gt;=_TM1,B1510&lt;=_TM2,OR(TH!L1510="1111",TH!M1510="1111")),TH!D1510,""),"")</f>
        <v/>
      </c>
      <c r="B1510" s="36">
        <f>IF(C1510&lt;&gt;"",MONTH(C1510),"")</f>
        <v>8</v>
      </c>
      <c r="C1510" s="183">
        <f>E1510</f>
        <v>42242</v>
      </c>
      <c r="D1510" s="183" t="s">
        <v>1579</v>
      </c>
      <c r="E1510" s="190">
        <v>42242</v>
      </c>
      <c r="F1510" s="191" t="s">
        <v>494</v>
      </c>
      <c r="G1510" s="479" t="s">
        <v>988</v>
      </c>
      <c r="H1510" s="7" t="s">
        <v>834</v>
      </c>
      <c r="I1510" s="256">
        <v>1082</v>
      </c>
      <c r="J1510" s="255">
        <v>5900</v>
      </c>
      <c r="K1510" s="593">
        <f>ROUND(I1510*J1510,0)</f>
        <v>6383800</v>
      </c>
      <c r="L1510" s="594" t="s">
        <v>259</v>
      </c>
      <c r="M1510" s="594" t="s">
        <v>174</v>
      </c>
      <c r="N1510" s="52" t="str">
        <f>IF(AND('331-CT'!$E$7=TH!H1510,OR(L1510="331",M1510="331")),"331",IF(AND(OR(L1510="131",M1510="131"),H1510='131-CT'!$E$7),"131",""))</f>
        <v/>
      </c>
      <c r="O1510" s="86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799"/>
    </row>
    <row r="1511" spans="1:27" s="210" customFormat="1" ht="15.75" customHeight="1">
      <c r="A1511" s="203" t="str">
        <f>IF(B1511&lt;&gt;"",IF(AND(B1511&gt;=_TM1,B1511&lt;=_TM2,OR(TH!L1511="1111",TH!M1511="1111")),TH!D1511,""),"")</f>
        <v/>
      </c>
      <c r="B1511" s="36">
        <f>IF(C1511&lt;&gt;"",MONTH(C1511),"")</f>
        <v>8</v>
      </c>
      <c r="C1511" s="183">
        <f>E1511</f>
        <v>42242</v>
      </c>
      <c r="D1511" s="183" t="s">
        <v>1579</v>
      </c>
      <c r="E1511" s="190">
        <v>42242</v>
      </c>
      <c r="F1511" s="191" t="s">
        <v>402</v>
      </c>
      <c r="G1511" s="479" t="s">
        <v>988</v>
      </c>
      <c r="H1511" s="7" t="s">
        <v>834</v>
      </c>
      <c r="I1511" s="256"/>
      <c r="J1511" s="255"/>
      <c r="K1511" s="38">
        <v>638380</v>
      </c>
      <c r="L1511" s="594" t="s">
        <v>259</v>
      </c>
      <c r="M1511" s="594" t="s">
        <v>371</v>
      </c>
      <c r="N1511" s="52" t="str">
        <f>IF(AND('331-CT'!$E$7=TH!H1511,OR(L1511="331",M1511="331")),"331",IF(AND(OR(L1511="131",M1511="131"),H1511='131-CT'!$E$7),"131",""))</f>
        <v/>
      </c>
      <c r="O1511" s="86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799"/>
    </row>
    <row r="1512" spans="1:27" s="210" customFormat="1" ht="15.75" customHeight="1">
      <c r="A1512" s="203" t="str">
        <f>IF(B1512&lt;&gt;"",IF(AND(B1512&gt;=_TM1,B1512&lt;=_TM2,OR(TH!L1512="1111",TH!M1512="1111")),TH!D1512,""),"")</f>
        <v/>
      </c>
      <c r="B1512" s="36">
        <f>IF(C1512&lt;&gt;"",MONTH(C1512),"")</f>
        <v>8</v>
      </c>
      <c r="C1512" s="183">
        <f>E1512</f>
        <v>42242</v>
      </c>
      <c r="D1512" s="183" t="s">
        <v>1579</v>
      </c>
      <c r="E1512" s="190">
        <v>42242</v>
      </c>
      <c r="F1512" s="191" t="s">
        <v>1320</v>
      </c>
      <c r="G1512" s="479" t="s">
        <v>2050</v>
      </c>
      <c r="H1512" s="7" t="s">
        <v>834</v>
      </c>
      <c r="I1512" s="256"/>
      <c r="J1512" s="255"/>
      <c r="K1512" s="38">
        <f>2018390+4607900+6490000+7022180</f>
        <v>20138470</v>
      </c>
      <c r="L1512" s="594" t="s">
        <v>47</v>
      </c>
      <c r="M1512" s="594" t="s">
        <v>259</v>
      </c>
      <c r="N1512" s="52" t="str">
        <f>IF(AND('331-CT'!$E$7=TH!H1512,OR(L1512="331",M1512="331")),"331",IF(AND(OR(L1512="131",M1512="131"),H1512='131-CT'!$E$7),"131",""))</f>
        <v/>
      </c>
      <c r="O1512" s="86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799"/>
    </row>
    <row r="1513" spans="1:27" s="210" customFormat="1" ht="15.75" customHeight="1">
      <c r="A1513" s="203" t="str">
        <f>IF(B1513&lt;&gt;"",IF(AND(B1513&gt;=_TM1,B1513&lt;=_TM2,OR(TH!L1513="1111",TH!M1513="1111")),TH!D1513,""),"")</f>
        <v/>
      </c>
      <c r="B1513" s="36">
        <f>IF(C1513&lt;&gt;"",MONTH(C1513),"")</f>
        <v>8</v>
      </c>
      <c r="C1513" s="183">
        <f>E1513</f>
        <v>42242</v>
      </c>
      <c r="D1513" s="183" t="s">
        <v>1580</v>
      </c>
      <c r="E1513" s="190">
        <v>42242</v>
      </c>
      <c r="F1513" s="188" t="s">
        <v>413</v>
      </c>
      <c r="G1513" s="479" t="s">
        <v>989</v>
      </c>
      <c r="H1513" s="45" t="s">
        <v>412</v>
      </c>
      <c r="I1513" s="256">
        <v>409</v>
      </c>
      <c r="J1513" s="255">
        <v>10500</v>
      </c>
      <c r="K1513" s="593">
        <f>ROUND(I1513*J1513,0)</f>
        <v>4294500</v>
      </c>
      <c r="L1513" s="594" t="s">
        <v>259</v>
      </c>
      <c r="M1513" s="594" t="s">
        <v>174</v>
      </c>
      <c r="N1513" s="52" t="str">
        <f>IF(AND('331-CT'!$E$7=TH!H1513,OR(L1513="331",M1513="331")),"331",IF(AND(OR(L1513="131",M1513="131"),H1513='131-CT'!$E$7),"131",""))</f>
        <v/>
      </c>
      <c r="O1513" s="86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799"/>
    </row>
    <row r="1514" spans="1:27" s="210" customFormat="1" ht="15.75" customHeight="1">
      <c r="A1514" s="203" t="str">
        <f>IF(B1514&lt;&gt;"",IF(AND(B1514&gt;=_TM1,B1514&lt;=_TM2,OR(TH!L1514="1111",TH!M1514="1111")),TH!D1514,""),"")</f>
        <v/>
      </c>
      <c r="B1514" s="36">
        <f>IF(C1514&lt;&gt;"",MONTH(C1514),"")</f>
        <v>8</v>
      </c>
      <c r="C1514" s="183">
        <f>E1514</f>
        <v>42242</v>
      </c>
      <c r="D1514" s="183" t="s">
        <v>1580</v>
      </c>
      <c r="E1514" s="37">
        <v>42242</v>
      </c>
      <c r="F1514" s="188" t="s">
        <v>413</v>
      </c>
      <c r="G1514" s="595" t="s">
        <v>989</v>
      </c>
      <c r="H1514" s="7" t="s">
        <v>412</v>
      </c>
      <c r="I1514" s="255">
        <v>200</v>
      </c>
      <c r="J1514" s="255">
        <v>10500</v>
      </c>
      <c r="K1514" s="593">
        <f>ROUND(I1514*J1514,0)</f>
        <v>2100000</v>
      </c>
      <c r="L1514" s="594" t="s">
        <v>259</v>
      </c>
      <c r="M1514" s="594" t="s">
        <v>174</v>
      </c>
      <c r="N1514" s="52" t="str">
        <f>IF(AND('331-CT'!$E$7=TH!H1514,OR(L1514="331",M1514="331")),"331",IF(AND(OR(L1514="131",M1514="131"),H1514='131-CT'!$E$7),"131",""))</f>
        <v/>
      </c>
      <c r="O1514" s="86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799"/>
    </row>
    <row r="1515" spans="1:27" s="210" customFormat="1" ht="15.75" customHeight="1">
      <c r="A1515" s="203" t="str">
        <f>IF(B1515&lt;&gt;"",IF(AND(B1515&gt;=_TM1,B1515&lt;=_TM2,OR(TH!L1515="1111",TH!M1515="1111")),TH!D1515,""),"")</f>
        <v/>
      </c>
      <c r="B1515" s="36">
        <f>IF(C1515&lt;&gt;"",MONTH(C1515),"")</f>
        <v>8</v>
      </c>
      <c r="C1515" s="183">
        <f>E1515</f>
        <v>42242</v>
      </c>
      <c r="D1515" s="183" t="s">
        <v>1580</v>
      </c>
      <c r="E1515" s="37">
        <v>42242</v>
      </c>
      <c r="F1515" s="188" t="s">
        <v>402</v>
      </c>
      <c r="G1515" s="595" t="s">
        <v>989</v>
      </c>
      <c r="H1515" s="7" t="s">
        <v>412</v>
      </c>
      <c r="I1515" s="255"/>
      <c r="J1515" s="255"/>
      <c r="K1515" s="593">
        <v>639450</v>
      </c>
      <c r="L1515" s="594" t="s">
        <v>259</v>
      </c>
      <c r="M1515" s="594" t="s">
        <v>371</v>
      </c>
      <c r="N1515" s="52" t="str">
        <f>IF(AND('331-CT'!$E$7=TH!H1515,OR(L1515="331",M1515="331")),"331",IF(AND(OR(L1515="131",M1515="131"),H1515='131-CT'!$E$7),"131",""))</f>
        <v/>
      </c>
      <c r="O1515" s="86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799"/>
    </row>
    <row r="1516" spans="1:27" s="210" customFormat="1" ht="15.75" customHeight="1">
      <c r="A1516" s="203" t="str">
        <f>IF(B1516&lt;&gt;"",IF(AND(B1516&gt;=_TM1,B1516&lt;=_TM2,OR(TH!L1516="1111",TH!M1516="1111")),TH!D1516,""),"")</f>
        <v/>
      </c>
      <c r="B1516" s="36">
        <f>IF(C1516&lt;&gt;"",MONTH(C1516),"")</f>
        <v>8</v>
      </c>
      <c r="C1516" s="183">
        <f>E1516</f>
        <v>42242</v>
      </c>
      <c r="D1516" s="183" t="s">
        <v>1581</v>
      </c>
      <c r="E1516" s="183">
        <v>42242</v>
      </c>
      <c r="F1516" s="40" t="s">
        <v>2010</v>
      </c>
      <c r="G1516" s="482" t="s">
        <v>990</v>
      </c>
      <c r="H1516" s="209" t="s">
        <v>957</v>
      </c>
      <c r="I1516" s="255">
        <v>10</v>
      </c>
      <c r="J1516" s="255">
        <v>11700</v>
      </c>
      <c r="K1516" s="593">
        <f>ROUND(I1516*J1516,0)</f>
        <v>117000</v>
      </c>
      <c r="L1516" s="594" t="s">
        <v>259</v>
      </c>
      <c r="M1516" s="594" t="s">
        <v>174</v>
      </c>
      <c r="N1516" s="52" t="str">
        <f>IF(AND('331-CT'!$E$7=TH!H1516,OR(L1516="331",M1516="331")),"331",IF(AND(OR(L1516="131",M1516="131"),H1516='131-CT'!$E$7),"131",""))</f>
        <v/>
      </c>
      <c r="O1516" s="86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799"/>
    </row>
    <row r="1517" spans="1:27" s="210" customFormat="1" ht="15.75" customHeight="1">
      <c r="A1517" s="203" t="str">
        <f>IF(B1517&lt;&gt;"",IF(AND(B1517&gt;=_TM1,B1517&lt;=_TM2,OR(TH!L1517="1111",TH!M1517="1111")),TH!D1517,""),"")</f>
        <v/>
      </c>
      <c r="B1517" s="36">
        <f>IF(C1517&lt;&gt;"",MONTH(C1517),"")</f>
        <v>8</v>
      </c>
      <c r="C1517" s="183">
        <f>E1517</f>
        <v>42242</v>
      </c>
      <c r="D1517" s="183" t="s">
        <v>1581</v>
      </c>
      <c r="E1517" s="183">
        <v>42242</v>
      </c>
      <c r="F1517" s="188" t="s">
        <v>1948</v>
      </c>
      <c r="G1517" s="482" t="s">
        <v>990</v>
      </c>
      <c r="H1517" s="209" t="s">
        <v>957</v>
      </c>
      <c r="I1517" s="255">
        <v>10</v>
      </c>
      <c r="J1517" s="255">
        <v>12400</v>
      </c>
      <c r="K1517" s="593">
        <f>ROUND(I1517*J1517,0)</f>
        <v>124000</v>
      </c>
      <c r="L1517" s="594" t="s">
        <v>259</v>
      </c>
      <c r="M1517" s="594" t="s">
        <v>174</v>
      </c>
      <c r="N1517" s="52" t="str">
        <f>IF(AND('331-CT'!$E$7=TH!H1517,OR(L1517="331",M1517="331")),"331",IF(AND(OR(L1517="131",M1517="131"),H1517='131-CT'!$E$7),"131",""))</f>
        <v/>
      </c>
      <c r="O1517" s="86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799"/>
    </row>
    <row r="1518" spans="1:27" s="210" customFormat="1" ht="15.75" customHeight="1">
      <c r="A1518" s="203" t="str">
        <f>IF(B1518&lt;&gt;"",IF(AND(B1518&gt;=_TM1,B1518&lt;=_TM2,OR(TH!L1518="1111",TH!M1518="1111")),TH!D1518,""),"")</f>
        <v/>
      </c>
      <c r="B1518" s="36">
        <f>IF(C1518&lt;&gt;"",MONTH(C1518),"")</f>
        <v>8</v>
      </c>
      <c r="C1518" s="183">
        <f>E1518</f>
        <v>42242</v>
      </c>
      <c r="D1518" s="183" t="s">
        <v>1581</v>
      </c>
      <c r="E1518" s="183">
        <v>42242</v>
      </c>
      <c r="F1518" s="188" t="s">
        <v>1949</v>
      </c>
      <c r="G1518" s="482" t="s">
        <v>990</v>
      </c>
      <c r="H1518" s="209" t="s">
        <v>957</v>
      </c>
      <c r="I1518" s="255">
        <v>10</v>
      </c>
      <c r="J1518" s="255">
        <v>14200</v>
      </c>
      <c r="K1518" s="593">
        <f>ROUND(I1518*J1518,0)</f>
        <v>142000</v>
      </c>
      <c r="L1518" s="594" t="s">
        <v>259</v>
      </c>
      <c r="M1518" s="594" t="s">
        <v>174</v>
      </c>
      <c r="N1518" s="52" t="str">
        <f>IF(AND('331-CT'!$E$7=TH!H1518,OR(L1518="331",M1518="331")),"331",IF(AND(OR(L1518="131",M1518="131"),H1518='131-CT'!$E$7),"131",""))</f>
        <v/>
      </c>
      <c r="O1518" s="86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799"/>
    </row>
    <row r="1519" spans="1:27" s="210" customFormat="1" ht="15.75" customHeight="1">
      <c r="A1519" s="203" t="str">
        <f>IF(B1519&lt;&gt;"",IF(AND(B1519&gt;=_TM1,B1519&lt;=_TM2,OR(TH!L1519="1111",TH!M1519="1111")),TH!D1519,""),"")</f>
        <v/>
      </c>
      <c r="B1519" s="36">
        <f>IF(C1519&lt;&gt;"",MONTH(C1519),"")</f>
        <v>8</v>
      </c>
      <c r="C1519" s="183">
        <f>E1519</f>
        <v>42242</v>
      </c>
      <c r="D1519" s="183" t="s">
        <v>1581</v>
      </c>
      <c r="E1519" s="183">
        <v>42242</v>
      </c>
      <c r="F1519" s="188" t="s">
        <v>1950</v>
      </c>
      <c r="G1519" s="482" t="s">
        <v>990</v>
      </c>
      <c r="H1519" s="209" t="s">
        <v>957</v>
      </c>
      <c r="I1519" s="255">
        <v>10</v>
      </c>
      <c r="J1519" s="255">
        <v>15300</v>
      </c>
      <c r="K1519" s="593">
        <f>ROUND(I1519*J1519,0)</f>
        <v>153000</v>
      </c>
      <c r="L1519" s="594" t="s">
        <v>259</v>
      </c>
      <c r="M1519" s="594" t="s">
        <v>174</v>
      </c>
      <c r="N1519" s="52" t="str">
        <f>IF(AND('331-CT'!$E$7=TH!H1519,OR(L1519="331",M1519="331")),"331",IF(AND(OR(L1519="131",M1519="131"),H1519='131-CT'!$E$7),"131",""))</f>
        <v/>
      </c>
      <c r="O1519" s="86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799"/>
    </row>
    <row r="1520" spans="1:27" s="210" customFormat="1" ht="15.75" customHeight="1">
      <c r="A1520" s="203" t="str">
        <f>IF(B1520&lt;&gt;"",IF(AND(B1520&gt;=_TM1,B1520&lt;=_TM2,OR(TH!L1520="1111",TH!M1520="1111")),TH!D1520,""),"")</f>
        <v/>
      </c>
      <c r="B1520" s="36">
        <f>IF(C1520&lt;&gt;"",MONTH(C1520),"")</f>
        <v>8</v>
      </c>
      <c r="C1520" s="183">
        <f>E1520</f>
        <v>42242</v>
      </c>
      <c r="D1520" s="183" t="s">
        <v>1581</v>
      </c>
      <c r="E1520" s="37">
        <v>42242</v>
      </c>
      <c r="F1520" s="188" t="s">
        <v>1951</v>
      </c>
      <c r="G1520" s="40" t="s">
        <v>990</v>
      </c>
      <c r="H1520" s="7" t="s">
        <v>957</v>
      </c>
      <c r="I1520" s="754">
        <v>10</v>
      </c>
      <c r="J1520" s="745">
        <v>16500</v>
      </c>
      <c r="K1520" s="593">
        <f>ROUND(I1520*J1520,0)</f>
        <v>165000</v>
      </c>
      <c r="L1520" s="594" t="s">
        <v>259</v>
      </c>
      <c r="M1520" s="594" t="s">
        <v>174</v>
      </c>
      <c r="N1520" s="52" t="str">
        <f>IF(AND('331-CT'!$E$7=TH!H1520,OR(L1520="331",M1520="331")),"331",IF(AND(OR(L1520="131",M1520="131"),H1520='131-CT'!$E$7),"131",""))</f>
        <v/>
      </c>
      <c r="O1520" s="86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799"/>
    </row>
    <row r="1521" spans="1:27" s="210" customFormat="1" ht="15.75" customHeight="1">
      <c r="A1521" s="203" t="str">
        <f>IF(B1521&lt;&gt;"",IF(AND(B1521&gt;=_TM1,B1521&lt;=_TM2,OR(TH!L1521="1111",TH!M1521="1111")),TH!D1521,""),"")</f>
        <v/>
      </c>
      <c r="B1521" s="36">
        <f>IF(C1521&lt;&gt;"",MONTH(C1521),"")</f>
        <v>8</v>
      </c>
      <c r="C1521" s="183">
        <f>E1521</f>
        <v>42242</v>
      </c>
      <c r="D1521" s="183" t="s">
        <v>1581</v>
      </c>
      <c r="E1521" s="190">
        <v>42242</v>
      </c>
      <c r="F1521" s="188" t="s">
        <v>1952</v>
      </c>
      <c r="G1521" s="595" t="s">
        <v>990</v>
      </c>
      <c r="H1521" s="7" t="s">
        <v>957</v>
      </c>
      <c r="I1521" s="255">
        <v>10</v>
      </c>
      <c r="J1521" s="255">
        <v>19700</v>
      </c>
      <c r="K1521" s="593">
        <f>ROUND(I1521*J1521,0)</f>
        <v>197000</v>
      </c>
      <c r="L1521" s="594" t="s">
        <v>259</v>
      </c>
      <c r="M1521" s="594" t="s">
        <v>174</v>
      </c>
      <c r="N1521" s="52" t="str">
        <f>IF(AND('331-CT'!$E$7=TH!H1521,OR(L1521="331",M1521="331")),"331",IF(AND(OR(L1521="131",M1521="131"),H1521='131-CT'!$E$7),"131",""))</f>
        <v/>
      </c>
      <c r="O1521" s="86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799"/>
    </row>
    <row r="1522" spans="1:27" s="210" customFormat="1" ht="15.75" customHeight="1">
      <c r="A1522" s="203" t="str">
        <f>IF(B1522&lt;&gt;"",IF(AND(B1522&gt;=_TM1,B1522&lt;=_TM2,OR(TH!L1522="1111",TH!M1522="1111")),TH!D1522,""),"")</f>
        <v/>
      </c>
      <c r="B1522" s="36">
        <f>IF(C1522&lt;&gt;"",MONTH(C1522),"")</f>
        <v>8</v>
      </c>
      <c r="C1522" s="183">
        <f>E1522</f>
        <v>42242</v>
      </c>
      <c r="D1522" s="183" t="s">
        <v>1581</v>
      </c>
      <c r="E1522" s="190">
        <v>42242</v>
      </c>
      <c r="F1522" s="188" t="s">
        <v>2011</v>
      </c>
      <c r="G1522" s="595" t="s">
        <v>990</v>
      </c>
      <c r="H1522" s="7" t="s">
        <v>957</v>
      </c>
      <c r="I1522" s="255">
        <v>10</v>
      </c>
      <c r="J1522" s="255">
        <v>20100</v>
      </c>
      <c r="K1522" s="593">
        <f>ROUND(I1522*J1522,0)</f>
        <v>201000</v>
      </c>
      <c r="L1522" s="594" t="s">
        <v>259</v>
      </c>
      <c r="M1522" s="594" t="s">
        <v>174</v>
      </c>
      <c r="N1522" s="52" t="str">
        <f>IF(AND('331-CT'!$E$7=TH!H1522,OR(L1522="331",M1522="331")),"331",IF(AND(OR(L1522="131",M1522="131"),H1522='131-CT'!$E$7),"131",""))</f>
        <v/>
      </c>
      <c r="O1522" s="86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799"/>
    </row>
    <row r="1523" spans="1:27" s="210" customFormat="1" ht="15.75" customHeight="1">
      <c r="A1523" s="203" t="str">
        <f>IF(B1523&lt;&gt;"",IF(AND(B1523&gt;=_TM1,B1523&lt;=_TM2,OR(TH!L1523="1111",TH!M1523="1111")),TH!D1523,""),"")</f>
        <v/>
      </c>
      <c r="B1523" s="36">
        <f>IF(C1523&lt;&gt;"",MONTH(C1523),"")</f>
        <v>8</v>
      </c>
      <c r="C1523" s="183">
        <f>E1523</f>
        <v>42242</v>
      </c>
      <c r="D1523" s="183" t="s">
        <v>1581</v>
      </c>
      <c r="E1523" s="37">
        <v>42242</v>
      </c>
      <c r="F1523" s="40" t="s">
        <v>402</v>
      </c>
      <c r="G1523" s="40" t="s">
        <v>990</v>
      </c>
      <c r="H1523" s="7" t="s">
        <v>957</v>
      </c>
      <c r="I1523" s="255"/>
      <c r="J1523" s="255"/>
      <c r="K1523" s="593">
        <v>109900</v>
      </c>
      <c r="L1523" s="594" t="s">
        <v>259</v>
      </c>
      <c r="M1523" s="594" t="s">
        <v>371</v>
      </c>
      <c r="N1523" s="52" t="str">
        <f>IF(AND('331-CT'!$E$7=TH!H1523,OR(L1523="331",M1523="331")),"331",IF(AND(OR(L1523="131",M1523="131"),H1523='131-CT'!$E$7),"131",""))</f>
        <v/>
      </c>
      <c r="O1523" s="86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799"/>
    </row>
    <row r="1524" spans="1:27" s="210" customFormat="1" ht="15.75" customHeight="1">
      <c r="A1524" s="203" t="str">
        <f>IF(B1524&lt;&gt;"",IF(AND(B1524&gt;=_TM1,B1524&lt;=_TM2,OR(TH!L1524="1111",TH!M1524="1111")),TH!D1524,""),"")</f>
        <v/>
      </c>
      <c r="B1524" s="36">
        <f>IF(C1524&lt;&gt;"",MONTH(C1524),"")</f>
        <v>8</v>
      </c>
      <c r="C1524" s="183">
        <f>E1524</f>
        <v>42242</v>
      </c>
      <c r="D1524" s="183" t="s">
        <v>1582</v>
      </c>
      <c r="E1524" s="37">
        <v>42242</v>
      </c>
      <c r="F1524" s="40" t="s">
        <v>2010</v>
      </c>
      <c r="G1524" s="40" t="s">
        <v>991</v>
      </c>
      <c r="H1524" s="7" t="s">
        <v>957</v>
      </c>
      <c r="I1524" s="255">
        <v>10</v>
      </c>
      <c r="J1524" s="255">
        <v>11440</v>
      </c>
      <c r="K1524" s="593">
        <f>ROUND(I1524*J1524,0)</f>
        <v>114400</v>
      </c>
      <c r="L1524" s="594" t="s">
        <v>259</v>
      </c>
      <c r="M1524" s="594" t="s">
        <v>174</v>
      </c>
      <c r="N1524" s="52" t="str">
        <f>IF(AND('331-CT'!$E$7=TH!H1524,OR(L1524="331",M1524="331")),"331",IF(AND(OR(L1524="131",M1524="131"),H1524='131-CT'!$E$7),"131",""))</f>
        <v/>
      </c>
      <c r="O1524" s="86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799"/>
    </row>
    <row r="1525" spans="1:27" s="210" customFormat="1" ht="15.75" customHeight="1">
      <c r="A1525" s="203" t="str">
        <f>IF(B1525&lt;&gt;"",IF(AND(B1525&gt;=_TM1,B1525&lt;=_TM2,OR(TH!L1525="1111",TH!M1525="1111")),TH!D1525,""),"")</f>
        <v/>
      </c>
      <c r="B1525" s="36">
        <f>IF(C1525&lt;&gt;"",MONTH(C1525),"")</f>
        <v>8</v>
      </c>
      <c r="C1525" s="183">
        <f>E1525</f>
        <v>42242</v>
      </c>
      <c r="D1525" s="183" t="s">
        <v>1582</v>
      </c>
      <c r="E1525" s="37">
        <v>42242</v>
      </c>
      <c r="F1525" s="188" t="s">
        <v>1948</v>
      </c>
      <c r="G1525" s="40" t="s">
        <v>991</v>
      </c>
      <c r="H1525" s="7" t="s">
        <v>957</v>
      </c>
      <c r="I1525" s="255">
        <v>10</v>
      </c>
      <c r="J1525" s="255">
        <v>11860</v>
      </c>
      <c r="K1525" s="593">
        <f>ROUND(I1525*J1525,0)</f>
        <v>118600</v>
      </c>
      <c r="L1525" s="594" t="s">
        <v>259</v>
      </c>
      <c r="M1525" s="594" t="s">
        <v>174</v>
      </c>
      <c r="N1525" s="52" t="str">
        <f>IF(AND('331-CT'!$E$7=TH!H1525,OR(L1525="331",M1525="331")),"331",IF(AND(OR(L1525="131",M1525="131"),H1525='131-CT'!$E$7),"131",""))</f>
        <v/>
      </c>
      <c r="O1525" s="86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799"/>
    </row>
    <row r="1526" spans="1:27" s="210" customFormat="1" ht="15.75" customHeight="1">
      <c r="A1526" s="203" t="str">
        <f>IF(B1526&lt;&gt;"",IF(AND(B1526&gt;=_TM1,B1526&lt;=_TM2,OR(TH!L1526="1111",TH!M1526="1111")),TH!D1526,""),"")</f>
        <v/>
      </c>
      <c r="B1526" s="36">
        <f>IF(C1526&lt;&gt;"",MONTH(C1526),"")</f>
        <v>8</v>
      </c>
      <c r="C1526" s="183">
        <f>E1526</f>
        <v>42242</v>
      </c>
      <c r="D1526" s="183" t="s">
        <v>1582</v>
      </c>
      <c r="E1526" s="190">
        <v>42242</v>
      </c>
      <c r="F1526" s="188" t="s">
        <v>1949</v>
      </c>
      <c r="G1526" s="482" t="s">
        <v>991</v>
      </c>
      <c r="H1526" s="7" t="s">
        <v>957</v>
      </c>
      <c r="I1526" s="255">
        <v>10</v>
      </c>
      <c r="J1526" s="255">
        <v>13200</v>
      </c>
      <c r="K1526" s="593">
        <f>ROUND(I1526*J1526,0)</f>
        <v>132000</v>
      </c>
      <c r="L1526" s="594" t="s">
        <v>259</v>
      </c>
      <c r="M1526" s="594" t="s">
        <v>174</v>
      </c>
      <c r="N1526" s="52" t="str">
        <f>IF(AND('331-CT'!$E$7=TH!H1526,OR(L1526="331",M1526="331")),"331",IF(AND(OR(L1526="131",M1526="131"),H1526='131-CT'!$E$7),"131",""))</f>
        <v/>
      </c>
      <c r="O1526" s="86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99"/>
    </row>
    <row r="1527" spans="1:27" s="210" customFormat="1" ht="15.75" customHeight="1">
      <c r="A1527" s="203" t="str">
        <f>IF(B1527&lt;&gt;"",IF(AND(B1527&gt;=_TM1,B1527&lt;=_TM2,OR(TH!L1527="1111",TH!M1527="1111")),TH!D1527,""),"")</f>
        <v/>
      </c>
      <c r="B1527" s="36">
        <f>IF(C1527&lt;&gt;"",MONTH(C1527),"")</f>
        <v>8</v>
      </c>
      <c r="C1527" s="183">
        <f>E1527</f>
        <v>42242</v>
      </c>
      <c r="D1527" s="183" t="s">
        <v>1582</v>
      </c>
      <c r="E1527" s="190">
        <v>42242</v>
      </c>
      <c r="F1527" s="188" t="s">
        <v>1950</v>
      </c>
      <c r="G1527" s="482" t="s">
        <v>991</v>
      </c>
      <c r="H1527" s="7" t="s">
        <v>957</v>
      </c>
      <c r="I1527" s="255">
        <v>10</v>
      </c>
      <c r="J1527" s="255">
        <v>16830</v>
      </c>
      <c r="K1527" s="593">
        <f>ROUND(I1527*J1527,0)</f>
        <v>168300</v>
      </c>
      <c r="L1527" s="594" t="s">
        <v>259</v>
      </c>
      <c r="M1527" s="594" t="s">
        <v>174</v>
      </c>
      <c r="N1527" s="52" t="str">
        <f>IF(AND('331-CT'!$E$7=TH!H1527,OR(L1527="331",M1527="331")),"331",IF(AND(OR(L1527="131",M1527="131"),H1527='131-CT'!$E$7),"131",""))</f>
        <v/>
      </c>
      <c r="O1527" s="86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99"/>
    </row>
    <row r="1528" spans="1:27" s="210" customFormat="1" ht="15.75" customHeight="1">
      <c r="A1528" s="203" t="str">
        <f>IF(B1528&lt;&gt;"",IF(AND(B1528&gt;=_TM1,B1528&lt;=_TM2,OR(TH!L1528="1111",TH!M1528="1111")),TH!D1528,""),"")</f>
        <v/>
      </c>
      <c r="B1528" s="36">
        <f>IF(C1528&lt;&gt;"",MONTH(C1528),"")</f>
        <v>8</v>
      </c>
      <c r="C1528" s="183">
        <f>E1528</f>
        <v>42242</v>
      </c>
      <c r="D1528" s="183" t="s">
        <v>1582</v>
      </c>
      <c r="E1528" s="727">
        <v>42242</v>
      </c>
      <c r="F1528" s="188" t="s">
        <v>1951</v>
      </c>
      <c r="G1528" s="40" t="s">
        <v>991</v>
      </c>
      <c r="H1528" s="7" t="s">
        <v>957</v>
      </c>
      <c r="I1528" s="255">
        <v>10</v>
      </c>
      <c r="J1528" s="255">
        <v>16850</v>
      </c>
      <c r="K1528" s="593">
        <f>ROUND(I1528*J1528,0)</f>
        <v>168500</v>
      </c>
      <c r="L1528" s="594" t="s">
        <v>259</v>
      </c>
      <c r="M1528" s="594" t="s">
        <v>174</v>
      </c>
      <c r="N1528" s="52" t="str">
        <f>IF(AND('331-CT'!$E$7=TH!H1528,OR(L1528="331",M1528="331")),"331",IF(AND(OR(L1528="131",M1528="131"),H1528='131-CT'!$E$7),"131",""))</f>
        <v/>
      </c>
      <c r="O1528" s="86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99"/>
    </row>
    <row r="1529" spans="1:27" s="210" customFormat="1" ht="15.75" customHeight="1">
      <c r="A1529" s="203" t="str">
        <f>IF(B1529&lt;&gt;"",IF(AND(B1529&gt;=_TM1,B1529&lt;=_TM2,OR(TH!L1529="1111",TH!M1529="1111")),TH!D1529,""),"")</f>
        <v/>
      </c>
      <c r="B1529" s="36">
        <f>IF(C1529&lt;&gt;"",MONTH(C1529),"")</f>
        <v>8</v>
      </c>
      <c r="C1529" s="183">
        <f>E1529</f>
        <v>42242</v>
      </c>
      <c r="D1529" s="183" t="s">
        <v>1582</v>
      </c>
      <c r="E1529" s="727">
        <v>42242</v>
      </c>
      <c r="F1529" s="188" t="s">
        <v>1952</v>
      </c>
      <c r="G1529" s="40" t="s">
        <v>991</v>
      </c>
      <c r="H1529" s="7" t="s">
        <v>957</v>
      </c>
      <c r="I1529" s="255">
        <v>10</v>
      </c>
      <c r="J1529" s="255">
        <v>19940</v>
      </c>
      <c r="K1529" s="593">
        <f>ROUND(I1529*J1529,0)</f>
        <v>199400</v>
      </c>
      <c r="L1529" s="594" t="s">
        <v>259</v>
      </c>
      <c r="M1529" s="594" t="s">
        <v>174</v>
      </c>
      <c r="N1529" s="52" t="str">
        <f>IF(AND('331-CT'!$E$7=TH!H1529,OR(L1529="331",M1529="331")),"331",IF(AND(OR(L1529="131",M1529="131"),H1529='131-CT'!$E$7),"131",""))</f>
        <v/>
      </c>
      <c r="O1529" s="86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99"/>
    </row>
    <row r="1530" spans="1:27" s="210" customFormat="1" ht="15.75" customHeight="1">
      <c r="A1530" s="203" t="str">
        <f>IF(B1530&lt;&gt;"",IF(AND(B1530&gt;=_TM1,B1530&lt;=_TM2,OR(TH!L1530="1111",TH!M1530="1111")),TH!D1530,""),"")</f>
        <v/>
      </c>
      <c r="B1530" s="36">
        <f>IF(C1530&lt;&gt;"",MONTH(C1530),"")</f>
        <v>8</v>
      </c>
      <c r="C1530" s="183">
        <f>E1530</f>
        <v>42242</v>
      </c>
      <c r="D1530" s="183" t="s">
        <v>1582</v>
      </c>
      <c r="E1530" s="727">
        <v>42242</v>
      </c>
      <c r="F1530" s="188" t="s">
        <v>2011</v>
      </c>
      <c r="G1530" s="40" t="s">
        <v>991</v>
      </c>
      <c r="H1530" s="7" t="s">
        <v>957</v>
      </c>
      <c r="I1530" s="750">
        <v>10</v>
      </c>
      <c r="J1530" s="255">
        <v>20900</v>
      </c>
      <c r="K1530" s="593">
        <f>ROUND(I1530*J1530,0)</f>
        <v>209000</v>
      </c>
      <c r="L1530" s="594" t="s">
        <v>259</v>
      </c>
      <c r="M1530" s="594" t="s">
        <v>174</v>
      </c>
      <c r="N1530" s="52" t="str">
        <f>IF(AND('331-CT'!$E$7=TH!H1530,OR(L1530="331",M1530="331")),"331",IF(AND(OR(L1530="131",M1530="131"),H1530='131-CT'!$E$7),"131",""))</f>
        <v/>
      </c>
      <c r="O1530" s="86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99"/>
    </row>
    <row r="1531" spans="1:27" s="210" customFormat="1" ht="15.75" customHeight="1">
      <c r="A1531" s="203" t="str">
        <f>IF(B1531&lt;&gt;"",IF(AND(B1531&gt;=_TM1,B1531&lt;=_TM2,OR(TH!L1531="1111",TH!M1531="1111")),TH!D1531,""),"")</f>
        <v/>
      </c>
      <c r="B1531" s="36">
        <f>IF(C1531&lt;&gt;"",MONTH(C1531),"")</f>
        <v>8</v>
      </c>
      <c r="C1531" s="183">
        <f>E1531</f>
        <v>42242</v>
      </c>
      <c r="D1531" s="183" t="s">
        <v>1582</v>
      </c>
      <c r="E1531" s="727">
        <v>42242</v>
      </c>
      <c r="F1531" s="188" t="s">
        <v>402</v>
      </c>
      <c r="G1531" s="40" t="s">
        <v>991</v>
      </c>
      <c r="H1531" s="7" t="s">
        <v>957</v>
      </c>
      <c r="I1531" s="750"/>
      <c r="J1531" s="255"/>
      <c r="K1531" s="593">
        <v>111020</v>
      </c>
      <c r="L1531" s="594" t="s">
        <v>259</v>
      </c>
      <c r="M1531" s="594" t="s">
        <v>371</v>
      </c>
      <c r="N1531" s="52" t="str">
        <f>IF(AND('331-CT'!$E$7=TH!H1531,OR(L1531="331",M1531="331")),"331",IF(AND(OR(L1531="131",M1531="131"),H1531='131-CT'!$E$7),"131",""))</f>
        <v/>
      </c>
      <c r="O1531" s="86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99"/>
    </row>
    <row r="1532" spans="1:27" s="210" customFormat="1" ht="15.75" customHeight="1">
      <c r="A1532" s="203" t="str">
        <f>IF(B1532&lt;&gt;"",IF(AND(B1532&gt;=_TM1,B1532&lt;=_TM2,OR(TH!L1532="1111",TH!M1532="1111")),TH!D1532,""),"")</f>
        <v/>
      </c>
      <c r="B1532" s="36">
        <f>IF(C1532&lt;&gt;"",MONTH(C1532),"")</f>
        <v>8</v>
      </c>
      <c r="C1532" s="183">
        <f>E1532</f>
        <v>42242</v>
      </c>
      <c r="D1532" s="183" t="s">
        <v>1319</v>
      </c>
      <c r="E1532" s="190">
        <v>42242</v>
      </c>
      <c r="F1532" s="188" t="s">
        <v>1320</v>
      </c>
      <c r="G1532" s="482" t="s">
        <v>332</v>
      </c>
      <c r="H1532" s="7" t="s">
        <v>964</v>
      </c>
      <c r="I1532" s="255"/>
      <c r="J1532" s="255"/>
      <c r="K1532" s="593">
        <v>9356000</v>
      </c>
      <c r="L1532" s="594" t="s">
        <v>24</v>
      </c>
      <c r="M1532" s="594" t="s">
        <v>259</v>
      </c>
      <c r="N1532" s="52" t="str">
        <f>IF(AND('331-CT'!$E$7=TH!H1532,OR(L1532="331",M1532="331")),"331",IF(AND(OR(L1532="131",M1532="131"),H1532='131-CT'!$E$7),"131",""))</f>
        <v/>
      </c>
      <c r="O1532" s="86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>x</v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99"/>
    </row>
    <row r="1533" spans="1:27" s="210" customFormat="1" ht="15.75" customHeight="1">
      <c r="A1533" s="203" t="str">
        <f>IF(B1533&lt;&gt;"",IF(AND(B1533&gt;=_TM1,B1533&lt;=_TM2,OR(TH!L1533="1111",TH!M1533="1111")),TH!D1533,""),"")</f>
        <v/>
      </c>
      <c r="B1533" s="36">
        <f>IF(C1533&lt;&gt;"",MONTH(C1533),"")</f>
        <v>8</v>
      </c>
      <c r="C1533" s="183">
        <f>E1533</f>
        <v>42242</v>
      </c>
      <c r="D1533" s="190" t="s">
        <v>1971</v>
      </c>
      <c r="E1533" s="190">
        <v>42242</v>
      </c>
      <c r="F1533" s="296" t="s">
        <v>1357</v>
      </c>
      <c r="G1533" s="482" t="s">
        <v>1048</v>
      </c>
      <c r="H1533" s="7" t="s">
        <v>1391</v>
      </c>
      <c r="I1533" s="255">
        <v>2416</v>
      </c>
      <c r="J1533" s="255">
        <v>7300</v>
      </c>
      <c r="K1533" s="593">
        <f>ROUND(I1533*J1533,0)</f>
        <v>17636800</v>
      </c>
      <c r="L1533" s="594" t="s">
        <v>159</v>
      </c>
      <c r="M1533" s="594" t="s">
        <v>8</v>
      </c>
      <c r="N1533" s="52" t="str">
        <f>IF(AND('331-CT'!$E$7=TH!H1533,OR(L1533="331",M1533="331")),"331",IF(AND(OR(L1533="131",M1533="131"),H1533='131-CT'!$E$7),"131",""))</f>
        <v/>
      </c>
      <c r="O1533" s="86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99"/>
    </row>
    <row r="1534" spans="1:27" s="210" customFormat="1" ht="15.75" customHeight="1">
      <c r="A1534" s="203" t="str">
        <f>IF(B1534&lt;&gt;"",IF(AND(B1534&gt;=_TM1,B1534&lt;=_TM2,OR(TH!L1534="1111",TH!M1534="1111")),TH!D1534,""),"")</f>
        <v/>
      </c>
      <c r="B1534" s="36">
        <f>IF(C1534&lt;&gt;"",MONTH(C1534),"")</f>
        <v>8</v>
      </c>
      <c r="C1534" s="183">
        <f>E1534</f>
        <v>42242</v>
      </c>
      <c r="D1534" s="190" t="s">
        <v>1971</v>
      </c>
      <c r="E1534" s="190">
        <v>42242</v>
      </c>
      <c r="F1534" s="296" t="s">
        <v>1393</v>
      </c>
      <c r="G1534" s="482" t="s">
        <v>1048</v>
      </c>
      <c r="H1534" s="7" t="s">
        <v>1391</v>
      </c>
      <c r="I1534" s="255"/>
      <c r="J1534" s="255"/>
      <c r="K1534" s="593">
        <v>1763680</v>
      </c>
      <c r="L1534" s="594" t="s">
        <v>9</v>
      </c>
      <c r="M1534" s="594" t="s">
        <v>8</v>
      </c>
      <c r="N1534" s="52" t="str">
        <f>IF(AND('331-CT'!$E$7=TH!H1534,OR(L1534="331",M1534="331")),"331",IF(AND(OR(L1534="131",M1534="131"),H1534='131-CT'!$E$7),"131",""))</f>
        <v/>
      </c>
      <c r="O1534" s="86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799"/>
    </row>
    <row r="1535" spans="1:27" s="210" customFormat="1" ht="15.75" customHeight="1">
      <c r="A1535" s="203" t="str">
        <f>IF(B1535&lt;&gt;"",IF(AND(B1535&gt;=_TM1,B1535&lt;=_TM2,OR(TH!L1535="1111",TH!M1535="1111")),TH!D1535,""),"")</f>
        <v/>
      </c>
      <c r="B1535" s="36">
        <f>IF(C1535&lt;&gt;"",MONTH(C1535),"")</f>
        <v>8</v>
      </c>
      <c r="C1535" s="183">
        <f>E1535</f>
        <v>42242</v>
      </c>
      <c r="D1535" s="190" t="s">
        <v>1971</v>
      </c>
      <c r="E1535" s="190">
        <v>42242</v>
      </c>
      <c r="F1535" s="296" t="s">
        <v>1326</v>
      </c>
      <c r="G1535" s="482" t="s">
        <v>1048</v>
      </c>
      <c r="H1535" s="7" t="s">
        <v>1391</v>
      </c>
      <c r="I1535" s="255"/>
      <c r="J1535" s="255"/>
      <c r="K1535" s="593">
        <v>19400480</v>
      </c>
      <c r="L1535" s="594" t="s">
        <v>8</v>
      </c>
      <c r="M1535" s="594" t="s">
        <v>47</v>
      </c>
      <c r="N1535" s="52" t="str">
        <f>IF(AND('331-CT'!$E$7=TH!H1535,OR(L1535="331",M1535="331")),"331",IF(AND(OR(L1535="131",M1535="131"),H1535='131-CT'!$E$7),"131",""))</f>
        <v/>
      </c>
      <c r="O1535" s="86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799"/>
    </row>
    <row r="1536" spans="1:27" s="210" customFormat="1" ht="15.75" customHeight="1">
      <c r="A1536" s="203" t="str">
        <f>IF(B1536&lt;&gt;"",IF(AND(B1536&gt;=_TM1,B1536&lt;=_TM2,OR(TH!L1536="1111",TH!M1536="1111")),TH!D1536,""),"")</f>
        <v/>
      </c>
      <c r="B1536" s="36">
        <f>IF(C1536&lt;&gt;"",MONTH(C1536),"")</f>
        <v>8</v>
      </c>
      <c r="C1536" s="183">
        <f>E1536</f>
        <v>42242</v>
      </c>
      <c r="D1536" s="190" t="s">
        <v>1962</v>
      </c>
      <c r="E1536" s="727">
        <v>42242</v>
      </c>
      <c r="F1536" s="296" t="s">
        <v>1455</v>
      </c>
      <c r="G1536" s="482" t="s">
        <v>1458</v>
      </c>
      <c r="H1536" s="7" t="s">
        <v>1457</v>
      </c>
      <c r="I1536" s="255">
        <v>22250</v>
      </c>
      <c r="J1536" s="255">
        <v>810</v>
      </c>
      <c r="K1536" s="593">
        <f>ROUND(I1536*J1536,0)</f>
        <v>18022500</v>
      </c>
      <c r="L1536" s="594" t="s">
        <v>161</v>
      </c>
      <c r="M1536" s="594" t="s">
        <v>8</v>
      </c>
      <c r="N1536" s="52" t="str">
        <f>IF(AND('331-CT'!$E$7=TH!H1536,OR(L1536="331",M1536="331")),"331",IF(AND(OR(L1536="131",M1536="131"),H1536='131-CT'!$E$7),"131",""))</f>
        <v/>
      </c>
      <c r="O1536" s="86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799"/>
    </row>
    <row r="1537" spans="1:27" s="210" customFormat="1" ht="15.75" customHeight="1">
      <c r="A1537" s="203" t="str">
        <f>IF(B1537&lt;&gt;"",IF(AND(B1537&gt;=_TM1,B1537&lt;=_TM2,OR(TH!L1537="1111",TH!M1537="1111")),TH!D1537,""),"")</f>
        <v/>
      </c>
      <c r="B1537" s="36">
        <f>IF(C1537&lt;&gt;"",MONTH(C1537),"")</f>
        <v>8</v>
      </c>
      <c r="C1537" s="183">
        <f>E1537</f>
        <v>42242</v>
      </c>
      <c r="D1537" s="190" t="s">
        <v>1962</v>
      </c>
      <c r="E1537" s="727">
        <v>42242</v>
      </c>
      <c r="F1537" s="296" t="s">
        <v>1456</v>
      </c>
      <c r="G1537" s="482" t="s">
        <v>1458</v>
      </c>
      <c r="H1537" s="7" t="s">
        <v>1457</v>
      </c>
      <c r="I1537" s="255"/>
      <c r="J1537" s="255"/>
      <c r="K1537" s="593">
        <v>1802250</v>
      </c>
      <c r="L1537" s="594" t="s">
        <v>9</v>
      </c>
      <c r="M1537" s="594" t="s">
        <v>8</v>
      </c>
      <c r="N1537" s="52" t="str">
        <f>IF(AND('331-CT'!$E$7=TH!H1537,OR(L1537="331",M1537="331")),"331",IF(AND(OR(L1537="131",M1537="131"),H1537='131-CT'!$E$7),"131",""))</f>
        <v/>
      </c>
      <c r="O1537" s="86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799"/>
    </row>
    <row r="1538" spans="1:27" s="210" customFormat="1" ht="15.75" customHeight="1">
      <c r="A1538" s="203" t="str">
        <f>IF(B1538&lt;&gt;"",IF(AND(B1538&gt;=_TM1,B1538&lt;=_TM2,OR(TH!L1538="1111",TH!M1538="1111")),TH!D1538,""),"")</f>
        <v/>
      </c>
      <c r="B1538" s="36">
        <f>IF(C1538&lt;&gt;"",MONTH(C1538),"")</f>
        <v>8</v>
      </c>
      <c r="C1538" s="183">
        <f>E1538</f>
        <v>42242</v>
      </c>
      <c r="D1538" s="190" t="s">
        <v>1962</v>
      </c>
      <c r="E1538" s="727">
        <v>42242</v>
      </c>
      <c r="F1538" s="296" t="s">
        <v>1326</v>
      </c>
      <c r="G1538" s="482" t="s">
        <v>1458</v>
      </c>
      <c r="H1538" s="7" t="s">
        <v>1457</v>
      </c>
      <c r="I1538" s="255"/>
      <c r="J1538" s="255"/>
      <c r="K1538" s="593">
        <v>19824750</v>
      </c>
      <c r="L1538" s="594" t="s">
        <v>8</v>
      </c>
      <c r="M1538" s="594" t="s">
        <v>47</v>
      </c>
      <c r="N1538" s="52" t="str">
        <f>IF(AND('331-CT'!$E$7=TH!H1538,OR(L1538="331",M1538="331")),"331",IF(AND(OR(L1538="131",M1538="131"),H1538='131-CT'!$E$7),"131",""))</f>
        <v/>
      </c>
      <c r="O1538" s="86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799"/>
    </row>
    <row r="1539" spans="1:27" s="210" customFormat="1" ht="15.75" customHeight="1">
      <c r="A1539" s="203" t="str">
        <f>IF(B1539&lt;&gt;"",IF(AND(B1539&gt;=_TM1,B1539&lt;=_TM2,OR(TH!L1539="1111",TH!M1539="1111")),TH!D1539,""),"")</f>
        <v/>
      </c>
      <c r="B1539" s="36">
        <f>IF(C1539&lt;&gt;"",MONTH(C1539),"")</f>
        <v>8</v>
      </c>
      <c r="C1539" s="183">
        <f>E1539</f>
        <v>42242</v>
      </c>
      <c r="D1539" s="190" t="s">
        <v>1963</v>
      </c>
      <c r="E1539" s="727">
        <v>42242</v>
      </c>
      <c r="F1539" s="296" t="s">
        <v>1326</v>
      </c>
      <c r="G1539" s="482" t="s">
        <v>1295</v>
      </c>
      <c r="H1539" s="7" t="s">
        <v>1459</v>
      </c>
      <c r="I1539" s="255"/>
      <c r="J1539" s="255"/>
      <c r="K1539" s="593">
        <f>K1540+K1541</f>
        <v>4180000</v>
      </c>
      <c r="L1539" s="594" t="s">
        <v>8</v>
      </c>
      <c r="M1539" s="594" t="s">
        <v>47</v>
      </c>
      <c r="N1539" s="52" t="str">
        <f>IF(AND('331-CT'!$E$7=TH!H1539,OR(L1539="331",M1539="331")),"331",IF(AND(OR(L1539="131",M1539="131"),H1539='131-CT'!$E$7),"131",""))</f>
        <v/>
      </c>
      <c r="O1539" s="86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799"/>
    </row>
    <row r="1540" spans="1:27" s="210" customFormat="1" ht="15.75" customHeight="1">
      <c r="A1540" s="203" t="str">
        <f>IF(B1540&lt;&gt;"",IF(AND(B1540&gt;=_TM1,B1540&lt;=_TM2,OR(TH!L1540="1111",TH!M1540="1111")),TH!D1540,""),"")</f>
        <v/>
      </c>
      <c r="B1540" s="36">
        <f>IF(C1540&lt;&gt;"",MONTH(C1540),"")</f>
        <v>8</v>
      </c>
      <c r="C1540" s="183">
        <f>E1540</f>
        <v>42242</v>
      </c>
      <c r="D1540" s="190" t="s">
        <v>1963</v>
      </c>
      <c r="E1540" s="727">
        <v>42242</v>
      </c>
      <c r="F1540" s="296" t="s">
        <v>1460</v>
      </c>
      <c r="G1540" s="482" t="s">
        <v>1295</v>
      </c>
      <c r="H1540" s="7" t="s">
        <v>1459</v>
      </c>
      <c r="I1540" s="255">
        <v>200</v>
      </c>
      <c r="J1540" s="255">
        <v>19000</v>
      </c>
      <c r="K1540" s="593">
        <f>ROUND(I1540*J1540,0)</f>
        <v>3800000</v>
      </c>
      <c r="L1540" s="594" t="s">
        <v>161</v>
      </c>
      <c r="M1540" s="594" t="s">
        <v>8</v>
      </c>
      <c r="N1540" s="52" t="str">
        <f>IF(AND('331-CT'!$E$7=TH!H1540,OR(L1540="331",M1540="331")),"331",IF(AND(OR(L1540="131",M1540="131"),H1540='131-CT'!$E$7),"131",""))</f>
        <v/>
      </c>
      <c r="O1540" s="86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799"/>
    </row>
    <row r="1541" spans="1:27" s="210" customFormat="1" ht="15.75" customHeight="1">
      <c r="A1541" s="203" t="str">
        <f>IF(B1541&lt;&gt;"",IF(AND(B1541&gt;=_TM1,B1541&lt;=_TM2,OR(TH!L1541="1111",TH!M1541="1111")),TH!D1541,""),"")</f>
        <v/>
      </c>
      <c r="B1541" s="36">
        <f>IF(C1541&lt;&gt;"",MONTH(C1541),"")</f>
        <v>8</v>
      </c>
      <c r="C1541" s="183">
        <f>E1541</f>
        <v>42242</v>
      </c>
      <c r="D1541" s="190" t="s">
        <v>1963</v>
      </c>
      <c r="E1541" s="727">
        <v>42242</v>
      </c>
      <c r="F1541" s="296" t="s">
        <v>1461</v>
      </c>
      <c r="G1541" s="482" t="s">
        <v>1295</v>
      </c>
      <c r="H1541" s="7" t="s">
        <v>1459</v>
      </c>
      <c r="I1541" s="255"/>
      <c r="J1541" s="255"/>
      <c r="K1541" s="593">
        <v>380000</v>
      </c>
      <c r="L1541" s="594" t="s">
        <v>9</v>
      </c>
      <c r="M1541" s="594" t="s">
        <v>8</v>
      </c>
      <c r="N1541" s="52" t="str">
        <f>IF(AND('331-CT'!$E$7=TH!H1541,OR(L1541="331",M1541="331")),"331",IF(AND(OR(L1541="131",M1541="131"),H1541='131-CT'!$E$7),"131",""))</f>
        <v/>
      </c>
      <c r="O1541" s="86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799"/>
    </row>
    <row r="1542" spans="1:27" s="210" customFormat="1" ht="15.75" customHeight="1">
      <c r="A1542" s="203" t="str">
        <f>IF(B1542&lt;&gt;"",IF(AND(B1542&gt;=_TM1,B1542&lt;=_TM2,OR(TH!L1542="1111",TH!M1542="1111")),TH!D1542,""),"")</f>
        <v/>
      </c>
      <c r="B1542" s="36">
        <f>IF(C1542&lt;&gt;"",MONTH(C1542),"")</f>
        <v>8</v>
      </c>
      <c r="C1542" s="183">
        <f>E1542</f>
        <v>42243</v>
      </c>
      <c r="D1542" s="183" t="s">
        <v>1583</v>
      </c>
      <c r="E1542" s="727">
        <v>42243</v>
      </c>
      <c r="F1542" s="188" t="s">
        <v>2012</v>
      </c>
      <c r="G1542" s="40" t="s">
        <v>992</v>
      </c>
      <c r="H1542" s="7" t="s">
        <v>1128</v>
      </c>
      <c r="I1542" s="750">
        <v>2000</v>
      </c>
      <c r="J1542" s="255">
        <v>3600</v>
      </c>
      <c r="K1542" s="593">
        <f>ROUND(I1542*J1542,0)</f>
        <v>7200000</v>
      </c>
      <c r="L1542" s="594" t="s">
        <v>259</v>
      </c>
      <c r="M1542" s="594" t="s">
        <v>174</v>
      </c>
      <c r="N1542" s="52" t="str">
        <f>IF(AND('331-CT'!$E$7=TH!H1542,OR(L1542="331",M1542="331")),"331",IF(AND(OR(L1542="131",M1542="131"),H1542='131-CT'!$E$7),"131",""))</f>
        <v/>
      </c>
      <c r="O1542" s="86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799"/>
    </row>
    <row r="1543" spans="1:27" s="210" customFormat="1" ht="15.75" customHeight="1">
      <c r="A1543" s="203" t="str">
        <f>IF(B1543&lt;&gt;"",IF(AND(B1543&gt;=_TM1,B1543&lt;=_TM2,OR(TH!L1543="1111",TH!M1543="1111")),TH!D1543,""),"")</f>
        <v/>
      </c>
      <c r="B1543" s="36">
        <f>IF(C1543&lt;&gt;"",MONTH(C1543),"")</f>
        <v>8</v>
      </c>
      <c r="C1543" s="183">
        <f>E1543</f>
        <v>42243</v>
      </c>
      <c r="D1543" s="183" t="s">
        <v>1583</v>
      </c>
      <c r="E1543" s="727">
        <v>42243</v>
      </c>
      <c r="F1543" s="296" t="s">
        <v>1955</v>
      </c>
      <c r="G1543" s="40" t="s">
        <v>992</v>
      </c>
      <c r="H1543" s="7" t="s">
        <v>1128</v>
      </c>
      <c r="I1543" s="255">
        <v>500</v>
      </c>
      <c r="J1543" s="255">
        <v>9300</v>
      </c>
      <c r="K1543" s="593">
        <f>ROUND(I1543*J1543,0)</f>
        <v>4650000</v>
      </c>
      <c r="L1543" s="594" t="s">
        <v>259</v>
      </c>
      <c r="M1543" s="594" t="s">
        <v>174</v>
      </c>
      <c r="N1543" s="52" t="str">
        <f>IF(AND('331-CT'!$E$7=TH!H1543,OR(L1543="331",M1543="331")),"331",IF(AND(OR(L1543="131",M1543="131"),H1543='131-CT'!$E$7),"131",""))</f>
        <v/>
      </c>
      <c r="O1543" s="86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799"/>
    </row>
    <row r="1544" spans="1:27" s="210" customFormat="1" ht="15.75" customHeight="1">
      <c r="A1544" s="203" t="str">
        <f>IF(B1544&lt;&gt;"",IF(AND(B1544&gt;=_TM1,B1544&lt;=_TM2,OR(TH!L1544="1111",TH!M1544="1111")),TH!D1544,""),"")</f>
        <v/>
      </c>
      <c r="B1544" s="36">
        <f>IF(C1544&lt;&gt;"",MONTH(C1544),"")</f>
        <v>8</v>
      </c>
      <c r="C1544" s="183">
        <f>E1544</f>
        <v>42243</v>
      </c>
      <c r="D1544" s="183" t="s">
        <v>1583</v>
      </c>
      <c r="E1544" s="727">
        <v>42243</v>
      </c>
      <c r="F1544" s="188" t="s">
        <v>402</v>
      </c>
      <c r="G1544" s="40" t="s">
        <v>992</v>
      </c>
      <c r="H1544" s="7" t="s">
        <v>1128</v>
      </c>
      <c r="I1544" s="750"/>
      <c r="J1544" s="255"/>
      <c r="K1544" s="593">
        <v>1185000</v>
      </c>
      <c r="L1544" s="594" t="s">
        <v>259</v>
      </c>
      <c r="M1544" s="594" t="s">
        <v>371</v>
      </c>
      <c r="N1544" s="52" t="str">
        <f>IF(AND('331-CT'!$E$7=TH!H1544,OR(L1544="331",M1544="331")),"331",IF(AND(OR(L1544="131",M1544="131"),H1544='131-CT'!$E$7),"131",""))</f>
        <v/>
      </c>
      <c r="O1544" s="86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799"/>
    </row>
    <row r="1545" spans="1:27" s="210" customFormat="1" ht="15.75" customHeight="1">
      <c r="A1545" s="203" t="str">
        <f>IF(B1545&lt;&gt;"",IF(AND(B1545&gt;=_TM1,B1545&lt;=_TM2,OR(TH!L1545="1111",TH!M1545="1111")),TH!D1545,""),"")</f>
        <v/>
      </c>
      <c r="B1545" s="36">
        <f>IF(C1545&lt;&gt;"",MONTH(C1545),"")</f>
        <v>8</v>
      </c>
      <c r="C1545" s="183">
        <f>E1545</f>
        <v>42243</v>
      </c>
      <c r="D1545" s="183" t="s">
        <v>1583</v>
      </c>
      <c r="E1545" s="727">
        <v>42243</v>
      </c>
      <c r="F1545" s="191" t="s">
        <v>1320</v>
      </c>
      <c r="G1545" s="40" t="s">
        <v>992</v>
      </c>
      <c r="H1545" s="7" t="s">
        <v>1128</v>
      </c>
      <c r="I1545" s="750"/>
      <c r="J1545" s="255"/>
      <c r="K1545" s="593">
        <v>13035000</v>
      </c>
      <c r="L1545" s="594" t="s">
        <v>47</v>
      </c>
      <c r="M1545" s="594" t="s">
        <v>259</v>
      </c>
      <c r="N1545" s="52" t="str">
        <f>IF(AND('331-CT'!$E$7=TH!H1545,OR(L1545="331",M1545="331")),"331",IF(AND(OR(L1545="131",M1545="131"),H1545='131-CT'!$E$7),"131",""))</f>
        <v/>
      </c>
      <c r="O1545" s="86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799"/>
    </row>
    <row r="1546" spans="1:27" s="210" customFormat="1" ht="15.75" customHeight="1">
      <c r="A1546" s="203" t="str">
        <f>IF(B1546&lt;&gt;"",IF(AND(B1546&gt;=_TM1,B1546&lt;=_TM2,OR(TH!L1546="1111",TH!M1546="1111")),TH!D1546,""),"")</f>
        <v/>
      </c>
      <c r="B1546" s="36">
        <f>IF(C1546&lt;&gt;"",MONTH(C1546),"")</f>
        <v>8</v>
      </c>
      <c r="C1546" s="183">
        <f>E1546</f>
        <v>42243</v>
      </c>
      <c r="D1546" s="183" t="s">
        <v>1584</v>
      </c>
      <c r="E1546" s="727">
        <v>42243</v>
      </c>
      <c r="F1546" s="188" t="s">
        <v>398</v>
      </c>
      <c r="G1546" s="40" t="s">
        <v>993</v>
      </c>
      <c r="H1546" s="7" t="s">
        <v>400</v>
      </c>
      <c r="I1546" s="255">
        <v>608</v>
      </c>
      <c r="J1546" s="255">
        <v>5050</v>
      </c>
      <c r="K1546" s="593">
        <f>ROUND(I1546*J1546,0)</f>
        <v>3070400</v>
      </c>
      <c r="L1546" s="594" t="s">
        <v>259</v>
      </c>
      <c r="M1546" s="594" t="s">
        <v>174</v>
      </c>
      <c r="N1546" s="52" t="str">
        <f>IF(AND('331-CT'!$E$7=TH!H1546,OR(L1546="331",M1546="331")),"331",IF(AND(OR(L1546="131",M1546="131"),H1546='131-CT'!$E$7),"131",""))</f>
        <v/>
      </c>
      <c r="O1546" s="86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799"/>
    </row>
    <row r="1547" spans="1:27" s="210" customFormat="1" ht="15.75" customHeight="1">
      <c r="A1547" s="203" t="str">
        <f>IF(B1547&lt;&gt;"",IF(AND(B1547&gt;=_TM1,B1547&lt;=_TM2,OR(TH!L1547="1111",TH!M1547="1111")),TH!D1547,""),"")</f>
        <v/>
      </c>
      <c r="B1547" s="36">
        <f>IF(C1547&lt;&gt;"",MONTH(C1547),"")</f>
        <v>8</v>
      </c>
      <c r="C1547" s="183">
        <f>E1547</f>
        <v>42243</v>
      </c>
      <c r="D1547" s="183" t="s">
        <v>1584</v>
      </c>
      <c r="E1547" s="727">
        <v>42243</v>
      </c>
      <c r="F1547" s="40" t="s">
        <v>446</v>
      </c>
      <c r="G1547" s="40" t="s">
        <v>993</v>
      </c>
      <c r="H1547" s="7" t="s">
        <v>400</v>
      </c>
      <c r="I1547" s="255">
        <v>329</v>
      </c>
      <c r="J1547" s="255">
        <v>5600</v>
      </c>
      <c r="K1547" s="593">
        <f>ROUND(I1547*J1547,0)</f>
        <v>1842400</v>
      </c>
      <c r="L1547" s="594" t="s">
        <v>259</v>
      </c>
      <c r="M1547" s="594" t="s">
        <v>174</v>
      </c>
      <c r="N1547" s="52" t="str">
        <f>IF(AND('331-CT'!$E$7=TH!H1547,OR(L1547="331",M1547="331")),"331",IF(AND(OR(L1547="131",M1547="131"),H1547='131-CT'!$E$7),"131",""))</f>
        <v/>
      </c>
      <c r="O1547" s="86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799"/>
    </row>
    <row r="1548" spans="1:27" s="210" customFormat="1" ht="15.75" customHeight="1">
      <c r="A1548" s="203" t="str">
        <f>IF(B1548&lt;&gt;"",IF(AND(B1548&gt;=_TM1,B1548&lt;=_TM2,OR(TH!L1548="1111",TH!M1548="1111")),TH!D1548,""),"")</f>
        <v/>
      </c>
      <c r="B1548" s="36">
        <f>IF(C1548&lt;&gt;"",MONTH(C1548),"")</f>
        <v>8</v>
      </c>
      <c r="C1548" s="183">
        <f>E1548</f>
        <v>42243</v>
      </c>
      <c r="D1548" s="183" t="s">
        <v>1584</v>
      </c>
      <c r="E1548" s="727">
        <v>42243</v>
      </c>
      <c r="F1548" s="188" t="s">
        <v>994</v>
      </c>
      <c r="G1548" s="40" t="s">
        <v>993</v>
      </c>
      <c r="H1548" s="7" t="s">
        <v>400</v>
      </c>
      <c r="I1548" s="255">
        <v>312</v>
      </c>
      <c r="J1548" s="255">
        <v>8000</v>
      </c>
      <c r="K1548" s="593">
        <f>ROUND(I1548*J1548,0)</f>
        <v>2496000</v>
      </c>
      <c r="L1548" s="594" t="s">
        <v>259</v>
      </c>
      <c r="M1548" s="594" t="s">
        <v>174</v>
      </c>
      <c r="N1548" s="52" t="str">
        <f>IF(AND('331-CT'!$E$7=TH!H1548,OR(L1548="331",M1548="331")),"331",IF(AND(OR(L1548="131",M1548="131"),H1548='131-CT'!$E$7),"131",""))</f>
        <v/>
      </c>
      <c r="O1548" s="86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799"/>
    </row>
    <row r="1549" spans="1:27" s="210" customFormat="1" ht="15.75" customHeight="1">
      <c r="A1549" s="203" t="str">
        <f>IF(B1549&lt;&gt;"",IF(AND(B1549&gt;=_TM1,B1549&lt;=_TM2,OR(TH!L1549="1111",TH!M1549="1111")),TH!D1549,""),"")</f>
        <v/>
      </c>
      <c r="B1549" s="36">
        <f>IF(C1549&lt;&gt;"",MONTH(C1549),"")</f>
        <v>8</v>
      </c>
      <c r="C1549" s="183">
        <f>E1549</f>
        <v>42243</v>
      </c>
      <c r="D1549" s="183" t="s">
        <v>1584</v>
      </c>
      <c r="E1549" s="727">
        <v>42243</v>
      </c>
      <c r="F1549" s="40" t="s">
        <v>995</v>
      </c>
      <c r="G1549" s="40" t="s">
        <v>993</v>
      </c>
      <c r="H1549" s="7" t="s">
        <v>400</v>
      </c>
      <c r="I1549" s="255">
        <v>309</v>
      </c>
      <c r="J1549" s="255">
        <v>9290</v>
      </c>
      <c r="K1549" s="593">
        <f>ROUND(I1549*J1549,0)</f>
        <v>2870610</v>
      </c>
      <c r="L1549" s="594" t="s">
        <v>259</v>
      </c>
      <c r="M1549" s="594" t="s">
        <v>174</v>
      </c>
      <c r="N1549" s="52" t="str">
        <f>IF(AND('331-CT'!$E$7=TH!H1549,OR(L1549="331",M1549="331")),"331",IF(AND(OR(L1549="131",M1549="131"),H1549='131-CT'!$E$7),"131",""))</f>
        <v/>
      </c>
      <c r="O1549" s="86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799"/>
    </row>
    <row r="1550" spans="1:27" s="210" customFormat="1" ht="15.75" customHeight="1">
      <c r="A1550" s="203" t="str">
        <f>IF(B1550&lt;&gt;"",IF(AND(B1550&gt;=_TM1,B1550&lt;=_TM2,OR(TH!L1550="1111",TH!M1550="1111")),TH!D1550,""),"")</f>
        <v/>
      </c>
      <c r="B1550" s="36">
        <f>IF(C1550&lt;&gt;"",MONTH(C1550),"")</f>
        <v>8</v>
      </c>
      <c r="C1550" s="183">
        <f>E1550</f>
        <v>42243</v>
      </c>
      <c r="D1550" s="183" t="s">
        <v>1584</v>
      </c>
      <c r="E1550" s="727">
        <v>42243</v>
      </c>
      <c r="F1550" s="188" t="s">
        <v>402</v>
      </c>
      <c r="G1550" s="40" t="s">
        <v>993</v>
      </c>
      <c r="H1550" s="7" t="s">
        <v>400</v>
      </c>
      <c r="I1550" s="255"/>
      <c r="J1550" s="255"/>
      <c r="K1550" s="593">
        <v>1027941</v>
      </c>
      <c r="L1550" s="594" t="s">
        <v>259</v>
      </c>
      <c r="M1550" s="594" t="s">
        <v>371</v>
      </c>
      <c r="N1550" s="52" t="str">
        <f>IF(AND('331-CT'!$E$7=TH!H1550,OR(L1550="331",M1550="331")),"331",IF(AND(OR(L1550="131",M1550="131"),H1550='131-CT'!$E$7),"131",""))</f>
        <v/>
      </c>
      <c r="O1550" s="86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799"/>
    </row>
    <row r="1551" spans="1:27" s="210" customFormat="1" ht="15.75" customHeight="1">
      <c r="A1551" s="203" t="str">
        <f>IF(B1551&lt;&gt;"",IF(AND(B1551&gt;=_TM1,B1551&lt;=_TM2,OR(TH!L1551="1111",TH!M1551="1111")),TH!D1551,""),"")</f>
        <v/>
      </c>
      <c r="B1551" s="36">
        <f>IF(C1551&lt;&gt;"",MONTH(C1551),"")</f>
        <v>8</v>
      </c>
      <c r="C1551" s="183">
        <f>E1551</f>
        <v>42243</v>
      </c>
      <c r="D1551" s="183" t="s">
        <v>1585</v>
      </c>
      <c r="E1551" s="727">
        <v>42243</v>
      </c>
      <c r="F1551" s="40" t="s">
        <v>2010</v>
      </c>
      <c r="G1551" s="40" t="s">
        <v>996</v>
      </c>
      <c r="H1551" s="7" t="s">
        <v>957</v>
      </c>
      <c r="I1551" s="255">
        <v>2000</v>
      </c>
      <c r="J1551" s="255">
        <v>11300</v>
      </c>
      <c r="K1551" s="593">
        <f>ROUND(I1551*J1551,0)</f>
        <v>22600000</v>
      </c>
      <c r="L1551" s="594" t="s">
        <v>259</v>
      </c>
      <c r="M1551" s="594" t="s">
        <v>174</v>
      </c>
      <c r="N1551" s="52" t="str">
        <f>IF(AND('331-CT'!$E$7=TH!H1551,OR(L1551="331",M1551="331")),"331",IF(AND(OR(L1551="131",M1551="131"),H1551='131-CT'!$E$7),"131",""))</f>
        <v/>
      </c>
      <c r="O1551" s="86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799"/>
    </row>
    <row r="1552" spans="1:27" s="210" customFormat="1" ht="15.75" customHeight="1">
      <c r="A1552" s="203" t="str">
        <f>IF(B1552&lt;&gt;"",IF(AND(B1552&gt;=_TM1,B1552&lt;=_TM2,OR(TH!L1552="1111",TH!M1552="1111")),TH!D1552,""),"")</f>
        <v/>
      </c>
      <c r="B1552" s="36">
        <f>IF(C1552&lt;&gt;"",MONTH(C1552),"")</f>
        <v>8</v>
      </c>
      <c r="C1552" s="183">
        <f>E1552</f>
        <v>42243</v>
      </c>
      <c r="D1552" s="183" t="s">
        <v>1585</v>
      </c>
      <c r="E1552" s="727">
        <v>42243</v>
      </c>
      <c r="F1552" s="40" t="s">
        <v>402</v>
      </c>
      <c r="G1552" s="40" t="s">
        <v>996</v>
      </c>
      <c r="H1552" s="7" t="s">
        <v>957</v>
      </c>
      <c r="I1552" s="255"/>
      <c r="J1552" s="255"/>
      <c r="K1552" s="593">
        <v>2260000</v>
      </c>
      <c r="L1552" s="594" t="s">
        <v>259</v>
      </c>
      <c r="M1552" s="594" t="s">
        <v>371</v>
      </c>
      <c r="N1552" s="52" t="str">
        <f>IF(AND('331-CT'!$E$7=TH!H1552,OR(L1552="331",M1552="331")),"331",IF(AND(OR(L1552="131",M1552="131"),H1552='131-CT'!$E$7),"131",""))</f>
        <v/>
      </c>
      <c r="O1552" s="86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799"/>
    </row>
    <row r="1553" spans="1:27" s="210" customFormat="1" ht="15.75" customHeight="1">
      <c r="A1553" s="203" t="str">
        <f>IF(B1553&lt;&gt;"",IF(AND(B1553&gt;=_TM1,B1553&lt;=_TM2,OR(TH!L1553="1111",TH!M1553="1111")),TH!D1553,""),"")</f>
        <v/>
      </c>
      <c r="B1553" s="36">
        <f>IF(C1553&lt;&gt;"",MONTH(C1553),"")</f>
        <v>8</v>
      </c>
      <c r="C1553" s="183">
        <f>E1553</f>
        <v>42243</v>
      </c>
      <c r="D1553" s="183" t="s">
        <v>1324</v>
      </c>
      <c r="E1553" s="190">
        <v>42243</v>
      </c>
      <c r="F1553" s="188" t="s">
        <v>1329</v>
      </c>
      <c r="G1553" s="482" t="s">
        <v>332</v>
      </c>
      <c r="H1553" s="7"/>
      <c r="I1553" s="255"/>
      <c r="J1553" s="255"/>
      <c r="K1553" s="593">
        <v>45000</v>
      </c>
      <c r="L1553" s="594" t="s">
        <v>83</v>
      </c>
      <c r="M1553" s="594" t="s">
        <v>24</v>
      </c>
      <c r="N1553" s="52" t="str">
        <f>IF(AND('331-CT'!$E$7=TH!H1553,OR(L1553="331",M1553="331")),"331",IF(AND(OR(L1553="131",M1553="131"),H1553='131-CT'!$E$7),"131",""))</f>
        <v/>
      </c>
      <c r="O1553" s="86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>x</v>
      </c>
      <c r="V1553" s="52" t="str">
        <f>IF(OR(TH!L1553=TH!$V$7,M1553=TH!$V$7),"x","")</f>
        <v>x</v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799"/>
    </row>
    <row r="1554" spans="1:27" s="210" customFormat="1" ht="15.75" customHeight="1">
      <c r="A1554" s="203" t="str">
        <f>IF(B1554&lt;&gt;"",IF(AND(B1554&gt;=_TM1,B1554&lt;=_TM2,OR(TH!L1554="1111",TH!M1554="1111")),TH!D1554,""),"")</f>
        <v/>
      </c>
      <c r="B1554" s="36">
        <f>IF(C1554&lt;&gt;"",MONTH(C1554),"")</f>
        <v>8</v>
      </c>
      <c r="C1554" s="183">
        <f>E1554</f>
        <v>42244</v>
      </c>
      <c r="D1554" s="183" t="s">
        <v>1586</v>
      </c>
      <c r="E1554" s="727">
        <v>42244</v>
      </c>
      <c r="F1554" s="188" t="s">
        <v>451</v>
      </c>
      <c r="G1554" s="40" t="s">
        <v>997</v>
      </c>
      <c r="H1554" s="7" t="s">
        <v>453</v>
      </c>
      <c r="I1554" s="255">
        <v>307</v>
      </c>
      <c r="J1554" s="255">
        <v>12900</v>
      </c>
      <c r="K1554" s="593">
        <f>ROUND(I1554*J1554,0)</f>
        <v>3960300</v>
      </c>
      <c r="L1554" s="594" t="s">
        <v>259</v>
      </c>
      <c r="M1554" s="594" t="s">
        <v>174</v>
      </c>
      <c r="N1554" s="52" t="str">
        <f>IF(AND('331-CT'!$E$7=TH!H1554,OR(L1554="331",M1554="331")),"331",IF(AND(OR(L1554="131",M1554="131"),H1554='131-CT'!$E$7),"131",""))</f>
        <v/>
      </c>
      <c r="O1554" s="86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799"/>
    </row>
    <row r="1555" spans="1:27" s="210" customFormat="1" ht="15.75" customHeight="1">
      <c r="A1555" s="203" t="str">
        <f>IF(B1555&lt;&gt;"",IF(AND(B1555&gt;=_TM1,B1555&lt;=_TM2,OR(TH!L1555="1111",TH!M1555="1111")),TH!D1555,""),"")</f>
        <v/>
      </c>
      <c r="B1555" s="36">
        <f>IF(C1555&lt;&gt;"",MONTH(C1555),"")</f>
        <v>8</v>
      </c>
      <c r="C1555" s="183">
        <f>E1555</f>
        <v>42244</v>
      </c>
      <c r="D1555" s="183" t="s">
        <v>1586</v>
      </c>
      <c r="E1555" s="727">
        <v>42244</v>
      </c>
      <c r="F1555" s="188" t="s">
        <v>998</v>
      </c>
      <c r="G1555" s="40" t="s">
        <v>997</v>
      </c>
      <c r="H1555" s="7" t="s">
        <v>453</v>
      </c>
      <c r="I1555" s="255">
        <v>50</v>
      </c>
      <c r="J1555" s="255">
        <v>11600</v>
      </c>
      <c r="K1555" s="593">
        <f>ROUND(I1555*J1555,0)</f>
        <v>580000</v>
      </c>
      <c r="L1555" s="594" t="s">
        <v>259</v>
      </c>
      <c r="M1555" s="594" t="s">
        <v>174</v>
      </c>
      <c r="N1555" s="52" t="str">
        <f>IF(AND('331-CT'!$E$7=TH!H1555,OR(L1555="331",M1555="331")),"331",IF(AND(OR(L1555="131",M1555="131"),H1555='131-CT'!$E$7),"131",""))</f>
        <v/>
      </c>
      <c r="O1555" s="86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799"/>
    </row>
    <row r="1556" spans="1:27" s="210" customFormat="1" ht="15.75" customHeight="1">
      <c r="A1556" s="203" t="str">
        <f>IF(B1556&lt;&gt;"",IF(AND(B1556&gt;=_TM1,B1556&lt;=_TM2,OR(TH!L1556="1111",TH!M1556="1111")),TH!D1556,""),"")</f>
        <v/>
      </c>
      <c r="B1556" s="36">
        <f>IF(C1556&lt;&gt;"",MONTH(C1556),"")</f>
        <v>8</v>
      </c>
      <c r="C1556" s="183">
        <f>E1556</f>
        <v>42244</v>
      </c>
      <c r="D1556" s="183" t="s">
        <v>1586</v>
      </c>
      <c r="E1556" s="183">
        <v>42244</v>
      </c>
      <c r="F1556" s="188" t="s">
        <v>402</v>
      </c>
      <c r="G1556" s="595" t="s">
        <v>997</v>
      </c>
      <c r="H1556" s="192" t="s">
        <v>453</v>
      </c>
      <c r="I1556" s="255"/>
      <c r="J1556" s="255"/>
      <c r="K1556" s="593">
        <v>454030</v>
      </c>
      <c r="L1556" s="594" t="s">
        <v>259</v>
      </c>
      <c r="M1556" s="594" t="s">
        <v>371</v>
      </c>
      <c r="N1556" s="52" t="str">
        <f>IF(AND('331-CT'!$E$7=TH!H1556,OR(L1556="331",M1556="331")),"331",IF(AND(OR(L1556="131",M1556="131"),H1556='131-CT'!$E$7),"131",""))</f>
        <v/>
      </c>
      <c r="O1556" s="86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799"/>
    </row>
    <row r="1557" spans="1:27" s="210" customFormat="1" ht="15.75" customHeight="1">
      <c r="A1557" s="203" t="str">
        <f>IF(B1557&lt;&gt;"",IF(AND(B1557&gt;=_TM1,B1557&lt;=_TM2,OR(TH!L1557="1111",TH!M1557="1111")),TH!D1557,""),"")</f>
        <v/>
      </c>
      <c r="B1557" s="36">
        <f>IF(C1557&lt;&gt;"",MONTH(C1557),"")</f>
        <v>8</v>
      </c>
      <c r="C1557" s="183">
        <f>E1557</f>
        <v>42244</v>
      </c>
      <c r="D1557" s="183" t="s">
        <v>1587</v>
      </c>
      <c r="E1557" s="183">
        <v>42244</v>
      </c>
      <c r="F1557" s="188" t="s">
        <v>999</v>
      </c>
      <c r="G1557" s="595" t="s">
        <v>1000</v>
      </c>
      <c r="H1557" s="192" t="s">
        <v>412</v>
      </c>
      <c r="I1557" s="255">
        <v>217</v>
      </c>
      <c r="J1557" s="255">
        <v>8050</v>
      </c>
      <c r="K1557" s="593">
        <f>ROUND(I1557*J1557,0)</f>
        <v>1746850</v>
      </c>
      <c r="L1557" s="594" t="s">
        <v>259</v>
      </c>
      <c r="M1557" s="594" t="s">
        <v>174</v>
      </c>
      <c r="N1557" s="52" t="str">
        <f>IF(AND('331-CT'!$E$7=TH!H1557,OR(L1557="331",M1557="331")),"331",IF(AND(OR(L1557="131",M1557="131"),H1557='131-CT'!$E$7),"131",""))</f>
        <v/>
      </c>
      <c r="O1557" s="86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799"/>
    </row>
    <row r="1558" spans="1:27" s="210" customFormat="1" ht="15.75" customHeight="1">
      <c r="A1558" s="203" t="str">
        <f>IF(B1558&lt;&gt;"",IF(AND(B1558&gt;=_TM1,B1558&lt;=_TM2,OR(TH!L1558="1111",TH!M1558="1111")),TH!D1558,""),"")</f>
        <v/>
      </c>
      <c r="B1558" s="36">
        <f>IF(C1558&lt;&gt;"",MONTH(C1558),"")</f>
        <v>8</v>
      </c>
      <c r="C1558" s="183">
        <f>E1558</f>
        <v>42244</v>
      </c>
      <c r="D1558" s="183" t="s">
        <v>1587</v>
      </c>
      <c r="E1558" s="183">
        <v>42244</v>
      </c>
      <c r="F1558" s="188" t="s">
        <v>402</v>
      </c>
      <c r="G1558" s="595" t="s">
        <v>1000</v>
      </c>
      <c r="H1558" s="7" t="s">
        <v>412</v>
      </c>
      <c r="I1558" s="255"/>
      <c r="J1558" s="255"/>
      <c r="K1558" s="593">
        <v>174685</v>
      </c>
      <c r="L1558" s="594" t="s">
        <v>259</v>
      </c>
      <c r="M1558" s="594" t="s">
        <v>371</v>
      </c>
      <c r="N1558" s="52" t="str">
        <f>IF(AND('331-CT'!$E$7=TH!H1558,OR(L1558="331",M1558="331")),"331",IF(AND(OR(L1558="131",M1558="131"),H1558='131-CT'!$E$7),"131",""))</f>
        <v/>
      </c>
      <c r="O1558" s="86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799"/>
    </row>
    <row r="1559" spans="1:27" s="210" customFormat="1" ht="15.75" customHeight="1">
      <c r="A1559" s="203" t="str">
        <f>IF(B1559&lt;&gt;"",IF(AND(B1559&gt;=_TM1,B1559&lt;=_TM2,OR(TH!L1559="1111",TH!M1559="1111")),TH!D1559,""),"")</f>
        <v/>
      </c>
      <c r="B1559" s="36">
        <f>IF(C1559&lt;&gt;"",MONTH(C1559),"")</f>
        <v>8</v>
      </c>
      <c r="C1559" s="183">
        <f>E1559</f>
        <v>42244</v>
      </c>
      <c r="D1559" s="183" t="s">
        <v>1587</v>
      </c>
      <c r="E1559" s="183">
        <v>42244</v>
      </c>
      <c r="F1559" s="191" t="s">
        <v>1320</v>
      </c>
      <c r="G1559" s="595" t="s">
        <v>2043</v>
      </c>
      <c r="H1559" s="7" t="s">
        <v>412</v>
      </c>
      <c r="I1559" s="255"/>
      <c r="J1559" s="255"/>
      <c r="K1559" s="593">
        <f>2367750+1599840+9332400+2303840+7033950+1921535</f>
        <v>24559315</v>
      </c>
      <c r="L1559" s="594" t="s">
        <v>47</v>
      </c>
      <c r="M1559" s="594" t="s">
        <v>259</v>
      </c>
      <c r="N1559" s="52" t="str">
        <f>IF(AND('331-CT'!$E$7=TH!H1559,OR(L1559="331",M1559="331")),"331",IF(AND(OR(L1559="131",M1559="131"),H1559='131-CT'!$E$7),"131",""))</f>
        <v/>
      </c>
      <c r="O1559" s="86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799"/>
    </row>
    <row r="1560" spans="1:27" s="210" customFormat="1" ht="15.75" customHeight="1">
      <c r="A1560" s="203" t="str">
        <f>IF(B1560&lt;&gt;"",IF(AND(B1560&gt;=_TM1,B1560&lt;=_TM2,OR(TH!L1560="1111",TH!M1560="1111")),TH!D1560,""),"")</f>
        <v/>
      </c>
      <c r="B1560" s="36">
        <f>IF(C1560&lt;&gt;"",MONTH(C1560),"")</f>
        <v>8</v>
      </c>
      <c r="C1560" s="183">
        <f>E1560</f>
        <v>42244</v>
      </c>
      <c r="D1560" s="183" t="s">
        <v>1588</v>
      </c>
      <c r="E1560" s="183">
        <v>42244</v>
      </c>
      <c r="F1560" s="188" t="s">
        <v>1948</v>
      </c>
      <c r="G1560" s="595" t="s">
        <v>1001</v>
      </c>
      <c r="H1560" s="7" t="s">
        <v>957</v>
      </c>
      <c r="I1560" s="255">
        <v>34</v>
      </c>
      <c r="J1560" s="255">
        <v>12400</v>
      </c>
      <c r="K1560" s="593">
        <f>ROUND(I1560*J1560,0)</f>
        <v>421600</v>
      </c>
      <c r="L1560" s="594" t="s">
        <v>259</v>
      </c>
      <c r="M1560" s="594" t="s">
        <v>174</v>
      </c>
      <c r="N1560" s="52" t="str">
        <f>IF(AND('331-CT'!$E$7=TH!H1560,OR(L1560="331",M1560="331")),"331",IF(AND(OR(L1560="131",M1560="131"),H1560='131-CT'!$E$7),"131",""))</f>
        <v/>
      </c>
      <c r="O1560" s="86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799"/>
    </row>
    <row r="1561" spans="1:27" s="210" customFormat="1" ht="15.75" customHeight="1">
      <c r="A1561" s="203" t="str">
        <f>IF(B1561&lt;&gt;"",IF(AND(B1561&gt;=_TM1,B1561&lt;=_TM2,OR(TH!L1561="1111",TH!M1561="1111")),TH!D1561,""),"")</f>
        <v/>
      </c>
      <c r="B1561" s="36">
        <f>IF(C1561&lt;&gt;"",MONTH(C1561),"")</f>
        <v>8</v>
      </c>
      <c r="C1561" s="183">
        <f>E1561</f>
        <v>42244</v>
      </c>
      <c r="D1561" s="183" t="s">
        <v>1588</v>
      </c>
      <c r="E1561" s="183">
        <v>42244</v>
      </c>
      <c r="F1561" s="188" t="s">
        <v>1950</v>
      </c>
      <c r="G1561" s="595" t="s">
        <v>1001</v>
      </c>
      <c r="H1561" s="7" t="s">
        <v>957</v>
      </c>
      <c r="I1561" s="255">
        <v>34</v>
      </c>
      <c r="J1561" s="255">
        <v>15300</v>
      </c>
      <c r="K1561" s="593">
        <f>ROUND(I1561*J1561,0)</f>
        <v>520200</v>
      </c>
      <c r="L1561" s="594" t="s">
        <v>259</v>
      </c>
      <c r="M1561" s="594" t="s">
        <v>174</v>
      </c>
      <c r="N1561" s="52" t="str">
        <f>IF(AND('331-CT'!$E$7=TH!H1561,OR(L1561="331",M1561="331")),"331",IF(AND(OR(L1561="131",M1561="131"),H1561='131-CT'!$E$7),"131",""))</f>
        <v/>
      </c>
      <c r="O1561" s="86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799"/>
    </row>
    <row r="1562" spans="1:27" s="210" customFormat="1" ht="15.75" customHeight="1">
      <c r="A1562" s="203" t="str">
        <f>IF(B1562&lt;&gt;"",IF(AND(B1562&gt;=_TM1,B1562&lt;=_TM2,OR(TH!L1562="1111",TH!M1562="1111")),TH!D1562,""),"")</f>
        <v/>
      </c>
      <c r="B1562" s="36">
        <f>IF(C1562&lt;&gt;"",MONTH(C1562),"")</f>
        <v>8</v>
      </c>
      <c r="C1562" s="183">
        <f>E1562</f>
        <v>42244</v>
      </c>
      <c r="D1562" s="183" t="s">
        <v>1588</v>
      </c>
      <c r="E1562" s="183">
        <v>42244</v>
      </c>
      <c r="F1562" s="188" t="s">
        <v>1951</v>
      </c>
      <c r="G1562" s="595" t="s">
        <v>1001</v>
      </c>
      <c r="H1562" s="7" t="s">
        <v>957</v>
      </c>
      <c r="I1562" s="255">
        <v>20</v>
      </c>
      <c r="J1562" s="255">
        <v>16500</v>
      </c>
      <c r="K1562" s="593">
        <f>ROUND(I1562*J1562,0)</f>
        <v>330000</v>
      </c>
      <c r="L1562" s="594" t="s">
        <v>259</v>
      </c>
      <c r="M1562" s="594" t="s">
        <v>174</v>
      </c>
      <c r="N1562" s="52" t="str">
        <f>IF(AND('331-CT'!$E$7=TH!H1562,OR(L1562="331",M1562="331")),"331",IF(AND(OR(L1562="131",M1562="131"),H1562='131-CT'!$E$7),"131",""))</f>
        <v/>
      </c>
      <c r="O1562" s="86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799"/>
    </row>
    <row r="1563" spans="1:27" s="210" customFormat="1" ht="15.75" customHeight="1">
      <c r="A1563" s="203" t="str">
        <f>IF(B1563&lt;&gt;"",IF(AND(B1563&gt;=_TM1,B1563&lt;=_TM2,OR(TH!L1563="1111",TH!M1563="1111")),TH!D1563,""),"")</f>
        <v/>
      </c>
      <c r="B1563" s="36">
        <f>IF(C1563&lt;&gt;"",MONTH(C1563),"")</f>
        <v>8</v>
      </c>
      <c r="C1563" s="183">
        <f>E1563</f>
        <v>42244</v>
      </c>
      <c r="D1563" s="183" t="s">
        <v>1588</v>
      </c>
      <c r="E1563" s="183">
        <v>42244</v>
      </c>
      <c r="F1563" s="188" t="s">
        <v>2011</v>
      </c>
      <c r="G1563" s="595" t="s">
        <v>1001</v>
      </c>
      <c r="H1563" s="192" t="s">
        <v>957</v>
      </c>
      <c r="I1563" s="255">
        <v>14</v>
      </c>
      <c r="J1563" s="255">
        <v>20100</v>
      </c>
      <c r="K1563" s="593">
        <f>ROUND(I1563*J1563,0)</f>
        <v>281400</v>
      </c>
      <c r="L1563" s="594" t="s">
        <v>259</v>
      </c>
      <c r="M1563" s="594" t="s">
        <v>174</v>
      </c>
      <c r="N1563" s="52" t="str">
        <f>IF(AND('331-CT'!$E$7=TH!H1563,OR(L1563="331",M1563="331")),"331",IF(AND(OR(L1563="131",M1563="131"),H1563='131-CT'!$E$7),"131",""))</f>
        <v/>
      </c>
      <c r="O1563" s="86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799"/>
    </row>
    <row r="1564" spans="1:27" s="210" customFormat="1" ht="15.75" customHeight="1">
      <c r="A1564" s="203" t="str">
        <f>IF(B1564&lt;&gt;"",IF(AND(B1564&gt;=_TM1,B1564&lt;=_TM2,OR(TH!L1564="1111",TH!M1564="1111")),TH!D1564,""),"")</f>
        <v/>
      </c>
      <c r="B1564" s="36">
        <f>IF(C1564&lt;&gt;"",MONTH(C1564),"")</f>
        <v>8</v>
      </c>
      <c r="C1564" s="183">
        <f>E1564</f>
        <v>42244</v>
      </c>
      <c r="D1564" s="183" t="s">
        <v>1588</v>
      </c>
      <c r="E1564" s="727">
        <v>42244</v>
      </c>
      <c r="F1564" s="188" t="s">
        <v>402</v>
      </c>
      <c r="G1564" s="40" t="s">
        <v>1001</v>
      </c>
      <c r="H1564" s="7" t="s">
        <v>957</v>
      </c>
      <c r="I1564" s="255"/>
      <c r="J1564" s="255"/>
      <c r="K1564" s="593">
        <v>155320</v>
      </c>
      <c r="L1564" s="594" t="s">
        <v>259</v>
      </c>
      <c r="M1564" s="594" t="s">
        <v>371</v>
      </c>
      <c r="N1564" s="52" t="str">
        <f>IF(AND('331-CT'!$E$7=TH!H1564,OR(L1564="331",M1564="331")),"331",IF(AND(OR(L1564="131",M1564="131"),H1564='131-CT'!$E$7),"131",""))</f>
        <v/>
      </c>
      <c r="O1564" s="86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799"/>
    </row>
    <row r="1565" spans="1:27" s="210" customFormat="1" ht="15.75" customHeight="1">
      <c r="A1565" s="203" t="str">
        <f>IF(B1565&lt;&gt;"",IF(AND(B1565&gt;=_TM1,B1565&lt;=_TM2,OR(TH!L1565="1111",TH!M1565="1111")),TH!D1565,""),"")</f>
        <v/>
      </c>
      <c r="B1565" s="36">
        <f>IF(C1565&lt;&gt;"",MONTH(C1565),"")</f>
        <v>8</v>
      </c>
      <c r="C1565" s="183">
        <f>E1565</f>
        <v>42244</v>
      </c>
      <c r="D1565" s="190" t="s">
        <v>1972</v>
      </c>
      <c r="E1565" s="727">
        <v>42244</v>
      </c>
      <c r="F1565" s="296" t="s">
        <v>1357</v>
      </c>
      <c r="G1565" s="482" t="s">
        <v>1055</v>
      </c>
      <c r="H1565" s="7" t="s">
        <v>1391</v>
      </c>
      <c r="I1565" s="255">
        <v>2480</v>
      </c>
      <c r="J1565" s="255">
        <v>7300</v>
      </c>
      <c r="K1565" s="593">
        <f>ROUND(I1565*J1565,0)</f>
        <v>18104000</v>
      </c>
      <c r="L1565" s="594" t="s">
        <v>159</v>
      </c>
      <c r="M1565" s="594" t="s">
        <v>8</v>
      </c>
      <c r="N1565" s="52" t="str">
        <f>IF(AND('331-CT'!$E$7=TH!H1565,OR(L1565="331",M1565="331")),"331",IF(AND(OR(L1565="131",M1565="131"),H1565='131-CT'!$E$7),"131",""))</f>
        <v/>
      </c>
      <c r="O1565" s="86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799"/>
    </row>
    <row r="1566" spans="1:27" s="210" customFormat="1" ht="15.75" customHeight="1">
      <c r="A1566" s="203" t="str">
        <f>IF(B1566&lt;&gt;"",IF(AND(B1566&gt;=_TM1,B1566&lt;=_TM2,OR(TH!L1566="1111",TH!M1566="1111")),TH!D1566,""),"")</f>
        <v/>
      </c>
      <c r="B1566" s="36">
        <f>IF(C1566&lt;&gt;"",MONTH(C1566),"")</f>
        <v>8</v>
      </c>
      <c r="C1566" s="183">
        <f>E1566</f>
        <v>42244</v>
      </c>
      <c r="D1566" s="190" t="s">
        <v>1972</v>
      </c>
      <c r="E1566" s="727">
        <v>42244</v>
      </c>
      <c r="F1566" s="296" t="s">
        <v>1393</v>
      </c>
      <c r="G1566" s="482" t="s">
        <v>1055</v>
      </c>
      <c r="H1566" s="7" t="s">
        <v>1391</v>
      </c>
      <c r="I1566" s="255"/>
      <c r="J1566" s="255"/>
      <c r="K1566" s="593">
        <v>1810400</v>
      </c>
      <c r="L1566" s="594" t="s">
        <v>9</v>
      </c>
      <c r="M1566" s="594" t="s">
        <v>8</v>
      </c>
      <c r="N1566" s="52" t="str">
        <f>IF(AND('331-CT'!$E$7=TH!H1566,OR(L1566="331",M1566="331")),"331",IF(AND(OR(L1566="131",M1566="131"),H1566='131-CT'!$E$7),"131",""))</f>
        <v/>
      </c>
      <c r="O1566" s="86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99"/>
    </row>
    <row r="1567" spans="1:27" s="210" customFormat="1" ht="15.75" customHeight="1">
      <c r="A1567" s="203" t="str">
        <f>IF(B1567&lt;&gt;"",IF(AND(B1567&gt;=_TM1,B1567&lt;=_TM2,OR(TH!L1567="1111",TH!M1567="1111")),TH!D1567,""),"")</f>
        <v/>
      </c>
      <c r="B1567" s="36">
        <f>IF(C1567&lt;&gt;"",MONTH(C1567),"")</f>
        <v>8</v>
      </c>
      <c r="C1567" s="183">
        <f>E1567</f>
        <v>42244</v>
      </c>
      <c r="D1567" s="190" t="s">
        <v>1972</v>
      </c>
      <c r="E1567" s="727">
        <v>42244</v>
      </c>
      <c r="F1567" s="296" t="s">
        <v>1326</v>
      </c>
      <c r="G1567" s="482" t="s">
        <v>1055</v>
      </c>
      <c r="H1567" s="7" t="s">
        <v>1391</v>
      </c>
      <c r="I1567" s="255"/>
      <c r="J1567" s="255"/>
      <c r="K1567" s="593">
        <v>19914400</v>
      </c>
      <c r="L1567" s="594" t="s">
        <v>8</v>
      </c>
      <c r="M1567" s="594" t="s">
        <v>47</v>
      </c>
      <c r="N1567" s="52" t="str">
        <f>IF(AND('331-CT'!$E$7=TH!H1567,OR(L1567="331",M1567="331")),"331",IF(AND(OR(L1567="131",M1567="131"),H1567='131-CT'!$E$7),"131",""))</f>
        <v/>
      </c>
      <c r="O1567" s="86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99"/>
    </row>
    <row r="1568" spans="1:27" s="210" customFormat="1" ht="15.75" customHeight="1">
      <c r="A1568" s="203" t="str">
        <f>IF(B1568&lt;&gt;"",IF(AND(B1568&gt;=_TM1,B1568&lt;=_TM2,OR(TH!L1568="1111",TH!M1568="1111")),TH!D1568,""),"")</f>
        <v/>
      </c>
      <c r="B1568" s="36">
        <f>IF(C1568&lt;&gt;"",MONTH(C1568),"")</f>
        <v>8</v>
      </c>
      <c r="C1568" s="183">
        <f>E1568</f>
        <v>42244</v>
      </c>
      <c r="D1568" s="190" t="s">
        <v>2007</v>
      </c>
      <c r="E1568" s="727">
        <v>42244</v>
      </c>
      <c r="F1568" s="188" t="s">
        <v>337</v>
      </c>
      <c r="G1568" s="482" t="s">
        <v>1218</v>
      </c>
      <c r="H1568" s="7" t="s">
        <v>357</v>
      </c>
      <c r="I1568" s="255">
        <v>24</v>
      </c>
      <c r="J1568" s="255">
        <v>43000</v>
      </c>
      <c r="K1568" s="593">
        <f>ROUND(I1568*J1568,0)</f>
        <v>1032000</v>
      </c>
      <c r="L1568" s="193" t="s">
        <v>161</v>
      </c>
      <c r="M1568" s="193" t="s">
        <v>8</v>
      </c>
      <c r="N1568" s="52" t="str">
        <f>IF(AND('331-CT'!$E$7=TH!H1568,OR(L1568="331",M1568="331")),"331",IF(AND(OR(L1568="131",M1568="131"),H1568='131-CT'!$E$7),"131",""))</f>
        <v/>
      </c>
      <c r="O1568" s="86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99"/>
    </row>
    <row r="1569" spans="1:27" s="210" customFormat="1" ht="15.75" customHeight="1">
      <c r="A1569" s="203" t="str">
        <f>IF(B1569&lt;&gt;"",IF(AND(B1569&gt;=_TM1,B1569&lt;=_TM2,OR(TH!L1569="1111",TH!M1569="1111")),TH!D1569,""),"")</f>
        <v/>
      </c>
      <c r="B1569" s="36">
        <f>IF(C1569&lt;&gt;"",MONTH(C1569),"")</f>
        <v>8</v>
      </c>
      <c r="C1569" s="183">
        <f>E1569</f>
        <v>42244</v>
      </c>
      <c r="D1569" s="190" t="s">
        <v>2007</v>
      </c>
      <c r="E1569" s="727">
        <v>42244</v>
      </c>
      <c r="F1569" s="188" t="s">
        <v>1366</v>
      </c>
      <c r="G1569" s="482" t="s">
        <v>1218</v>
      </c>
      <c r="H1569" s="7" t="s">
        <v>357</v>
      </c>
      <c r="I1569" s="255"/>
      <c r="J1569" s="255"/>
      <c r="K1569" s="593">
        <v>103200</v>
      </c>
      <c r="L1569" s="193" t="s">
        <v>9</v>
      </c>
      <c r="M1569" s="193" t="s">
        <v>8</v>
      </c>
      <c r="N1569" s="52" t="str">
        <f>IF(AND('331-CT'!$E$7=TH!H1569,OR(L1569="331",M1569="331")),"331",IF(AND(OR(L1569="131",M1569="131"),H1569='131-CT'!$E$7),"131",""))</f>
        <v/>
      </c>
      <c r="O1569" s="86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99"/>
    </row>
    <row r="1570" spans="1:27" s="210" customFormat="1" ht="15.75" customHeight="1">
      <c r="A1570" s="203" t="str">
        <f>IF(B1570&lt;&gt;"",IF(AND(B1570&gt;=_TM1,B1570&lt;=_TM2,OR(TH!L1570="1111",TH!M1570="1111")),TH!D1570,""),"")</f>
        <v/>
      </c>
      <c r="B1570" s="36">
        <f>IF(C1570&lt;&gt;"",MONTH(C1570),"")</f>
        <v>8</v>
      </c>
      <c r="C1570" s="183">
        <f>E1570</f>
        <v>42244</v>
      </c>
      <c r="D1570" s="190" t="s">
        <v>2007</v>
      </c>
      <c r="E1570" s="727">
        <v>42244</v>
      </c>
      <c r="F1570" s="296" t="s">
        <v>1326</v>
      </c>
      <c r="G1570" s="482" t="s">
        <v>1218</v>
      </c>
      <c r="H1570" s="7" t="s">
        <v>357</v>
      </c>
      <c r="I1570" s="255"/>
      <c r="J1570" s="255"/>
      <c r="K1570" s="593">
        <v>1135200</v>
      </c>
      <c r="L1570" s="193" t="s">
        <v>8</v>
      </c>
      <c r="M1570" s="193" t="s">
        <v>47</v>
      </c>
      <c r="N1570" s="52" t="str">
        <f>IF(AND('331-CT'!$E$7=TH!H1570,OR(L1570="331",M1570="331")),"331",IF(AND(OR(L1570="131",M1570="131"),H1570='131-CT'!$E$7),"131",""))</f>
        <v/>
      </c>
      <c r="O1570" s="86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99"/>
    </row>
    <row r="1571" spans="1:27" s="210" customFormat="1" ht="15.75" customHeight="1">
      <c r="A1571" s="203" t="str">
        <f>IF(B1571&lt;&gt;"",IF(AND(B1571&gt;=_TM1,B1571&lt;=_TM2,OR(TH!L1571="1111",TH!M1571="1111")),TH!D1571,""),"")</f>
        <v/>
      </c>
      <c r="B1571" s="36">
        <f>IF(C1571&lt;&gt;"",MONTH(C1571),"")</f>
        <v>8</v>
      </c>
      <c r="C1571" s="183">
        <f>E1571</f>
        <v>42245</v>
      </c>
      <c r="D1571" s="183" t="s">
        <v>1589</v>
      </c>
      <c r="E1571" s="727">
        <v>42245</v>
      </c>
      <c r="F1571" s="188" t="s">
        <v>746</v>
      </c>
      <c r="G1571" s="40" t="s">
        <v>1002</v>
      </c>
      <c r="H1571" s="7" t="s">
        <v>1003</v>
      </c>
      <c r="I1571" s="255">
        <v>500</v>
      </c>
      <c r="J1571" s="255">
        <v>13181</v>
      </c>
      <c r="K1571" s="593">
        <f>ROUND(I1571*J1571,0)</f>
        <v>6590500</v>
      </c>
      <c r="L1571" s="594" t="s">
        <v>259</v>
      </c>
      <c r="M1571" s="594" t="s">
        <v>174</v>
      </c>
      <c r="N1571" s="52" t="str">
        <f>IF(AND('331-CT'!$E$7=TH!H1571,OR(L1571="331",M1571="331")),"331",IF(AND(OR(L1571="131",M1571="131"),H1571='131-CT'!$E$7),"131",""))</f>
        <v/>
      </c>
      <c r="O1571" s="86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99"/>
    </row>
    <row r="1572" spans="1:27" s="210" customFormat="1" ht="15.75" customHeight="1">
      <c r="A1572" s="203" t="str">
        <f>IF(B1572&lt;&gt;"",IF(AND(B1572&gt;=_TM1,B1572&lt;=_TM2,OR(TH!L1572="1111",TH!M1572="1111")),TH!D1572,""),"")</f>
        <v/>
      </c>
      <c r="B1572" s="36">
        <f>IF(C1572&lt;&gt;"",MONTH(C1572),"")</f>
        <v>8</v>
      </c>
      <c r="C1572" s="183">
        <f>E1572</f>
        <v>42245</v>
      </c>
      <c r="D1572" s="183" t="s">
        <v>1589</v>
      </c>
      <c r="E1572" s="727">
        <v>42245</v>
      </c>
      <c r="F1572" s="188" t="s">
        <v>731</v>
      </c>
      <c r="G1572" s="40" t="s">
        <v>1002</v>
      </c>
      <c r="H1572" s="7" t="s">
        <v>1003</v>
      </c>
      <c r="I1572" s="750"/>
      <c r="J1572" s="255"/>
      <c r="K1572" s="593">
        <v>659050</v>
      </c>
      <c r="L1572" s="594" t="s">
        <v>259</v>
      </c>
      <c r="M1572" s="594" t="s">
        <v>371</v>
      </c>
      <c r="N1572" s="52" t="str">
        <f>IF(AND('331-CT'!$E$7=TH!H1572,OR(L1572="331",M1572="331")),"331",IF(AND(OR(L1572="131",M1572="131"),H1572='131-CT'!$E$7),"131",""))</f>
        <v/>
      </c>
      <c r="O1572" s="86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799"/>
    </row>
    <row r="1573" spans="1:27" s="210" customFormat="1" ht="15.75" customHeight="1">
      <c r="A1573" s="203" t="str">
        <f>IF(B1573&lt;&gt;"",IF(AND(B1573&gt;=_TM1,B1573&lt;=_TM2,OR(TH!L1573="1111",TH!M1573="1111")),TH!D1573,""),"")</f>
        <v/>
      </c>
      <c r="B1573" s="36">
        <f>IF(C1573&lt;&gt;"",MONTH(C1573),"")</f>
        <v>8</v>
      </c>
      <c r="C1573" s="183">
        <f>E1573</f>
        <v>42245</v>
      </c>
      <c r="D1573" s="183" t="s">
        <v>1590</v>
      </c>
      <c r="E1573" s="727">
        <v>42245</v>
      </c>
      <c r="F1573" s="188" t="s">
        <v>1952</v>
      </c>
      <c r="G1573" s="40" t="s">
        <v>1004</v>
      </c>
      <c r="H1573" s="7" t="s">
        <v>957</v>
      </c>
      <c r="I1573" s="255">
        <v>50</v>
      </c>
      <c r="J1573" s="255">
        <v>19940</v>
      </c>
      <c r="K1573" s="593">
        <f>ROUND(I1573*J1573,0)</f>
        <v>997000</v>
      </c>
      <c r="L1573" s="594" t="s">
        <v>259</v>
      </c>
      <c r="M1573" s="594" t="s">
        <v>174</v>
      </c>
      <c r="N1573" s="52" t="str">
        <f>IF(AND('331-CT'!$E$7=TH!H1573,OR(L1573="331",M1573="331")),"331",IF(AND(OR(L1573="131",M1573="131"),H1573='131-CT'!$E$7),"131",""))</f>
        <v/>
      </c>
      <c r="O1573" s="86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799"/>
    </row>
    <row r="1574" spans="1:27" s="210" customFormat="1" ht="15.75" customHeight="1">
      <c r="A1574" s="203" t="str">
        <f>IF(B1574&lt;&gt;"",IF(AND(B1574&gt;=_TM1,B1574&lt;=_TM2,OR(TH!L1574="1111",TH!M1574="1111")),TH!D1574,""),"")</f>
        <v/>
      </c>
      <c r="B1574" s="36">
        <f>IF(C1574&lt;&gt;"",MONTH(C1574),"")</f>
        <v>8</v>
      </c>
      <c r="C1574" s="183">
        <f>E1574</f>
        <v>42245</v>
      </c>
      <c r="D1574" s="183" t="s">
        <v>1590</v>
      </c>
      <c r="E1574" s="727">
        <v>42245</v>
      </c>
      <c r="F1574" s="188" t="s">
        <v>2011</v>
      </c>
      <c r="G1574" s="40" t="s">
        <v>1004</v>
      </c>
      <c r="H1574" s="7" t="s">
        <v>957</v>
      </c>
      <c r="I1574" s="255">
        <v>50</v>
      </c>
      <c r="J1574" s="255">
        <v>20900</v>
      </c>
      <c r="K1574" s="593">
        <f>ROUND(I1574*J1574,0)</f>
        <v>1045000</v>
      </c>
      <c r="L1574" s="594" t="s">
        <v>259</v>
      </c>
      <c r="M1574" s="594" t="s">
        <v>174</v>
      </c>
      <c r="N1574" s="52" t="str">
        <f>IF(AND('331-CT'!$E$7=TH!H1574,OR(L1574="331",M1574="331")),"331",IF(AND(OR(L1574="131",M1574="131"),H1574='131-CT'!$E$7),"131",""))</f>
        <v/>
      </c>
      <c r="O1574" s="86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799"/>
    </row>
    <row r="1575" spans="1:27" s="210" customFormat="1" ht="15.75" customHeight="1">
      <c r="A1575" s="203" t="str">
        <f>IF(B1575&lt;&gt;"",IF(AND(B1575&gt;=_TM1,B1575&lt;=_TM2,OR(TH!L1575="1111",TH!M1575="1111")),TH!D1575,""),"")</f>
        <v/>
      </c>
      <c r="B1575" s="36">
        <f>IF(C1575&lt;&gt;"",MONTH(C1575),"")</f>
        <v>8</v>
      </c>
      <c r="C1575" s="183">
        <f>E1575</f>
        <v>42245</v>
      </c>
      <c r="D1575" s="183" t="s">
        <v>1590</v>
      </c>
      <c r="E1575" s="727">
        <v>42245</v>
      </c>
      <c r="F1575" s="188" t="s">
        <v>402</v>
      </c>
      <c r="G1575" s="40" t="s">
        <v>1004</v>
      </c>
      <c r="H1575" s="7" t="s">
        <v>957</v>
      </c>
      <c r="I1575" s="750"/>
      <c r="J1575" s="255"/>
      <c r="K1575" s="593">
        <v>204200</v>
      </c>
      <c r="L1575" s="594" t="s">
        <v>259</v>
      </c>
      <c r="M1575" s="594" t="s">
        <v>371</v>
      </c>
      <c r="N1575" s="52" t="str">
        <f>IF(AND('331-CT'!$E$7=TH!H1575,OR(L1575="331",M1575="331")),"331",IF(AND(OR(L1575="131",M1575="131"),H1575='131-CT'!$E$7),"131",""))</f>
        <v/>
      </c>
      <c r="O1575" s="86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799"/>
    </row>
    <row r="1576" spans="1:27" s="210" customFormat="1" ht="15.75" customHeight="1">
      <c r="A1576" s="203" t="str">
        <f>IF(B1576&lt;&gt;"",IF(AND(B1576&gt;=_TM1,B1576&lt;=_TM2,OR(TH!L1576="1111",TH!M1576="1111")),TH!D1576,""),"")</f>
        <v/>
      </c>
      <c r="B1576" s="36">
        <f>IF(C1576&lt;&gt;"",MONTH(C1576),"")</f>
        <v>8</v>
      </c>
      <c r="C1576" s="183">
        <f>E1576</f>
        <v>42245</v>
      </c>
      <c r="D1576" s="183" t="s">
        <v>1319</v>
      </c>
      <c r="E1576" s="190">
        <v>42245</v>
      </c>
      <c r="F1576" s="188" t="s">
        <v>1320</v>
      </c>
      <c r="G1576" s="482" t="s">
        <v>332</v>
      </c>
      <c r="H1576" s="7" t="s">
        <v>438</v>
      </c>
      <c r="I1576" s="255"/>
      <c r="J1576" s="255"/>
      <c r="K1576" s="593">
        <v>17691000</v>
      </c>
      <c r="L1576" s="594" t="s">
        <v>24</v>
      </c>
      <c r="M1576" s="594" t="s">
        <v>259</v>
      </c>
      <c r="N1576" s="52" t="str">
        <f>IF(AND('331-CT'!$E$7=TH!H1576,OR(L1576="331",M1576="331")),"331",IF(AND(OR(L1576="131",M1576="131"),H1576='131-CT'!$E$7),"131",""))</f>
        <v/>
      </c>
      <c r="O1576" s="86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>x</v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799"/>
    </row>
    <row r="1577" spans="1:27" s="210" customFormat="1" ht="15.75" customHeight="1">
      <c r="A1577" s="203" t="str">
        <f>IF(B1577&lt;&gt;"",IF(AND(B1577&gt;=_TM1,B1577&lt;=_TM2,OR(TH!L1577="1111",TH!M1577="1111")),TH!D1577,""),"")</f>
        <v/>
      </c>
      <c r="B1577" s="36">
        <f>IF(C1577&lt;&gt;"",MONTH(C1577),"")</f>
        <v>8</v>
      </c>
      <c r="C1577" s="183">
        <f>E1577</f>
        <v>42245</v>
      </c>
      <c r="D1577" s="190" t="s">
        <v>2020</v>
      </c>
      <c r="E1577" s="727">
        <v>42245</v>
      </c>
      <c r="F1577" s="296" t="s">
        <v>1357</v>
      </c>
      <c r="G1577" s="482" t="s">
        <v>1056</v>
      </c>
      <c r="H1577" s="7" t="s">
        <v>1391</v>
      </c>
      <c r="I1577" s="255">
        <v>2000</v>
      </c>
      <c r="J1577" s="255">
        <v>7300</v>
      </c>
      <c r="K1577" s="593">
        <f>ROUND(I1577*J1577,0)</f>
        <v>14600000</v>
      </c>
      <c r="L1577" s="594" t="s">
        <v>159</v>
      </c>
      <c r="M1577" s="594" t="s">
        <v>8</v>
      </c>
      <c r="N1577" s="52" t="str">
        <f>IF(AND('331-CT'!$E$7=TH!H1577,OR(L1577="331",M1577="331")),"331",IF(AND(OR(L1577="131",M1577="131"),H1577='131-CT'!$E$7),"131",""))</f>
        <v/>
      </c>
      <c r="O1577" s="86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799"/>
    </row>
    <row r="1578" spans="1:27" s="210" customFormat="1" ht="15.75" customHeight="1">
      <c r="A1578" s="203" t="str">
        <f>IF(B1578&lt;&gt;"",IF(AND(B1578&gt;=_TM1,B1578&lt;=_TM2,OR(TH!L1578="1111",TH!M1578="1111")),TH!D1578,""),"")</f>
        <v/>
      </c>
      <c r="B1578" s="36">
        <f>IF(C1578&lt;&gt;"",MONTH(C1578),"")</f>
        <v>8</v>
      </c>
      <c r="C1578" s="183">
        <f>E1578</f>
        <v>42245</v>
      </c>
      <c r="D1578" s="190" t="s">
        <v>2020</v>
      </c>
      <c r="E1578" s="727">
        <v>42245</v>
      </c>
      <c r="F1578" s="296" t="s">
        <v>1393</v>
      </c>
      <c r="G1578" s="482" t="s">
        <v>1056</v>
      </c>
      <c r="H1578" s="7" t="s">
        <v>1391</v>
      </c>
      <c r="I1578" s="255"/>
      <c r="J1578" s="255"/>
      <c r="K1578" s="593">
        <v>1460000</v>
      </c>
      <c r="L1578" s="594" t="s">
        <v>9</v>
      </c>
      <c r="M1578" s="594" t="s">
        <v>8</v>
      </c>
      <c r="N1578" s="52" t="str">
        <f>IF(AND('331-CT'!$E$7=TH!H1578,OR(L1578="331",M1578="331")),"331",IF(AND(OR(L1578="131",M1578="131"),H1578='131-CT'!$E$7),"131",""))</f>
        <v/>
      </c>
      <c r="O1578" s="86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799"/>
    </row>
    <row r="1579" spans="1:27" s="210" customFormat="1" ht="15.75" customHeight="1">
      <c r="A1579" s="203" t="str">
        <f>IF(B1579&lt;&gt;"",IF(AND(B1579&gt;=_TM1,B1579&lt;=_TM2,OR(TH!L1579="1111",TH!M1579="1111")),TH!D1579,""),"")</f>
        <v/>
      </c>
      <c r="B1579" s="36">
        <f>IF(C1579&lt;&gt;"",MONTH(C1579),"")</f>
        <v>8</v>
      </c>
      <c r="C1579" s="183">
        <f>E1579</f>
        <v>42245</v>
      </c>
      <c r="D1579" s="190" t="s">
        <v>2020</v>
      </c>
      <c r="E1579" s="727">
        <v>42245</v>
      </c>
      <c r="F1579" s="296" t="s">
        <v>1326</v>
      </c>
      <c r="G1579" s="482" t="s">
        <v>1056</v>
      </c>
      <c r="H1579" s="7" t="s">
        <v>1391</v>
      </c>
      <c r="I1579" s="255"/>
      <c r="J1579" s="255"/>
      <c r="K1579" s="593">
        <v>16060000</v>
      </c>
      <c r="L1579" s="594" t="s">
        <v>8</v>
      </c>
      <c r="M1579" s="594" t="s">
        <v>47</v>
      </c>
      <c r="N1579" s="52" t="str">
        <f>IF(AND('331-CT'!$E$7=TH!H1579,OR(L1579="331",M1579="331")),"331",IF(AND(OR(L1579="131",M1579="131"),H1579='131-CT'!$E$7),"131",""))</f>
        <v/>
      </c>
      <c r="O1579" s="86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799"/>
    </row>
    <row r="1580" spans="1:27" s="210" customFormat="1" ht="15.75" customHeight="1">
      <c r="A1580" s="203" t="str">
        <f>IF(B1580&lt;&gt;"",IF(AND(B1580&gt;=_TM1,B1580&lt;=_TM2,OR(TH!L1580="1111",TH!M1580="1111")),TH!D1580,""),"")</f>
        <v/>
      </c>
      <c r="B1580" s="36">
        <f>IF(C1580&lt;&gt;"",MONTH(C1580),"")</f>
        <v>8</v>
      </c>
      <c r="C1580" s="183">
        <f>E1580</f>
        <v>42245</v>
      </c>
      <c r="D1580" s="190" t="s">
        <v>2020</v>
      </c>
      <c r="E1580" s="190">
        <v>42245</v>
      </c>
      <c r="F1580" s="188" t="s">
        <v>1497</v>
      </c>
      <c r="G1580" s="482" t="s">
        <v>1506</v>
      </c>
      <c r="H1580" s="7" t="s">
        <v>1504</v>
      </c>
      <c r="I1580" s="255">
        <v>17355</v>
      </c>
      <c r="J1580" s="255">
        <v>9000</v>
      </c>
      <c r="K1580" s="593">
        <f>ROUND(I1580*J1580,0)</f>
        <v>156195000</v>
      </c>
      <c r="L1580" s="594" t="s">
        <v>159</v>
      </c>
      <c r="M1580" s="594" t="s">
        <v>8</v>
      </c>
      <c r="N1580" s="52" t="str">
        <f>IF(AND('331-CT'!$E$7=TH!H1580,OR(L1580="331",M1580="331")),"331",IF(AND(OR(L1580="131",M1580="131"),H1580='131-CT'!$E$7),"131",""))</f>
        <v/>
      </c>
      <c r="O1580" s="86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799"/>
    </row>
    <row r="1581" spans="1:27" s="210" customFormat="1" ht="15.75" customHeight="1">
      <c r="A1581" s="203" t="str">
        <f>IF(B1581&lt;&gt;"",IF(AND(B1581&gt;=_TM1,B1581&lt;=_TM2,OR(TH!L1581="1111",TH!M1581="1111")),TH!D1581,""),"")</f>
        <v/>
      </c>
      <c r="B1581" s="36">
        <f>IF(C1581&lt;&gt;"",MONTH(C1581),"")</f>
        <v>8</v>
      </c>
      <c r="C1581" s="183">
        <f>E1581</f>
        <v>42245</v>
      </c>
      <c r="D1581" s="190" t="s">
        <v>2020</v>
      </c>
      <c r="E1581" s="190">
        <v>42245</v>
      </c>
      <c r="F1581" s="188" t="s">
        <v>1497</v>
      </c>
      <c r="G1581" s="482" t="s">
        <v>1506</v>
      </c>
      <c r="H1581" s="7" t="s">
        <v>1504</v>
      </c>
      <c r="I1581" s="255">
        <v>12104</v>
      </c>
      <c r="J1581" s="255">
        <v>9100</v>
      </c>
      <c r="K1581" s="593">
        <f>ROUND(I1581*J1581,0)</f>
        <v>110146400</v>
      </c>
      <c r="L1581" s="594" t="s">
        <v>159</v>
      </c>
      <c r="M1581" s="594" t="s">
        <v>8</v>
      </c>
      <c r="N1581" s="52" t="str">
        <f>IF(AND('331-CT'!$E$7=TH!H1581,OR(L1581="331",M1581="331")),"331",IF(AND(OR(L1581="131",M1581="131"),H1581='131-CT'!$E$7),"131",""))</f>
        <v/>
      </c>
      <c r="O1581" s="86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799"/>
    </row>
    <row r="1582" spans="1:27" s="210" customFormat="1" ht="15.75" customHeight="1">
      <c r="A1582" s="203" t="str">
        <f>IF(B1582&lt;&gt;"",IF(AND(B1582&gt;=_TM1,B1582&lt;=_TM2,OR(TH!L1582="1111",TH!M1582="1111")),TH!D1582,""),"")</f>
        <v/>
      </c>
      <c r="B1582" s="36">
        <f>IF(C1582&lt;&gt;"",MONTH(C1582),"")</f>
        <v>8</v>
      </c>
      <c r="C1582" s="183">
        <f>E1582</f>
        <v>42245</v>
      </c>
      <c r="D1582" s="190" t="s">
        <v>2020</v>
      </c>
      <c r="E1582" s="190">
        <v>42245</v>
      </c>
      <c r="F1582" s="188" t="s">
        <v>1499</v>
      </c>
      <c r="G1582" s="482" t="s">
        <v>1506</v>
      </c>
      <c r="H1582" s="7" t="s">
        <v>1504</v>
      </c>
      <c r="I1582" s="255">
        <v>5460</v>
      </c>
      <c r="J1582" s="255">
        <v>9500</v>
      </c>
      <c r="K1582" s="593">
        <f>ROUND(I1582*J1582,0)</f>
        <v>51870000</v>
      </c>
      <c r="L1582" s="594" t="s">
        <v>159</v>
      </c>
      <c r="M1582" s="594" t="s">
        <v>8</v>
      </c>
      <c r="N1582" s="52" t="str">
        <f>IF(AND('331-CT'!$E$7=TH!H1582,OR(L1582="331",M1582="331")),"331",IF(AND(OR(L1582="131",M1582="131"),H1582='131-CT'!$E$7),"131",""))</f>
        <v/>
      </c>
      <c r="O1582" s="86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799"/>
    </row>
    <row r="1583" spans="1:27" s="210" customFormat="1" ht="15.75" customHeight="1">
      <c r="A1583" s="203" t="str">
        <f>IF(B1583&lt;&gt;"",IF(AND(B1583&gt;=_TM1,B1583&lt;=_TM2,OR(TH!L1583="1111",TH!M1583="1111")),TH!D1583,""),"")</f>
        <v/>
      </c>
      <c r="B1583" s="36">
        <f>IF(C1583&lt;&gt;"",MONTH(C1583),"")</f>
        <v>8</v>
      </c>
      <c r="C1583" s="183">
        <f>E1583</f>
        <v>42245</v>
      </c>
      <c r="D1583" s="190" t="s">
        <v>2020</v>
      </c>
      <c r="E1583" s="190">
        <v>42245</v>
      </c>
      <c r="F1583" s="188" t="s">
        <v>1498</v>
      </c>
      <c r="G1583" s="482" t="s">
        <v>1506</v>
      </c>
      <c r="H1583" s="7" t="s">
        <v>1504</v>
      </c>
      <c r="I1583" s="255"/>
      <c r="J1583" s="255"/>
      <c r="K1583" s="593">
        <v>31821140</v>
      </c>
      <c r="L1583" s="594" t="s">
        <v>9</v>
      </c>
      <c r="M1583" s="594" t="s">
        <v>8</v>
      </c>
      <c r="N1583" s="52" t="str">
        <f>IF(AND('331-CT'!$E$7=TH!H1583,OR(L1583="331",M1583="331")),"331",IF(AND(OR(L1583="131",M1583="131"),H1583='131-CT'!$E$7),"131",""))</f>
        <v/>
      </c>
      <c r="O1583" s="86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799"/>
    </row>
    <row r="1584" spans="1:27" s="210" customFormat="1" ht="15.75" customHeight="1">
      <c r="A1584" s="203" t="str">
        <f>IF(B1584&lt;&gt;"",IF(AND(B1584&gt;=_TM1,B1584&lt;=_TM2,OR(TH!L1584="1111",TH!M1584="1111")),TH!D1584,""),"")</f>
        <v/>
      </c>
      <c r="B1584" s="36">
        <f>IF(C1584&lt;&gt;"",MONTH(C1584),"")</f>
        <v>8</v>
      </c>
      <c r="C1584" s="183">
        <f>E1584</f>
        <v>42246</v>
      </c>
      <c r="D1584" s="190" t="s">
        <v>2020</v>
      </c>
      <c r="E1584" s="727">
        <v>42246</v>
      </c>
      <c r="F1584" s="296" t="s">
        <v>1357</v>
      </c>
      <c r="G1584" s="482" t="s">
        <v>1462</v>
      </c>
      <c r="H1584" s="7" t="s">
        <v>1391</v>
      </c>
      <c r="I1584" s="255">
        <v>2400</v>
      </c>
      <c r="J1584" s="255">
        <v>7300</v>
      </c>
      <c r="K1584" s="593">
        <f>ROUND(I1584*J1584,0)</f>
        <v>17520000</v>
      </c>
      <c r="L1584" s="594" t="s">
        <v>159</v>
      </c>
      <c r="M1584" s="594" t="s">
        <v>8</v>
      </c>
      <c r="N1584" s="52" t="str">
        <f>IF(AND('331-CT'!$E$7=TH!H1584,OR(L1584="331",M1584="331")),"331",IF(AND(OR(L1584="131",M1584="131"),H1584='131-CT'!$E$7),"131",""))</f>
        <v/>
      </c>
      <c r="O1584" s="86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799"/>
    </row>
    <row r="1585" spans="1:28" s="210" customFormat="1" ht="15.75" customHeight="1">
      <c r="A1585" s="203" t="str">
        <f>IF(B1585&lt;&gt;"",IF(AND(B1585&gt;=_TM1,B1585&lt;=_TM2,OR(TH!L1585="1111",TH!M1585="1111")),TH!D1585,""),"")</f>
        <v/>
      </c>
      <c r="B1585" s="36">
        <f>IF(C1585&lt;&gt;"",MONTH(C1585),"")</f>
        <v>8</v>
      </c>
      <c r="C1585" s="183">
        <f>E1585</f>
        <v>42246</v>
      </c>
      <c r="D1585" s="190" t="s">
        <v>2020</v>
      </c>
      <c r="E1585" s="727">
        <v>42246</v>
      </c>
      <c r="F1585" s="296" t="s">
        <v>1393</v>
      </c>
      <c r="G1585" s="482" t="s">
        <v>1462</v>
      </c>
      <c r="H1585" s="7" t="s">
        <v>1391</v>
      </c>
      <c r="I1585" s="255"/>
      <c r="J1585" s="255"/>
      <c r="K1585" s="593">
        <v>1752000</v>
      </c>
      <c r="L1585" s="594" t="s">
        <v>9</v>
      </c>
      <c r="M1585" s="594" t="s">
        <v>8</v>
      </c>
      <c r="N1585" s="52" t="str">
        <f>IF(AND('331-CT'!$E$7=TH!H1585,OR(L1585="331",M1585="331")),"331",IF(AND(OR(L1585="131",M1585="131"),H1585='131-CT'!$E$7),"131",""))</f>
        <v/>
      </c>
      <c r="O1585" s="86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799"/>
    </row>
    <row r="1586" spans="1:28" s="210" customFormat="1" ht="15.75" customHeight="1">
      <c r="A1586" s="203" t="str">
        <f>IF(B1586&lt;&gt;"",IF(AND(B1586&gt;=_TM1,B1586&lt;=_TM2,OR(TH!L1586="1111",TH!M1586="1111")),TH!D1586,""),"")</f>
        <v/>
      </c>
      <c r="B1586" s="36">
        <f>IF(C1586&lt;&gt;"",MONTH(C1586),"")</f>
        <v>8</v>
      </c>
      <c r="C1586" s="183">
        <f>E1586</f>
        <v>42246</v>
      </c>
      <c r="D1586" s="190" t="s">
        <v>2020</v>
      </c>
      <c r="E1586" s="727">
        <v>42246</v>
      </c>
      <c r="F1586" s="296" t="s">
        <v>1326</v>
      </c>
      <c r="G1586" s="482" t="s">
        <v>1462</v>
      </c>
      <c r="H1586" s="7" t="s">
        <v>1391</v>
      </c>
      <c r="I1586" s="255"/>
      <c r="J1586" s="255"/>
      <c r="K1586" s="593">
        <v>19272000</v>
      </c>
      <c r="L1586" s="594" t="s">
        <v>8</v>
      </c>
      <c r="M1586" s="594" t="s">
        <v>47</v>
      </c>
      <c r="N1586" s="52" t="str">
        <f>IF(AND('331-CT'!$E$7=TH!H1586,OR(L1586="331",M1586="331")),"331",IF(AND(OR(L1586="131",M1586="131"),H1586='131-CT'!$E$7),"131",""))</f>
        <v/>
      </c>
      <c r="O1586" s="86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799"/>
    </row>
    <row r="1587" spans="1:28" s="210" customFormat="1" ht="15.75" customHeight="1">
      <c r="A1587" s="203" t="str">
        <f>IF(B1587&lt;&gt;"",IF(AND(B1587&gt;=_TM1,B1587&lt;=_TM2,OR(TH!L1587="1111",TH!M1587="1111")),TH!D1587,""),"")</f>
        <v/>
      </c>
      <c r="B1587" s="36">
        <f>IF(C1587&lt;&gt;"",MONTH(C1587),"")</f>
        <v>8</v>
      </c>
      <c r="C1587" s="888">
        <f>E1587</f>
        <v>42247</v>
      </c>
      <c r="D1587" s="888" t="s">
        <v>334</v>
      </c>
      <c r="E1587" s="888">
        <v>42247</v>
      </c>
      <c r="F1587" s="889" t="s">
        <v>1939</v>
      </c>
      <c r="G1587" s="890"/>
      <c r="H1587" s="891"/>
      <c r="I1587" s="892"/>
      <c r="J1587" s="892"/>
      <c r="K1587" s="893">
        <v>16670000</v>
      </c>
      <c r="L1587" s="894" t="s">
        <v>83</v>
      </c>
      <c r="M1587" s="894" t="s">
        <v>262</v>
      </c>
      <c r="N1587" s="52" t="str">
        <f>IF(AND('331-CT'!$E$7=TH!H1587,OR(L1587="331",M1587="331")),"331",IF(AND(OR(L1587="131",M1587="131"),H1587='131-CT'!$E$7),"131",""))</f>
        <v/>
      </c>
      <c r="O1587" s="86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>x</v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197"/>
      <c r="AB1587" s="197"/>
    </row>
    <row r="1588" spans="1:28" s="210" customFormat="1" ht="15.75" customHeight="1">
      <c r="A1588" s="203" t="str">
        <f>IF(B1588&lt;&gt;"",IF(AND(B1588&gt;=_TM1,B1588&lt;=_TM2,OR(TH!L1588="1111",TH!M1588="1111")),TH!D1588,""),"")</f>
        <v/>
      </c>
      <c r="B1588" s="36">
        <f>IF(C1588&lt;&gt;"",MONTH(C1588),"")</f>
        <v>8</v>
      </c>
      <c r="C1588" s="888">
        <f>E1588</f>
        <v>42247</v>
      </c>
      <c r="D1588" s="888" t="s">
        <v>334</v>
      </c>
      <c r="E1588" s="888">
        <v>42247</v>
      </c>
      <c r="F1588" s="889" t="s">
        <v>1940</v>
      </c>
      <c r="G1588" s="890"/>
      <c r="H1588" s="891"/>
      <c r="I1588" s="892"/>
      <c r="J1588" s="892"/>
      <c r="K1588" s="893">
        <v>34530000</v>
      </c>
      <c r="L1588" s="894" t="s">
        <v>165</v>
      </c>
      <c r="M1588" s="894" t="s">
        <v>262</v>
      </c>
      <c r="N1588" s="52" t="str">
        <f>IF(AND('331-CT'!$E$7=TH!H1588,OR(L1588="331",M1588="331")),"331",IF(AND(OR(L1588="131",M1588="131"),H1588='131-CT'!$E$7),"131",""))</f>
        <v/>
      </c>
      <c r="O1588" s="86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197"/>
      <c r="AB1588" s="197"/>
    </row>
    <row r="1589" spans="1:28" s="210" customFormat="1" ht="15.75" customHeight="1">
      <c r="A1589" s="203" t="str">
        <f>IF(B1589&lt;&gt;"",IF(AND(B1589&gt;=_TM1,B1589&lt;=_TM2,OR(TH!L1589="1111",TH!M1589="1111")),TH!D1589,""),"")</f>
        <v/>
      </c>
      <c r="B1589" s="36">
        <f>IF(C1589&lt;&gt;"",MONTH(C1589),"")</f>
        <v>8</v>
      </c>
      <c r="C1589" s="888">
        <f>E1589</f>
        <v>42247</v>
      </c>
      <c r="D1589" s="888" t="s">
        <v>334</v>
      </c>
      <c r="E1589" s="888">
        <v>42247</v>
      </c>
      <c r="F1589" s="889" t="str">
        <f>"Thanh toán tiền lương tháng "&amp;MONTH(E1589)&amp;"/"&amp;YEAR(E1589)</f>
        <v>Thanh toán tiền lương tháng 8/2015</v>
      </c>
      <c r="G1589" s="890"/>
      <c r="H1589" s="891"/>
      <c r="I1589" s="892"/>
      <c r="J1589" s="892"/>
      <c r="K1589" s="893">
        <f>K1587+K1588</f>
        <v>51200000</v>
      </c>
      <c r="L1589" s="894" t="s">
        <v>262</v>
      </c>
      <c r="M1589" s="894" t="s">
        <v>47</v>
      </c>
      <c r="N1589" s="52" t="str">
        <f>IF(AND('331-CT'!$E$7=TH!H1589,OR(L1589="331",M1589="331")),"331",IF(AND(OR(L1589="131",M1589="131"),H1589='131-CT'!$E$7),"131",""))</f>
        <v/>
      </c>
      <c r="O1589" s="86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197"/>
      <c r="AB1589" s="197"/>
    </row>
    <row r="1590" spans="1:28" s="210" customFormat="1" ht="15.75" customHeight="1">
      <c r="A1590" s="203" t="str">
        <f>IF(B1590&lt;&gt;"",IF(AND(B1590&gt;=_TM1,B1590&lt;=_TM2,OR(TH!L1590="1111",TH!M1590="1111")),TH!D1590,""),"")</f>
        <v/>
      </c>
      <c r="B1590" s="36">
        <f>IF(C1590&lt;&gt;"",MONTH(C1590),"")</f>
        <v>8</v>
      </c>
      <c r="C1590" s="183">
        <f>E1590</f>
        <v>42247</v>
      </c>
      <c r="D1590" s="190" t="s">
        <v>2020</v>
      </c>
      <c r="E1590" s="727">
        <v>42247</v>
      </c>
      <c r="F1590" s="296" t="s">
        <v>1357</v>
      </c>
      <c r="G1590" s="482" t="s">
        <v>1065</v>
      </c>
      <c r="H1590" s="7" t="s">
        <v>1391</v>
      </c>
      <c r="I1590" s="255">
        <v>2337</v>
      </c>
      <c r="J1590" s="255">
        <v>7300</v>
      </c>
      <c r="K1590" s="593">
        <f>ROUND(I1590*J1590,0)</f>
        <v>17060100</v>
      </c>
      <c r="L1590" s="594" t="s">
        <v>159</v>
      </c>
      <c r="M1590" s="594" t="s">
        <v>8</v>
      </c>
      <c r="N1590" s="52" t="str">
        <f>IF(AND('331-CT'!$E$7=TH!H1590,OR(L1590="331",M1590="331")),"331",IF(AND(OR(L1590="131",M1590="131"),H1590='131-CT'!$E$7),"131",""))</f>
        <v/>
      </c>
      <c r="O1590" s="86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799"/>
    </row>
    <row r="1591" spans="1:28" s="210" customFormat="1" ht="15.75" customHeight="1">
      <c r="A1591" s="203" t="str">
        <f>IF(B1591&lt;&gt;"",IF(AND(B1591&gt;=_TM1,B1591&lt;=_TM2,OR(TH!L1591="1111",TH!M1591="1111")),TH!D1591,""),"")</f>
        <v/>
      </c>
      <c r="B1591" s="36">
        <f>IF(C1591&lt;&gt;"",MONTH(C1591),"")</f>
        <v>8</v>
      </c>
      <c r="C1591" s="183">
        <f>E1591</f>
        <v>42247</v>
      </c>
      <c r="D1591" s="190" t="s">
        <v>2020</v>
      </c>
      <c r="E1591" s="727">
        <v>42247</v>
      </c>
      <c r="F1591" s="296" t="s">
        <v>1393</v>
      </c>
      <c r="G1591" s="482" t="s">
        <v>1065</v>
      </c>
      <c r="H1591" s="7" t="s">
        <v>1391</v>
      </c>
      <c r="I1591" s="255"/>
      <c r="J1591" s="255"/>
      <c r="K1591" s="593">
        <v>1706010</v>
      </c>
      <c r="L1591" s="594" t="s">
        <v>9</v>
      </c>
      <c r="M1591" s="594" t="s">
        <v>8</v>
      </c>
      <c r="N1591" s="52" t="str">
        <f>IF(AND('331-CT'!$E$7=TH!H1591,OR(L1591="331",M1591="331")),"331",IF(AND(OR(L1591="131",M1591="131"),H1591='131-CT'!$E$7),"131",""))</f>
        <v/>
      </c>
      <c r="O1591" s="86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799"/>
    </row>
    <row r="1592" spans="1:28" s="210" customFormat="1" ht="15.75" customHeight="1">
      <c r="A1592" s="203" t="str">
        <f>IF(B1592&lt;&gt;"",IF(AND(B1592&gt;=_TM1,B1592&lt;=_TM2,OR(TH!L1592="1111",TH!M1592="1111")),TH!D1592,""),"")</f>
        <v/>
      </c>
      <c r="B1592" s="36">
        <f>IF(C1592&lt;&gt;"",MONTH(C1592),"")</f>
        <v>8</v>
      </c>
      <c r="C1592" s="183">
        <f>E1592</f>
        <v>42247</v>
      </c>
      <c r="D1592" s="190" t="s">
        <v>2020</v>
      </c>
      <c r="E1592" s="727">
        <v>42247</v>
      </c>
      <c r="F1592" s="296" t="s">
        <v>1326</v>
      </c>
      <c r="G1592" s="482" t="s">
        <v>1065</v>
      </c>
      <c r="H1592" s="7" t="s">
        <v>1391</v>
      </c>
      <c r="I1592" s="255"/>
      <c r="J1592" s="255"/>
      <c r="K1592" s="593">
        <v>18766110</v>
      </c>
      <c r="L1592" s="594" t="s">
        <v>8</v>
      </c>
      <c r="M1592" s="594" t="s">
        <v>47</v>
      </c>
      <c r="N1592" s="52" t="str">
        <f>IF(AND('331-CT'!$E$7=TH!H1592,OR(L1592="331",M1592="331")),"331",IF(AND(OR(L1592="131",M1592="131"),H1592='131-CT'!$E$7),"131",""))</f>
        <v/>
      </c>
      <c r="O1592" s="86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799"/>
    </row>
    <row r="1593" spans="1:28" s="210" customFormat="1" ht="15.75" customHeight="1">
      <c r="A1593" s="203" t="str">
        <f>IF(B1593&lt;&gt;"",IF(AND(B1593&gt;=_TM1,B1593&lt;=_TM2,OR(TH!L1593="1111",TH!M1593="1111")),TH!D1593,""),"")</f>
        <v/>
      </c>
      <c r="B1593" s="36">
        <f>IF(C1593&lt;&gt;"",MONTH(C1593),"")</f>
        <v>8</v>
      </c>
      <c r="C1593" s="183">
        <f>E1593</f>
        <v>42247</v>
      </c>
      <c r="D1593" s="190" t="s">
        <v>2020</v>
      </c>
      <c r="E1593" s="727">
        <v>42247</v>
      </c>
      <c r="F1593" s="188" t="s">
        <v>374</v>
      </c>
      <c r="G1593" s="482" t="s">
        <v>1440</v>
      </c>
      <c r="H1593" s="7" t="s">
        <v>1365</v>
      </c>
      <c r="I1593" s="255"/>
      <c r="J1593" s="255"/>
      <c r="K1593" s="593">
        <v>4555000</v>
      </c>
      <c r="L1593" s="594" t="s">
        <v>165</v>
      </c>
      <c r="M1593" s="594" t="s">
        <v>47</v>
      </c>
      <c r="N1593" s="52" t="str">
        <f>IF(AND('331-CT'!$E$7=TH!H1593,OR(L1593="331",M1593="331")),"331",IF(AND(OR(L1593="131",M1593="131"),H1593='131-CT'!$E$7),"131",""))</f>
        <v/>
      </c>
      <c r="O1593" s="86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799"/>
    </row>
    <row r="1594" spans="1:28" s="210" customFormat="1" ht="15.75" customHeight="1">
      <c r="A1594" s="203" t="str">
        <f>IF(B1594&lt;&gt;"",IF(AND(B1594&gt;=_TM1,B1594&lt;=_TM2,OR(TH!L1594="1111",TH!M1594="1111")),TH!D1594,""),"")</f>
        <v/>
      </c>
      <c r="B1594" s="36">
        <f>IF(C1594&lt;&gt;"",MONTH(C1594),"")</f>
        <v>8</v>
      </c>
      <c r="C1594" s="183">
        <f>E1594</f>
        <v>42247</v>
      </c>
      <c r="D1594" s="190" t="s">
        <v>2020</v>
      </c>
      <c r="E1594" s="727">
        <v>42247</v>
      </c>
      <c r="F1594" s="188" t="s">
        <v>1364</v>
      </c>
      <c r="G1594" s="482" t="s">
        <v>1440</v>
      </c>
      <c r="H1594" s="7" t="s">
        <v>1365</v>
      </c>
      <c r="I1594" s="255"/>
      <c r="J1594" s="255"/>
      <c r="K1594" s="593">
        <v>455500</v>
      </c>
      <c r="L1594" s="594" t="s">
        <v>9</v>
      </c>
      <c r="M1594" s="594" t="s">
        <v>47</v>
      </c>
      <c r="N1594" s="52" t="str">
        <f>IF(AND('331-CT'!$E$7=TH!H1594,OR(L1594="331",M1594="331")),"331",IF(AND(OR(L1594="131",M1594="131"),H1594='131-CT'!$E$7),"131",""))</f>
        <v/>
      </c>
      <c r="O1594" s="86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799"/>
    </row>
    <row r="1595" spans="1:28" s="210" customFormat="1" ht="15.75" customHeight="1">
      <c r="A1595" s="203" t="str">
        <f>IF(B1595&lt;&gt;"",IF(AND(B1595&gt;=_TM1,B1595&lt;=_TM2,OR(TH!L1595="1111",TH!M1595="1111")),TH!D1595,""),"")</f>
        <v/>
      </c>
      <c r="B1595" s="36">
        <f>IF(C1595&lt;&gt;"",MONTH(C1595),"")</f>
        <v>8</v>
      </c>
      <c r="C1595" s="183">
        <f>E1595</f>
        <v>42247</v>
      </c>
      <c r="D1595" s="190" t="s">
        <v>2020</v>
      </c>
      <c r="E1595" s="727">
        <v>42247</v>
      </c>
      <c r="F1595" s="188" t="s">
        <v>374</v>
      </c>
      <c r="G1595" s="482" t="s">
        <v>1463</v>
      </c>
      <c r="H1595" s="7" t="s">
        <v>1365</v>
      </c>
      <c r="I1595" s="255"/>
      <c r="J1595" s="255"/>
      <c r="K1595" s="593">
        <v>2180000</v>
      </c>
      <c r="L1595" s="594" t="s">
        <v>165</v>
      </c>
      <c r="M1595" s="594" t="s">
        <v>47</v>
      </c>
      <c r="N1595" s="52" t="str">
        <f>IF(AND('331-CT'!$E$7=TH!H1595,OR(L1595="331",M1595="331")),"331",IF(AND(OR(L1595="131",M1595="131"),H1595='131-CT'!$E$7),"131",""))</f>
        <v/>
      </c>
      <c r="O1595" s="86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799"/>
    </row>
    <row r="1596" spans="1:28" s="210" customFormat="1" ht="15.75" customHeight="1">
      <c r="A1596" s="203" t="str">
        <f>IF(B1596&lt;&gt;"",IF(AND(B1596&gt;=_TM1,B1596&lt;=_TM2,OR(TH!L1596="1111",TH!M1596="1111")),TH!D1596,""),"")</f>
        <v/>
      </c>
      <c r="B1596" s="36">
        <f>IF(C1596&lt;&gt;"",MONTH(C1596),"")</f>
        <v>8</v>
      </c>
      <c r="C1596" s="183">
        <f>E1596</f>
        <v>42247</v>
      </c>
      <c r="D1596" s="190" t="s">
        <v>2020</v>
      </c>
      <c r="E1596" s="727">
        <v>42247</v>
      </c>
      <c r="F1596" s="188" t="s">
        <v>1364</v>
      </c>
      <c r="G1596" s="482" t="s">
        <v>1463</v>
      </c>
      <c r="H1596" s="7" t="s">
        <v>1365</v>
      </c>
      <c r="I1596" s="255"/>
      <c r="J1596" s="255"/>
      <c r="K1596" s="593">
        <v>218000</v>
      </c>
      <c r="L1596" s="594" t="s">
        <v>9</v>
      </c>
      <c r="M1596" s="594" t="s">
        <v>47</v>
      </c>
      <c r="N1596" s="52" t="str">
        <f>IF(AND('331-CT'!$E$7=TH!H1596,OR(L1596="331",M1596="331")),"331",IF(AND(OR(L1596="131",M1596="131"),H1596='131-CT'!$E$7),"131",""))</f>
        <v/>
      </c>
      <c r="O1596" s="86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799"/>
    </row>
    <row r="1597" spans="1:28" s="210" customFormat="1" ht="15.75" customHeight="1">
      <c r="A1597" s="203" t="str">
        <f>IF(B1597&lt;&gt;"",IF(AND(B1597&gt;=_TM1,B1597&lt;=_TM2,OR(TH!L1597="1111",TH!M1597="1111")),TH!D1597,""),"")</f>
        <v/>
      </c>
      <c r="B1597" s="36">
        <f>IF(C1597&lt;&gt;"",MONTH(C1597),"")</f>
        <v>9</v>
      </c>
      <c r="C1597" s="183">
        <f>E1597</f>
        <v>42248</v>
      </c>
      <c r="D1597" s="183" t="s">
        <v>1591</v>
      </c>
      <c r="E1597" s="727">
        <v>42248</v>
      </c>
      <c r="F1597" s="296" t="s">
        <v>494</v>
      </c>
      <c r="G1597" s="40" t="s">
        <v>1005</v>
      </c>
      <c r="H1597" s="7" t="s">
        <v>834</v>
      </c>
      <c r="I1597" s="255">
        <v>1226</v>
      </c>
      <c r="J1597" s="255">
        <v>5900</v>
      </c>
      <c r="K1597" s="593">
        <f>ROUND(I1597*J1597,0)</f>
        <v>7233400</v>
      </c>
      <c r="L1597" s="594" t="s">
        <v>259</v>
      </c>
      <c r="M1597" s="594" t="s">
        <v>174</v>
      </c>
      <c r="N1597" s="52" t="str">
        <f>IF(AND('331-CT'!$E$7=TH!H1597,OR(L1597="331",M1597="331")),"331",IF(AND(OR(L1597="131",M1597="131"),H1597='131-CT'!$E$7),"131",""))</f>
        <v/>
      </c>
      <c r="O1597" s="86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799"/>
    </row>
    <row r="1598" spans="1:28" s="210" customFormat="1" ht="15.75" customHeight="1">
      <c r="A1598" s="203" t="str">
        <f>IF(B1598&lt;&gt;"",IF(AND(B1598&gt;=_TM1,B1598&lt;=_TM2,OR(TH!L1598="1111",TH!M1598="1111")),TH!D1598,""),"")</f>
        <v/>
      </c>
      <c r="B1598" s="36">
        <f>IF(C1598&lt;&gt;"",MONTH(C1598),"")</f>
        <v>9</v>
      </c>
      <c r="C1598" s="183">
        <f>E1598</f>
        <v>42248</v>
      </c>
      <c r="D1598" s="183" t="s">
        <v>1591</v>
      </c>
      <c r="E1598" s="727">
        <v>42248</v>
      </c>
      <c r="F1598" s="40" t="s">
        <v>402</v>
      </c>
      <c r="G1598" s="40" t="s">
        <v>1005</v>
      </c>
      <c r="H1598" s="7" t="s">
        <v>834</v>
      </c>
      <c r="I1598" s="255"/>
      <c r="J1598" s="255"/>
      <c r="K1598" s="593">
        <v>723340</v>
      </c>
      <c r="L1598" s="594" t="s">
        <v>259</v>
      </c>
      <c r="M1598" s="594" t="s">
        <v>371</v>
      </c>
      <c r="N1598" s="52" t="str">
        <f>IF(AND('331-CT'!$E$7=TH!H1598,OR(L1598="331",M1598="331")),"331",IF(AND(OR(L1598="131",M1598="131"),H1598='131-CT'!$E$7),"131",""))</f>
        <v/>
      </c>
      <c r="O1598" s="86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799"/>
    </row>
    <row r="1599" spans="1:28" s="210" customFormat="1" ht="15.75" customHeight="1">
      <c r="A1599" s="203" t="str">
        <f>IF(B1599&lt;&gt;"",IF(AND(B1599&gt;=_TM1,B1599&lt;=_TM2,OR(TH!L1599="1111",TH!M1599="1111")),TH!D1599,""),"")</f>
        <v/>
      </c>
      <c r="B1599" s="36">
        <f>IF(C1599&lt;&gt;"",MONTH(C1599),"")</f>
        <v>9</v>
      </c>
      <c r="C1599" s="183">
        <f>E1599</f>
        <v>42248</v>
      </c>
      <c r="D1599" s="183" t="s">
        <v>1592</v>
      </c>
      <c r="E1599" s="190">
        <v>42248</v>
      </c>
      <c r="F1599" s="191" t="s">
        <v>624</v>
      </c>
      <c r="G1599" s="482" t="s">
        <v>1006</v>
      </c>
      <c r="H1599" s="7" t="s">
        <v>733</v>
      </c>
      <c r="I1599" s="257">
        <v>135</v>
      </c>
      <c r="J1599" s="257">
        <v>30237</v>
      </c>
      <c r="K1599" s="593">
        <f>ROUND(I1599*J1599,0)</f>
        <v>4081995</v>
      </c>
      <c r="L1599" s="594" t="s">
        <v>259</v>
      </c>
      <c r="M1599" s="594" t="s">
        <v>174</v>
      </c>
      <c r="N1599" s="52" t="str">
        <f>IF(AND('331-CT'!$E$7=TH!H1599,OR(L1599="331",M1599="331")),"331",IF(AND(OR(L1599="131",M1599="131"),H1599='131-CT'!$E$7),"131",""))</f>
        <v/>
      </c>
      <c r="O1599" s="86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799"/>
    </row>
    <row r="1600" spans="1:28" s="210" customFormat="1" ht="15.75" customHeight="1">
      <c r="A1600" s="203" t="str">
        <f>IF(B1600&lt;&gt;"",IF(AND(B1600&gt;=_TM1,B1600&lt;=_TM2,OR(TH!L1600="1111",TH!M1600="1111")),TH!D1600,""),"")</f>
        <v/>
      </c>
      <c r="B1600" s="36">
        <f>IF(C1600&lt;&gt;"",MONTH(C1600),"")</f>
        <v>9</v>
      </c>
      <c r="C1600" s="183">
        <f>E1600</f>
        <v>42248</v>
      </c>
      <c r="D1600" s="183" t="s">
        <v>1592</v>
      </c>
      <c r="E1600" s="190">
        <v>42248</v>
      </c>
      <c r="F1600" s="191" t="s">
        <v>1007</v>
      </c>
      <c r="G1600" s="482" t="s">
        <v>1006</v>
      </c>
      <c r="H1600" s="7" t="s">
        <v>733</v>
      </c>
      <c r="I1600" s="257">
        <v>25</v>
      </c>
      <c r="J1600" s="257">
        <v>54530</v>
      </c>
      <c r="K1600" s="593">
        <f>ROUND(I1600*J1600,0)</f>
        <v>1363250</v>
      </c>
      <c r="L1600" s="594" t="s">
        <v>259</v>
      </c>
      <c r="M1600" s="594" t="s">
        <v>174</v>
      </c>
      <c r="N1600" s="52" t="str">
        <f>IF(AND('331-CT'!$E$7=TH!H1600,OR(L1600="331",M1600="331")),"331",IF(AND(OR(L1600="131",M1600="131"),H1600='131-CT'!$E$7),"131",""))</f>
        <v/>
      </c>
      <c r="O1600" s="86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799"/>
    </row>
    <row r="1601" spans="1:27" s="210" customFormat="1" ht="15.75" customHeight="1">
      <c r="A1601" s="203" t="str">
        <f>IF(B1601&lt;&gt;"",IF(AND(B1601&gt;=_TM1,B1601&lt;=_TM2,OR(TH!L1601="1111",TH!M1601="1111")),TH!D1601,""),"")</f>
        <v/>
      </c>
      <c r="B1601" s="36">
        <f>IF(C1601&lt;&gt;"",MONTH(C1601),"")</f>
        <v>9</v>
      </c>
      <c r="C1601" s="183">
        <f>E1601</f>
        <v>42248</v>
      </c>
      <c r="D1601" s="183" t="s">
        <v>1592</v>
      </c>
      <c r="E1601" s="183">
        <v>42248</v>
      </c>
      <c r="F1601" s="188" t="s">
        <v>1008</v>
      </c>
      <c r="G1601" s="595" t="s">
        <v>1006</v>
      </c>
      <c r="H1601" s="7" t="s">
        <v>733</v>
      </c>
      <c r="I1601" s="255">
        <v>68</v>
      </c>
      <c r="J1601" s="255">
        <v>21839</v>
      </c>
      <c r="K1601" s="593">
        <f>ROUND(I1601*J1601,0)</f>
        <v>1485052</v>
      </c>
      <c r="L1601" s="594" t="s">
        <v>259</v>
      </c>
      <c r="M1601" s="594" t="s">
        <v>174</v>
      </c>
      <c r="N1601" s="52" t="str">
        <f>IF(AND('331-CT'!$E$7=TH!H1601,OR(L1601="331",M1601="331")),"331",IF(AND(OR(L1601="131",M1601="131"),H1601='131-CT'!$E$7),"131",""))</f>
        <v/>
      </c>
      <c r="O1601" s="86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799"/>
    </row>
    <row r="1602" spans="1:27" s="210" customFormat="1" ht="15.75" customHeight="1">
      <c r="A1602" s="203" t="str">
        <f>IF(B1602&lt;&gt;"",IF(AND(B1602&gt;=_TM1,B1602&lt;=_TM2,OR(TH!L1602="1111",TH!M1602="1111")),TH!D1602,""),"")</f>
        <v/>
      </c>
      <c r="B1602" s="36">
        <f>IF(C1602&lt;&gt;"",MONTH(C1602),"")</f>
        <v>9</v>
      </c>
      <c r="C1602" s="183">
        <f>E1602</f>
        <v>42248</v>
      </c>
      <c r="D1602" s="183" t="s">
        <v>1592</v>
      </c>
      <c r="E1602" s="183">
        <v>42248</v>
      </c>
      <c r="F1602" s="188" t="s">
        <v>923</v>
      </c>
      <c r="G1602" s="595" t="s">
        <v>1006</v>
      </c>
      <c r="H1602" s="7" t="s">
        <v>733</v>
      </c>
      <c r="I1602" s="255">
        <v>49</v>
      </c>
      <c r="J1602" s="255">
        <v>27926</v>
      </c>
      <c r="K1602" s="593">
        <f>ROUND(I1602*J1602,0)</f>
        <v>1368374</v>
      </c>
      <c r="L1602" s="594" t="s">
        <v>259</v>
      </c>
      <c r="M1602" s="594" t="s">
        <v>174</v>
      </c>
      <c r="N1602" s="52" t="str">
        <f>IF(AND('331-CT'!$E$7=TH!H1602,OR(L1602="331",M1602="331")),"331",IF(AND(OR(L1602="131",M1602="131"),H1602='131-CT'!$E$7),"131",""))</f>
        <v/>
      </c>
      <c r="O1602" s="86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799"/>
    </row>
    <row r="1603" spans="1:27" s="210" customFormat="1" ht="15.75" customHeight="1">
      <c r="A1603" s="203" t="str">
        <f>IF(B1603&lt;&gt;"",IF(AND(B1603&gt;=_TM1,B1603&lt;=_TM2,OR(TH!L1603="1111",TH!M1603="1111")),TH!D1603,""),"")</f>
        <v/>
      </c>
      <c r="B1603" s="36">
        <f>IF(C1603&lt;&gt;"",MONTH(C1603),"")</f>
        <v>9</v>
      </c>
      <c r="C1603" s="183">
        <f>E1603</f>
        <v>42248</v>
      </c>
      <c r="D1603" s="183" t="s">
        <v>1592</v>
      </c>
      <c r="E1603" s="190">
        <v>42248</v>
      </c>
      <c r="F1603" s="191" t="s">
        <v>921</v>
      </c>
      <c r="G1603" s="482" t="s">
        <v>1006</v>
      </c>
      <c r="H1603" s="7" t="s">
        <v>733</v>
      </c>
      <c r="I1603" s="255">
        <v>70</v>
      </c>
      <c r="J1603" s="255">
        <v>16070</v>
      </c>
      <c r="K1603" s="593">
        <f>ROUND(I1603*J1603,0)</f>
        <v>1124900</v>
      </c>
      <c r="L1603" s="594" t="s">
        <v>259</v>
      </c>
      <c r="M1603" s="594" t="s">
        <v>174</v>
      </c>
      <c r="N1603" s="52" t="str">
        <f>IF(AND('331-CT'!$E$7=TH!H1603,OR(L1603="331",M1603="331")),"331",IF(AND(OR(L1603="131",M1603="131"),H1603='131-CT'!$E$7),"131",""))</f>
        <v/>
      </c>
      <c r="O1603" s="86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799"/>
    </row>
    <row r="1604" spans="1:27" s="210" customFormat="1" ht="15.75" customHeight="1">
      <c r="A1604" s="203" t="str">
        <f>IF(B1604&lt;&gt;"",IF(AND(B1604&gt;=_TM1,B1604&lt;=_TM2,OR(TH!L1604="1111",TH!M1604="1111")),TH!D1604,""),"")</f>
        <v/>
      </c>
      <c r="B1604" s="36">
        <f>IF(C1604&lt;&gt;"",MONTH(C1604),"")</f>
        <v>9</v>
      </c>
      <c r="C1604" s="183">
        <f>E1604</f>
        <v>42248</v>
      </c>
      <c r="D1604" s="183" t="s">
        <v>1592</v>
      </c>
      <c r="E1604" s="190">
        <v>42248</v>
      </c>
      <c r="F1604" s="191" t="s">
        <v>1009</v>
      </c>
      <c r="G1604" s="482" t="s">
        <v>1006</v>
      </c>
      <c r="H1604" s="7" t="s">
        <v>733</v>
      </c>
      <c r="I1604" s="255">
        <v>45</v>
      </c>
      <c r="J1604" s="255">
        <v>29954</v>
      </c>
      <c r="K1604" s="593">
        <f>ROUND(I1604*J1604,0)</f>
        <v>1347930</v>
      </c>
      <c r="L1604" s="594" t="s">
        <v>259</v>
      </c>
      <c r="M1604" s="594" t="s">
        <v>174</v>
      </c>
      <c r="N1604" s="52" t="str">
        <f>IF(AND('331-CT'!$E$7=TH!H1604,OR(L1604="331",M1604="331")),"331",IF(AND(OR(L1604="131",M1604="131"),H1604='131-CT'!$E$7),"131",""))</f>
        <v/>
      </c>
      <c r="O1604" s="86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799"/>
    </row>
    <row r="1605" spans="1:27" s="210" customFormat="1" ht="15.75" customHeight="1">
      <c r="A1605" s="203" t="str">
        <f>IF(B1605&lt;&gt;"",IF(AND(B1605&gt;=_TM1,B1605&lt;=_TM2,OR(TH!L1605="1111",TH!M1605="1111")),TH!D1605,""),"")</f>
        <v/>
      </c>
      <c r="B1605" s="36">
        <f>IF(C1605&lt;&gt;"",MONTH(C1605),"")</f>
        <v>9</v>
      </c>
      <c r="C1605" s="183">
        <f>E1605</f>
        <v>42248</v>
      </c>
      <c r="D1605" s="183" t="s">
        <v>1592</v>
      </c>
      <c r="E1605" s="190">
        <v>42248</v>
      </c>
      <c r="F1605" s="191" t="s">
        <v>402</v>
      </c>
      <c r="G1605" s="482" t="s">
        <v>1006</v>
      </c>
      <c r="H1605" s="7" t="s">
        <v>733</v>
      </c>
      <c r="I1605" s="255"/>
      <c r="J1605" s="255"/>
      <c r="K1605" s="593">
        <v>1077150</v>
      </c>
      <c r="L1605" s="594" t="s">
        <v>259</v>
      </c>
      <c r="M1605" s="594" t="s">
        <v>371</v>
      </c>
      <c r="N1605" s="52" t="str">
        <f>IF(AND('331-CT'!$E$7=TH!H1605,OR(L1605="331",M1605="331")),"331",IF(AND(OR(L1605="131",M1605="131"),H1605='131-CT'!$E$7),"131",""))</f>
        <v/>
      </c>
      <c r="O1605" s="86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799"/>
    </row>
    <row r="1606" spans="1:27" s="210" customFormat="1" ht="15.75" customHeight="1">
      <c r="A1606" s="203" t="str">
        <f>IF(B1606&lt;&gt;"",IF(AND(B1606&gt;=_TM1,B1606&lt;=_TM2,OR(TH!L1606="1111",TH!M1606="1111")),TH!D1606,""),"")</f>
        <v/>
      </c>
      <c r="B1606" s="36">
        <f>IF(C1606&lt;&gt;"",MONTH(C1606),"")</f>
        <v>9</v>
      </c>
      <c r="C1606" s="183">
        <f>E1606</f>
        <v>42248</v>
      </c>
      <c r="D1606" s="183" t="s">
        <v>1593</v>
      </c>
      <c r="E1606" s="190">
        <v>42248</v>
      </c>
      <c r="F1606" s="191" t="s">
        <v>1782</v>
      </c>
      <c r="G1606" s="482" t="s">
        <v>1010</v>
      </c>
      <c r="H1606" s="7" t="s">
        <v>1934</v>
      </c>
      <c r="I1606" s="255">
        <v>70</v>
      </c>
      <c r="J1606" s="255">
        <v>12886</v>
      </c>
      <c r="K1606" s="593">
        <f>ROUND(I1606*J1606,0)</f>
        <v>902020</v>
      </c>
      <c r="L1606" s="594" t="s">
        <v>259</v>
      </c>
      <c r="M1606" s="594" t="s">
        <v>174</v>
      </c>
      <c r="N1606" s="52" t="str">
        <f>IF(AND('331-CT'!$E$7=TH!H1606,OR(L1606="331",M1606="331")),"331",IF(AND(OR(L1606="131",M1606="131"),H1606='131-CT'!$E$7),"131",""))</f>
        <v/>
      </c>
      <c r="O1606" s="86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799"/>
    </row>
    <row r="1607" spans="1:27" s="210" customFormat="1" ht="15.75" customHeight="1">
      <c r="A1607" s="203" t="str">
        <f>IF(B1607&lt;&gt;"",IF(AND(B1607&gt;=_TM1,B1607&lt;=_TM2,OR(TH!L1607="1111",TH!M1607="1111")),TH!D1607,""),"")</f>
        <v/>
      </c>
      <c r="B1607" s="36">
        <f>IF(C1607&lt;&gt;"",MONTH(C1607),"")</f>
        <v>9</v>
      </c>
      <c r="C1607" s="183">
        <f>E1607</f>
        <v>42248</v>
      </c>
      <c r="D1607" s="183" t="s">
        <v>1593</v>
      </c>
      <c r="E1607" s="190">
        <v>42248</v>
      </c>
      <c r="F1607" s="191" t="s">
        <v>1761</v>
      </c>
      <c r="G1607" s="482" t="s">
        <v>1010</v>
      </c>
      <c r="H1607" s="7" t="s">
        <v>1934</v>
      </c>
      <c r="I1607" s="258">
        <v>50</v>
      </c>
      <c r="J1607" s="258">
        <v>13213</v>
      </c>
      <c r="K1607" s="593">
        <f>ROUND(I1607*J1607,0)</f>
        <v>660650</v>
      </c>
      <c r="L1607" s="594" t="s">
        <v>259</v>
      </c>
      <c r="M1607" s="594" t="s">
        <v>174</v>
      </c>
      <c r="N1607" s="52" t="str">
        <f>IF(AND('331-CT'!$E$7=TH!H1607,OR(L1607="331",M1607="331")),"331",IF(AND(OR(L1607="131",M1607="131"),H1607='131-CT'!$E$7),"131",""))</f>
        <v/>
      </c>
      <c r="O1607" s="86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799"/>
    </row>
    <row r="1608" spans="1:27" s="210" customFormat="1" ht="15.75" customHeight="1">
      <c r="A1608" s="203" t="str">
        <f>IF(B1608&lt;&gt;"",IF(AND(B1608&gt;=_TM1,B1608&lt;=_TM2,OR(TH!L1608="1111",TH!M1608="1111")),TH!D1608,""),"")</f>
        <v/>
      </c>
      <c r="B1608" s="36">
        <f>IF(C1608&lt;&gt;"",MONTH(C1608),"")</f>
        <v>9</v>
      </c>
      <c r="C1608" s="183">
        <f>E1608</f>
        <v>42248</v>
      </c>
      <c r="D1608" s="183" t="s">
        <v>1593</v>
      </c>
      <c r="E1608" s="190">
        <v>42248</v>
      </c>
      <c r="F1608" s="191" t="s">
        <v>1783</v>
      </c>
      <c r="G1608" s="482" t="s">
        <v>1010</v>
      </c>
      <c r="H1608" s="7" t="s">
        <v>1934</v>
      </c>
      <c r="I1608" s="258">
        <v>150</v>
      </c>
      <c r="J1608" s="258">
        <v>7938</v>
      </c>
      <c r="K1608" s="593">
        <f>ROUND(I1608*J1608,0)</f>
        <v>1190700</v>
      </c>
      <c r="L1608" s="594" t="s">
        <v>259</v>
      </c>
      <c r="M1608" s="594" t="s">
        <v>174</v>
      </c>
      <c r="N1608" s="52" t="str">
        <f>IF(AND('331-CT'!$E$7=TH!H1608,OR(L1608="331",M1608="331")),"331",IF(AND(OR(L1608="131",M1608="131"),H1608='131-CT'!$E$7),"131",""))</f>
        <v/>
      </c>
      <c r="O1608" s="86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799"/>
    </row>
    <row r="1609" spans="1:27" s="210" customFormat="1" ht="15.75" customHeight="1">
      <c r="A1609" s="203" t="str">
        <f>IF(B1609&lt;&gt;"",IF(AND(B1609&gt;=_TM1,B1609&lt;=_TM2,OR(TH!L1609="1111",TH!M1609="1111")),TH!D1609,""),"")</f>
        <v/>
      </c>
      <c r="B1609" s="36">
        <f>IF(C1609&lt;&gt;"",MONTH(C1609),"")</f>
        <v>9</v>
      </c>
      <c r="C1609" s="183">
        <f>E1609</f>
        <v>42248</v>
      </c>
      <c r="D1609" s="183" t="s">
        <v>1593</v>
      </c>
      <c r="E1609" s="190">
        <v>42248</v>
      </c>
      <c r="F1609" s="191" t="s">
        <v>742</v>
      </c>
      <c r="G1609" s="482" t="s">
        <v>1010</v>
      </c>
      <c r="H1609" s="7" t="s">
        <v>1934</v>
      </c>
      <c r="I1609" s="255">
        <v>395</v>
      </c>
      <c r="J1609" s="255">
        <v>17836</v>
      </c>
      <c r="K1609" s="593">
        <f>ROUND(I1609*J1609,0)</f>
        <v>7045220</v>
      </c>
      <c r="L1609" s="594" t="s">
        <v>259</v>
      </c>
      <c r="M1609" s="594" t="s">
        <v>174</v>
      </c>
      <c r="N1609" s="52" t="str">
        <f>IF(AND('331-CT'!$E$7=TH!H1609,OR(L1609="331",M1609="331")),"331",IF(AND(OR(L1609="131",M1609="131"),H1609='131-CT'!$E$7),"131",""))</f>
        <v/>
      </c>
      <c r="O1609" s="86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799"/>
    </row>
    <row r="1610" spans="1:27" s="210" customFormat="1" ht="15.75" customHeight="1">
      <c r="A1610" s="203" t="str">
        <f>IF(B1610&lt;&gt;"",IF(AND(B1610&gt;=_TM1,B1610&lt;=_TM2,OR(TH!L1610="1111",TH!M1610="1111")),TH!D1610,""),"")</f>
        <v/>
      </c>
      <c r="B1610" s="36">
        <f>IF(C1610&lt;&gt;"",MONTH(C1610),"")</f>
        <v>9</v>
      </c>
      <c r="C1610" s="183">
        <f>E1610</f>
        <v>42248</v>
      </c>
      <c r="D1610" s="183" t="s">
        <v>1593</v>
      </c>
      <c r="E1610" s="190">
        <v>42248</v>
      </c>
      <c r="F1610" s="191" t="s">
        <v>668</v>
      </c>
      <c r="G1610" s="482" t="s">
        <v>1010</v>
      </c>
      <c r="H1610" s="7" t="s">
        <v>1934</v>
      </c>
      <c r="I1610" s="256">
        <v>25</v>
      </c>
      <c r="J1610" s="256">
        <v>20302</v>
      </c>
      <c r="K1610" s="593">
        <f>ROUND(I1610*J1610,0)</f>
        <v>507550</v>
      </c>
      <c r="L1610" s="594" t="s">
        <v>259</v>
      </c>
      <c r="M1610" s="594" t="s">
        <v>174</v>
      </c>
      <c r="N1610" s="52" t="str">
        <f>IF(AND('331-CT'!$E$7=TH!H1610,OR(L1610="331",M1610="331")),"331",IF(AND(OR(L1610="131",M1610="131"),H1610='131-CT'!$E$7),"131",""))</f>
        <v/>
      </c>
      <c r="O1610" s="86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799"/>
    </row>
    <row r="1611" spans="1:27" s="210" customFormat="1" ht="15.75" customHeight="1">
      <c r="A1611" s="203" t="str">
        <f>IF(B1611&lt;&gt;"",IF(AND(B1611&gt;=_TM1,B1611&lt;=_TM2,OR(TH!L1611="1111",TH!M1611="1111")),TH!D1611,""),"")</f>
        <v/>
      </c>
      <c r="B1611" s="36">
        <f>IF(C1611&lt;&gt;"",MONTH(C1611),"")</f>
        <v>9</v>
      </c>
      <c r="C1611" s="183">
        <f>E1611</f>
        <v>42248</v>
      </c>
      <c r="D1611" s="183" t="s">
        <v>1593</v>
      </c>
      <c r="E1611" s="190">
        <v>42248</v>
      </c>
      <c r="F1611" s="191" t="s">
        <v>1741</v>
      </c>
      <c r="G1611" s="482" t="s">
        <v>1010</v>
      </c>
      <c r="H1611" s="7" t="s">
        <v>1934</v>
      </c>
      <c r="I1611" s="255">
        <v>25</v>
      </c>
      <c r="J1611" s="255">
        <v>10056</v>
      </c>
      <c r="K1611" s="593">
        <f>ROUND(I1611*J1611,0)</f>
        <v>251400</v>
      </c>
      <c r="L1611" s="594" t="s">
        <v>259</v>
      </c>
      <c r="M1611" s="594" t="s">
        <v>174</v>
      </c>
      <c r="N1611" s="52" t="str">
        <f>IF(AND('331-CT'!$E$7=TH!H1611,OR(L1611="331",M1611="331")),"331",IF(AND(OR(L1611="131",M1611="131"),H1611='131-CT'!$E$7),"131",""))</f>
        <v/>
      </c>
      <c r="O1611" s="86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799"/>
    </row>
    <row r="1612" spans="1:27" s="210" customFormat="1" ht="15.75" customHeight="1">
      <c r="A1612" s="203" t="str">
        <f>IF(B1612&lt;&gt;"",IF(AND(B1612&gt;=_TM1,B1612&lt;=_TM2,OR(TH!L1612="1111",TH!M1612="1111")),TH!D1612,""),"")</f>
        <v/>
      </c>
      <c r="B1612" s="36">
        <f>IF(C1612&lt;&gt;"",MONTH(C1612),"")</f>
        <v>9</v>
      </c>
      <c r="C1612" s="183">
        <f>E1612</f>
        <v>42248</v>
      </c>
      <c r="D1612" s="183" t="s">
        <v>1593</v>
      </c>
      <c r="E1612" s="727">
        <v>42248</v>
      </c>
      <c r="F1612" s="40" t="s">
        <v>741</v>
      </c>
      <c r="G1612" s="40" t="s">
        <v>1010</v>
      </c>
      <c r="H1612" s="7" t="s">
        <v>1934</v>
      </c>
      <c r="I1612" s="255">
        <v>140</v>
      </c>
      <c r="J1612" s="255">
        <v>8973</v>
      </c>
      <c r="K1612" s="593">
        <f>ROUND(I1612*J1612,0)</f>
        <v>1256220</v>
      </c>
      <c r="L1612" s="594" t="s">
        <v>259</v>
      </c>
      <c r="M1612" s="594" t="s">
        <v>174</v>
      </c>
      <c r="N1612" s="52" t="str">
        <f>IF(AND('331-CT'!$E$7=TH!H1612,OR(L1612="331",M1612="331")),"331",IF(AND(OR(L1612="131",M1612="131"),H1612='131-CT'!$E$7),"131",""))</f>
        <v/>
      </c>
      <c r="O1612" s="86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799"/>
    </row>
    <row r="1613" spans="1:27" s="210" customFormat="1" ht="15.75" customHeight="1">
      <c r="A1613" s="203" t="str">
        <f>IF(B1613&lt;&gt;"",IF(AND(B1613&gt;=_TM1,B1613&lt;=_TM2,OR(TH!L1613="1111",TH!M1613="1111")),TH!D1613,""),"")</f>
        <v/>
      </c>
      <c r="B1613" s="36">
        <f>IF(C1613&lt;&gt;"",MONTH(C1613),"")</f>
        <v>9</v>
      </c>
      <c r="C1613" s="183">
        <f>E1613</f>
        <v>42248</v>
      </c>
      <c r="D1613" s="183" t="s">
        <v>1593</v>
      </c>
      <c r="E1613" s="727">
        <v>42248</v>
      </c>
      <c r="F1613" s="40" t="s">
        <v>1784</v>
      </c>
      <c r="G1613" s="40" t="s">
        <v>1010</v>
      </c>
      <c r="H1613" s="7" t="s">
        <v>1934</v>
      </c>
      <c r="I1613" s="255">
        <v>50</v>
      </c>
      <c r="J1613" s="255">
        <v>6653</v>
      </c>
      <c r="K1613" s="593">
        <f>ROUND(I1613*J1613,0)</f>
        <v>332650</v>
      </c>
      <c r="L1613" s="594" t="s">
        <v>259</v>
      </c>
      <c r="M1613" s="594" t="s">
        <v>174</v>
      </c>
      <c r="N1613" s="52" t="str">
        <f>IF(AND('331-CT'!$E$7=TH!H1613,OR(L1613="331",M1613="331")),"331",IF(AND(OR(L1613="131",M1613="131"),H1613='131-CT'!$E$7),"131",""))</f>
        <v/>
      </c>
      <c r="O1613" s="86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799"/>
    </row>
    <row r="1614" spans="1:27" s="210" customFormat="1" ht="15.75" customHeight="1">
      <c r="A1614" s="203" t="str">
        <f>IF(B1614&lt;&gt;"",IF(AND(B1614&gt;=_TM1,B1614&lt;=_TM2,OR(TH!L1614="1111",TH!M1614="1111")),TH!D1614,""),"")</f>
        <v/>
      </c>
      <c r="B1614" s="36">
        <f>IF(C1614&lt;&gt;"",MONTH(C1614),"")</f>
        <v>9</v>
      </c>
      <c r="C1614" s="183">
        <f>E1614</f>
        <v>42248</v>
      </c>
      <c r="D1614" s="183" t="s">
        <v>1593</v>
      </c>
      <c r="E1614" s="727">
        <v>42248</v>
      </c>
      <c r="F1614" s="188" t="s">
        <v>1785</v>
      </c>
      <c r="G1614" s="40" t="s">
        <v>1010</v>
      </c>
      <c r="H1614" s="7" t="s">
        <v>1934</v>
      </c>
      <c r="I1614" s="255">
        <v>35</v>
      </c>
      <c r="J1614" s="255">
        <v>8014</v>
      </c>
      <c r="K1614" s="593">
        <f>ROUND(I1614*J1614,0)</f>
        <v>280490</v>
      </c>
      <c r="L1614" s="594" t="s">
        <v>259</v>
      </c>
      <c r="M1614" s="594" t="s">
        <v>174</v>
      </c>
      <c r="N1614" s="52" t="str">
        <f>IF(AND('331-CT'!$E$7=TH!H1614,OR(L1614="331",M1614="331")),"331",IF(AND(OR(L1614="131",M1614="131"),H1614='131-CT'!$E$7),"131",""))</f>
        <v/>
      </c>
      <c r="O1614" s="86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799"/>
    </row>
    <row r="1615" spans="1:27" s="210" customFormat="1" ht="15.75" customHeight="1">
      <c r="A1615" s="203" t="str">
        <f>IF(B1615&lt;&gt;"",IF(AND(B1615&gt;=_TM1,B1615&lt;=_TM2,OR(TH!L1615="1111",TH!M1615="1111")),TH!D1615,""),"")</f>
        <v/>
      </c>
      <c r="B1615" s="36">
        <f>IF(C1615&lt;&gt;"",MONTH(C1615),"")</f>
        <v>9</v>
      </c>
      <c r="C1615" s="183">
        <f>E1615</f>
        <v>42248</v>
      </c>
      <c r="D1615" s="183" t="s">
        <v>1593</v>
      </c>
      <c r="E1615" s="727">
        <v>42248</v>
      </c>
      <c r="F1615" s="40" t="s">
        <v>1780</v>
      </c>
      <c r="G1615" s="40" t="s">
        <v>1010</v>
      </c>
      <c r="H1615" s="7" t="s">
        <v>1934</v>
      </c>
      <c r="I1615" s="255">
        <v>125</v>
      </c>
      <c r="J1615" s="255">
        <v>5307</v>
      </c>
      <c r="K1615" s="593">
        <f>ROUND(I1615*J1615,0)</f>
        <v>663375</v>
      </c>
      <c r="L1615" s="594" t="s">
        <v>259</v>
      </c>
      <c r="M1615" s="594" t="s">
        <v>174</v>
      </c>
      <c r="N1615" s="52" t="str">
        <f>IF(AND('331-CT'!$E$7=TH!H1615,OR(L1615="331",M1615="331")),"331",IF(AND(OR(L1615="131",M1615="131"),H1615='131-CT'!$E$7),"131",""))</f>
        <v/>
      </c>
      <c r="O1615" s="86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799"/>
    </row>
    <row r="1616" spans="1:27" s="210" customFormat="1" ht="15.75" customHeight="1">
      <c r="A1616" s="203" t="str">
        <f>IF(B1616&lt;&gt;"",IF(AND(B1616&gt;=_TM1,B1616&lt;=_TM2,OR(TH!L1616="1111",TH!M1616="1111")),TH!D1616,""),"")</f>
        <v/>
      </c>
      <c r="B1616" s="36">
        <f>IF(C1616&lt;&gt;"",MONTH(C1616),"")</f>
        <v>9</v>
      </c>
      <c r="C1616" s="183">
        <f>E1616</f>
        <v>42248</v>
      </c>
      <c r="D1616" s="183" t="s">
        <v>1593</v>
      </c>
      <c r="E1616" s="727">
        <v>42248</v>
      </c>
      <c r="F1616" s="188" t="s">
        <v>731</v>
      </c>
      <c r="G1616" s="40" t="s">
        <v>1010</v>
      </c>
      <c r="H1616" s="7" t="s">
        <v>1934</v>
      </c>
      <c r="I1616" s="255"/>
      <c r="J1616" s="255"/>
      <c r="K1616" s="593">
        <v>1309028</v>
      </c>
      <c r="L1616" s="594" t="s">
        <v>259</v>
      </c>
      <c r="M1616" s="594" t="s">
        <v>371</v>
      </c>
      <c r="N1616" s="52" t="str">
        <f>IF(AND('331-CT'!$E$7=TH!H1616,OR(L1616="331",M1616="331")),"331",IF(AND(OR(L1616="131",M1616="131"),H1616='131-CT'!$E$7),"131",""))</f>
        <v/>
      </c>
      <c r="O1616" s="86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799"/>
    </row>
    <row r="1617" spans="1:27" s="210" customFormat="1" ht="15.75" customHeight="1">
      <c r="A1617" s="203" t="str">
        <f>IF(B1617&lt;&gt;"",IF(AND(B1617&gt;=_TM1,B1617&lt;=_TM2,OR(TH!L1617="1111",TH!M1617="1111")),TH!D1617,""),"")</f>
        <v/>
      </c>
      <c r="B1617" s="36">
        <f>IF(C1617&lt;&gt;"",MONTH(C1617),"")</f>
        <v>9</v>
      </c>
      <c r="C1617" s="183">
        <f>E1617</f>
        <v>42248</v>
      </c>
      <c r="D1617" s="183" t="s">
        <v>1319</v>
      </c>
      <c r="E1617" s="190">
        <v>42248</v>
      </c>
      <c r="F1617" s="188" t="s">
        <v>1320</v>
      </c>
      <c r="G1617" s="482" t="s">
        <v>332</v>
      </c>
      <c r="H1617" s="7" t="s">
        <v>957</v>
      </c>
      <c r="I1617" s="255"/>
      <c r="J1617" s="255"/>
      <c r="K1617" s="593">
        <v>49719450</v>
      </c>
      <c r="L1617" s="594" t="s">
        <v>24</v>
      </c>
      <c r="M1617" s="594" t="s">
        <v>259</v>
      </c>
      <c r="N1617" s="52" t="str">
        <f>IF(AND('331-CT'!$E$7=TH!H1617,OR(L1617="331",M1617="331")),"331",IF(AND(OR(L1617="131",M1617="131"),H1617='131-CT'!$E$7),"131",""))</f>
        <v/>
      </c>
      <c r="O1617" s="86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>x</v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799"/>
    </row>
    <row r="1618" spans="1:27" s="210" customFormat="1" ht="15.75" customHeight="1">
      <c r="A1618" s="203" t="str">
        <f>IF(B1618&lt;&gt;"",IF(AND(B1618&gt;=_TM1,B1618&lt;=_TM2,OR(TH!L1618="1111",TH!M1618="1111")),TH!D1618,""),"")</f>
        <v/>
      </c>
      <c r="B1618" s="36">
        <f>IF(C1618&lt;&gt;"",MONTH(C1618),"")</f>
        <v>9</v>
      </c>
      <c r="C1618" s="183">
        <f>E1618</f>
        <v>42248</v>
      </c>
      <c r="D1618" s="183" t="s">
        <v>1324</v>
      </c>
      <c r="E1618" s="190">
        <v>42248</v>
      </c>
      <c r="F1618" s="188" t="s">
        <v>1325</v>
      </c>
      <c r="G1618" s="482" t="s">
        <v>332</v>
      </c>
      <c r="H1618" s="7" t="s">
        <v>1331</v>
      </c>
      <c r="I1618" s="255"/>
      <c r="J1618" s="255"/>
      <c r="K1618" s="593">
        <v>27000000</v>
      </c>
      <c r="L1618" s="594" t="s">
        <v>47</v>
      </c>
      <c r="M1618" s="594" t="s">
        <v>24</v>
      </c>
      <c r="N1618" s="52" t="str">
        <f>IF(AND('331-CT'!$E$7=TH!H1618,OR(L1618="331",M1618="331")),"331",IF(AND(OR(L1618="131",M1618="131"),H1618='131-CT'!$E$7),"131",""))</f>
        <v/>
      </c>
      <c r="O1618" s="86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>x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799"/>
    </row>
    <row r="1619" spans="1:27" s="210" customFormat="1" ht="15.75" customHeight="1">
      <c r="A1619" s="203" t="str">
        <f>IF(B1619&lt;&gt;"",IF(AND(B1619&gt;=_TM1,B1619&lt;=_TM2,OR(TH!L1619="1111",TH!M1619="1111")),TH!D1619,""),"")</f>
        <v/>
      </c>
      <c r="B1619" s="36">
        <f>IF(C1619&lt;&gt;"",MONTH(C1619),"")</f>
        <v>9</v>
      </c>
      <c r="C1619" s="183">
        <f>E1619</f>
        <v>42250</v>
      </c>
      <c r="D1619" s="183" t="s">
        <v>1324</v>
      </c>
      <c r="E1619" s="190">
        <v>42250</v>
      </c>
      <c r="F1619" s="188" t="s">
        <v>1325</v>
      </c>
      <c r="G1619" s="482" t="s">
        <v>332</v>
      </c>
      <c r="H1619" s="7" t="s">
        <v>1337</v>
      </c>
      <c r="I1619" s="255"/>
      <c r="J1619" s="255"/>
      <c r="K1619" s="593">
        <v>49700000</v>
      </c>
      <c r="L1619" s="594" t="s">
        <v>47</v>
      </c>
      <c r="M1619" s="594" t="s">
        <v>24</v>
      </c>
      <c r="N1619" s="52" t="str">
        <f>IF(AND('331-CT'!$E$7=TH!H1619,OR(L1619="331",M1619="331")),"331",IF(AND(OR(L1619="131",M1619="131"),H1619='131-CT'!$E$7),"131",""))</f>
        <v/>
      </c>
      <c r="O1619" s="86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>x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799"/>
    </row>
    <row r="1620" spans="1:27" s="210" customFormat="1" ht="15.75" customHeight="1">
      <c r="A1620" s="203" t="str">
        <f>IF(B1620&lt;&gt;"",IF(AND(B1620&gt;=_TM1,B1620&lt;=_TM2,OR(TH!L1620="1111",TH!M1620="1111")),TH!D1620,""),"")</f>
        <v/>
      </c>
      <c r="B1620" s="36">
        <f>IF(C1620&lt;&gt;"",MONTH(C1620),"")</f>
        <v>9</v>
      </c>
      <c r="C1620" s="183">
        <f>E1620</f>
        <v>42250</v>
      </c>
      <c r="D1620" s="190" t="s">
        <v>2020</v>
      </c>
      <c r="E1620" s="727">
        <v>42250</v>
      </c>
      <c r="F1620" s="296" t="s">
        <v>1357</v>
      </c>
      <c r="G1620" s="482" t="s">
        <v>1067</v>
      </c>
      <c r="H1620" s="7" t="s">
        <v>1391</v>
      </c>
      <c r="I1620" s="255">
        <v>2411</v>
      </c>
      <c r="J1620" s="255">
        <v>7300</v>
      </c>
      <c r="K1620" s="593">
        <f>ROUND(I1620*J1620,0)</f>
        <v>17600300</v>
      </c>
      <c r="L1620" s="594" t="s">
        <v>159</v>
      </c>
      <c r="M1620" s="594" t="s">
        <v>8</v>
      </c>
      <c r="N1620" s="52" t="str">
        <f>IF(AND('331-CT'!$E$7=TH!H1620,OR(L1620="331",M1620="331")),"331",IF(AND(OR(L1620="131",M1620="131"),H1620='131-CT'!$E$7),"131",""))</f>
        <v/>
      </c>
      <c r="O1620" s="86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799"/>
    </row>
    <row r="1621" spans="1:27" s="210" customFormat="1" ht="15.75" customHeight="1">
      <c r="A1621" s="203" t="str">
        <f>IF(B1621&lt;&gt;"",IF(AND(B1621&gt;=_TM1,B1621&lt;=_TM2,OR(TH!L1621="1111",TH!M1621="1111")),TH!D1621,""),"")</f>
        <v/>
      </c>
      <c r="B1621" s="36">
        <f>IF(C1621&lt;&gt;"",MONTH(C1621),"")</f>
        <v>9</v>
      </c>
      <c r="C1621" s="183">
        <f>E1621</f>
        <v>42250</v>
      </c>
      <c r="D1621" s="190" t="s">
        <v>2020</v>
      </c>
      <c r="E1621" s="727">
        <v>42250</v>
      </c>
      <c r="F1621" s="296" t="s">
        <v>1393</v>
      </c>
      <c r="G1621" s="482" t="s">
        <v>1067</v>
      </c>
      <c r="H1621" s="7" t="s">
        <v>1391</v>
      </c>
      <c r="I1621" s="255"/>
      <c r="J1621" s="255"/>
      <c r="K1621" s="593">
        <v>1760030</v>
      </c>
      <c r="L1621" s="594" t="s">
        <v>9</v>
      </c>
      <c r="M1621" s="594" t="s">
        <v>8</v>
      </c>
      <c r="N1621" s="52" t="str">
        <f>IF(AND('331-CT'!$E$7=TH!H1621,OR(L1621="331",M1621="331")),"331",IF(AND(OR(L1621="131",M1621="131"),H1621='131-CT'!$E$7),"131",""))</f>
        <v/>
      </c>
      <c r="O1621" s="86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799"/>
    </row>
    <row r="1622" spans="1:27" s="210" customFormat="1" ht="15.75" customHeight="1">
      <c r="A1622" s="203" t="str">
        <f>IF(B1622&lt;&gt;"",IF(AND(B1622&gt;=_TM1,B1622&lt;=_TM2,OR(TH!L1622="1111",TH!M1622="1111")),TH!D1622,""),"")</f>
        <v/>
      </c>
      <c r="B1622" s="36">
        <f>IF(C1622&lt;&gt;"",MONTH(C1622),"")</f>
        <v>9</v>
      </c>
      <c r="C1622" s="183">
        <f>E1622</f>
        <v>42250</v>
      </c>
      <c r="D1622" s="190" t="s">
        <v>2020</v>
      </c>
      <c r="E1622" s="727">
        <v>42250</v>
      </c>
      <c r="F1622" s="296" t="s">
        <v>1326</v>
      </c>
      <c r="G1622" s="482" t="s">
        <v>1067</v>
      </c>
      <c r="H1622" s="7" t="s">
        <v>1391</v>
      </c>
      <c r="I1622" s="255"/>
      <c r="J1622" s="255"/>
      <c r="K1622" s="593">
        <v>19360330</v>
      </c>
      <c r="L1622" s="594" t="s">
        <v>8</v>
      </c>
      <c r="M1622" s="594" t="s">
        <v>47</v>
      </c>
      <c r="N1622" s="52" t="str">
        <f>IF(AND('331-CT'!$E$7=TH!H1622,OR(L1622="331",M1622="331")),"331",IF(AND(OR(L1622="131",M1622="131"),H1622='131-CT'!$E$7),"131",""))</f>
        <v/>
      </c>
      <c r="O1622" s="86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799"/>
    </row>
    <row r="1623" spans="1:27" s="210" customFormat="1" ht="15.75" customHeight="1">
      <c r="A1623" s="203" t="str">
        <f>IF(B1623&lt;&gt;"",IF(AND(B1623&gt;=_TM1,B1623&lt;=_TM2,OR(TH!L1623="1111",TH!M1623="1111")),TH!D1623,""),"")</f>
        <v/>
      </c>
      <c r="B1623" s="36">
        <f>IF(C1623&lt;&gt;"",MONTH(C1623),"")</f>
        <v>9</v>
      </c>
      <c r="C1623" s="183">
        <f>E1623</f>
        <v>42250</v>
      </c>
      <c r="D1623" s="190" t="s">
        <v>2020</v>
      </c>
      <c r="E1623" s="190">
        <v>42250</v>
      </c>
      <c r="F1623" s="188" t="s">
        <v>1380</v>
      </c>
      <c r="G1623" s="482" t="s">
        <v>1501</v>
      </c>
      <c r="H1623" s="7" t="s">
        <v>1491</v>
      </c>
      <c r="I1623" s="255">
        <v>5628</v>
      </c>
      <c r="J1623" s="255">
        <v>7600</v>
      </c>
      <c r="K1623" s="593">
        <f>ROUND(I1623*J1623,0)</f>
        <v>42772800</v>
      </c>
      <c r="L1623" s="594" t="s">
        <v>159</v>
      </c>
      <c r="M1623" s="594" t="s">
        <v>8</v>
      </c>
      <c r="N1623" s="52" t="str">
        <f>IF(AND('331-CT'!$E$7=TH!H1623,OR(L1623="331",M1623="331")),"331",IF(AND(OR(L1623="131",M1623="131"),H1623='131-CT'!$E$7),"131",""))</f>
        <v/>
      </c>
      <c r="O1623" s="86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>x</v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799"/>
    </row>
    <row r="1624" spans="1:27" s="210" customFormat="1" ht="15.75" customHeight="1">
      <c r="A1624" s="203" t="str">
        <f>IF(B1624&lt;&gt;"",IF(AND(B1624&gt;=_TM1,B1624&lt;=_TM2,OR(TH!L1624="1111",TH!M1624="1111")),TH!D1624,""),"")</f>
        <v/>
      </c>
      <c r="B1624" s="36">
        <f>IF(C1624&lt;&gt;"",MONTH(C1624),"")</f>
        <v>9</v>
      </c>
      <c r="C1624" s="183">
        <f>E1624</f>
        <v>42250</v>
      </c>
      <c r="D1624" s="190" t="s">
        <v>2020</v>
      </c>
      <c r="E1624" s="190">
        <v>42250</v>
      </c>
      <c r="F1624" s="191" t="s">
        <v>1378</v>
      </c>
      <c r="G1624" s="482" t="s">
        <v>1501</v>
      </c>
      <c r="H1624" s="7" t="s">
        <v>1491</v>
      </c>
      <c r="I1624" s="255">
        <v>2583</v>
      </c>
      <c r="J1624" s="255">
        <v>9000</v>
      </c>
      <c r="K1624" s="593">
        <f>ROUND(I1624*J1624,0)</f>
        <v>23247000</v>
      </c>
      <c r="L1624" s="594" t="s">
        <v>159</v>
      </c>
      <c r="M1624" s="594" t="s">
        <v>8</v>
      </c>
      <c r="N1624" s="52" t="str">
        <f>IF(AND('331-CT'!$E$7=TH!H1624,OR(L1624="331",M1624="331")),"331",IF(AND(OR(L1624="131",M1624="131"),H1624='131-CT'!$E$7),"131",""))</f>
        <v/>
      </c>
      <c r="O1624" s="86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799"/>
    </row>
    <row r="1625" spans="1:27" s="210" customFormat="1" ht="15.75" customHeight="1">
      <c r="A1625" s="203" t="str">
        <f>IF(B1625&lt;&gt;"",IF(AND(B1625&gt;=_TM1,B1625&lt;=_TM2,OR(TH!L1625="1111",TH!M1625="1111")),TH!D1625,""),"")</f>
        <v/>
      </c>
      <c r="B1625" s="36">
        <f>IF(C1625&lt;&gt;"",MONTH(C1625),"")</f>
        <v>9</v>
      </c>
      <c r="C1625" s="183">
        <f>E1625</f>
        <v>42250</v>
      </c>
      <c r="D1625" s="190" t="s">
        <v>2020</v>
      </c>
      <c r="E1625" s="190">
        <v>42250</v>
      </c>
      <c r="F1625" s="188" t="s">
        <v>731</v>
      </c>
      <c r="G1625" s="482" t="s">
        <v>1501</v>
      </c>
      <c r="H1625" s="7" t="s">
        <v>1491</v>
      </c>
      <c r="I1625" s="255"/>
      <c r="J1625" s="255"/>
      <c r="K1625" s="593">
        <v>6601980</v>
      </c>
      <c r="L1625" s="594" t="s">
        <v>9</v>
      </c>
      <c r="M1625" s="594" t="s">
        <v>8</v>
      </c>
      <c r="N1625" s="52" t="str">
        <f>IF(AND('331-CT'!$E$7=TH!H1625,OR(L1625="331",M1625="331")),"331",IF(AND(OR(L1625="131",M1625="131"),H1625='131-CT'!$E$7),"131",""))</f>
        <v/>
      </c>
      <c r="O1625" s="86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799"/>
    </row>
    <row r="1626" spans="1:27" s="210" customFormat="1" ht="15.75" customHeight="1">
      <c r="A1626" s="203" t="str">
        <f>IF(B1626&lt;&gt;"",IF(AND(B1626&gt;=_TM1,B1626&lt;=_TM2,OR(TH!L1626="1111",TH!M1626="1111")),TH!D1626,""),"")</f>
        <v/>
      </c>
      <c r="B1626" s="36">
        <f>IF(C1626&lt;&gt;"",MONTH(C1626),"")</f>
        <v>9</v>
      </c>
      <c r="C1626" s="183">
        <f>E1626</f>
        <v>42251</v>
      </c>
      <c r="D1626" s="190" t="s">
        <v>2020</v>
      </c>
      <c r="E1626" s="190">
        <v>42251</v>
      </c>
      <c r="F1626" s="188" t="s">
        <v>1345</v>
      </c>
      <c r="G1626" s="482"/>
      <c r="H1626" s="45" t="s">
        <v>1344</v>
      </c>
      <c r="I1626" s="255"/>
      <c r="J1626" s="255"/>
      <c r="K1626" s="593">
        <v>5000000</v>
      </c>
      <c r="L1626" s="594" t="s">
        <v>17</v>
      </c>
      <c r="M1626" s="594" t="s">
        <v>47</v>
      </c>
      <c r="N1626" s="52" t="str">
        <f>IF(AND('331-CT'!$E$7=TH!H1626,OR(L1626="331",M1626="331")),"331",IF(AND(OR(L1626="131",M1626="131"),H1626='131-CT'!$E$7),"131",""))</f>
        <v/>
      </c>
      <c r="O1626" s="86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799"/>
    </row>
    <row r="1627" spans="1:27" s="210" customFormat="1" ht="15.75" customHeight="1">
      <c r="A1627" s="203" t="str">
        <f>IF(B1627&lt;&gt;"",IF(AND(B1627&gt;=_TM1,B1627&lt;=_TM2,OR(TH!L1627="1111",TH!M1627="1111")),TH!D1627,""),"")</f>
        <v/>
      </c>
      <c r="B1627" s="36">
        <f>IF(C1627&lt;&gt;"",MONTH(C1627),"")</f>
        <v>9</v>
      </c>
      <c r="C1627" s="183">
        <f>E1627</f>
        <v>42252</v>
      </c>
      <c r="D1627" s="190" t="s">
        <v>2020</v>
      </c>
      <c r="E1627" s="727">
        <v>42252</v>
      </c>
      <c r="F1627" s="296" t="s">
        <v>1357</v>
      </c>
      <c r="G1627" s="482" t="s">
        <v>1069</v>
      </c>
      <c r="H1627" s="7" t="s">
        <v>1391</v>
      </c>
      <c r="I1627" s="255">
        <v>2415</v>
      </c>
      <c r="J1627" s="255">
        <v>7300</v>
      </c>
      <c r="K1627" s="593">
        <f>ROUND(I1627*J1627,0)</f>
        <v>17629500</v>
      </c>
      <c r="L1627" s="594" t="s">
        <v>159</v>
      </c>
      <c r="M1627" s="594" t="s">
        <v>8</v>
      </c>
      <c r="N1627" s="52" t="str">
        <f>IF(AND('331-CT'!$E$7=TH!H1627,OR(L1627="331",M1627="331")),"331",IF(AND(OR(L1627="131",M1627="131"),H1627='131-CT'!$E$7),"131",""))</f>
        <v/>
      </c>
      <c r="O1627" s="86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799"/>
    </row>
    <row r="1628" spans="1:27" s="210" customFormat="1" ht="15.75" customHeight="1">
      <c r="A1628" s="203" t="str">
        <f>IF(B1628&lt;&gt;"",IF(AND(B1628&gt;=_TM1,B1628&lt;=_TM2,OR(TH!L1628="1111",TH!M1628="1111")),TH!D1628,""),"")</f>
        <v/>
      </c>
      <c r="B1628" s="36">
        <f>IF(C1628&lt;&gt;"",MONTH(C1628),"")</f>
        <v>9</v>
      </c>
      <c r="C1628" s="183">
        <f>E1628</f>
        <v>42252</v>
      </c>
      <c r="D1628" s="190" t="s">
        <v>2020</v>
      </c>
      <c r="E1628" s="727">
        <v>42252</v>
      </c>
      <c r="F1628" s="296" t="s">
        <v>1393</v>
      </c>
      <c r="G1628" s="482" t="s">
        <v>1069</v>
      </c>
      <c r="H1628" s="7" t="s">
        <v>1391</v>
      </c>
      <c r="I1628" s="255"/>
      <c r="J1628" s="255"/>
      <c r="K1628" s="593">
        <v>1762950</v>
      </c>
      <c r="L1628" s="594" t="s">
        <v>9</v>
      </c>
      <c r="M1628" s="594" t="s">
        <v>8</v>
      </c>
      <c r="N1628" s="52" t="str">
        <f>IF(AND('331-CT'!$E$7=TH!H1628,OR(L1628="331",M1628="331")),"331",IF(AND(OR(L1628="131",M1628="131"),H1628='131-CT'!$E$7),"131",""))</f>
        <v/>
      </c>
      <c r="O1628" s="86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799"/>
    </row>
    <row r="1629" spans="1:27" s="210" customFormat="1" ht="15.75" customHeight="1">
      <c r="A1629" s="203" t="str">
        <f>IF(B1629&lt;&gt;"",IF(AND(B1629&gt;=_TM1,B1629&lt;=_TM2,OR(TH!L1629="1111",TH!M1629="1111")),TH!D1629,""),"")</f>
        <v/>
      </c>
      <c r="B1629" s="36">
        <f>IF(C1629&lt;&gt;"",MONTH(C1629),"")</f>
        <v>9</v>
      </c>
      <c r="C1629" s="183">
        <f>E1629</f>
        <v>42252</v>
      </c>
      <c r="D1629" s="190" t="s">
        <v>2020</v>
      </c>
      <c r="E1629" s="727">
        <v>42252</v>
      </c>
      <c r="F1629" s="296" t="s">
        <v>1326</v>
      </c>
      <c r="G1629" s="482" t="s">
        <v>1069</v>
      </c>
      <c r="H1629" s="7" t="s">
        <v>1391</v>
      </c>
      <c r="I1629" s="255"/>
      <c r="J1629" s="255"/>
      <c r="K1629" s="593">
        <v>19392450</v>
      </c>
      <c r="L1629" s="594" t="s">
        <v>8</v>
      </c>
      <c r="M1629" s="594" t="s">
        <v>47</v>
      </c>
      <c r="N1629" s="52" t="str">
        <f>IF(AND('331-CT'!$E$7=TH!H1629,OR(L1629="331",M1629="331")),"331",IF(AND(OR(L1629="131",M1629="131"),H1629='131-CT'!$E$7),"131",""))</f>
        <v/>
      </c>
      <c r="O1629" s="86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799"/>
    </row>
    <row r="1630" spans="1:27" s="210" customFormat="1" ht="15.75" customHeight="1">
      <c r="A1630" s="203" t="str">
        <f>IF(B1630&lt;&gt;"",IF(AND(B1630&gt;=_TM1,B1630&lt;=_TM2,OR(TH!L1630="1111",TH!M1630="1111")),TH!D1630,""),"")</f>
        <v/>
      </c>
      <c r="B1630" s="36">
        <f>IF(C1630&lt;&gt;"",MONTH(C1630),"")</f>
        <v>9</v>
      </c>
      <c r="C1630" s="183">
        <f>E1630</f>
        <v>42252</v>
      </c>
      <c r="D1630" s="190" t="s">
        <v>2020</v>
      </c>
      <c r="E1630" s="190">
        <v>42252</v>
      </c>
      <c r="F1630" s="188" t="s">
        <v>1380</v>
      </c>
      <c r="G1630" s="482" t="s">
        <v>1502</v>
      </c>
      <c r="H1630" s="7" t="s">
        <v>1491</v>
      </c>
      <c r="I1630" s="255">
        <v>6851</v>
      </c>
      <c r="J1630" s="255">
        <v>7600</v>
      </c>
      <c r="K1630" s="593">
        <f>ROUND(I1630*J1630,0)</f>
        <v>52067600</v>
      </c>
      <c r="L1630" s="594" t="s">
        <v>159</v>
      </c>
      <c r="M1630" s="594" t="s">
        <v>8</v>
      </c>
      <c r="N1630" s="52" t="str">
        <f>IF(AND('331-CT'!$E$7=TH!H1630,OR(L1630="331",M1630="331")),"331",IF(AND(OR(L1630="131",M1630="131"),H1630='131-CT'!$E$7),"131",""))</f>
        <v/>
      </c>
      <c r="O1630" s="86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>x</v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799"/>
    </row>
    <row r="1631" spans="1:27" s="210" customFormat="1" ht="15.75" customHeight="1">
      <c r="A1631" s="203" t="str">
        <f>IF(B1631&lt;&gt;"",IF(AND(B1631&gt;=_TM1,B1631&lt;=_TM2,OR(TH!L1631="1111",TH!M1631="1111")),TH!D1631,""),"")</f>
        <v/>
      </c>
      <c r="B1631" s="36">
        <f>IF(C1631&lt;&gt;"",MONTH(C1631),"")</f>
        <v>9</v>
      </c>
      <c r="C1631" s="183">
        <f>E1631</f>
        <v>42252</v>
      </c>
      <c r="D1631" s="190" t="s">
        <v>2020</v>
      </c>
      <c r="E1631" s="190">
        <v>42252</v>
      </c>
      <c r="F1631" s="188" t="s">
        <v>731</v>
      </c>
      <c r="G1631" s="482" t="s">
        <v>1502</v>
      </c>
      <c r="H1631" s="7" t="s">
        <v>1491</v>
      </c>
      <c r="I1631" s="255"/>
      <c r="J1631" s="255"/>
      <c r="K1631" s="593">
        <v>5206760</v>
      </c>
      <c r="L1631" s="594" t="s">
        <v>9</v>
      </c>
      <c r="M1631" s="594" t="s">
        <v>8</v>
      </c>
      <c r="N1631" s="52" t="str">
        <f>IF(AND('331-CT'!$E$7=TH!H1631,OR(L1631="331",M1631="331")),"331",IF(AND(OR(L1631="131",M1631="131"),H1631='131-CT'!$E$7),"131",""))</f>
        <v/>
      </c>
      <c r="O1631" s="86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799"/>
    </row>
    <row r="1632" spans="1:27" s="210" customFormat="1" ht="15.75" customHeight="1">
      <c r="A1632" s="203" t="str">
        <f>IF(B1632&lt;&gt;"",IF(AND(B1632&gt;=_TM1,B1632&lt;=_TM2,OR(TH!L1632="1111",TH!M1632="1111")),TH!D1632,""),"")</f>
        <v/>
      </c>
      <c r="B1632" s="36">
        <f>IF(C1632&lt;&gt;"",MONTH(C1632),"")</f>
        <v>9</v>
      </c>
      <c r="C1632" s="183">
        <f>E1632</f>
        <v>42254</v>
      </c>
      <c r="D1632" s="183" t="s">
        <v>1594</v>
      </c>
      <c r="E1632" s="727">
        <v>42254</v>
      </c>
      <c r="F1632" s="40" t="s">
        <v>1011</v>
      </c>
      <c r="G1632" s="40" t="s">
        <v>1012</v>
      </c>
      <c r="H1632" s="7" t="s">
        <v>1013</v>
      </c>
      <c r="I1632" s="255">
        <v>1013</v>
      </c>
      <c r="J1632" s="255">
        <v>12500</v>
      </c>
      <c r="K1632" s="593">
        <f>ROUND(I1632*J1632,0)</f>
        <v>12662500</v>
      </c>
      <c r="L1632" s="594" t="s">
        <v>259</v>
      </c>
      <c r="M1632" s="594" t="s">
        <v>174</v>
      </c>
      <c r="N1632" s="52" t="str">
        <f>IF(AND('331-CT'!$E$7=TH!H1632,OR(L1632="331",M1632="331")),"331",IF(AND(OR(L1632="131",M1632="131"),H1632='131-CT'!$E$7),"131",""))</f>
        <v/>
      </c>
      <c r="O1632" s="86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799"/>
    </row>
    <row r="1633" spans="1:27" s="210" customFormat="1" ht="15.75" customHeight="1">
      <c r="A1633" s="203" t="str">
        <f>IF(B1633&lt;&gt;"",IF(AND(B1633&gt;=_TM1,B1633&lt;=_TM2,OR(TH!L1633="1111",TH!M1633="1111")),TH!D1633,""),"")</f>
        <v/>
      </c>
      <c r="B1633" s="36">
        <f>IF(C1633&lt;&gt;"",MONTH(C1633),"")</f>
        <v>9</v>
      </c>
      <c r="C1633" s="183">
        <f>E1633</f>
        <v>42254</v>
      </c>
      <c r="D1633" s="183" t="s">
        <v>1594</v>
      </c>
      <c r="E1633" s="727">
        <v>42254</v>
      </c>
      <c r="F1633" s="40" t="s">
        <v>402</v>
      </c>
      <c r="G1633" s="40" t="s">
        <v>1012</v>
      </c>
      <c r="H1633" s="7" t="s">
        <v>1013</v>
      </c>
      <c r="I1633" s="255"/>
      <c r="J1633" s="255"/>
      <c r="K1633" s="593">
        <v>1266250</v>
      </c>
      <c r="L1633" s="594" t="s">
        <v>259</v>
      </c>
      <c r="M1633" s="594" t="s">
        <v>371</v>
      </c>
      <c r="N1633" s="52" t="str">
        <f>IF(AND('331-CT'!$E$7=TH!H1633,OR(L1633="331",M1633="331")),"331",IF(AND(OR(L1633="131",M1633="131"),H1633='131-CT'!$E$7),"131",""))</f>
        <v/>
      </c>
      <c r="O1633" s="86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799"/>
    </row>
    <row r="1634" spans="1:27" s="210" customFormat="1" ht="15.75" customHeight="1">
      <c r="A1634" s="203" t="str">
        <f>IF(B1634&lt;&gt;"",IF(AND(B1634&gt;=_TM1,B1634&lt;=_TM2,OR(TH!L1634="1111",TH!M1634="1111")),TH!D1634,""),"")</f>
        <v/>
      </c>
      <c r="B1634" s="36">
        <f>IF(C1634&lt;&gt;"",MONTH(C1634),"")</f>
        <v>9</v>
      </c>
      <c r="C1634" s="183">
        <f>E1634</f>
        <v>42254</v>
      </c>
      <c r="D1634" s="183" t="s">
        <v>1319</v>
      </c>
      <c r="E1634" s="190">
        <v>42254</v>
      </c>
      <c r="F1634" s="188" t="s">
        <v>1320</v>
      </c>
      <c r="G1634" s="482" t="s">
        <v>332</v>
      </c>
      <c r="H1634" s="7" t="s">
        <v>957</v>
      </c>
      <c r="I1634" s="255"/>
      <c r="J1634" s="255"/>
      <c r="K1634" s="593">
        <v>2246200</v>
      </c>
      <c r="L1634" s="594" t="s">
        <v>24</v>
      </c>
      <c r="M1634" s="594" t="s">
        <v>259</v>
      </c>
      <c r="N1634" s="52" t="str">
        <f>IF(AND('331-CT'!$E$7=TH!H1634,OR(L1634="331",M1634="331")),"331",IF(AND(OR(L1634="131",M1634="131"),H1634='131-CT'!$E$7),"131",""))</f>
        <v/>
      </c>
      <c r="O1634" s="86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>x</v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799"/>
    </row>
    <row r="1635" spans="1:27" s="210" customFormat="1" ht="15.75" customHeight="1">
      <c r="A1635" s="203" t="str">
        <f>IF(B1635&lt;&gt;"",IF(AND(B1635&gt;=_TM1,B1635&lt;=_TM2,OR(TH!L1635="1111",TH!M1635="1111")),TH!D1635,""),"")</f>
        <v/>
      </c>
      <c r="B1635" s="36">
        <f>IF(C1635&lt;&gt;"",MONTH(C1635),"")</f>
        <v>9</v>
      </c>
      <c r="C1635" s="183">
        <f>E1635</f>
        <v>42254</v>
      </c>
      <c r="D1635" s="190" t="s">
        <v>2020</v>
      </c>
      <c r="E1635" s="727">
        <v>42254</v>
      </c>
      <c r="F1635" s="296" t="s">
        <v>1357</v>
      </c>
      <c r="G1635" s="482" t="s">
        <v>1073</v>
      </c>
      <c r="H1635" s="7" t="s">
        <v>1391</v>
      </c>
      <c r="I1635" s="255">
        <v>1268</v>
      </c>
      <c r="J1635" s="255">
        <v>7300</v>
      </c>
      <c r="K1635" s="593">
        <f>ROUND(I1635*J1635,0)</f>
        <v>9256400</v>
      </c>
      <c r="L1635" s="594" t="s">
        <v>159</v>
      </c>
      <c r="M1635" s="594" t="s">
        <v>8</v>
      </c>
      <c r="N1635" s="52" t="str">
        <f>IF(AND('331-CT'!$E$7=TH!H1635,OR(L1635="331",M1635="331")),"331",IF(AND(OR(L1635="131",M1635="131"),H1635='131-CT'!$E$7),"131",""))</f>
        <v/>
      </c>
      <c r="O1635" s="86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799"/>
    </row>
    <row r="1636" spans="1:27" s="210" customFormat="1" ht="15.75" customHeight="1">
      <c r="A1636" s="203" t="str">
        <f>IF(B1636&lt;&gt;"",IF(AND(B1636&gt;=_TM1,B1636&lt;=_TM2,OR(TH!L1636="1111",TH!M1636="1111")),TH!D1636,""),"")</f>
        <v/>
      </c>
      <c r="B1636" s="36">
        <f>IF(C1636&lt;&gt;"",MONTH(C1636),"")</f>
        <v>9</v>
      </c>
      <c r="C1636" s="183">
        <f>E1636</f>
        <v>42254</v>
      </c>
      <c r="D1636" s="190" t="s">
        <v>2020</v>
      </c>
      <c r="E1636" s="727">
        <v>42254</v>
      </c>
      <c r="F1636" s="296" t="s">
        <v>1393</v>
      </c>
      <c r="G1636" s="482" t="s">
        <v>1073</v>
      </c>
      <c r="H1636" s="7" t="s">
        <v>1391</v>
      </c>
      <c r="I1636" s="255"/>
      <c r="J1636" s="255"/>
      <c r="K1636" s="593">
        <v>925640</v>
      </c>
      <c r="L1636" s="594" t="s">
        <v>9</v>
      </c>
      <c r="M1636" s="594" t="s">
        <v>8</v>
      </c>
      <c r="N1636" s="52" t="str">
        <f>IF(AND('331-CT'!$E$7=TH!H1636,OR(L1636="331",M1636="331")),"331",IF(AND(OR(L1636="131",M1636="131"),H1636='131-CT'!$E$7),"131",""))</f>
        <v/>
      </c>
      <c r="O1636" s="86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799"/>
    </row>
    <row r="1637" spans="1:27" s="210" customFormat="1" ht="15.75" customHeight="1">
      <c r="A1637" s="203" t="str">
        <f>IF(B1637&lt;&gt;"",IF(AND(B1637&gt;=_TM1,B1637&lt;=_TM2,OR(TH!L1637="1111",TH!M1637="1111")),TH!D1637,""),"")</f>
        <v/>
      </c>
      <c r="B1637" s="36">
        <f>IF(C1637&lt;&gt;"",MONTH(C1637),"")</f>
        <v>9</v>
      </c>
      <c r="C1637" s="183">
        <f>E1637</f>
        <v>42254</v>
      </c>
      <c r="D1637" s="190" t="s">
        <v>2020</v>
      </c>
      <c r="E1637" s="727">
        <v>42254</v>
      </c>
      <c r="F1637" s="296" t="s">
        <v>1326</v>
      </c>
      <c r="G1637" s="482" t="s">
        <v>1073</v>
      </c>
      <c r="H1637" s="7" t="s">
        <v>1391</v>
      </c>
      <c r="I1637" s="255"/>
      <c r="J1637" s="255"/>
      <c r="K1637" s="593">
        <v>10182040</v>
      </c>
      <c r="L1637" s="594" t="s">
        <v>8</v>
      </c>
      <c r="M1637" s="594" t="s">
        <v>47</v>
      </c>
      <c r="N1637" s="52" t="str">
        <f>IF(AND('331-CT'!$E$7=TH!H1637,OR(L1637="331",M1637="331")),"331",IF(AND(OR(L1637="131",M1637="131"),H1637='131-CT'!$E$7),"131",""))</f>
        <v/>
      </c>
      <c r="O1637" s="86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799"/>
    </row>
    <row r="1638" spans="1:27" s="210" customFormat="1" ht="15.75" customHeight="1">
      <c r="A1638" s="203" t="str">
        <f>IF(B1638&lt;&gt;"",IF(AND(B1638&gt;=_TM1,B1638&lt;=_TM2,OR(TH!L1638="1111",TH!M1638="1111")),TH!D1638,""),"")</f>
        <v/>
      </c>
      <c r="B1638" s="36">
        <f>IF(C1638&lt;&gt;"",MONTH(C1638),"")</f>
        <v>9</v>
      </c>
      <c r="C1638" s="183">
        <f>E1638</f>
        <v>42255</v>
      </c>
      <c r="D1638" s="183" t="s">
        <v>1595</v>
      </c>
      <c r="E1638" s="727">
        <v>42255</v>
      </c>
      <c r="F1638" s="188" t="s">
        <v>441</v>
      </c>
      <c r="G1638" s="40" t="s">
        <v>1014</v>
      </c>
      <c r="H1638" s="7" t="s">
        <v>438</v>
      </c>
      <c r="I1638" s="255">
        <v>984</v>
      </c>
      <c r="J1638" s="255">
        <v>4400</v>
      </c>
      <c r="K1638" s="593">
        <f>ROUND(I1638*J1638,0)</f>
        <v>4329600</v>
      </c>
      <c r="L1638" s="594" t="s">
        <v>259</v>
      </c>
      <c r="M1638" s="594" t="s">
        <v>174</v>
      </c>
      <c r="N1638" s="52" t="str">
        <f>IF(AND('331-CT'!$E$7=TH!H1638,OR(L1638="331",M1638="331")),"331",IF(AND(OR(L1638="131",M1638="131"),H1638='131-CT'!$E$7),"131",""))</f>
        <v/>
      </c>
      <c r="O1638" s="86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799"/>
    </row>
    <row r="1639" spans="1:27" s="210" customFormat="1" ht="15.75" customHeight="1">
      <c r="A1639" s="203" t="str">
        <f>IF(B1639&lt;&gt;"",IF(AND(B1639&gt;=_TM1,B1639&lt;=_TM2,OR(TH!L1639="1111",TH!M1639="1111")),TH!D1639,""),"")</f>
        <v/>
      </c>
      <c r="B1639" s="36">
        <f>IF(C1639&lt;&gt;"",MONTH(C1639),"")</f>
        <v>9</v>
      </c>
      <c r="C1639" s="183">
        <f>E1639</f>
        <v>42255</v>
      </c>
      <c r="D1639" s="183" t="s">
        <v>1595</v>
      </c>
      <c r="E1639" s="727">
        <v>42255</v>
      </c>
      <c r="F1639" s="188" t="s">
        <v>402</v>
      </c>
      <c r="G1639" s="40" t="s">
        <v>1014</v>
      </c>
      <c r="H1639" s="7" t="s">
        <v>438</v>
      </c>
      <c r="I1639" s="255"/>
      <c r="J1639" s="255"/>
      <c r="K1639" s="593">
        <v>432960</v>
      </c>
      <c r="L1639" s="594" t="s">
        <v>259</v>
      </c>
      <c r="M1639" s="594" t="s">
        <v>371</v>
      </c>
      <c r="N1639" s="52" t="str">
        <f>IF(AND('331-CT'!$E$7=TH!H1639,OR(L1639="331",M1639="331")),"331",IF(AND(OR(L1639="131",M1639="131"),H1639='131-CT'!$E$7),"131",""))</f>
        <v/>
      </c>
      <c r="O1639" s="86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799"/>
    </row>
    <row r="1640" spans="1:27" s="210" customFormat="1" ht="15.75" customHeight="1">
      <c r="A1640" s="203" t="str">
        <f>IF(B1640&lt;&gt;"",IF(AND(B1640&gt;=_TM1,B1640&lt;=_TM2,OR(TH!L1640="1111",TH!M1640="1111")),TH!D1640,""),"")</f>
        <v/>
      </c>
      <c r="B1640" s="36">
        <f>IF(C1640&lt;&gt;"",MONTH(C1640),"")</f>
        <v>9</v>
      </c>
      <c r="C1640" s="183">
        <f>E1640</f>
        <v>42255</v>
      </c>
      <c r="D1640" s="183" t="s">
        <v>1596</v>
      </c>
      <c r="E1640" s="727">
        <v>42255</v>
      </c>
      <c r="F1640" s="188" t="s">
        <v>1015</v>
      </c>
      <c r="G1640" s="40" t="s">
        <v>1016</v>
      </c>
      <c r="H1640" s="7" t="s">
        <v>764</v>
      </c>
      <c r="I1640" s="255">
        <v>80</v>
      </c>
      <c r="J1640" s="255">
        <v>21000</v>
      </c>
      <c r="K1640" s="593">
        <f>ROUND(I1640*J1640,0)</f>
        <v>1680000</v>
      </c>
      <c r="L1640" s="594" t="s">
        <v>259</v>
      </c>
      <c r="M1640" s="594" t="s">
        <v>174</v>
      </c>
      <c r="N1640" s="52" t="str">
        <f>IF(AND('331-CT'!$E$7=TH!H1640,OR(L1640="331",M1640="331")),"331",IF(AND(OR(L1640="131",M1640="131"),H1640='131-CT'!$E$7),"131",""))</f>
        <v/>
      </c>
      <c r="O1640" s="86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799"/>
    </row>
    <row r="1641" spans="1:27" s="210" customFormat="1" ht="15.75" customHeight="1">
      <c r="A1641" s="203" t="str">
        <f>IF(B1641&lt;&gt;"",IF(AND(B1641&gt;=_TM1,B1641&lt;=_TM2,OR(TH!L1641="1111",TH!M1641="1111")),TH!D1641,""),"")</f>
        <v/>
      </c>
      <c r="B1641" s="36">
        <f>IF(C1641&lt;&gt;"",MONTH(C1641),"")</f>
        <v>9</v>
      </c>
      <c r="C1641" s="183">
        <f>E1641</f>
        <v>42255</v>
      </c>
      <c r="D1641" s="183" t="s">
        <v>1596</v>
      </c>
      <c r="E1641" s="37">
        <v>42255</v>
      </c>
      <c r="F1641" s="40" t="s">
        <v>402</v>
      </c>
      <c r="G1641" s="40" t="s">
        <v>1016</v>
      </c>
      <c r="H1641" s="7" t="s">
        <v>764</v>
      </c>
      <c r="I1641" s="255"/>
      <c r="J1641" s="255"/>
      <c r="K1641" s="593">
        <v>168000</v>
      </c>
      <c r="L1641" s="594" t="s">
        <v>259</v>
      </c>
      <c r="M1641" s="594" t="s">
        <v>371</v>
      </c>
      <c r="N1641" s="52" t="str">
        <f>IF(AND('331-CT'!$E$7=TH!H1641,OR(L1641="331",M1641="331")),"331",IF(AND(OR(L1641="131",M1641="131"),H1641='131-CT'!$E$7),"131",""))</f>
        <v/>
      </c>
      <c r="O1641" s="86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799"/>
    </row>
    <row r="1642" spans="1:27" s="210" customFormat="1" ht="15.75" customHeight="1">
      <c r="A1642" s="203" t="str">
        <f>IF(B1642&lt;&gt;"",IF(AND(B1642&gt;=_TM1,B1642&lt;=_TM2,OR(TH!L1642="1111",TH!M1642="1111")),TH!D1642,""),"")</f>
        <v/>
      </c>
      <c r="B1642" s="36">
        <f>IF(C1642&lt;&gt;"",MONTH(C1642),"")</f>
        <v>9</v>
      </c>
      <c r="C1642" s="183">
        <f>E1642</f>
        <v>42255</v>
      </c>
      <c r="D1642" s="183" t="s">
        <v>1597</v>
      </c>
      <c r="E1642" s="37">
        <v>42255</v>
      </c>
      <c r="F1642" s="40" t="s">
        <v>1786</v>
      </c>
      <c r="G1642" s="40" t="s">
        <v>1017</v>
      </c>
      <c r="H1642" s="7" t="s">
        <v>1934</v>
      </c>
      <c r="I1642" s="255">
        <v>50</v>
      </c>
      <c r="J1642" s="255">
        <v>23478</v>
      </c>
      <c r="K1642" s="593">
        <f>ROUND(I1642*J1642,0)</f>
        <v>1173900</v>
      </c>
      <c r="L1642" s="594" t="s">
        <v>259</v>
      </c>
      <c r="M1642" s="594" t="s">
        <v>174</v>
      </c>
      <c r="N1642" s="52" t="str">
        <f>IF(AND('331-CT'!$E$7=TH!H1642,OR(L1642="331",M1642="331")),"331",IF(AND(OR(L1642="131",M1642="131"),H1642='131-CT'!$E$7),"131",""))</f>
        <v/>
      </c>
      <c r="O1642" s="86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799"/>
    </row>
    <row r="1643" spans="1:27" s="210" customFormat="1" ht="15.75" customHeight="1">
      <c r="A1643" s="203" t="str">
        <f>IF(B1643&lt;&gt;"",IF(AND(B1643&gt;=_TM1,B1643&lt;=_TM2,OR(TH!L1643="1111",TH!M1643="1111")),TH!D1643,""),"")</f>
        <v/>
      </c>
      <c r="B1643" s="36">
        <f>IF(C1643&lt;&gt;"",MONTH(C1643),"")</f>
        <v>9</v>
      </c>
      <c r="C1643" s="183">
        <f>E1643</f>
        <v>42255</v>
      </c>
      <c r="D1643" s="183" t="s">
        <v>1597</v>
      </c>
      <c r="E1643" s="37">
        <v>42255</v>
      </c>
      <c r="F1643" s="40" t="s">
        <v>1786</v>
      </c>
      <c r="G1643" s="40" t="s">
        <v>1017</v>
      </c>
      <c r="H1643" s="7" t="s">
        <v>1934</v>
      </c>
      <c r="I1643" s="255">
        <v>100</v>
      </c>
      <c r="J1643" s="255">
        <v>13882</v>
      </c>
      <c r="K1643" s="593">
        <f>ROUND(I1643*J1643,0)</f>
        <v>1388200</v>
      </c>
      <c r="L1643" s="594" t="s">
        <v>259</v>
      </c>
      <c r="M1643" s="594" t="s">
        <v>174</v>
      </c>
      <c r="N1643" s="52" t="str">
        <f>IF(AND('331-CT'!$E$7=TH!H1643,OR(L1643="331",M1643="331")),"331",IF(AND(OR(L1643="131",M1643="131"),H1643='131-CT'!$E$7),"131",""))</f>
        <v/>
      </c>
      <c r="O1643" s="86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799"/>
    </row>
    <row r="1644" spans="1:27" s="210" customFormat="1" ht="15.75" customHeight="1">
      <c r="A1644" s="203" t="str">
        <f>IF(B1644&lt;&gt;"",IF(AND(B1644&gt;=_TM1,B1644&lt;=_TM2,OR(TH!L1644="1111",TH!M1644="1111")),TH!D1644,""),"")</f>
        <v/>
      </c>
      <c r="B1644" s="36">
        <f>IF(C1644&lt;&gt;"",MONTH(C1644),"")</f>
        <v>9</v>
      </c>
      <c r="C1644" s="183">
        <f>E1644</f>
        <v>42255</v>
      </c>
      <c r="D1644" s="183" t="s">
        <v>1597</v>
      </c>
      <c r="E1644" s="37">
        <v>42255</v>
      </c>
      <c r="F1644" s="40" t="s">
        <v>692</v>
      </c>
      <c r="G1644" s="40" t="s">
        <v>1017</v>
      </c>
      <c r="H1644" s="7" t="s">
        <v>1934</v>
      </c>
      <c r="I1644" s="255">
        <v>75</v>
      </c>
      <c r="J1644" s="255">
        <v>16244</v>
      </c>
      <c r="K1644" s="593">
        <f>ROUND(I1644*J1644,0)</f>
        <v>1218300</v>
      </c>
      <c r="L1644" s="594" t="s">
        <v>259</v>
      </c>
      <c r="M1644" s="594" t="s">
        <v>174</v>
      </c>
      <c r="N1644" s="52" t="str">
        <f>IF(AND('331-CT'!$E$7=TH!H1644,OR(L1644="331",M1644="331")),"331",IF(AND(OR(L1644="131",M1644="131"),H1644='131-CT'!$E$7),"131",""))</f>
        <v/>
      </c>
      <c r="O1644" s="86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799"/>
    </row>
    <row r="1645" spans="1:27" s="210" customFormat="1" ht="15.75" customHeight="1">
      <c r="A1645" s="203" t="str">
        <f>IF(B1645&lt;&gt;"",IF(AND(B1645&gt;=_TM1,B1645&lt;=_TM2,OR(TH!L1645="1111",TH!M1645="1111")),TH!D1645,""),"")</f>
        <v/>
      </c>
      <c r="B1645" s="36">
        <f>IF(C1645&lt;&gt;"",MONTH(C1645),"")</f>
        <v>9</v>
      </c>
      <c r="C1645" s="183">
        <f>E1645</f>
        <v>42255</v>
      </c>
      <c r="D1645" s="183" t="s">
        <v>1597</v>
      </c>
      <c r="E1645" s="37">
        <v>42255</v>
      </c>
      <c r="F1645" s="191" t="s">
        <v>694</v>
      </c>
      <c r="G1645" s="40" t="s">
        <v>1017</v>
      </c>
      <c r="H1645" s="7" t="s">
        <v>1934</v>
      </c>
      <c r="I1645" s="255">
        <v>30</v>
      </c>
      <c r="J1645" s="255">
        <v>13377</v>
      </c>
      <c r="K1645" s="593">
        <f>ROUND(I1645*J1645,0)</f>
        <v>401310</v>
      </c>
      <c r="L1645" s="594" t="s">
        <v>259</v>
      </c>
      <c r="M1645" s="594" t="s">
        <v>174</v>
      </c>
      <c r="N1645" s="52" t="str">
        <f>IF(AND('331-CT'!$E$7=TH!H1645,OR(L1645="331",M1645="331")),"331",IF(AND(OR(L1645="131",M1645="131"),H1645='131-CT'!$E$7),"131",""))</f>
        <v/>
      </c>
      <c r="O1645" s="86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799"/>
    </row>
    <row r="1646" spans="1:27" s="210" customFormat="1" ht="15.75" customHeight="1">
      <c r="A1646" s="203" t="str">
        <f>IF(B1646&lt;&gt;"",IF(AND(B1646&gt;=_TM1,B1646&lt;=_TM2,OR(TH!L1646="1111",TH!M1646="1111")),TH!D1646,""),"")</f>
        <v/>
      </c>
      <c r="B1646" s="36">
        <f>IF(C1646&lt;&gt;"",MONTH(C1646),"")</f>
        <v>9</v>
      </c>
      <c r="C1646" s="183">
        <f>E1646</f>
        <v>42255</v>
      </c>
      <c r="D1646" s="183" t="s">
        <v>1597</v>
      </c>
      <c r="E1646" s="37">
        <v>42255</v>
      </c>
      <c r="F1646" s="191" t="s">
        <v>1700</v>
      </c>
      <c r="G1646" s="40" t="s">
        <v>1017</v>
      </c>
      <c r="H1646" s="7" t="s">
        <v>1934</v>
      </c>
      <c r="I1646" s="255">
        <v>50</v>
      </c>
      <c r="J1646" s="255">
        <v>16244</v>
      </c>
      <c r="K1646" s="593">
        <f>ROUND(I1646*J1646,0)</f>
        <v>812200</v>
      </c>
      <c r="L1646" s="594" t="s">
        <v>259</v>
      </c>
      <c r="M1646" s="594" t="s">
        <v>174</v>
      </c>
      <c r="N1646" s="52" t="str">
        <f>IF(AND('331-CT'!$E$7=TH!H1646,OR(L1646="331",M1646="331")),"331",IF(AND(OR(L1646="131",M1646="131"),H1646='131-CT'!$E$7),"131",""))</f>
        <v/>
      </c>
      <c r="O1646" s="86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799"/>
    </row>
    <row r="1647" spans="1:27" s="210" customFormat="1" ht="15.75" customHeight="1">
      <c r="A1647" s="203" t="str">
        <f>IF(B1647&lt;&gt;"",IF(AND(B1647&gt;=_TM1,B1647&lt;=_TM2,OR(TH!L1647="1111",TH!M1647="1111")),TH!D1647,""),"")</f>
        <v/>
      </c>
      <c r="B1647" s="36">
        <f>IF(C1647&lt;&gt;"",MONTH(C1647),"")</f>
        <v>9</v>
      </c>
      <c r="C1647" s="183">
        <f>E1647</f>
        <v>42255</v>
      </c>
      <c r="D1647" s="183" t="s">
        <v>1597</v>
      </c>
      <c r="E1647" s="37">
        <v>42255</v>
      </c>
      <c r="F1647" s="191" t="s">
        <v>1787</v>
      </c>
      <c r="G1647" s="40" t="s">
        <v>1017</v>
      </c>
      <c r="H1647" s="7" t="s">
        <v>1934</v>
      </c>
      <c r="I1647" s="255">
        <v>750</v>
      </c>
      <c r="J1647" s="255">
        <v>1620</v>
      </c>
      <c r="K1647" s="593">
        <f>ROUND(I1647*J1647,0)</f>
        <v>1215000</v>
      </c>
      <c r="L1647" s="594" t="s">
        <v>259</v>
      </c>
      <c r="M1647" s="594" t="s">
        <v>174</v>
      </c>
      <c r="N1647" s="52" t="str">
        <f>IF(AND('331-CT'!$E$7=TH!H1647,OR(L1647="331",M1647="331")),"331",IF(AND(OR(L1647="131",M1647="131"),H1647='131-CT'!$E$7),"131",""))</f>
        <v/>
      </c>
      <c r="O1647" s="86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799"/>
    </row>
    <row r="1648" spans="1:27" s="210" customFormat="1" ht="15.75" customHeight="1">
      <c r="A1648" s="203" t="str">
        <f>IF(B1648&lt;&gt;"",IF(AND(B1648&gt;=_TM1,B1648&lt;=_TM2,OR(TH!L1648="1111",TH!M1648="1111")),TH!D1648,""),"")</f>
        <v/>
      </c>
      <c r="B1648" s="36">
        <f>IF(C1648&lt;&gt;"",MONTH(C1648),"")</f>
        <v>9</v>
      </c>
      <c r="C1648" s="183">
        <f>E1648</f>
        <v>42255</v>
      </c>
      <c r="D1648" s="183" t="s">
        <v>1597</v>
      </c>
      <c r="E1648" s="37">
        <v>42255</v>
      </c>
      <c r="F1648" s="40" t="s">
        <v>1788</v>
      </c>
      <c r="G1648" s="40" t="s">
        <v>1017</v>
      </c>
      <c r="H1648" s="7" t="s">
        <v>1934</v>
      </c>
      <c r="I1648" s="255">
        <v>210</v>
      </c>
      <c r="J1648" s="255">
        <v>6405</v>
      </c>
      <c r="K1648" s="593">
        <f>ROUND(I1648*J1648,0)</f>
        <v>1345050</v>
      </c>
      <c r="L1648" s="594" t="s">
        <v>259</v>
      </c>
      <c r="M1648" s="594" t="s">
        <v>174</v>
      </c>
      <c r="N1648" s="52" t="str">
        <f>IF(AND('331-CT'!$E$7=TH!H1648,OR(L1648="331",M1648="331")),"331",IF(AND(OR(L1648="131",M1648="131"),H1648='131-CT'!$E$7),"131",""))</f>
        <v/>
      </c>
      <c r="O1648" s="86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799"/>
    </row>
    <row r="1649" spans="1:27" s="210" customFormat="1" ht="15.75" customHeight="1">
      <c r="A1649" s="203" t="str">
        <f>IF(B1649&lt;&gt;"",IF(AND(B1649&gt;=_TM1,B1649&lt;=_TM2,OR(TH!L1649="1111",TH!M1649="1111")),TH!D1649,""),"")</f>
        <v/>
      </c>
      <c r="B1649" s="36">
        <f>IF(C1649&lt;&gt;"",MONTH(C1649),"")</f>
        <v>9</v>
      </c>
      <c r="C1649" s="183">
        <f>E1649</f>
        <v>42255</v>
      </c>
      <c r="D1649" s="183" t="s">
        <v>1597</v>
      </c>
      <c r="E1649" s="37">
        <v>42255</v>
      </c>
      <c r="F1649" s="40" t="s">
        <v>1745</v>
      </c>
      <c r="G1649" s="40" t="s">
        <v>1017</v>
      </c>
      <c r="H1649" s="7" t="s">
        <v>1934</v>
      </c>
      <c r="I1649" s="255">
        <v>185</v>
      </c>
      <c r="J1649" s="255">
        <v>10556</v>
      </c>
      <c r="K1649" s="593">
        <f>ROUND(I1649*J1649,0)</f>
        <v>1952860</v>
      </c>
      <c r="L1649" s="594" t="s">
        <v>259</v>
      </c>
      <c r="M1649" s="594" t="s">
        <v>174</v>
      </c>
      <c r="N1649" s="52" t="str">
        <f>IF(AND('331-CT'!$E$7=TH!H1649,OR(L1649="331",M1649="331")),"331",IF(AND(OR(L1649="131",M1649="131"),H1649='131-CT'!$E$7),"131",""))</f>
        <v/>
      </c>
      <c r="O1649" s="86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799"/>
    </row>
    <row r="1650" spans="1:27" s="210" customFormat="1" ht="15.75" customHeight="1">
      <c r="A1650" s="203" t="str">
        <f>IF(B1650&lt;&gt;"",IF(AND(B1650&gt;=_TM1,B1650&lt;=_TM2,OR(TH!L1650="1111",TH!M1650="1111")),TH!D1650,""),"")</f>
        <v/>
      </c>
      <c r="B1650" s="36">
        <f>IF(C1650&lt;&gt;"",MONTH(C1650),"")</f>
        <v>9</v>
      </c>
      <c r="C1650" s="183">
        <f>E1650</f>
        <v>42255</v>
      </c>
      <c r="D1650" s="183" t="s">
        <v>1597</v>
      </c>
      <c r="E1650" s="37">
        <v>42255</v>
      </c>
      <c r="F1650" s="40" t="s">
        <v>1789</v>
      </c>
      <c r="G1650" s="40" t="s">
        <v>1017</v>
      </c>
      <c r="H1650" s="7" t="s">
        <v>1934</v>
      </c>
      <c r="I1650" s="255">
        <v>185</v>
      </c>
      <c r="J1650" s="255">
        <v>9769</v>
      </c>
      <c r="K1650" s="593">
        <f>ROUND(I1650*J1650,0)</f>
        <v>1807265</v>
      </c>
      <c r="L1650" s="594" t="s">
        <v>259</v>
      </c>
      <c r="M1650" s="594" t="s">
        <v>174</v>
      </c>
      <c r="N1650" s="52" t="str">
        <f>IF(AND('331-CT'!$E$7=TH!H1650,OR(L1650="331",M1650="331")),"331",IF(AND(OR(L1650="131",M1650="131"),H1650='131-CT'!$E$7),"131",""))</f>
        <v/>
      </c>
      <c r="O1650" s="86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799"/>
    </row>
    <row r="1651" spans="1:27" s="210" customFormat="1" ht="15.75" customHeight="1">
      <c r="A1651" s="203" t="str">
        <f>IF(B1651&lt;&gt;"",IF(AND(B1651&gt;=_TM1,B1651&lt;=_TM2,OR(TH!L1651="1111",TH!M1651="1111")),TH!D1651,""),"")</f>
        <v/>
      </c>
      <c r="B1651" s="36">
        <f>IF(C1651&lt;&gt;"",MONTH(C1651),"")</f>
        <v>9</v>
      </c>
      <c r="C1651" s="183">
        <f>E1651</f>
        <v>42255</v>
      </c>
      <c r="D1651" s="183" t="s">
        <v>1597</v>
      </c>
      <c r="E1651" s="37">
        <v>42255</v>
      </c>
      <c r="F1651" s="40" t="s">
        <v>731</v>
      </c>
      <c r="G1651" s="40" t="s">
        <v>1017</v>
      </c>
      <c r="H1651" s="7" t="s">
        <v>1934</v>
      </c>
      <c r="I1651" s="255"/>
      <c r="J1651" s="255"/>
      <c r="K1651" s="593">
        <v>1131409</v>
      </c>
      <c r="L1651" s="594" t="s">
        <v>259</v>
      </c>
      <c r="M1651" s="594" t="s">
        <v>371</v>
      </c>
      <c r="N1651" s="52" t="str">
        <f>IF(AND('331-CT'!$E$7=TH!H1651,OR(L1651="331",M1651="331")),"331",IF(AND(OR(L1651="131",M1651="131"),H1651='131-CT'!$E$7),"131",""))</f>
        <v/>
      </c>
      <c r="O1651" s="86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799"/>
    </row>
    <row r="1652" spans="1:27" s="210" customFormat="1" ht="15.75" customHeight="1">
      <c r="A1652" s="203" t="str">
        <f>IF(B1652&lt;&gt;"",IF(AND(B1652&gt;=_TM1,B1652&lt;=_TM2,OR(TH!L1652="1111",TH!M1652="1111")),TH!D1652,""),"")</f>
        <v/>
      </c>
      <c r="B1652" s="36">
        <f>IF(C1652&lt;&gt;"",MONTH(C1652),"")</f>
        <v>9</v>
      </c>
      <c r="C1652" s="183">
        <f>E1652</f>
        <v>42255</v>
      </c>
      <c r="D1652" s="183" t="s">
        <v>1319</v>
      </c>
      <c r="E1652" s="190">
        <v>42255</v>
      </c>
      <c r="F1652" s="188" t="s">
        <v>1320</v>
      </c>
      <c r="G1652" s="482" t="s">
        <v>332</v>
      </c>
      <c r="H1652" s="45" t="s">
        <v>416</v>
      </c>
      <c r="I1652" s="255"/>
      <c r="J1652" s="255"/>
      <c r="K1652" s="593">
        <v>29443384</v>
      </c>
      <c r="L1652" s="594" t="s">
        <v>24</v>
      </c>
      <c r="M1652" s="594" t="s">
        <v>259</v>
      </c>
      <c r="N1652" s="52" t="str">
        <f>IF(AND('331-CT'!$E$7=TH!H1652,OR(L1652="331",M1652="331")),"331",IF(AND(OR(L1652="131",M1652="131"),H1652='131-CT'!$E$7),"131",""))</f>
        <v/>
      </c>
      <c r="O1652" s="86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>x</v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799"/>
    </row>
    <row r="1653" spans="1:27" s="210" customFormat="1" ht="15.75" customHeight="1">
      <c r="A1653" s="203" t="str">
        <f>IF(B1653&lt;&gt;"",IF(AND(B1653&gt;=_TM1,B1653&lt;=_TM2,OR(TH!L1653="1111",TH!M1653="1111")),TH!D1653,""),"")</f>
        <v/>
      </c>
      <c r="B1653" s="36">
        <f>IF(C1653&lt;&gt;"",MONTH(C1653),"")</f>
        <v>9</v>
      </c>
      <c r="C1653" s="183">
        <f>E1653</f>
        <v>42255</v>
      </c>
      <c r="D1653" s="183" t="s">
        <v>1324</v>
      </c>
      <c r="E1653" s="190">
        <v>42255</v>
      </c>
      <c r="F1653" s="188" t="s">
        <v>1325</v>
      </c>
      <c r="G1653" s="482" t="s">
        <v>332</v>
      </c>
      <c r="H1653" s="7" t="s">
        <v>1337</v>
      </c>
      <c r="I1653" s="255"/>
      <c r="J1653" s="255"/>
      <c r="K1653" s="593">
        <v>31700000</v>
      </c>
      <c r="L1653" s="594" t="s">
        <v>47</v>
      </c>
      <c r="M1653" s="594" t="s">
        <v>24</v>
      </c>
      <c r="N1653" s="52" t="str">
        <f>IF(AND('331-CT'!$E$7=TH!H1653,OR(L1653="331",M1653="331")),"331",IF(AND(OR(L1653="131",M1653="131"),H1653='131-CT'!$E$7),"131",""))</f>
        <v/>
      </c>
      <c r="O1653" s="86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>x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799"/>
    </row>
    <row r="1654" spans="1:27" s="210" customFormat="1" ht="15.75" customHeight="1">
      <c r="A1654" s="203" t="str">
        <f>IF(B1654&lt;&gt;"",IF(AND(B1654&gt;=_TM1,B1654&lt;=_TM2,OR(TH!L1654="1111",TH!M1654="1111")),TH!D1654,""),"")</f>
        <v/>
      </c>
      <c r="B1654" s="36">
        <f>IF(C1654&lt;&gt;"",MONTH(C1654),"")</f>
        <v>9</v>
      </c>
      <c r="C1654" s="183">
        <f>E1654</f>
        <v>42256</v>
      </c>
      <c r="D1654" s="183" t="s">
        <v>1598</v>
      </c>
      <c r="E1654" s="37">
        <v>42256</v>
      </c>
      <c r="F1654" s="40" t="s">
        <v>1018</v>
      </c>
      <c r="G1654" s="40" t="s">
        <v>1019</v>
      </c>
      <c r="H1654" s="7" t="s">
        <v>967</v>
      </c>
      <c r="I1654" s="255">
        <v>300</v>
      </c>
      <c r="J1654" s="255">
        <v>14316</v>
      </c>
      <c r="K1654" s="593">
        <f>ROUND(I1654*J1654,0)</f>
        <v>4294800</v>
      </c>
      <c r="L1654" s="594" t="s">
        <v>259</v>
      </c>
      <c r="M1654" s="594" t="s">
        <v>174</v>
      </c>
      <c r="N1654" s="52" t="str">
        <f>IF(AND('331-CT'!$E$7=TH!H1654,OR(L1654="331",M1654="331")),"331",IF(AND(OR(L1654="131",M1654="131"),H1654='131-CT'!$E$7),"131",""))</f>
        <v/>
      </c>
      <c r="O1654" s="86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799"/>
    </row>
    <row r="1655" spans="1:27" s="210" customFormat="1" ht="15.75" customHeight="1">
      <c r="A1655" s="203" t="str">
        <f>IF(B1655&lt;&gt;"",IF(AND(B1655&gt;=_TM1,B1655&lt;=_TM2,OR(TH!L1655="1111",TH!M1655="1111")),TH!D1655,""),"")</f>
        <v/>
      </c>
      <c r="B1655" s="36">
        <f>IF(C1655&lt;&gt;"",MONTH(C1655),"")</f>
        <v>9</v>
      </c>
      <c r="C1655" s="183">
        <f>E1655</f>
        <v>42256</v>
      </c>
      <c r="D1655" s="183" t="s">
        <v>1598</v>
      </c>
      <c r="E1655" s="37">
        <v>42256</v>
      </c>
      <c r="F1655" s="191" t="s">
        <v>402</v>
      </c>
      <c r="G1655" s="40" t="s">
        <v>1019</v>
      </c>
      <c r="H1655" s="7" t="s">
        <v>967</v>
      </c>
      <c r="I1655" s="255"/>
      <c r="J1655" s="255"/>
      <c r="K1655" s="593">
        <v>429480</v>
      </c>
      <c r="L1655" s="594" t="s">
        <v>259</v>
      </c>
      <c r="M1655" s="594" t="s">
        <v>371</v>
      </c>
      <c r="N1655" s="52" t="str">
        <f>IF(AND('331-CT'!$E$7=TH!H1655,OR(L1655="331",M1655="331")),"331",IF(AND(OR(L1655="131",M1655="131"),H1655='131-CT'!$E$7),"131",""))</f>
        <v/>
      </c>
      <c r="O1655" s="86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799"/>
    </row>
    <row r="1656" spans="1:27" s="210" customFormat="1" ht="15.75" customHeight="1">
      <c r="A1656" s="203" t="str">
        <f>IF(B1656&lt;&gt;"",IF(AND(B1656&gt;=_TM1,B1656&lt;=_TM2,OR(TH!L1656="1111",TH!M1656="1111")),TH!D1656,""),"")</f>
        <v/>
      </c>
      <c r="B1656" s="36">
        <f>IF(C1656&lt;&gt;"",MONTH(C1656),"")</f>
        <v>9</v>
      </c>
      <c r="C1656" s="183">
        <f>E1656</f>
        <v>42256</v>
      </c>
      <c r="D1656" s="183" t="s">
        <v>1598</v>
      </c>
      <c r="E1656" s="37">
        <v>42256</v>
      </c>
      <c r="F1656" s="191" t="s">
        <v>1320</v>
      </c>
      <c r="G1656" s="40" t="s">
        <v>2034</v>
      </c>
      <c r="H1656" s="7" t="s">
        <v>967</v>
      </c>
      <c r="I1656" s="255"/>
      <c r="J1656" s="255"/>
      <c r="K1656" s="593">
        <f>5778300+4724280</f>
        <v>10502580</v>
      </c>
      <c r="L1656" s="594" t="s">
        <v>47</v>
      </c>
      <c r="M1656" s="594" t="s">
        <v>259</v>
      </c>
      <c r="N1656" s="52" t="str">
        <f>IF(AND('331-CT'!$E$7=TH!H1656,OR(L1656="331",M1656="331")),"331",IF(AND(OR(L1656="131",M1656="131"),H1656='131-CT'!$E$7),"131",""))</f>
        <v/>
      </c>
      <c r="O1656" s="86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799"/>
    </row>
    <row r="1657" spans="1:27" s="210" customFormat="1" ht="15.75" customHeight="1">
      <c r="A1657" s="203" t="str">
        <f>IF(B1657&lt;&gt;"",IF(AND(B1657&gt;=_TM1,B1657&lt;=_TM2,OR(TH!L1657="1111",TH!M1657="1111")),TH!D1657,""),"")</f>
        <v/>
      </c>
      <c r="B1657" s="36">
        <f>IF(C1657&lt;&gt;"",MONTH(C1657),"")</f>
        <v>9</v>
      </c>
      <c r="C1657" s="183">
        <f>E1657</f>
        <v>42256</v>
      </c>
      <c r="D1657" s="183" t="s">
        <v>1599</v>
      </c>
      <c r="E1657" s="37">
        <v>42256</v>
      </c>
      <c r="F1657" s="191" t="s">
        <v>1790</v>
      </c>
      <c r="G1657" s="40" t="s">
        <v>1020</v>
      </c>
      <c r="H1657" s="7" t="s">
        <v>1934</v>
      </c>
      <c r="I1657" s="255">
        <v>52</v>
      </c>
      <c r="J1657" s="255">
        <v>4941</v>
      </c>
      <c r="K1657" s="593">
        <f>ROUND(I1657*J1657,0)</f>
        <v>256932</v>
      </c>
      <c r="L1657" s="594" t="s">
        <v>259</v>
      </c>
      <c r="M1657" s="594" t="s">
        <v>174</v>
      </c>
      <c r="N1657" s="52" t="str">
        <f>IF(AND('331-CT'!$E$7=TH!H1657,OR(L1657="331",M1657="331")),"331",IF(AND(OR(L1657="131",M1657="131"),H1657='131-CT'!$E$7),"131",""))</f>
        <v/>
      </c>
      <c r="O1657" s="86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799"/>
    </row>
    <row r="1658" spans="1:27" s="210" customFormat="1" ht="15.75" customHeight="1">
      <c r="A1658" s="203" t="str">
        <f>IF(B1658&lt;&gt;"",IF(AND(B1658&gt;=_TM1,B1658&lt;=_TM2,OR(TH!L1658="1111",TH!M1658="1111")),TH!D1658,""),"")</f>
        <v/>
      </c>
      <c r="B1658" s="36">
        <f>IF(C1658&lt;&gt;"",MONTH(C1658),"")</f>
        <v>9</v>
      </c>
      <c r="C1658" s="183">
        <f>E1658</f>
        <v>42256</v>
      </c>
      <c r="D1658" s="183" t="s">
        <v>1599</v>
      </c>
      <c r="E1658" s="37">
        <v>42256</v>
      </c>
      <c r="F1658" s="191" t="s">
        <v>746</v>
      </c>
      <c r="G1658" s="40" t="s">
        <v>1020</v>
      </c>
      <c r="H1658" s="7" t="s">
        <v>1934</v>
      </c>
      <c r="I1658" s="255">
        <v>1000</v>
      </c>
      <c r="J1658" s="255">
        <v>12719</v>
      </c>
      <c r="K1658" s="593">
        <f>ROUND(I1658*J1658,0)</f>
        <v>12719000</v>
      </c>
      <c r="L1658" s="594" t="s">
        <v>259</v>
      </c>
      <c r="M1658" s="594" t="s">
        <v>174</v>
      </c>
      <c r="N1658" s="52" t="str">
        <f>IF(AND('331-CT'!$E$7=TH!H1658,OR(L1658="331",M1658="331")),"331",IF(AND(OR(L1658="131",M1658="131"),H1658='131-CT'!$E$7),"131",""))</f>
        <v/>
      </c>
      <c r="O1658" s="86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799"/>
    </row>
    <row r="1659" spans="1:27" s="210" customFormat="1" ht="15.75" customHeight="1">
      <c r="A1659" s="203" t="str">
        <f>IF(B1659&lt;&gt;"",IF(AND(B1659&gt;=_TM1,B1659&lt;=_TM2,OR(TH!L1659="1111",TH!M1659="1111")),TH!D1659,""),"")</f>
        <v/>
      </c>
      <c r="B1659" s="36">
        <f>IF(C1659&lt;&gt;"",MONTH(C1659),"")</f>
        <v>9</v>
      </c>
      <c r="C1659" s="183">
        <f>E1659</f>
        <v>42256</v>
      </c>
      <c r="D1659" s="183" t="s">
        <v>1599</v>
      </c>
      <c r="E1659" s="183">
        <v>42256</v>
      </c>
      <c r="F1659" s="191" t="s">
        <v>748</v>
      </c>
      <c r="G1659" s="595" t="s">
        <v>1020</v>
      </c>
      <c r="H1659" s="7" t="s">
        <v>1934</v>
      </c>
      <c r="I1659" s="255">
        <v>100</v>
      </c>
      <c r="J1659" s="255">
        <v>11997</v>
      </c>
      <c r="K1659" s="593">
        <f>ROUND(I1659*J1659,0)</f>
        <v>1199700</v>
      </c>
      <c r="L1659" s="594" t="s">
        <v>259</v>
      </c>
      <c r="M1659" s="594" t="s">
        <v>174</v>
      </c>
      <c r="N1659" s="52" t="str">
        <f>IF(AND('331-CT'!$E$7=TH!H1659,OR(L1659="331",M1659="331")),"331",IF(AND(OR(L1659="131",M1659="131"),H1659='131-CT'!$E$7),"131",""))</f>
        <v/>
      </c>
      <c r="O1659" s="86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799"/>
    </row>
    <row r="1660" spans="1:27" s="210" customFormat="1" ht="15.75" customHeight="1">
      <c r="A1660" s="203" t="str">
        <f>IF(B1660&lt;&gt;"",IF(AND(B1660&gt;=_TM1,B1660&lt;=_TM2,OR(TH!L1660="1111",TH!M1660="1111")),TH!D1660,""),"")</f>
        <v/>
      </c>
      <c r="B1660" s="36">
        <f>IF(C1660&lt;&gt;"",MONTH(C1660),"")</f>
        <v>9</v>
      </c>
      <c r="C1660" s="183">
        <f>E1660</f>
        <v>42256</v>
      </c>
      <c r="D1660" s="183" t="s">
        <v>1599</v>
      </c>
      <c r="E1660" s="190">
        <v>42256</v>
      </c>
      <c r="F1660" s="191" t="s">
        <v>728</v>
      </c>
      <c r="G1660" s="482" t="s">
        <v>1020</v>
      </c>
      <c r="H1660" s="7" t="s">
        <v>1934</v>
      </c>
      <c r="I1660" s="255">
        <v>100</v>
      </c>
      <c r="J1660" s="255">
        <v>10854</v>
      </c>
      <c r="K1660" s="593">
        <f>ROUND(I1660*J1660,0)</f>
        <v>1085400</v>
      </c>
      <c r="L1660" s="594" t="s">
        <v>259</v>
      </c>
      <c r="M1660" s="594" t="s">
        <v>174</v>
      </c>
      <c r="N1660" s="52" t="str">
        <f>IF(AND('331-CT'!$E$7=TH!H1660,OR(L1660="331",M1660="331")),"331",IF(AND(OR(L1660="131",M1660="131"),H1660='131-CT'!$E$7),"131",""))</f>
        <v/>
      </c>
      <c r="O1660" s="86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799"/>
    </row>
    <row r="1661" spans="1:27" s="210" customFormat="1" ht="15.75" customHeight="1">
      <c r="A1661" s="203" t="str">
        <f>IF(B1661&lt;&gt;"",IF(AND(B1661&gt;=_TM1,B1661&lt;=_TM2,OR(TH!L1661="1111",TH!M1661="1111")),TH!D1661,""),"")</f>
        <v/>
      </c>
      <c r="B1661" s="36">
        <f>IF(C1661&lt;&gt;"",MONTH(C1661),"")</f>
        <v>9</v>
      </c>
      <c r="C1661" s="183">
        <f>E1661</f>
        <v>42256</v>
      </c>
      <c r="D1661" s="183" t="s">
        <v>1599</v>
      </c>
      <c r="E1661" s="190">
        <v>42256</v>
      </c>
      <c r="F1661" s="191" t="s">
        <v>731</v>
      </c>
      <c r="G1661" s="482" t="s">
        <v>1020</v>
      </c>
      <c r="H1661" s="7" t="s">
        <v>1934</v>
      </c>
      <c r="I1661" s="255"/>
      <c r="J1661" s="255"/>
      <c r="K1661" s="593">
        <v>1526103</v>
      </c>
      <c r="L1661" s="594" t="s">
        <v>259</v>
      </c>
      <c r="M1661" s="594" t="s">
        <v>371</v>
      </c>
      <c r="N1661" s="52" t="str">
        <f>IF(AND('331-CT'!$E$7=TH!H1661,OR(L1661="331",M1661="331")),"331",IF(AND(OR(L1661="131",M1661="131"),H1661='131-CT'!$E$7),"131",""))</f>
        <v/>
      </c>
      <c r="O1661" s="86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799"/>
    </row>
    <row r="1662" spans="1:27" s="210" customFormat="1" ht="15.75" customHeight="1">
      <c r="A1662" s="203" t="str">
        <f>IF(B1662&lt;&gt;"",IF(AND(B1662&gt;=_TM1,B1662&lt;=_TM2,OR(TH!L1662="1111",TH!M1662="1111")),TH!D1662,""),"")</f>
        <v/>
      </c>
      <c r="B1662" s="36">
        <f>IF(C1662&lt;&gt;"",MONTH(C1662),"")</f>
        <v>9</v>
      </c>
      <c r="C1662" s="183">
        <f>E1662</f>
        <v>42256</v>
      </c>
      <c r="D1662" s="183" t="s">
        <v>1599</v>
      </c>
      <c r="E1662" s="190">
        <v>42256</v>
      </c>
      <c r="F1662" s="191" t="s">
        <v>1320</v>
      </c>
      <c r="G1662" s="482" t="s">
        <v>2062</v>
      </c>
      <c r="H1662" s="7" t="s">
        <v>1934</v>
      </c>
      <c r="I1662" s="255"/>
      <c r="J1662" s="255"/>
      <c r="K1662" s="593">
        <f>14399303+12445494+16787135</f>
        <v>43631932</v>
      </c>
      <c r="L1662" s="594" t="s">
        <v>47</v>
      </c>
      <c r="M1662" s="594" t="s">
        <v>259</v>
      </c>
      <c r="N1662" s="52" t="str">
        <f>IF(AND('331-CT'!$E$7=TH!H1662,OR(L1662="331",M1662="331")),"331",IF(AND(OR(L1662="131",M1662="131"),H1662='131-CT'!$E$7),"131",""))</f>
        <v/>
      </c>
      <c r="O1662" s="86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799"/>
    </row>
    <row r="1663" spans="1:27" s="210" customFormat="1" ht="15.75" customHeight="1">
      <c r="A1663" s="203" t="str">
        <f>IF(B1663&lt;&gt;"",IF(AND(B1663&gt;=_TM1,B1663&lt;=_TM2,OR(TH!L1663="1111",TH!M1663="1111")),TH!D1663,""),"")</f>
        <v/>
      </c>
      <c r="B1663" s="36">
        <f>IF(C1663&lt;&gt;"",MONTH(C1663),"")</f>
        <v>9</v>
      </c>
      <c r="C1663" s="183">
        <f>E1663</f>
        <v>42257</v>
      </c>
      <c r="D1663" s="183" t="s">
        <v>1600</v>
      </c>
      <c r="E1663" s="190">
        <v>42257</v>
      </c>
      <c r="F1663" s="191" t="s">
        <v>1791</v>
      </c>
      <c r="G1663" s="482" t="s">
        <v>1021</v>
      </c>
      <c r="H1663" s="192" t="s">
        <v>1022</v>
      </c>
      <c r="I1663" s="255">
        <v>500</v>
      </c>
      <c r="J1663" s="255">
        <v>24473</v>
      </c>
      <c r="K1663" s="593">
        <f>ROUND(I1663*J1663,0)</f>
        <v>12236500</v>
      </c>
      <c r="L1663" s="594" t="s">
        <v>259</v>
      </c>
      <c r="M1663" s="594" t="s">
        <v>174</v>
      </c>
      <c r="N1663" s="52" t="str">
        <f>IF(AND('331-CT'!$E$7=TH!H1663,OR(L1663="331",M1663="331")),"331",IF(AND(OR(L1663="131",M1663="131"),H1663='131-CT'!$E$7),"131",""))</f>
        <v/>
      </c>
      <c r="O1663" s="86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799"/>
    </row>
    <row r="1664" spans="1:27" s="210" customFormat="1" ht="15.75" customHeight="1">
      <c r="A1664" s="203" t="str">
        <f>IF(B1664&lt;&gt;"",IF(AND(B1664&gt;=_TM1,B1664&lt;=_TM2,OR(TH!L1664="1111",TH!M1664="1111")),TH!D1664,""),"")</f>
        <v/>
      </c>
      <c r="B1664" s="36">
        <f>IF(C1664&lt;&gt;"",MONTH(C1664),"")</f>
        <v>9</v>
      </c>
      <c r="C1664" s="183">
        <f>E1664</f>
        <v>42257</v>
      </c>
      <c r="D1664" s="183" t="s">
        <v>1600</v>
      </c>
      <c r="E1664" s="190">
        <v>42257</v>
      </c>
      <c r="F1664" s="191" t="s">
        <v>1792</v>
      </c>
      <c r="G1664" s="482" t="s">
        <v>1021</v>
      </c>
      <c r="H1664" s="192" t="s">
        <v>1022</v>
      </c>
      <c r="I1664" s="255">
        <v>2070</v>
      </c>
      <c r="J1664" s="255">
        <v>1034</v>
      </c>
      <c r="K1664" s="593">
        <f>ROUND(I1664*J1664,0)</f>
        <v>2140380</v>
      </c>
      <c r="L1664" s="594" t="s">
        <v>259</v>
      </c>
      <c r="M1664" s="594" t="s">
        <v>174</v>
      </c>
      <c r="N1664" s="52" t="str">
        <f>IF(AND('331-CT'!$E$7=TH!H1664,OR(L1664="331",M1664="331")),"331",IF(AND(OR(L1664="131",M1664="131"),H1664='131-CT'!$E$7),"131",""))</f>
        <v/>
      </c>
      <c r="O1664" s="86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799"/>
    </row>
    <row r="1665" spans="1:27" s="210" customFormat="1" ht="15.75" customHeight="1">
      <c r="A1665" s="203" t="str">
        <f>IF(B1665&lt;&gt;"",IF(AND(B1665&gt;=_TM1,B1665&lt;=_TM2,OR(TH!L1665="1111",TH!M1665="1111")),TH!D1665,""),"")</f>
        <v/>
      </c>
      <c r="B1665" s="36">
        <f>IF(C1665&lt;&gt;"",MONTH(C1665),"")</f>
        <v>9</v>
      </c>
      <c r="C1665" s="183">
        <f>E1665</f>
        <v>42257</v>
      </c>
      <c r="D1665" s="183" t="s">
        <v>1600</v>
      </c>
      <c r="E1665" s="190">
        <v>42257</v>
      </c>
      <c r="F1665" s="191" t="s">
        <v>731</v>
      </c>
      <c r="G1665" s="482" t="s">
        <v>1021</v>
      </c>
      <c r="H1665" s="192" t="s">
        <v>1022</v>
      </c>
      <c r="I1665" s="255"/>
      <c r="J1665" s="255"/>
      <c r="K1665" s="593">
        <v>1437688</v>
      </c>
      <c r="L1665" s="594" t="s">
        <v>259</v>
      </c>
      <c r="M1665" s="594" t="s">
        <v>371</v>
      </c>
      <c r="N1665" s="52" t="str">
        <f>IF(AND('331-CT'!$E$7=TH!H1665,OR(L1665="331",M1665="331")),"331",IF(AND(OR(L1665="131",M1665="131"),H1665='131-CT'!$E$7),"131",""))</f>
        <v/>
      </c>
      <c r="O1665" s="86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799"/>
    </row>
    <row r="1666" spans="1:27" s="210" customFormat="1" ht="15.75" customHeight="1">
      <c r="A1666" s="203" t="str">
        <f>IF(B1666&lt;&gt;"",IF(AND(B1666&gt;=_TM1,B1666&lt;=_TM2,OR(TH!L1666="1111",TH!M1666="1111")),TH!D1666,""),"")</f>
        <v/>
      </c>
      <c r="B1666" s="36">
        <f>IF(C1666&lt;&gt;"",MONTH(C1666),"")</f>
        <v>9</v>
      </c>
      <c r="C1666" s="183">
        <f>E1666</f>
        <v>42257</v>
      </c>
      <c r="D1666" s="183" t="s">
        <v>1601</v>
      </c>
      <c r="E1666" s="190">
        <v>42257</v>
      </c>
      <c r="F1666" s="188" t="s">
        <v>413</v>
      </c>
      <c r="G1666" s="482" t="s">
        <v>1023</v>
      </c>
      <c r="H1666" s="192" t="s">
        <v>412</v>
      </c>
      <c r="I1666" s="256">
        <v>401</v>
      </c>
      <c r="J1666" s="256">
        <v>10500</v>
      </c>
      <c r="K1666" s="593">
        <f>ROUND(I1666*J1666,0)</f>
        <v>4210500</v>
      </c>
      <c r="L1666" s="594" t="s">
        <v>259</v>
      </c>
      <c r="M1666" s="594" t="s">
        <v>174</v>
      </c>
      <c r="N1666" s="52" t="str">
        <f>IF(AND('331-CT'!$E$7=TH!H1666,OR(L1666="331",M1666="331")),"331",IF(AND(OR(L1666="131",M1666="131"),H1666='131-CT'!$E$7),"131",""))</f>
        <v/>
      </c>
      <c r="O1666" s="86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799"/>
    </row>
    <row r="1667" spans="1:27" s="210" customFormat="1" ht="15.75" customHeight="1">
      <c r="A1667" s="203" t="str">
        <f>IF(B1667&lt;&gt;"",IF(AND(B1667&gt;=_TM1,B1667&lt;=_TM2,OR(TH!L1667="1111",TH!M1667="1111")),TH!D1667,""),"")</f>
        <v/>
      </c>
      <c r="B1667" s="36">
        <f>IF(C1667&lt;&gt;"",MONTH(C1667),"")</f>
        <v>9</v>
      </c>
      <c r="C1667" s="183">
        <f>E1667</f>
        <v>42257</v>
      </c>
      <c r="D1667" s="183" t="s">
        <v>1601</v>
      </c>
      <c r="E1667" s="190">
        <v>42257</v>
      </c>
      <c r="F1667" s="191" t="s">
        <v>1024</v>
      </c>
      <c r="G1667" s="482" t="s">
        <v>1023</v>
      </c>
      <c r="H1667" s="192" t="s">
        <v>412</v>
      </c>
      <c r="I1667" s="255">
        <v>34</v>
      </c>
      <c r="J1667" s="255">
        <v>8600</v>
      </c>
      <c r="K1667" s="593">
        <f>ROUND(I1667*J1667,0)</f>
        <v>292400</v>
      </c>
      <c r="L1667" s="594" t="s">
        <v>259</v>
      </c>
      <c r="M1667" s="594" t="s">
        <v>174</v>
      </c>
      <c r="N1667" s="52" t="str">
        <f>IF(AND('331-CT'!$E$7=TH!H1667,OR(L1667="331",M1667="331")),"331",IF(AND(OR(L1667="131",M1667="131"),H1667='131-CT'!$E$7),"131",""))</f>
        <v/>
      </c>
      <c r="O1667" s="86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799"/>
    </row>
    <row r="1668" spans="1:27" s="210" customFormat="1" ht="15.75" customHeight="1">
      <c r="A1668" s="203" t="str">
        <f>IF(B1668&lt;&gt;"",IF(AND(B1668&gt;=_TM1,B1668&lt;=_TM2,OR(TH!L1668="1111",TH!M1668="1111")),TH!D1668,""),"")</f>
        <v/>
      </c>
      <c r="B1668" s="36">
        <f>IF(C1668&lt;&gt;"",MONTH(C1668),"")</f>
        <v>9</v>
      </c>
      <c r="C1668" s="183">
        <f>E1668</f>
        <v>42257</v>
      </c>
      <c r="D1668" s="183" t="s">
        <v>1601</v>
      </c>
      <c r="E1668" s="190">
        <v>42257</v>
      </c>
      <c r="F1668" s="191" t="s">
        <v>402</v>
      </c>
      <c r="G1668" s="482" t="s">
        <v>1023</v>
      </c>
      <c r="H1668" s="192" t="s">
        <v>412</v>
      </c>
      <c r="I1668" s="255"/>
      <c r="J1668" s="255"/>
      <c r="K1668" s="593">
        <v>450290</v>
      </c>
      <c r="L1668" s="594" t="s">
        <v>259</v>
      </c>
      <c r="M1668" s="594" t="s">
        <v>371</v>
      </c>
      <c r="N1668" s="52" t="str">
        <f>IF(AND('331-CT'!$E$7=TH!H1668,OR(L1668="331",M1668="331")),"331",IF(AND(OR(L1668="131",M1668="131"),H1668='131-CT'!$E$7),"131",""))</f>
        <v/>
      </c>
      <c r="O1668" s="86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799"/>
    </row>
    <row r="1669" spans="1:27" s="210" customFormat="1" ht="15.75" customHeight="1">
      <c r="A1669" s="203" t="str">
        <f>IF(B1669&lt;&gt;"",IF(AND(B1669&gt;=_TM1,B1669&lt;=_TM2,OR(TH!L1669="1111",TH!M1669="1111")),TH!D1669,""),"")</f>
        <v/>
      </c>
      <c r="B1669" s="36">
        <f>IF(C1669&lt;&gt;"",MONTH(C1669),"")</f>
        <v>9</v>
      </c>
      <c r="C1669" s="183">
        <f>E1669</f>
        <v>42257</v>
      </c>
      <c r="D1669" s="183" t="s">
        <v>1319</v>
      </c>
      <c r="E1669" s="190">
        <v>42257</v>
      </c>
      <c r="F1669" s="188" t="s">
        <v>1320</v>
      </c>
      <c r="G1669" s="482" t="s">
        <v>332</v>
      </c>
      <c r="H1669" s="7" t="s">
        <v>1934</v>
      </c>
      <c r="I1669" s="255"/>
      <c r="J1669" s="255"/>
      <c r="K1669" s="593">
        <v>21631621</v>
      </c>
      <c r="L1669" s="594" t="s">
        <v>24</v>
      </c>
      <c r="M1669" s="594" t="s">
        <v>259</v>
      </c>
      <c r="N1669" s="52" t="str">
        <f>IF(AND('331-CT'!$E$7=TH!H1669,OR(L1669="331",M1669="331")),"331",IF(AND(OR(L1669="131",M1669="131"),H1669='131-CT'!$E$7),"131",""))</f>
        <v/>
      </c>
      <c r="O1669" s="86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>x</v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799"/>
    </row>
    <row r="1670" spans="1:27" s="210" customFormat="1" ht="15.75" customHeight="1">
      <c r="A1670" s="203" t="str">
        <f>IF(B1670&lt;&gt;"",IF(AND(B1670&gt;=_TM1,B1670&lt;=_TM2,OR(TH!L1670="1111",TH!M1670="1111")),TH!D1670,""),"")</f>
        <v/>
      </c>
      <c r="B1670" s="36">
        <f>IF(C1670&lt;&gt;"",MONTH(C1670),"")</f>
        <v>9</v>
      </c>
      <c r="C1670" s="183">
        <f>E1670</f>
        <v>42258</v>
      </c>
      <c r="D1670" s="183" t="s">
        <v>1602</v>
      </c>
      <c r="E1670" s="190">
        <v>42258</v>
      </c>
      <c r="F1670" s="191" t="s">
        <v>1011</v>
      </c>
      <c r="G1670" s="482" t="s">
        <v>1025</v>
      </c>
      <c r="H1670" s="192" t="s">
        <v>1013</v>
      </c>
      <c r="I1670" s="255">
        <v>1000</v>
      </c>
      <c r="J1670" s="255">
        <v>12500</v>
      </c>
      <c r="K1670" s="593">
        <f>ROUND(I1670*J1670,0)</f>
        <v>12500000</v>
      </c>
      <c r="L1670" s="594" t="s">
        <v>259</v>
      </c>
      <c r="M1670" s="594" t="s">
        <v>174</v>
      </c>
      <c r="N1670" s="52" t="str">
        <f>IF(AND('331-CT'!$E$7=TH!H1670,OR(L1670="331",M1670="331")),"331",IF(AND(OR(L1670="131",M1670="131"),H1670='131-CT'!$E$7),"131",""))</f>
        <v/>
      </c>
      <c r="O1670" s="86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799"/>
    </row>
    <row r="1671" spans="1:27" s="210" customFormat="1" ht="15.75" customHeight="1">
      <c r="A1671" s="203" t="str">
        <f>IF(B1671&lt;&gt;"",IF(AND(B1671&gt;=_TM1,B1671&lt;=_TM2,OR(TH!L1671="1111",TH!M1671="1111")),TH!D1671,""),"")</f>
        <v/>
      </c>
      <c r="B1671" s="36">
        <f>IF(C1671&lt;&gt;"",MONTH(C1671),"")</f>
        <v>9</v>
      </c>
      <c r="C1671" s="183">
        <f>E1671</f>
        <v>42258</v>
      </c>
      <c r="D1671" s="183" t="s">
        <v>1602</v>
      </c>
      <c r="E1671" s="727">
        <v>42258</v>
      </c>
      <c r="F1671" s="188" t="s">
        <v>402</v>
      </c>
      <c r="G1671" s="40" t="s">
        <v>1025</v>
      </c>
      <c r="H1671" s="7" t="s">
        <v>1013</v>
      </c>
      <c r="I1671" s="255"/>
      <c r="J1671" s="255"/>
      <c r="K1671" s="593">
        <v>1250000</v>
      </c>
      <c r="L1671" s="594" t="s">
        <v>259</v>
      </c>
      <c r="M1671" s="594" t="s">
        <v>371</v>
      </c>
      <c r="N1671" s="52" t="str">
        <f>IF(AND('331-CT'!$E$7=TH!H1671,OR(L1671="331",M1671="331")),"331",IF(AND(OR(L1671="131",M1671="131"),H1671='131-CT'!$E$7),"131",""))</f>
        <v/>
      </c>
      <c r="O1671" s="86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799"/>
    </row>
    <row r="1672" spans="1:27" s="210" customFormat="1" ht="15.75" customHeight="1">
      <c r="A1672" s="203" t="str">
        <f>IF(B1672&lt;&gt;"",IF(AND(B1672&gt;=_TM1,B1672&lt;=_TM2,OR(TH!L1672="1111",TH!M1672="1111")),TH!D1672,""),"")</f>
        <v/>
      </c>
      <c r="B1672" s="36">
        <f>IF(C1672&lt;&gt;"",MONTH(C1672),"")</f>
        <v>9</v>
      </c>
      <c r="C1672" s="183">
        <f>E1672</f>
        <v>42258</v>
      </c>
      <c r="D1672" s="183" t="s">
        <v>1603</v>
      </c>
      <c r="E1672" s="727">
        <v>42258</v>
      </c>
      <c r="F1672" s="191" t="s">
        <v>1702</v>
      </c>
      <c r="G1672" s="40" t="s">
        <v>1026</v>
      </c>
      <c r="H1672" s="7" t="s">
        <v>1934</v>
      </c>
      <c r="I1672" s="255">
        <v>500</v>
      </c>
      <c r="J1672" s="255">
        <v>26103</v>
      </c>
      <c r="K1672" s="593">
        <f>ROUND(I1672*J1672,0)</f>
        <v>13051500</v>
      </c>
      <c r="L1672" s="594" t="s">
        <v>259</v>
      </c>
      <c r="M1672" s="594" t="s">
        <v>174</v>
      </c>
      <c r="N1672" s="52" t="str">
        <f>IF(AND('331-CT'!$E$7=TH!H1672,OR(L1672="331",M1672="331")),"331",IF(AND(OR(L1672="131",M1672="131"),H1672='131-CT'!$E$7),"131",""))</f>
        <v/>
      </c>
      <c r="O1672" s="86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799"/>
    </row>
    <row r="1673" spans="1:27" s="210" customFormat="1" ht="15.75" customHeight="1">
      <c r="A1673" s="203" t="str">
        <f>IF(B1673&lt;&gt;"",IF(AND(B1673&gt;=_TM1,B1673&lt;=_TM2,OR(TH!L1673="1111",TH!M1673="1111")),TH!D1673,""),"")</f>
        <v/>
      </c>
      <c r="B1673" s="36">
        <f>IF(C1673&lt;&gt;"",MONTH(C1673),"")</f>
        <v>9</v>
      </c>
      <c r="C1673" s="183">
        <f>E1673</f>
        <v>42258</v>
      </c>
      <c r="D1673" s="183" t="s">
        <v>1603</v>
      </c>
      <c r="E1673" s="727">
        <v>42258</v>
      </c>
      <c r="F1673" s="188" t="s">
        <v>731</v>
      </c>
      <c r="G1673" s="40" t="s">
        <v>1026</v>
      </c>
      <c r="H1673" s="7" t="s">
        <v>1934</v>
      </c>
      <c r="I1673" s="255"/>
      <c r="J1673" s="255"/>
      <c r="K1673" s="593">
        <v>1305150</v>
      </c>
      <c r="L1673" s="594" t="s">
        <v>259</v>
      </c>
      <c r="M1673" s="594" t="s">
        <v>371</v>
      </c>
      <c r="N1673" s="52" t="str">
        <f>IF(AND('331-CT'!$E$7=TH!H1673,OR(L1673="331",M1673="331")),"331",IF(AND(OR(L1673="131",M1673="131"),H1673='131-CT'!$E$7),"131",""))</f>
        <v/>
      </c>
      <c r="O1673" s="86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799"/>
    </row>
    <row r="1674" spans="1:27" s="210" customFormat="1" ht="15.75" customHeight="1">
      <c r="A1674" s="203" t="str">
        <f>IF(B1674&lt;&gt;"",IF(AND(B1674&gt;=_TM1,B1674&lt;=_TM2,OR(TH!L1674="1111",TH!M1674="1111")),TH!D1674,""),"")</f>
        <v/>
      </c>
      <c r="B1674" s="36">
        <f>IF(C1674&lt;&gt;"",MONTH(C1674),"")</f>
        <v>9</v>
      </c>
      <c r="C1674" s="183">
        <f>E1674</f>
        <v>42258</v>
      </c>
      <c r="D1674" s="183" t="s">
        <v>1319</v>
      </c>
      <c r="E1674" s="190">
        <v>42258</v>
      </c>
      <c r="F1674" s="188" t="s">
        <v>1320</v>
      </c>
      <c r="G1674" s="482" t="s">
        <v>332</v>
      </c>
      <c r="H1674" s="7" t="s">
        <v>950</v>
      </c>
      <c r="I1674" s="255"/>
      <c r="J1674" s="255"/>
      <c r="K1674" s="593">
        <v>13199527</v>
      </c>
      <c r="L1674" s="594" t="s">
        <v>24</v>
      </c>
      <c r="M1674" s="594" t="s">
        <v>259</v>
      </c>
      <c r="N1674" s="52" t="str">
        <f>IF(AND('331-CT'!$E$7=TH!H1674,OR(L1674="331",M1674="331")),"331",IF(AND(OR(L1674="131",M1674="131"),H1674='131-CT'!$E$7),"131",""))</f>
        <v/>
      </c>
      <c r="O1674" s="86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>x</v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799"/>
    </row>
    <row r="1675" spans="1:27" s="210" customFormat="1" ht="15.75" customHeight="1">
      <c r="A1675" s="203" t="str">
        <f>IF(B1675&lt;&gt;"",IF(AND(B1675&gt;=_TM1,B1675&lt;=_TM2,OR(TH!L1675="1111",TH!M1675="1111")),TH!D1675,""),"")</f>
        <v/>
      </c>
      <c r="B1675" s="36">
        <f>IF(C1675&lt;&gt;"",MONTH(C1675),"")</f>
        <v>9</v>
      </c>
      <c r="C1675" s="183">
        <f>E1675</f>
        <v>42258</v>
      </c>
      <c r="D1675" s="183" t="s">
        <v>1324</v>
      </c>
      <c r="E1675" s="190">
        <v>42258</v>
      </c>
      <c r="F1675" s="188" t="s">
        <v>1325</v>
      </c>
      <c r="G1675" s="482" t="s">
        <v>332</v>
      </c>
      <c r="H1675" s="7" t="s">
        <v>1337</v>
      </c>
      <c r="I1675" s="255"/>
      <c r="J1675" s="255"/>
      <c r="K1675" s="593">
        <v>34800000</v>
      </c>
      <c r="L1675" s="594" t="s">
        <v>47</v>
      </c>
      <c r="M1675" s="594" t="s">
        <v>24</v>
      </c>
      <c r="N1675" s="52" t="str">
        <f>IF(AND('331-CT'!$E$7=TH!H1675,OR(L1675="331",M1675="331")),"331",IF(AND(OR(L1675="131",M1675="131"),H1675='131-CT'!$E$7),"131",""))</f>
        <v/>
      </c>
      <c r="O1675" s="86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>x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799"/>
    </row>
    <row r="1676" spans="1:27" s="210" customFormat="1" ht="15.75" customHeight="1">
      <c r="A1676" s="203" t="str">
        <f>IF(B1676&lt;&gt;"",IF(AND(B1676&gt;=_TM1,B1676&lt;=_TM2,OR(TH!L1676="1111",TH!M1676="1111")),TH!D1676,""),"")</f>
        <v/>
      </c>
      <c r="B1676" s="36">
        <f>IF(C1676&lt;&gt;"",MONTH(C1676),"")</f>
        <v>9</v>
      </c>
      <c r="C1676" s="183">
        <f>E1676</f>
        <v>42259</v>
      </c>
      <c r="D1676" s="183" t="s">
        <v>1604</v>
      </c>
      <c r="E1676" s="727">
        <v>42259</v>
      </c>
      <c r="F1676" s="296" t="s">
        <v>398</v>
      </c>
      <c r="G1676" s="40" t="s">
        <v>1027</v>
      </c>
      <c r="H1676" s="7" t="s">
        <v>400</v>
      </c>
      <c r="I1676" s="255">
        <v>931</v>
      </c>
      <c r="J1676" s="255">
        <v>5000</v>
      </c>
      <c r="K1676" s="593">
        <f>ROUND(I1676*J1676,0)</f>
        <v>4655000</v>
      </c>
      <c r="L1676" s="594" t="s">
        <v>259</v>
      </c>
      <c r="M1676" s="594" t="s">
        <v>174</v>
      </c>
      <c r="N1676" s="52" t="str">
        <f>IF(AND('331-CT'!$E$7=TH!H1676,OR(L1676="331",M1676="331")),"331",IF(AND(OR(L1676="131",M1676="131"),H1676='131-CT'!$E$7),"131",""))</f>
        <v/>
      </c>
      <c r="O1676" s="86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799"/>
    </row>
    <row r="1677" spans="1:27" s="210" customFormat="1" ht="15.75" customHeight="1">
      <c r="A1677" s="203" t="str">
        <f>IF(B1677&lt;&gt;"",IF(AND(B1677&gt;=_TM1,B1677&lt;=_TM2,OR(TH!L1677="1111",TH!M1677="1111")),TH!D1677,""),"")</f>
        <v/>
      </c>
      <c r="B1677" s="36">
        <f>IF(C1677&lt;&gt;"",MONTH(C1677),"")</f>
        <v>9</v>
      </c>
      <c r="C1677" s="183">
        <f>E1677</f>
        <v>42259</v>
      </c>
      <c r="D1677" s="183" t="s">
        <v>1604</v>
      </c>
      <c r="E1677" s="727">
        <v>42259</v>
      </c>
      <c r="F1677" s="188" t="s">
        <v>446</v>
      </c>
      <c r="G1677" s="40" t="s">
        <v>1027</v>
      </c>
      <c r="H1677" s="7" t="s">
        <v>400</v>
      </c>
      <c r="I1677" s="255">
        <v>311</v>
      </c>
      <c r="J1677" s="255">
        <v>5550</v>
      </c>
      <c r="K1677" s="593">
        <f>ROUND(I1677*J1677,0)</f>
        <v>1726050</v>
      </c>
      <c r="L1677" s="594" t="s">
        <v>259</v>
      </c>
      <c r="M1677" s="594" t="s">
        <v>174</v>
      </c>
      <c r="N1677" s="52" t="str">
        <f>IF(AND('331-CT'!$E$7=TH!H1677,OR(L1677="331",M1677="331")),"331",IF(AND(OR(L1677="131",M1677="131"),H1677='131-CT'!$E$7),"131",""))</f>
        <v/>
      </c>
      <c r="O1677" s="86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799"/>
    </row>
    <row r="1678" spans="1:27" s="210" customFormat="1" ht="15.75" customHeight="1">
      <c r="A1678" s="203" t="str">
        <f>IF(B1678&lt;&gt;"",IF(AND(B1678&gt;=_TM1,B1678&lt;=_TM2,OR(TH!L1678="1111",TH!M1678="1111")),TH!D1678,""),"")</f>
        <v/>
      </c>
      <c r="B1678" s="36">
        <f>IF(C1678&lt;&gt;"",MONTH(C1678),"")</f>
        <v>9</v>
      </c>
      <c r="C1678" s="183">
        <f>E1678</f>
        <v>42259</v>
      </c>
      <c r="D1678" s="183" t="s">
        <v>1604</v>
      </c>
      <c r="E1678" s="727">
        <v>42259</v>
      </c>
      <c r="F1678" s="296" t="s">
        <v>401</v>
      </c>
      <c r="G1678" s="40" t="s">
        <v>1027</v>
      </c>
      <c r="H1678" s="7" t="s">
        <v>400</v>
      </c>
      <c r="I1678" s="255">
        <v>311</v>
      </c>
      <c r="J1678" s="255">
        <v>5800</v>
      </c>
      <c r="K1678" s="593">
        <f>ROUND(I1678*J1678,0)</f>
        <v>1803800</v>
      </c>
      <c r="L1678" s="594" t="s">
        <v>259</v>
      </c>
      <c r="M1678" s="594" t="s">
        <v>174</v>
      </c>
      <c r="N1678" s="52" t="str">
        <f>IF(AND('331-CT'!$E$7=TH!H1678,OR(L1678="331",M1678="331")),"331",IF(AND(OR(L1678="131",M1678="131"),H1678='131-CT'!$E$7),"131",""))</f>
        <v/>
      </c>
      <c r="O1678" s="86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799"/>
    </row>
    <row r="1679" spans="1:27" s="210" customFormat="1" ht="15.75" customHeight="1">
      <c r="A1679" s="203" t="str">
        <f>IF(B1679&lt;&gt;"",IF(AND(B1679&gt;=_TM1,B1679&lt;=_TM2,OR(TH!L1679="1111",TH!M1679="1111")),TH!D1679,""),"")</f>
        <v/>
      </c>
      <c r="B1679" s="36">
        <f>IF(C1679&lt;&gt;"",MONTH(C1679),"")</f>
        <v>9</v>
      </c>
      <c r="C1679" s="183">
        <f>E1679</f>
        <v>42259</v>
      </c>
      <c r="D1679" s="183" t="s">
        <v>1604</v>
      </c>
      <c r="E1679" s="37">
        <v>42259</v>
      </c>
      <c r="F1679" s="40" t="s">
        <v>402</v>
      </c>
      <c r="G1679" s="40" t="s">
        <v>1027</v>
      </c>
      <c r="H1679" s="7" t="s">
        <v>400</v>
      </c>
      <c r="I1679" s="255"/>
      <c r="J1679" s="255"/>
      <c r="K1679" s="593">
        <v>818485</v>
      </c>
      <c r="L1679" s="594" t="s">
        <v>259</v>
      </c>
      <c r="M1679" s="594" t="s">
        <v>371</v>
      </c>
      <c r="N1679" s="52" t="str">
        <f>IF(AND('331-CT'!$E$7=TH!H1679,OR(L1679="331",M1679="331")),"331",IF(AND(OR(L1679="131",M1679="131"),H1679='131-CT'!$E$7),"131",""))</f>
        <v/>
      </c>
      <c r="O1679" s="86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799"/>
    </row>
    <row r="1680" spans="1:27" s="210" customFormat="1" ht="15.75" customHeight="1">
      <c r="A1680" s="203" t="str">
        <f>IF(B1680&lt;&gt;"",IF(AND(B1680&gt;=_TM1,B1680&lt;=_TM2,OR(TH!L1680="1111",TH!M1680="1111")),TH!D1680,""),"")</f>
        <v/>
      </c>
      <c r="B1680" s="36">
        <f>IF(C1680&lt;&gt;"",MONTH(C1680),"")</f>
        <v>9</v>
      </c>
      <c r="C1680" s="183">
        <f>E1680</f>
        <v>42259</v>
      </c>
      <c r="D1680" s="183" t="s">
        <v>1605</v>
      </c>
      <c r="E1680" s="37">
        <v>42259</v>
      </c>
      <c r="F1680" s="188" t="s">
        <v>1948</v>
      </c>
      <c r="G1680" s="40" t="s">
        <v>1028</v>
      </c>
      <c r="H1680" s="7" t="s">
        <v>957</v>
      </c>
      <c r="I1680" s="255">
        <v>1667</v>
      </c>
      <c r="J1680" s="255">
        <v>11800</v>
      </c>
      <c r="K1680" s="593">
        <f>ROUND(I1680*J1680,0)</f>
        <v>19670600</v>
      </c>
      <c r="L1680" s="594" t="s">
        <v>259</v>
      </c>
      <c r="M1680" s="594" t="s">
        <v>174</v>
      </c>
      <c r="N1680" s="52" t="str">
        <f>IF(AND('331-CT'!$E$7=TH!H1680,OR(L1680="331",M1680="331")),"331",IF(AND(OR(L1680="131",M1680="131"),H1680='131-CT'!$E$7),"131",""))</f>
        <v/>
      </c>
      <c r="O1680" s="86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799"/>
    </row>
    <row r="1681" spans="1:27" s="210" customFormat="1" ht="15.75" customHeight="1">
      <c r="A1681" s="203" t="str">
        <f>IF(B1681&lt;&gt;"",IF(AND(B1681&gt;=_TM1,B1681&lt;=_TM2,OR(TH!L1681="1111",TH!M1681="1111")),TH!D1681,""),"")</f>
        <v/>
      </c>
      <c r="B1681" s="36">
        <f>IF(C1681&lt;&gt;"",MONTH(C1681),"")</f>
        <v>9</v>
      </c>
      <c r="C1681" s="183">
        <f>E1681</f>
        <v>42259</v>
      </c>
      <c r="D1681" s="183" t="s">
        <v>1605</v>
      </c>
      <c r="E1681" s="37">
        <v>42259</v>
      </c>
      <c r="F1681" s="40" t="s">
        <v>402</v>
      </c>
      <c r="G1681" s="40" t="s">
        <v>1028</v>
      </c>
      <c r="H1681" s="7" t="s">
        <v>957</v>
      </c>
      <c r="I1681" s="255"/>
      <c r="J1681" s="255"/>
      <c r="K1681" s="593">
        <v>1967060</v>
      </c>
      <c r="L1681" s="594" t="s">
        <v>259</v>
      </c>
      <c r="M1681" s="594" t="s">
        <v>371</v>
      </c>
      <c r="N1681" s="52" t="str">
        <f>IF(AND('331-CT'!$E$7=TH!H1681,OR(L1681="331",M1681="331")),"331",IF(AND(OR(L1681="131",M1681="131"),H1681='131-CT'!$E$7),"131",""))</f>
        <v/>
      </c>
      <c r="O1681" s="86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799"/>
    </row>
    <row r="1682" spans="1:27" s="210" customFormat="1" ht="15.75" customHeight="1">
      <c r="A1682" s="203" t="str">
        <f>IF(B1682&lt;&gt;"",IF(AND(B1682&gt;=_TM1,B1682&lt;=_TM2,OR(TH!L1682="1111",TH!M1682="1111")),TH!D1682,""),"")</f>
        <v/>
      </c>
      <c r="B1682" s="36">
        <f>IF(C1682&lt;&gt;"",MONTH(C1682),"")</f>
        <v>9</v>
      </c>
      <c r="C1682" s="183">
        <f>E1682</f>
        <v>42259</v>
      </c>
      <c r="D1682" s="183" t="s">
        <v>1606</v>
      </c>
      <c r="E1682" s="37">
        <v>42259</v>
      </c>
      <c r="F1682" s="40" t="s">
        <v>1766</v>
      </c>
      <c r="G1682" s="40" t="s">
        <v>1029</v>
      </c>
      <c r="H1682" s="7" t="s">
        <v>1934</v>
      </c>
      <c r="I1682" s="255">
        <v>1500</v>
      </c>
      <c r="J1682" s="255">
        <v>7649</v>
      </c>
      <c r="K1682" s="593">
        <f>ROUND(I1682*J1682,0)</f>
        <v>11473500</v>
      </c>
      <c r="L1682" s="594" t="s">
        <v>259</v>
      </c>
      <c r="M1682" s="594" t="s">
        <v>174</v>
      </c>
      <c r="N1682" s="52" t="str">
        <f>IF(AND('331-CT'!$E$7=TH!H1682,OR(L1682="331",M1682="331")),"331",IF(AND(OR(L1682="131",M1682="131"),H1682='131-CT'!$E$7),"131",""))</f>
        <v/>
      </c>
      <c r="O1682" s="86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799"/>
    </row>
    <row r="1683" spans="1:27" s="210" customFormat="1" ht="15.75" customHeight="1">
      <c r="A1683" s="203" t="str">
        <f>IF(B1683&lt;&gt;"",IF(AND(B1683&gt;=_TM1,B1683&lt;=_TM2,OR(TH!L1683="1111",TH!M1683="1111")),TH!D1683,""),"")</f>
        <v/>
      </c>
      <c r="B1683" s="36">
        <f>IF(C1683&lt;&gt;"",MONTH(C1683),"")</f>
        <v>9</v>
      </c>
      <c r="C1683" s="183">
        <f>E1683</f>
        <v>42259</v>
      </c>
      <c r="D1683" s="183" t="s">
        <v>1606</v>
      </c>
      <c r="E1683" s="37">
        <v>42259</v>
      </c>
      <c r="F1683" s="40" t="s">
        <v>731</v>
      </c>
      <c r="G1683" s="40" t="s">
        <v>1029</v>
      </c>
      <c r="H1683" s="7" t="s">
        <v>1934</v>
      </c>
      <c r="I1683" s="255"/>
      <c r="J1683" s="255"/>
      <c r="K1683" s="593">
        <v>1147350</v>
      </c>
      <c r="L1683" s="594" t="s">
        <v>259</v>
      </c>
      <c r="M1683" s="594" t="s">
        <v>371</v>
      </c>
      <c r="N1683" s="52" t="str">
        <f>IF(AND('331-CT'!$E$7=TH!H1683,OR(L1683="331",M1683="331")),"331",IF(AND(OR(L1683="131",M1683="131"),H1683='131-CT'!$E$7),"131",""))</f>
        <v/>
      </c>
      <c r="O1683" s="86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799"/>
    </row>
    <row r="1684" spans="1:27" s="210" customFormat="1" ht="15.75" customHeight="1">
      <c r="A1684" s="203" t="str">
        <f>IF(B1684&lt;&gt;"",IF(AND(B1684&gt;=_TM1,B1684&lt;=_TM2,OR(TH!L1684="1111",TH!M1684="1111")),TH!D1684,""),"")</f>
        <v/>
      </c>
      <c r="B1684" s="36">
        <f>IF(C1684&lt;&gt;"",MONTH(C1684),"")</f>
        <v>9</v>
      </c>
      <c r="C1684" s="183">
        <f>E1684</f>
        <v>42259</v>
      </c>
      <c r="D1684" s="190" t="s">
        <v>2020</v>
      </c>
      <c r="E1684" s="727">
        <v>42259</v>
      </c>
      <c r="F1684" s="296" t="s">
        <v>1436</v>
      </c>
      <c r="G1684" s="482" t="s">
        <v>940</v>
      </c>
      <c r="H1684" s="7" t="s">
        <v>1435</v>
      </c>
      <c r="I1684" s="255"/>
      <c r="J1684" s="255"/>
      <c r="K1684" s="593">
        <v>639545</v>
      </c>
      <c r="L1684" s="594" t="s">
        <v>83</v>
      </c>
      <c r="M1684" s="594" t="s">
        <v>47</v>
      </c>
      <c r="N1684" s="52" t="str">
        <f>IF(AND('331-CT'!$E$7=TH!H1684,OR(L1684="331",M1684="331")),"331",IF(AND(OR(L1684="131",M1684="131"),H1684='131-CT'!$E$7),"131",""))</f>
        <v/>
      </c>
      <c r="O1684" s="86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>x</v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799"/>
    </row>
    <row r="1685" spans="1:27" s="210" customFormat="1" ht="15.75" customHeight="1">
      <c r="A1685" s="203" t="str">
        <f>IF(B1685&lt;&gt;"",IF(AND(B1685&gt;=_TM1,B1685&lt;=_TM2,OR(TH!L1685="1111",TH!M1685="1111")),TH!D1685,""),"")</f>
        <v/>
      </c>
      <c r="B1685" s="36">
        <f>IF(C1685&lt;&gt;"",MONTH(C1685),"")</f>
        <v>9</v>
      </c>
      <c r="C1685" s="183">
        <f>E1685</f>
        <v>42259</v>
      </c>
      <c r="D1685" s="190" t="s">
        <v>2020</v>
      </c>
      <c r="E1685" s="727">
        <v>42259</v>
      </c>
      <c r="F1685" s="296" t="s">
        <v>1437</v>
      </c>
      <c r="G1685" s="482" t="s">
        <v>940</v>
      </c>
      <c r="H1685" s="7" t="s">
        <v>1435</v>
      </c>
      <c r="I1685" s="255"/>
      <c r="J1685" s="255"/>
      <c r="K1685" s="593">
        <v>63955</v>
      </c>
      <c r="L1685" s="594" t="s">
        <v>9</v>
      </c>
      <c r="M1685" s="594" t="s">
        <v>47</v>
      </c>
      <c r="N1685" s="52" t="str">
        <f>IF(AND('331-CT'!$E$7=TH!H1685,OR(L1685="331",M1685="331")),"331",IF(AND(OR(L1685="131",M1685="131"),H1685='131-CT'!$E$7),"131",""))</f>
        <v/>
      </c>
      <c r="O1685" s="86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799"/>
    </row>
    <row r="1686" spans="1:27" s="210" customFormat="1" ht="15.75" customHeight="1">
      <c r="A1686" s="203" t="str">
        <f>IF(B1686&lt;&gt;"",IF(AND(B1686&gt;=_TM1,B1686&lt;=_TM2,OR(TH!L1686="1111",TH!M1686="1111")),TH!D1686,""),"")</f>
        <v/>
      </c>
      <c r="B1686" s="36">
        <f>IF(C1686&lt;&gt;"",MONTH(C1686),"")</f>
        <v>9</v>
      </c>
      <c r="C1686" s="183">
        <f>E1686</f>
        <v>42259</v>
      </c>
      <c r="D1686" s="190" t="s">
        <v>2020</v>
      </c>
      <c r="E1686" s="727">
        <v>42259</v>
      </c>
      <c r="F1686" s="188" t="s">
        <v>1497</v>
      </c>
      <c r="G1686" s="481" t="s">
        <v>1496</v>
      </c>
      <c r="H1686" s="7" t="s">
        <v>1504</v>
      </c>
      <c r="I1686" s="255">
        <v>549</v>
      </c>
      <c r="J1686" s="255">
        <v>8800</v>
      </c>
      <c r="K1686" s="593">
        <f>ROUND(I1686*J1686,0)</f>
        <v>4831200</v>
      </c>
      <c r="L1686" s="594" t="s">
        <v>159</v>
      </c>
      <c r="M1686" s="594" t="s">
        <v>8</v>
      </c>
      <c r="N1686" s="52" t="str">
        <f>IF(AND('331-CT'!$E$7=TH!H1686,OR(L1686="331",M1686="331")),"331",IF(AND(OR(L1686="131",M1686="131"),H1686='131-CT'!$E$7),"131",""))</f>
        <v/>
      </c>
      <c r="O1686" s="86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799"/>
    </row>
    <row r="1687" spans="1:27" s="210" customFormat="1" ht="15.75" customHeight="1">
      <c r="A1687" s="203" t="str">
        <f>IF(B1687&lt;&gt;"",IF(AND(B1687&gt;=_TM1,B1687&lt;=_TM2,OR(TH!L1687="1111",TH!M1687="1111")),TH!D1687,""),"")</f>
        <v/>
      </c>
      <c r="B1687" s="36">
        <f>IF(C1687&lt;&gt;"",MONTH(C1687),"")</f>
        <v>9</v>
      </c>
      <c r="C1687" s="183">
        <f>E1687</f>
        <v>42259</v>
      </c>
      <c r="D1687" s="190" t="s">
        <v>2020</v>
      </c>
      <c r="E1687" s="727">
        <v>42259</v>
      </c>
      <c r="F1687" s="188" t="s">
        <v>1499</v>
      </c>
      <c r="G1687" s="481" t="s">
        <v>1496</v>
      </c>
      <c r="H1687" s="7" t="s">
        <v>1504</v>
      </c>
      <c r="I1687" s="255">
        <v>883</v>
      </c>
      <c r="J1687" s="255">
        <v>9200</v>
      </c>
      <c r="K1687" s="593">
        <f>ROUND(I1687*J1687,0)</f>
        <v>8123600</v>
      </c>
      <c r="L1687" s="594" t="s">
        <v>159</v>
      </c>
      <c r="M1687" s="594" t="s">
        <v>8</v>
      </c>
      <c r="N1687" s="52" t="str">
        <f>IF(AND('331-CT'!$E$7=TH!H1687,OR(L1687="331",M1687="331")),"331",IF(AND(OR(L1687="131",M1687="131"),H1687='131-CT'!$E$7),"131",""))</f>
        <v/>
      </c>
      <c r="O1687" s="86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799"/>
    </row>
    <row r="1688" spans="1:27" s="210" customFormat="1" ht="15.75" customHeight="1">
      <c r="A1688" s="203" t="str">
        <f>IF(B1688&lt;&gt;"",IF(AND(B1688&gt;=_TM1,B1688&lt;=_TM2,OR(TH!L1688="1111",TH!M1688="1111")),TH!D1688,""),"")</f>
        <v/>
      </c>
      <c r="B1688" s="36">
        <f>IF(C1688&lt;&gt;"",MONTH(C1688),"")</f>
        <v>9</v>
      </c>
      <c r="C1688" s="183">
        <f>E1688</f>
        <v>42259</v>
      </c>
      <c r="D1688" s="190" t="s">
        <v>2020</v>
      </c>
      <c r="E1688" s="727">
        <v>42259</v>
      </c>
      <c r="F1688" s="188" t="s">
        <v>1499</v>
      </c>
      <c r="G1688" s="481" t="s">
        <v>1496</v>
      </c>
      <c r="H1688" s="7" t="s">
        <v>1504</v>
      </c>
      <c r="I1688" s="255">
        <v>880</v>
      </c>
      <c r="J1688" s="255">
        <v>9400</v>
      </c>
      <c r="K1688" s="593">
        <f>ROUND(I1688*J1688,0)</f>
        <v>8272000</v>
      </c>
      <c r="L1688" s="594" t="s">
        <v>159</v>
      </c>
      <c r="M1688" s="594" t="s">
        <v>8</v>
      </c>
      <c r="N1688" s="52" t="str">
        <f>IF(AND('331-CT'!$E$7=TH!H1688,OR(L1688="331",M1688="331")),"331",IF(AND(OR(L1688="131",M1688="131"),H1688='131-CT'!$E$7),"131",""))</f>
        <v/>
      </c>
      <c r="O1688" s="86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799"/>
    </row>
    <row r="1689" spans="1:27" s="210" customFormat="1" ht="15.75" customHeight="1">
      <c r="A1689" s="203" t="str">
        <f>IF(B1689&lt;&gt;"",IF(AND(B1689&gt;=_TM1,B1689&lt;=_TM2,OR(TH!L1689="1111",TH!M1689="1111")),TH!D1689,""),"")</f>
        <v/>
      </c>
      <c r="B1689" s="36">
        <f>IF(C1689&lt;&gt;"",MONTH(C1689),"")</f>
        <v>9</v>
      </c>
      <c r="C1689" s="183">
        <f>E1689</f>
        <v>42259</v>
      </c>
      <c r="D1689" s="190" t="s">
        <v>2020</v>
      </c>
      <c r="E1689" s="727">
        <v>42259</v>
      </c>
      <c r="F1689" s="188" t="s">
        <v>1498</v>
      </c>
      <c r="G1689" s="481" t="s">
        <v>1496</v>
      </c>
      <c r="H1689" s="7" t="s">
        <v>1504</v>
      </c>
      <c r="I1689" s="255"/>
      <c r="J1689" s="255"/>
      <c r="K1689" s="593">
        <v>2122680</v>
      </c>
      <c r="L1689" s="594" t="s">
        <v>9</v>
      </c>
      <c r="M1689" s="594" t="s">
        <v>8</v>
      </c>
      <c r="N1689" s="52" t="str">
        <f>IF(AND('331-CT'!$E$7=TH!H1689,OR(L1689="331",M1689="331")),"331",IF(AND(OR(L1689="131",M1689="131"),H1689='131-CT'!$E$7),"131",""))</f>
        <v/>
      </c>
      <c r="O1689" s="86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799"/>
    </row>
    <row r="1690" spans="1:27" s="210" customFormat="1" ht="15.75" customHeight="1">
      <c r="A1690" s="203" t="str">
        <f>IF(B1690&lt;&gt;"",IF(AND(B1690&gt;=_TM1,B1690&lt;=_TM2,OR(TH!L1690="1111",TH!M1690="1111")),TH!D1690,""),"")</f>
        <v/>
      </c>
      <c r="B1690" s="36">
        <f>IF(C1690&lt;&gt;"",MONTH(C1690),"")</f>
        <v>9</v>
      </c>
      <c r="C1690" s="183">
        <f>E1690</f>
        <v>42262</v>
      </c>
      <c r="D1690" s="183" t="s">
        <v>1607</v>
      </c>
      <c r="E1690" s="37">
        <v>42262</v>
      </c>
      <c r="F1690" s="40" t="s">
        <v>1030</v>
      </c>
      <c r="G1690" s="40" t="s">
        <v>1031</v>
      </c>
      <c r="H1690" s="7" t="s">
        <v>832</v>
      </c>
      <c r="I1690" s="255">
        <v>203</v>
      </c>
      <c r="J1690" s="255">
        <v>15500</v>
      </c>
      <c r="K1690" s="593">
        <f>ROUND(I1690*J1690,0)</f>
        <v>3146500</v>
      </c>
      <c r="L1690" s="594" t="s">
        <v>259</v>
      </c>
      <c r="M1690" s="594" t="s">
        <v>174</v>
      </c>
      <c r="N1690" s="52" t="str">
        <f>IF(AND('331-CT'!$E$7=TH!H1690,OR(L1690="331",M1690="331")),"331",IF(AND(OR(L1690="131",M1690="131"),H1690='131-CT'!$E$7),"131",""))</f>
        <v/>
      </c>
      <c r="O1690" s="86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799"/>
    </row>
    <row r="1691" spans="1:27" s="210" customFormat="1" ht="15.75" customHeight="1">
      <c r="A1691" s="203" t="str">
        <f>IF(B1691&lt;&gt;"",IF(AND(B1691&gt;=_TM1,B1691&lt;=_TM2,OR(TH!L1691="1111",TH!M1691="1111")),TH!D1691,""),"")</f>
        <v/>
      </c>
      <c r="B1691" s="36">
        <f>IF(C1691&lt;&gt;"",MONTH(C1691),"")</f>
        <v>9</v>
      </c>
      <c r="C1691" s="183">
        <f>E1691</f>
        <v>42262</v>
      </c>
      <c r="D1691" s="183" t="s">
        <v>1607</v>
      </c>
      <c r="E1691" s="37">
        <v>42262</v>
      </c>
      <c r="F1691" s="40" t="s">
        <v>402</v>
      </c>
      <c r="G1691" s="40" t="s">
        <v>1031</v>
      </c>
      <c r="H1691" s="7" t="s">
        <v>832</v>
      </c>
      <c r="I1691" s="255"/>
      <c r="J1691" s="255"/>
      <c r="K1691" s="593">
        <v>314650</v>
      </c>
      <c r="L1691" s="594" t="s">
        <v>259</v>
      </c>
      <c r="M1691" s="594" t="s">
        <v>371</v>
      </c>
      <c r="N1691" s="52" t="str">
        <f>IF(AND('331-CT'!$E$7=TH!H1691,OR(L1691="331",M1691="331")),"331",IF(AND(OR(L1691="131",M1691="131"),H1691='131-CT'!$E$7),"131",""))</f>
        <v/>
      </c>
      <c r="O1691" s="86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799"/>
    </row>
    <row r="1692" spans="1:27" s="210" customFormat="1" ht="15.75" customHeight="1">
      <c r="A1692" s="203" t="str">
        <f>IF(B1692&lt;&gt;"",IF(AND(B1692&gt;=_TM1,B1692&lt;=_TM2,OR(TH!L1692="1111",TH!M1692="1111")),TH!D1692,""),"")</f>
        <v/>
      </c>
      <c r="B1692" s="36">
        <f>IF(C1692&lt;&gt;"",MONTH(C1692),"")</f>
        <v>9</v>
      </c>
      <c r="C1692" s="183">
        <f>E1692</f>
        <v>42262</v>
      </c>
      <c r="D1692" s="183" t="s">
        <v>1608</v>
      </c>
      <c r="E1692" s="37">
        <v>42262</v>
      </c>
      <c r="F1692" s="40" t="s">
        <v>2010</v>
      </c>
      <c r="G1692" s="40" t="s">
        <v>1032</v>
      </c>
      <c r="H1692" s="7" t="s">
        <v>957</v>
      </c>
      <c r="I1692" s="255">
        <v>110</v>
      </c>
      <c r="J1692" s="255">
        <v>11700</v>
      </c>
      <c r="K1692" s="593">
        <f>ROUND(I1692*J1692,0)</f>
        <v>1287000</v>
      </c>
      <c r="L1692" s="594" t="s">
        <v>259</v>
      </c>
      <c r="M1692" s="594" t="s">
        <v>174</v>
      </c>
      <c r="N1692" s="52" t="str">
        <f>IF(AND('331-CT'!$E$7=TH!H1692,OR(L1692="331",M1692="331")),"331",IF(AND(OR(L1692="131",M1692="131"),H1692='131-CT'!$E$7),"131",""))</f>
        <v/>
      </c>
      <c r="O1692" s="86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799"/>
    </row>
    <row r="1693" spans="1:27" s="210" customFormat="1" ht="15.75" customHeight="1">
      <c r="A1693" s="203" t="str">
        <f>IF(B1693&lt;&gt;"",IF(AND(B1693&gt;=_TM1,B1693&lt;=_TM2,OR(TH!L1693="1111",TH!M1693="1111")),TH!D1693,""),"")</f>
        <v/>
      </c>
      <c r="B1693" s="36">
        <f>IF(C1693&lt;&gt;"",MONTH(C1693),"")</f>
        <v>9</v>
      </c>
      <c r="C1693" s="183">
        <f>E1693</f>
        <v>42262</v>
      </c>
      <c r="D1693" s="183" t="s">
        <v>1608</v>
      </c>
      <c r="E1693" s="37">
        <v>42262</v>
      </c>
      <c r="F1693" s="188" t="s">
        <v>1948</v>
      </c>
      <c r="G1693" s="40" t="s">
        <v>1032</v>
      </c>
      <c r="H1693" s="7" t="s">
        <v>957</v>
      </c>
      <c r="I1693" s="255">
        <v>10</v>
      </c>
      <c r="J1693" s="255">
        <v>12400</v>
      </c>
      <c r="K1693" s="593">
        <f>ROUND(I1693*J1693,0)</f>
        <v>124000</v>
      </c>
      <c r="L1693" s="594" t="s">
        <v>259</v>
      </c>
      <c r="M1693" s="594" t="s">
        <v>174</v>
      </c>
      <c r="N1693" s="52" t="str">
        <f>IF(AND('331-CT'!$E$7=TH!H1693,OR(L1693="331",M1693="331")),"331",IF(AND(OR(L1693="131",M1693="131"),H1693='131-CT'!$E$7),"131",""))</f>
        <v/>
      </c>
      <c r="O1693" s="86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799"/>
    </row>
    <row r="1694" spans="1:27" s="210" customFormat="1" ht="15.75" customHeight="1">
      <c r="A1694" s="203" t="str">
        <f>IF(B1694&lt;&gt;"",IF(AND(B1694&gt;=_TM1,B1694&lt;=_TM2,OR(TH!L1694="1111",TH!M1694="1111")),TH!D1694,""),"")</f>
        <v/>
      </c>
      <c r="B1694" s="36">
        <f>IF(C1694&lt;&gt;"",MONTH(C1694),"")</f>
        <v>9</v>
      </c>
      <c r="C1694" s="183">
        <f>E1694</f>
        <v>42262</v>
      </c>
      <c r="D1694" s="183" t="s">
        <v>1608</v>
      </c>
      <c r="E1694" s="37">
        <v>42262</v>
      </c>
      <c r="F1694" s="188" t="s">
        <v>1949</v>
      </c>
      <c r="G1694" s="40" t="s">
        <v>1032</v>
      </c>
      <c r="H1694" s="7" t="s">
        <v>957</v>
      </c>
      <c r="I1694" s="255">
        <v>10</v>
      </c>
      <c r="J1694" s="255">
        <v>14200</v>
      </c>
      <c r="K1694" s="593">
        <f>ROUND(I1694*J1694,0)</f>
        <v>142000</v>
      </c>
      <c r="L1694" s="594" t="s">
        <v>259</v>
      </c>
      <c r="M1694" s="594" t="s">
        <v>174</v>
      </c>
      <c r="N1694" s="52" t="str">
        <f>IF(AND('331-CT'!$E$7=TH!H1694,OR(L1694="331",M1694="331")),"331",IF(AND(OR(L1694="131",M1694="131"),H1694='131-CT'!$E$7),"131",""))</f>
        <v/>
      </c>
      <c r="O1694" s="86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799"/>
    </row>
    <row r="1695" spans="1:27" s="210" customFormat="1" ht="15.75" customHeight="1">
      <c r="A1695" s="203" t="str">
        <f>IF(B1695&lt;&gt;"",IF(AND(B1695&gt;=_TM1,B1695&lt;=_TM2,OR(TH!L1695="1111",TH!M1695="1111")),TH!D1695,""),"")</f>
        <v/>
      </c>
      <c r="B1695" s="36">
        <f>IF(C1695&lt;&gt;"",MONTH(C1695),"")</f>
        <v>9</v>
      </c>
      <c r="C1695" s="183">
        <f>E1695</f>
        <v>42262</v>
      </c>
      <c r="D1695" s="183" t="s">
        <v>1608</v>
      </c>
      <c r="E1695" s="37">
        <v>42262</v>
      </c>
      <c r="F1695" s="188" t="s">
        <v>1950</v>
      </c>
      <c r="G1695" s="40" t="s">
        <v>1032</v>
      </c>
      <c r="H1695" s="7" t="s">
        <v>957</v>
      </c>
      <c r="I1695" s="255">
        <v>10</v>
      </c>
      <c r="J1695" s="255">
        <v>15300</v>
      </c>
      <c r="K1695" s="593">
        <f>ROUND(I1695*J1695,0)</f>
        <v>153000</v>
      </c>
      <c r="L1695" s="594" t="s">
        <v>259</v>
      </c>
      <c r="M1695" s="594" t="s">
        <v>174</v>
      </c>
      <c r="N1695" s="52" t="str">
        <f>IF(AND('331-CT'!$E$7=TH!H1695,OR(L1695="331",M1695="331")),"331",IF(AND(OR(L1695="131",M1695="131"),H1695='131-CT'!$E$7),"131",""))</f>
        <v/>
      </c>
      <c r="O1695" s="86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799"/>
    </row>
    <row r="1696" spans="1:27" s="210" customFormat="1" ht="15.75" customHeight="1">
      <c r="A1696" s="203" t="str">
        <f>IF(B1696&lt;&gt;"",IF(AND(B1696&gt;=_TM1,B1696&lt;=_TM2,OR(TH!L1696="1111",TH!M1696="1111")),TH!D1696,""),"")</f>
        <v/>
      </c>
      <c r="B1696" s="36">
        <f>IF(C1696&lt;&gt;"",MONTH(C1696),"")</f>
        <v>9</v>
      </c>
      <c r="C1696" s="183">
        <f>E1696</f>
        <v>42262</v>
      </c>
      <c r="D1696" s="183" t="s">
        <v>1608</v>
      </c>
      <c r="E1696" s="37">
        <v>42262</v>
      </c>
      <c r="F1696" s="188" t="s">
        <v>1951</v>
      </c>
      <c r="G1696" s="40" t="s">
        <v>1032</v>
      </c>
      <c r="H1696" s="7" t="s">
        <v>957</v>
      </c>
      <c r="I1696" s="255">
        <v>10</v>
      </c>
      <c r="J1696" s="255">
        <v>16500</v>
      </c>
      <c r="K1696" s="593">
        <f>ROUND(I1696*J1696,0)</f>
        <v>165000</v>
      </c>
      <c r="L1696" s="594" t="s">
        <v>259</v>
      </c>
      <c r="M1696" s="594" t="s">
        <v>174</v>
      </c>
      <c r="N1696" s="52" t="str">
        <f>IF(AND('331-CT'!$E$7=TH!H1696,OR(L1696="331",M1696="331")),"331",IF(AND(OR(L1696="131",M1696="131"),H1696='131-CT'!$E$7),"131",""))</f>
        <v/>
      </c>
      <c r="O1696" s="86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799"/>
    </row>
    <row r="1697" spans="1:27" s="210" customFormat="1" ht="15.75" customHeight="1">
      <c r="A1697" s="203" t="str">
        <f>IF(B1697&lt;&gt;"",IF(AND(B1697&gt;=_TM1,B1697&lt;=_TM2,OR(TH!L1697="1111",TH!M1697="1111")),TH!D1697,""),"")</f>
        <v/>
      </c>
      <c r="B1697" s="36">
        <f>IF(C1697&lt;&gt;"",MONTH(C1697),"")</f>
        <v>9</v>
      </c>
      <c r="C1697" s="183">
        <f>E1697</f>
        <v>42262</v>
      </c>
      <c r="D1697" s="183" t="s">
        <v>1608</v>
      </c>
      <c r="E1697" s="37">
        <v>42262</v>
      </c>
      <c r="F1697" s="188" t="s">
        <v>1952</v>
      </c>
      <c r="G1697" s="40" t="s">
        <v>1032</v>
      </c>
      <c r="H1697" s="7" t="s">
        <v>957</v>
      </c>
      <c r="I1697" s="255">
        <v>10</v>
      </c>
      <c r="J1697" s="255">
        <v>19700</v>
      </c>
      <c r="K1697" s="593">
        <f>ROUND(I1697*J1697,0)</f>
        <v>197000</v>
      </c>
      <c r="L1697" s="594" t="s">
        <v>259</v>
      </c>
      <c r="M1697" s="594" t="s">
        <v>174</v>
      </c>
      <c r="N1697" s="52" t="str">
        <f>IF(AND('331-CT'!$E$7=TH!H1697,OR(L1697="331",M1697="331")),"331",IF(AND(OR(L1697="131",M1697="131"),H1697='131-CT'!$E$7),"131",""))</f>
        <v/>
      </c>
      <c r="O1697" s="86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799"/>
    </row>
    <row r="1698" spans="1:27" s="210" customFormat="1" ht="15.75" customHeight="1">
      <c r="A1698" s="203" t="str">
        <f>IF(B1698&lt;&gt;"",IF(AND(B1698&gt;=_TM1,B1698&lt;=_TM2,OR(TH!L1698="1111",TH!M1698="1111")),TH!D1698,""),"")</f>
        <v/>
      </c>
      <c r="B1698" s="36">
        <f>IF(C1698&lt;&gt;"",MONTH(C1698),"")</f>
        <v>9</v>
      </c>
      <c r="C1698" s="183">
        <f>E1698</f>
        <v>42262</v>
      </c>
      <c r="D1698" s="183" t="s">
        <v>1608</v>
      </c>
      <c r="E1698" s="37">
        <v>42262</v>
      </c>
      <c r="F1698" s="188" t="s">
        <v>2011</v>
      </c>
      <c r="G1698" s="40" t="s">
        <v>1032</v>
      </c>
      <c r="H1698" s="7" t="s">
        <v>957</v>
      </c>
      <c r="I1698" s="255">
        <v>10</v>
      </c>
      <c r="J1698" s="255">
        <v>20100</v>
      </c>
      <c r="K1698" s="593">
        <f>ROUND(I1698*J1698,0)</f>
        <v>201000</v>
      </c>
      <c r="L1698" s="594" t="s">
        <v>259</v>
      </c>
      <c r="M1698" s="594" t="s">
        <v>174</v>
      </c>
      <c r="N1698" s="52" t="str">
        <f>IF(AND('331-CT'!$E$7=TH!H1698,OR(L1698="331",M1698="331")),"331",IF(AND(OR(L1698="131",M1698="131"),H1698='131-CT'!$E$7),"131",""))</f>
        <v/>
      </c>
      <c r="O1698" s="86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799"/>
    </row>
    <row r="1699" spans="1:27" s="210" customFormat="1" ht="15.75" customHeight="1">
      <c r="A1699" s="203" t="str">
        <f>IF(B1699&lt;&gt;"",IF(AND(B1699&gt;=_TM1,B1699&lt;=_TM2,OR(TH!L1699="1111",TH!M1699="1111")),TH!D1699,""),"")</f>
        <v/>
      </c>
      <c r="B1699" s="36">
        <f>IF(C1699&lt;&gt;"",MONTH(C1699),"")</f>
        <v>9</v>
      </c>
      <c r="C1699" s="183">
        <f>E1699</f>
        <v>42262</v>
      </c>
      <c r="D1699" s="183" t="s">
        <v>1608</v>
      </c>
      <c r="E1699" s="37">
        <v>42262</v>
      </c>
      <c r="F1699" s="40" t="s">
        <v>402</v>
      </c>
      <c r="G1699" s="40" t="s">
        <v>1032</v>
      </c>
      <c r="H1699" s="7" t="s">
        <v>957</v>
      </c>
      <c r="I1699" s="255"/>
      <c r="J1699" s="255"/>
      <c r="K1699" s="593">
        <v>226900</v>
      </c>
      <c r="L1699" s="594" t="s">
        <v>259</v>
      </c>
      <c r="M1699" s="594" t="s">
        <v>371</v>
      </c>
      <c r="N1699" s="52" t="str">
        <f>IF(AND('331-CT'!$E$7=TH!H1699,OR(L1699="331",M1699="331")),"331",IF(AND(OR(L1699="131",M1699="131"),H1699='131-CT'!$E$7),"131",""))</f>
        <v/>
      </c>
      <c r="O1699" s="86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799"/>
    </row>
    <row r="1700" spans="1:27" s="210" customFormat="1" ht="15.75" customHeight="1">
      <c r="A1700" s="203" t="str">
        <f>IF(B1700&lt;&gt;"",IF(AND(B1700&gt;=_TM1,B1700&lt;=_TM2,OR(TH!L1700="1111",TH!M1700="1111")),TH!D1700,""),"")</f>
        <v/>
      </c>
      <c r="B1700" s="36">
        <f>IF(C1700&lt;&gt;"",MONTH(C1700),"")</f>
        <v>9</v>
      </c>
      <c r="C1700" s="183">
        <f>E1700</f>
        <v>42262</v>
      </c>
      <c r="D1700" s="183" t="s">
        <v>1319</v>
      </c>
      <c r="E1700" s="190">
        <v>42262</v>
      </c>
      <c r="F1700" s="188" t="s">
        <v>1320</v>
      </c>
      <c r="G1700" s="482" t="s">
        <v>332</v>
      </c>
      <c r="H1700" s="192" t="s">
        <v>1022</v>
      </c>
      <c r="I1700" s="255"/>
      <c r="J1700" s="255"/>
      <c r="K1700" s="593">
        <v>15814568</v>
      </c>
      <c r="L1700" s="594" t="s">
        <v>24</v>
      </c>
      <c r="M1700" s="594" t="s">
        <v>259</v>
      </c>
      <c r="N1700" s="52" t="str">
        <f>IF(AND('331-CT'!$E$7=TH!H1700,OR(L1700="331",M1700="331")),"331",IF(AND(OR(L1700="131",M1700="131"),H1700='131-CT'!$E$7),"131",""))</f>
        <v/>
      </c>
      <c r="O1700" s="86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>x</v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799"/>
    </row>
    <row r="1701" spans="1:27" s="210" customFormat="1" ht="15.75" customHeight="1">
      <c r="A1701" s="203" t="str">
        <f>IF(B1701&lt;&gt;"",IF(AND(B1701&gt;=_TM1,B1701&lt;=_TM2,OR(TH!L1701="1111",TH!M1701="1111")),TH!D1701,""),"")</f>
        <v/>
      </c>
      <c r="B1701" s="36">
        <f>IF(C1701&lt;&gt;"",MONTH(C1701),"")</f>
        <v>9</v>
      </c>
      <c r="C1701" s="183">
        <f>E1701</f>
        <v>42262</v>
      </c>
      <c r="D1701" s="190" t="s">
        <v>2020</v>
      </c>
      <c r="E1701" s="727">
        <v>42262</v>
      </c>
      <c r="F1701" s="188" t="s">
        <v>1380</v>
      </c>
      <c r="G1701" s="481" t="s">
        <v>1494</v>
      </c>
      <c r="H1701" s="7" t="s">
        <v>1491</v>
      </c>
      <c r="I1701" s="255">
        <v>4811</v>
      </c>
      <c r="J1701" s="255">
        <v>7600</v>
      </c>
      <c r="K1701" s="593">
        <f>ROUND(I1701*J1701,0)</f>
        <v>36563600</v>
      </c>
      <c r="L1701" s="594" t="s">
        <v>159</v>
      </c>
      <c r="M1701" s="594" t="s">
        <v>8</v>
      </c>
      <c r="N1701" s="52" t="str">
        <f>IF(AND('331-CT'!$E$7=TH!H1701,OR(L1701="331",M1701="331")),"331",IF(AND(OR(L1701="131",M1701="131"),H1701='131-CT'!$E$7),"131",""))</f>
        <v/>
      </c>
      <c r="O1701" s="86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>x</v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799"/>
    </row>
    <row r="1702" spans="1:27" s="210" customFormat="1" ht="15.75" customHeight="1">
      <c r="A1702" s="203" t="str">
        <f>IF(B1702&lt;&gt;"",IF(AND(B1702&gt;=_TM1,B1702&lt;=_TM2,OR(TH!L1702="1111",TH!M1702="1111")),TH!D1702,""),"")</f>
        <v/>
      </c>
      <c r="B1702" s="36">
        <f>IF(C1702&lt;&gt;"",MONTH(C1702),"")</f>
        <v>9</v>
      </c>
      <c r="C1702" s="183">
        <f>E1702</f>
        <v>42262</v>
      </c>
      <c r="D1702" s="190" t="s">
        <v>2020</v>
      </c>
      <c r="E1702" s="727">
        <v>42262</v>
      </c>
      <c r="F1702" s="188" t="s">
        <v>731</v>
      </c>
      <c r="G1702" s="481" t="s">
        <v>1494</v>
      </c>
      <c r="H1702" s="7" t="s">
        <v>1491</v>
      </c>
      <c r="I1702" s="750"/>
      <c r="J1702" s="255"/>
      <c r="K1702" s="593">
        <v>3656360</v>
      </c>
      <c r="L1702" s="594" t="s">
        <v>9</v>
      </c>
      <c r="M1702" s="594" t="s">
        <v>8</v>
      </c>
      <c r="N1702" s="52" t="str">
        <f>IF(AND('331-CT'!$E$7=TH!H1702,OR(L1702="331",M1702="331")),"331",IF(AND(OR(L1702="131",M1702="131"),H1702='131-CT'!$E$7),"131",""))</f>
        <v/>
      </c>
      <c r="O1702" s="86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799"/>
    </row>
    <row r="1703" spans="1:27" s="210" customFormat="1" ht="15.75" customHeight="1">
      <c r="A1703" s="203" t="str">
        <f>IF(B1703&lt;&gt;"",IF(AND(B1703&gt;=_TM1,B1703&lt;=_TM2,OR(TH!L1703="1111",TH!M1703="1111")),TH!D1703,""),"")</f>
        <v/>
      </c>
      <c r="B1703" s="36">
        <f>IF(C1703&lt;&gt;"",MONTH(C1703),"")</f>
        <v>9</v>
      </c>
      <c r="C1703" s="183">
        <f>E1703</f>
        <v>42263</v>
      </c>
      <c r="D1703" s="183" t="s">
        <v>1609</v>
      </c>
      <c r="E1703" s="37">
        <v>42263</v>
      </c>
      <c r="F1703" s="40" t="s">
        <v>713</v>
      </c>
      <c r="G1703" s="40" t="s">
        <v>1033</v>
      </c>
      <c r="H1703" s="7" t="s">
        <v>851</v>
      </c>
      <c r="I1703" s="255">
        <v>500</v>
      </c>
      <c r="J1703" s="255">
        <v>12400</v>
      </c>
      <c r="K1703" s="593">
        <f>ROUND(I1703*J1703,0)</f>
        <v>6200000</v>
      </c>
      <c r="L1703" s="594" t="s">
        <v>259</v>
      </c>
      <c r="M1703" s="594" t="s">
        <v>174</v>
      </c>
      <c r="N1703" s="52" t="str">
        <f>IF(AND('331-CT'!$E$7=TH!H1703,OR(L1703="331",M1703="331")),"331",IF(AND(OR(L1703="131",M1703="131"),H1703='131-CT'!$E$7),"131",""))</f>
        <v/>
      </c>
      <c r="O1703" s="86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799"/>
    </row>
    <row r="1704" spans="1:27" s="210" customFormat="1" ht="15.75" customHeight="1">
      <c r="A1704" s="203" t="str">
        <f>IF(B1704&lt;&gt;"",IF(AND(B1704&gt;=_TM1,B1704&lt;=_TM2,OR(TH!L1704="1111",TH!M1704="1111")),TH!D1704,""),"")</f>
        <v/>
      </c>
      <c r="B1704" s="36">
        <f>IF(C1704&lt;&gt;"",MONTH(C1704),"")</f>
        <v>9</v>
      </c>
      <c r="C1704" s="183">
        <f>E1704</f>
        <v>42263</v>
      </c>
      <c r="D1704" s="183" t="s">
        <v>1609</v>
      </c>
      <c r="E1704" s="190">
        <v>42263</v>
      </c>
      <c r="F1704" s="191" t="s">
        <v>1034</v>
      </c>
      <c r="G1704" s="482" t="s">
        <v>1033</v>
      </c>
      <c r="H1704" s="45" t="s">
        <v>851</v>
      </c>
      <c r="I1704" s="255">
        <v>500</v>
      </c>
      <c r="J1704" s="255">
        <v>13600</v>
      </c>
      <c r="K1704" s="593">
        <f>ROUND(I1704*J1704,0)</f>
        <v>6800000</v>
      </c>
      <c r="L1704" s="594" t="s">
        <v>259</v>
      </c>
      <c r="M1704" s="594" t="s">
        <v>174</v>
      </c>
      <c r="N1704" s="52" t="str">
        <f>IF(AND('331-CT'!$E$7=TH!H1704,OR(L1704="331",M1704="331")),"331",IF(AND(OR(L1704="131",M1704="131"),H1704='131-CT'!$E$7),"131",""))</f>
        <v/>
      </c>
      <c r="O1704" s="86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799"/>
    </row>
    <row r="1705" spans="1:27" s="210" customFormat="1" ht="15.75" customHeight="1">
      <c r="A1705" s="203" t="str">
        <f>IF(B1705&lt;&gt;"",IF(AND(B1705&gt;=_TM1,B1705&lt;=_TM2,OR(TH!L1705="1111",TH!M1705="1111")),TH!D1705,""),"")</f>
        <v/>
      </c>
      <c r="B1705" s="36">
        <f>IF(C1705&lt;&gt;"",MONTH(C1705),"")</f>
        <v>9</v>
      </c>
      <c r="C1705" s="183">
        <f>E1705</f>
        <v>42263</v>
      </c>
      <c r="D1705" s="183" t="s">
        <v>1609</v>
      </c>
      <c r="E1705" s="190">
        <v>42263</v>
      </c>
      <c r="F1705" s="191" t="s">
        <v>402</v>
      </c>
      <c r="G1705" s="482" t="s">
        <v>1033</v>
      </c>
      <c r="H1705" s="45" t="s">
        <v>851</v>
      </c>
      <c r="I1705" s="255"/>
      <c r="J1705" s="255"/>
      <c r="K1705" s="38">
        <v>1300000</v>
      </c>
      <c r="L1705" s="594" t="s">
        <v>259</v>
      </c>
      <c r="M1705" s="594" t="s">
        <v>371</v>
      </c>
      <c r="N1705" s="52" t="str">
        <f>IF(AND('331-CT'!$E$7=TH!H1705,OR(L1705="331",M1705="331")),"331",IF(AND(OR(L1705="131",M1705="131"),H1705='131-CT'!$E$7),"131",""))</f>
        <v/>
      </c>
      <c r="O1705" s="86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799"/>
    </row>
    <row r="1706" spans="1:27" s="210" customFormat="1" ht="15.75" customHeight="1">
      <c r="A1706" s="203" t="str">
        <f>IF(B1706&lt;&gt;"",IF(AND(B1706&gt;=_TM1,B1706&lt;=_TM2,OR(TH!L1706="1111",TH!M1706="1111")),TH!D1706,""),"")</f>
        <v/>
      </c>
      <c r="B1706" s="36">
        <f>IF(C1706&lt;&gt;"",MONTH(C1706),"")</f>
        <v>9</v>
      </c>
      <c r="C1706" s="183">
        <f>E1706</f>
        <v>42263</v>
      </c>
      <c r="D1706" s="183" t="s">
        <v>1610</v>
      </c>
      <c r="E1706" s="727">
        <v>42263</v>
      </c>
      <c r="F1706" s="296" t="s">
        <v>1731</v>
      </c>
      <c r="G1706" s="40" t="s">
        <v>1035</v>
      </c>
      <c r="H1706" s="7" t="s">
        <v>464</v>
      </c>
      <c r="I1706" s="255">
        <v>1000</v>
      </c>
      <c r="J1706" s="255">
        <v>1300</v>
      </c>
      <c r="K1706" s="593">
        <f>ROUND(I1706*J1706,0)</f>
        <v>1300000</v>
      </c>
      <c r="L1706" s="594" t="s">
        <v>259</v>
      </c>
      <c r="M1706" s="594" t="s">
        <v>174</v>
      </c>
      <c r="N1706" s="52" t="str">
        <f>IF(AND('331-CT'!$E$7=TH!H1706,OR(L1706="331",M1706="331")),"331",IF(AND(OR(L1706="131",M1706="131"),H1706='131-CT'!$E$7),"131",""))</f>
        <v/>
      </c>
      <c r="O1706" s="86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799"/>
    </row>
    <row r="1707" spans="1:27" s="210" customFormat="1" ht="15.75" customHeight="1">
      <c r="A1707" s="203" t="str">
        <f>IF(B1707&lt;&gt;"",IF(AND(B1707&gt;=_TM1,B1707&lt;=_TM2,OR(TH!L1707="1111",TH!M1707="1111")),TH!D1707,""),"")</f>
        <v/>
      </c>
      <c r="B1707" s="36">
        <f>IF(C1707&lt;&gt;"",MONTH(C1707),"")</f>
        <v>9</v>
      </c>
      <c r="C1707" s="183">
        <f>E1707</f>
        <v>42263</v>
      </c>
      <c r="D1707" s="183" t="s">
        <v>1610</v>
      </c>
      <c r="E1707" s="727">
        <v>42263</v>
      </c>
      <c r="F1707" s="40" t="s">
        <v>1793</v>
      </c>
      <c r="G1707" s="40" t="s">
        <v>1035</v>
      </c>
      <c r="H1707" s="7" t="s">
        <v>464</v>
      </c>
      <c r="I1707" s="255">
        <v>1000</v>
      </c>
      <c r="J1707" s="255">
        <v>1260</v>
      </c>
      <c r="K1707" s="593">
        <f>ROUND(I1707*J1707,0)</f>
        <v>1260000</v>
      </c>
      <c r="L1707" s="594" t="s">
        <v>259</v>
      </c>
      <c r="M1707" s="594" t="s">
        <v>174</v>
      </c>
      <c r="N1707" s="52" t="str">
        <f>IF(AND('331-CT'!$E$7=TH!H1707,OR(L1707="331",M1707="331")),"331",IF(AND(OR(L1707="131",M1707="131"),H1707='131-CT'!$E$7),"131",""))</f>
        <v/>
      </c>
      <c r="O1707" s="86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799"/>
    </row>
    <row r="1708" spans="1:27" s="210" customFormat="1" ht="15.75" customHeight="1">
      <c r="A1708" s="203" t="str">
        <f>IF(B1708&lt;&gt;"",IF(AND(B1708&gt;=_TM1,B1708&lt;=_TM2,OR(TH!L1708="1111",TH!M1708="1111")),TH!D1708,""),"")</f>
        <v/>
      </c>
      <c r="B1708" s="36">
        <f>IF(C1708&lt;&gt;"",MONTH(C1708),"")</f>
        <v>9</v>
      </c>
      <c r="C1708" s="183">
        <f>E1708</f>
        <v>42263</v>
      </c>
      <c r="D1708" s="183" t="s">
        <v>1610</v>
      </c>
      <c r="E1708" s="727">
        <v>42263</v>
      </c>
      <c r="F1708" s="188" t="s">
        <v>1794</v>
      </c>
      <c r="G1708" s="40" t="s">
        <v>1035</v>
      </c>
      <c r="H1708" s="7" t="s">
        <v>464</v>
      </c>
      <c r="I1708" s="255">
        <v>500</v>
      </c>
      <c r="J1708" s="255">
        <v>2100</v>
      </c>
      <c r="K1708" s="593">
        <f>ROUND(I1708*J1708,0)</f>
        <v>1050000</v>
      </c>
      <c r="L1708" s="594" t="s">
        <v>259</v>
      </c>
      <c r="M1708" s="594" t="s">
        <v>174</v>
      </c>
      <c r="N1708" s="52" t="str">
        <f>IF(AND('331-CT'!$E$7=TH!H1708,OR(L1708="331",M1708="331")),"331",IF(AND(OR(L1708="131",M1708="131"),H1708='131-CT'!$E$7),"131",""))</f>
        <v/>
      </c>
      <c r="O1708" s="86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799"/>
    </row>
    <row r="1709" spans="1:27" s="210" customFormat="1" ht="15.75" customHeight="1">
      <c r="A1709" s="203" t="str">
        <f>IF(B1709&lt;&gt;"",IF(AND(B1709&gt;=_TM1,B1709&lt;=_TM2,OR(TH!L1709="1111",TH!M1709="1111")),TH!D1709,""),"")</f>
        <v/>
      </c>
      <c r="B1709" s="36">
        <f>IF(C1709&lt;&gt;"",MONTH(C1709),"")</f>
        <v>9</v>
      </c>
      <c r="C1709" s="183">
        <f>E1709</f>
        <v>42263</v>
      </c>
      <c r="D1709" s="183" t="s">
        <v>1610</v>
      </c>
      <c r="E1709" s="727">
        <v>42263</v>
      </c>
      <c r="F1709" s="188" t="s">
        <v>1795</v>
      </c>
      <c r="G1709" s="40" t="s">
        <v>1035</v>
      </c>
      <c r="H1709" s="7" t="s">
        <v>464</v>
      </c>
      <c r="I1709" s="255">
        <v>500</v>
      </c>
      <c r="J1709" s="255">
        <v>1500</v>
      </c>
      <c r="K1709" s="593">
        <f>ROUND(I1709*J1709,0)</f>
        <v>750000</v>
      </c>
      <c r="L1709" s="594" t="s">
        <v>259</v>
      </c>
      <c r="M1709" s="594" t="s">
        <v>174</v>
      </c>
      <c r="N1709" s="52" t="str">
        <f>IF(AND('331-CT'!$E$7=TH!H1709,OR(L1709="331",M1709="331")),"331",IF(AND(OR(L1709="131",M1709="131"),H1709='131-CT'!$E$7),"131",""))</f>
        <v/>
      </c>
      <c r="O1709" s="86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799"/>
    </row>
    <row r="1710" spans="1:27" s="210" customFormat="1" ht="15.75" customHeight="1">
      <c r="A1710" s="203" t="str">
        <f>IF(B1710&lt;&gt;"",IF(AND(B1710&gt;=_TM1,B1710&lt;=_TM2,OR(TH!L1710="1111",TH!M1710="1111")),TH!D1710,""),"")</f>
        <v/>
      </c>
      <c r="B1710" s="36">
        <f>IF(C1710&lt;&gt;"",MONTH(C1710),"")</f>
        <v>9</v>
      </c>
      <c r="C1710" s="183">
        <f>E1710</f>
        <v>42263</v>
      </c>
      <c r="D1710" s="183" t="s">
        <v>1610</v>
      </c>
      <c r="E1710" s="727">
        <v>42263</v>
      </c>
      <c r="F1710" s="40" t="s">
        <v>731</v>
      </c>
      <c r="G1710" s="40" t="s">
        <v>1035</v>
      </c>
      <c r="H1710" s="7" t="s">
        <v>464</v>
      </c>
      <c r="I1710" s="255"/>
      <c r="J1710" s="255"/>
      <c r="K1710" s="593">
        <v>436000</v>
      </c>
      <c r="L1710" s="594" t="s">
        <v>259</v>
      </c>
      <c r="M1710" s="594" t="s">
        <v>371</v>
      </c>
      <c r="N1710" s="52" t="str">
        <f>IF(AND('331-CT'!$E$7=TH!H1710,OR(L1710="331",M1710="331")),"331",IF(AND(OR(L1710="131",M1710="131"),H1710='131-CT'!$E$7),"131",""))</f>
        <v/>
      </c>
      <c r="O1710" s="86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799"/>
    </row>
    <row r="1711" spans="1:27" s="210" customFormat="1" ht="15.75" customHeight="1">
      <c r="A1711" s="203" t="str">
        <f>IF(B1711&lt;&gt;"",IF(AND(B1711&gt;=_TM1,B1711&lt;=_TM2,OR(TH!L1711="1111",TH!M1711="1111")),TH!D1711,""),"")</f>
        <v/>
      </c>
      <c r="B1711" s="36">
        <f>IF(C1711&lt;&gt;"",MONTH(C1711),"")</f>
        <v>9</v>
      </c>
      <c r="C1711" s="183">
        <f>E1711</f>
        <v>42263</v>
      </c>
      <c r="D1711" s="183" t="s">
        <v>1319</v>
      </c>
      <c r="E1711" s="190">
        <v>42263</v>
      </c>
      <c r="F1711" s="188" t="s">
        <v>1320</v>
      </c>
      <c r="G1711" s="482" t="s">
        <v>332</v>
      </c>
      <c r="H1711" s="7" t="s">
        <v>400</v>
      </c>
      <c r="I1711" s="255"/>
      <c r="J1711" s="255"/>
      <c r="K1711" s="593">
        <v>11307351</v>
      </c>
      <c r="L1711" s="594" t="s">
        <v>24</v>
      </c>
      <c r="M1711" s="594" t="s">
        <v>259</v>
      </c>
      <c r="N1711" s="52" t="str">
        <f>IF(AND('331-CT'!$E$7=TH!H1711,OR(L1711="331",M1711="331")),"331",IF(AND(OR(L1711="131",M1711="131"),H1711='131-CT'!$E$7),"131",""))</f>
        <v/>
      </c>
      <c r="O1711" s="86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>x</v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799"/>
    </row>
    <row r="1712" spans="1:27" s="210" customFormat="1" ht="15.75" customHeight="1">
      <c r="A1712" s="203" t="str">
        <f>IF(B1712&lt;&gt;"",IF(AND(B1712&gt;=_TM1,B1712&lt;=_TM2,OR(TH!L1712="1111",TH!M1712="1111")),TH!D1712,""),"")</f>
        <v/>
      </c>
      <c r="B1712" s="36">
        <f>IF(C1712&lt;&gt;"",MONTH(C1712),"")</f>
        <v>9</v>
      </c>
      <c r="C1712" s="183">
        <f>E1712</f>
        <v>42263</v>
      </c>
      <c r="D1712" s="183" t="s">
        <v>1319</v>
      </c>
      <c r="E1712" s="190">
        <v>42263</v>
      </c>
      <c r="F1712" s="188" t="s">
        <v>1320</v>
      </c>
      <c r="G1712" s="482" t="s">
        <v>332</v>
      </c>
      <c r="H1712" s="7" t="s">
        <v>453</v>
      </c>
      <c r="I1712" s="255"/>
      <c r="J1712" s="255"/>
      <c r="K1712" s="593">
        <v>13043635</v>
      </c>
      <c r="L1712" s="594" t="s">
        <v>24</v>
      </c>
      <c r="M1712" s="594" t="s">
        <v>259</v>
      </c>
      <c r="N1712" s="52" t="str">
        <f>IF(AND('331-CT'!$E$7=TH!H1712,OR(L1712="331",M1712="331")),"331",IF(AND(OR(L1712="131",M1712="131"),H1712='131-CT'!$E$7),"131",""))</f>
        <v/>
      </c>
      <c r="O1712" s="86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>x</v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799"/>
    </row>
    <row r="1713" spans="1:27" s="210" customFormat="1" ht="15.75" customHeight="1">
      <c r="A1713" s="203" t="str">
        <f>IF(B1713&lt;&gt;"",IF(AND(B1713&gt;=_TM1,B1713&lt;=_TM2,OR(TH!L1713="1111",TH!M1713="1111")),TH!D1713,""),"")</f>
        <v/>
      </c>
      <c r="B1713" s="36">
        <f>IF(C1713&lt;&gt;"",MONTH(C1713),"")</f>
        <v>9</v>
      </c>
      <c r="C1713" s="183">
        <f>E1713</f>
        <v>42264</v>
      </c>
      <c r="D1713" s="183" t="s">
        <v>1319</v>
      </c>
      <c r="E1713" s="190">
        <v>42264</v>
      </c>
      <c r="F1713" s="188" t="s">
        <v>1320</v>
      </c>
      <c r="G1713" s="482" t="s">
        <v>332</v>
      </c>
      <c r="H1713" s="7" t="s">
        <v>957</v>
      </c>
      <c r="I1713" s="255"/>
      <c r="J1713" s="255"/>
      <c r="K1713" s="593">
        <v>21637660</v>
      </c>
      <c r="L1713" s="594" t="s">
        <v>24</v>
      </c>
      <c r="M1713" s="594" t="s">
        <v>259</v>
      </c>
      <c r="N1713" s="52" t="str">
        <f>IF(AND('331-CT'!$E$7=TH!H1713,OR(L1713="331",M1713="331")),"331",IF(AND(OR(L1713="131",M1713="131"),H1713='131-CT'!$E$7),"131",""))</f>
        <v/>
      </c>
      <c r="O1713" s="86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>x</v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799"/>
    </row>
    <row r="1714" spans="1:27" s="210" customFormat="1" ht="15.75" customHeight="1">
      <c r="A1714" s="203" t="str">
        <f>IF(B1714&lt;&gt;"",IF(AND(B1714&gt;=_TM1,B1714&lt;=_TM2,OR(TH!L1714="1111",TH!M1714="1111")),TH!D1714,""),"")</f>
        <v/>
      </c>
      <c r="B1714" s="36">
        <f>IF(C1714&lt;&gt;"",MONTH(C1714),"")</f>
        <v>9</v>
      </c>
      <c r="C1714" s="183">
        <f>E1714</f>
        <v>42265</v>
      </c>
      <c r="D1714" s="183" t="s">
        <v>1611</v>
      </c>
      <c r="E1714" s="727">
        <v>42265</v>
      </c>
      <c r="F1714" s="188" t="s">
        <v>1140</v>
      </c>
      <c r="G1714" s="40" t="s">
        <v>1036</v>
      </c>
      <c r="H1714" s="7" t="s">
        <v>473</v>
      </c>
      <c r="I1714" s="255">
        <v>810</v>
      </c>
      <c r="J1714" s="255">
        <v>13800</v>
      </c>
      <c r="K1714" s="593">
        <f>ROUND(I1714*J1714,0)</f>
        <v>11178000</v>
      </c>
      <c r="L1714" s="594" t="s">
        <v>259</v>
      </c>
      <c r="M1714" s="594" t="s">
        <v>174</v>
      </c>
      <c r="N1714" s="52" t="str">
        <f>IF(AND('331-CT'!$E$7=TH!H1714,OR(L1714="331",M1714="331")),"331",IF(AND(OR(L1714="131",M1714="131"),H1714='131-CT'!$E$7),"131",""))</f>
        <v/>
      </c>
      <c r="O1714" s="86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799"/>
    </row>
    <row r="1715" spans="1:27" s="210" customFormat="1" ht="15.75" customHeight="1">
      <c r="A1715" s="203" t="str">
        <f>IF(B1715&lt;&gt;"",IF(AND(B1715&gt;=_TM1,B1715&lt;=_TM2,OR(TH!L1715="1111",TH!M1715="1111")),TH!D1715,""),"")</f>
        <v/>
      </c>
      <c r="B1715" s="36">
        <f>IF(C1715&lt;&gt;"",MONTH(C1715),"")</f>
        <v>9</v>
      </c>
      <c r="C1715" s="183">
        <f>E1715</f>
        <v>42265</v>
      </c>
      <c r="D1715" s="183" t="s">
        <v>1611</v>
      </c>
      <c r="E1715" s="727">
        <v>42265</v>
      </c>
      <c r="F1715" s="188" t="s">
        <v>1140</v>
      </c>
      <c r="G1715" s="40" t="s">
        <v>1036</v>
      </c>
      <c r="H1715" s="7" t="s">
        <v>473</v>
      </c>
      <c r="I1715" s="255">
        <v>50</v>
      </c>
      <c r="J1715" s="255">
        <v>13400</v>
      </c>
      <c r="K1715" s="593">
        <f>ROUND(I1715*J1715,0)</f>
        <v>670000</v>
      </c>
      <c r="L1715" s="594" t="s">
        <v>259</v>
      </c>
      <c r="M1715" s="594" t="s">
        <v>174</v>
      </c>
      <c r="N1715" s="52" t="str">
        <f>IF(AND('331-CT'!$E$7=TH!H1715,OR(L1715="331",M1715="331")),"331",IF(AND(OR(L1715="131",M1715="131"),H1715='131-CT'!$E$7),"131",""))</f>
        <v/>
      </c>
      <c r="O1715" s="86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799"/>
    </row>
    <row r="1716" spans="1:27" s="210" customFormat="1" ht="15.75" customHeight="1">
      <c r="A1716" s="203" t="str">
        <f>IF(B1716&lt;&gt;"",IF(AND(B1716&gt;=_TM1,B1716&lt;=_TM2,OR(TH!L1716="1111",TH!M1716="1111")),TH!D1716,""),"")</f>
        <v/>
      </c>
      <c r="B1716" s="36">
        <f>IF(C1716&lt;&gt;"",MONTH(C1716),"")</f>
        <v>9</v>
      </c>
      <c r="C1716" s="183">
        <f>E1716</f>
        <v>42265</v>
      </c>
      <c r="D1716" s="183" t="s">
        <v>1611</v>
      </c>
      <c r="E1716" s="727">
        <v>42265</v>
      </c>
      <c r="F1716" s="191" t="s">
        <v>1654</v>
      </c>
      <c r="G1716" s="40" t="s">
        <v>1036</v>
      </c>
      <c r="H1716" s="7" t="s">
        <v>473</v>
      </c>
      <c r="I1716" s="255">
        <v>1720</v>
      </c>
      <c r="J1716" s="255">
        <v>1300</v>
      </c>
      <c r="K1716" s="593">
        <f>ROUND(I1716*J1716,0)</f>
        <v>2236000</v>
      </c>
      <c r="L1716" s="594" t="s">
        <v>259</v>
      </c>
      <c r="M1716" s="594" t="s">
        <v>174</v>
      </c>
      <c r="N1716" s="52" t="str">
        <f>IF(AND('331-CT'!$E$7=TH!H1716,OR(L1716="331",M1716="331")),"331",IF(AND(OR(L1716="131",M1716="131"),H1716='131-CT'!$E$7),"131",""))</f>
        <v/>
      </c>
      <c r="O1716" s="86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799"/>
    </row>
    <row r="1717" spans="1:27" s="210" customFormat="1" ht="15.75" customHeight="1">
      <c r="A1717" s="203" t="str">
        <f>IF(B1717&lt;&gt;"",IF(AND(B1717&gt;=_TM1,B1717&lt;=_TM2,OR(TH!L1717="1111",TH!M1717="1111")),TH!D1717,""),"")</f>
        <v/>
      </c>
      <c r="B1717" s="36">
        <f>IF(C1717&lt;&gt;"",MONTH(C1717),"")</f>
        <v>9</v>
      </c>
      <c r="C1717" s="183">
        <f>E1717</f>
        <v>42265</v>
      </c>
      <c r="D1717" s="183" t="s">
        <v>1611</v>
      </c>
      <c r="E1717" s="190">
        <v>42265</v>
      </c>
      <c r="F1717" s="191" t="s">
        <v>402</v>
      </c>
      <c r="G1717" s="482" t="s">
        <v>1036</v>
      </c>
      <c r="H1717" s="192" t="s">
        <v>473</v>
      </c>
      <c r="I1717" s="255"/>
      <c r="J1717" s="255"/>
      <c r="K1717" s="593">
        <v>1408400</v>
      </c>
      <c r="L1717" s="594" t="s">
        <v>259</v>
      </c>
      <c r="M1717" s="594" t="s">
        <v>371</v>
      </c>
      <c r="N1717" s="52" t="str">
        <f>IF(AND('331-CT'!$E$7=TH!H1717,OR(L1717="331",M1717="331")),"331",IF(AND(OR(L1717="131",M1717="131"),H1717='131-CT'!$E$7),"131",""))</f>
        <v/>
      </c>
      <c r="O1717" s="86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799"/>
    </row>
    <row r="1718" spans="1:27" s="210" customFormat="1" ht="15.75" customHeight="1">
      <c r="A1718" s="203" t="str">
        <f>IF(B1718&lt;&gt;"",IF(AND(B1718&gt;=_TM1,B1718&lt;=_TM2,OR(TH!L1718="1111",TH!M1718="1111")),TH!D1718,""),"")</f>
        <v/>
      </c>
      <c r="B1718" s="36">
        <f>IF(C1718&lt;&gt;"",MONTH(C1718),"")</f>
        <v>9</v>
      </c>
      <c r="C1718" s="183">
        <f>E1718</f>
        <v>42265</v>
      </c>
      <c r="D1718" s="183" t="s">
        <v>1319</v>
      </c>
      <c r="E1718" s="190">
        <v>42265</v>
      </c>
      <c r="F1718" s="188" t="s">
        <v>1320</v>
      </c>
      <c r="G1718" s="482" t="s">
        <v>332</v>
      </c>
      <c r="H1718" s="7" t="s">
        <v>964</v>
      </c>
      <c r="I1718" s="255"/>
      <c r="J1718" s="255"/>
      <c r="K1718" s="593">
        <v>10000000</v>
      </c>
      <c r="L1718" s="594" t="s">
        <v>24</v>
      </c>
      <c r="M1718" s="594" t="s">
        <v>259</v>
      </c>
      <c r="N1718" s="52" t="str">
        <f>IF(AND('331-CT'!$E$7=TH!H1718,OR(L1718="331",M1718="331")),"331",IF(AND(OR(L1718="131",M1718="131"),H1718='131-CT'!$E$7),"131",""))</f>
        <v/>
      </c>
      <c r="O1718" s="86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>x</v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799"/>
    </row>
    <row r="1719" spans="1:27" s="210" customFormat="1" ht="15.75" customHeight="1">
      <c r="A1719" s="203" t="str">
        <f>IF(B1719&lt;&gt;"",IF(AND(B1719&gt;=_TM1,B1719&lt;=_TM2,OR(TH!L1719="1111",TH!M1719="1111")),TH!D1719,""),"")</f>
        <v/>
      </c>
      <c r="B1719" s="36">
        <f>IF(C1719&lt;&gt;"",MONTH(C1719),"")</f>
        <v>9</v>
      </c>
      <c r="C1719" s="183">
        <f>E1719</f>
        <v>42265</v>
      </c>
      <c r="D1719" s="183" t="s">
        <v>1319</v>
      </c>
      <c r="E1719" s="190">
        <v>42265</v>
      </c>
      <c r="F1719" s="188" t="s">
        <v>2024</v>
      </c>
      <c r="G1719" s="482" t="s">
        <v>332</v>
      </c>
      <c r="H1719" s="7" t="s">
        <v>964</v>
      </c>
      <c r="I1719" s="255"/>
      <c r="J1719" s="255"/>
      <c r="K1719" s="593">
        <v>40</v>
      </c>
      <c r="L1719" s="594" t="s">
        <v>87</v>
      </c>
      <c r="M1719" s="594" t="s">
        <v>259</v>
      </c>
      <c r="N1719" s="52" t="str">
        <f>IF(AND('331-CT'!$E$7=TH!H1719,OR(L1719="331",M1719="331")),"331",IF(AND(OR(L1719="131",M1719="131"),H1719='131-CT'!$E$7),"131",""))</f>
        <v/>
      </c>
      <c r="O1719" s="86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799"/>
    </row>
    <row r="1720" spans="1:27" s="210" customFormat="1" ht="15.75" customHeight="1">
      <c r="A1720" s="203" t="str">
        <f>IF(B1720&lt;&gt;"",IF(AND(B1720&gt;=_TM1,B1720&lt;=_TM2,OR(TH!L1720="1111",TH!M1720="1111")),TH!D1720,""),"")</f>
        <v/>
      </c>
      <c r="B1720" s="36">
        <f>IF(C1720&lt;&gt;"",MONTH(C1720),"")</f>
        <v>9</v>
      </c>
      <c r="C1720" s="183">
        <f>E1720</f>
        <v>42265</v>
      </c>
      <c r="D1720" s="190" t="s">
        <v>2020</v>
      </c>
      <c r="E1720" s="727">
        <v>42265</v>
      </c>
      <c r="F1720" s="296" t="s">
        <v>1357</v>
      </c>
      <c r="G1720" s="482" t="s">
        <v>1100</v>
      </c>
      <c r="H1720" s="7" t="s">
        <v>1391</v>
      </c>
      <c r="I1720" s="255">
        <v>1896</v>
      </c>
      <c r="J1720" s="255">
        <v>7300</v>
      </c>
      <c r="K1720" s="593">
        <f>ROUND(I1720*J1720,0)</f>
        <v>13840800</v>
      </c>
      <c r="L1720" s="594" t="s">
        <v>159</v>
      </c>
      <c r="M1720" s="594" t="s">
        <v>8</v>
      </c>
      <c r="N1720" s="52" t="str">
        <f>IF(AND('331-CT'!$E$7=TH!H1720,OR(L1720="331",M1720="331")),"331",IF(AND(OR(L1720="131",M1720="131"),H1720='131-CT'!$E$7),"131",""))</f>
        <v/>
      </c>
      <c r="O1720" s="86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799"/>
    </row>
    <row r="1721" spans="1:27" s="210" customFormat="1" ht="15.75" customHeight="1">
      <c r="A1721" s="203" t="str">
        <f>IF(B1721&lt;&gt;"",IF(AND(B1721&gt;=_TM1,B1721&lt;=_TM2,OR(TH!L1721="1111",TH!M1721="1111")),TH!D1721,""),"")</f>
        <v/>
      </c>
      <c r="B1721" s="36">
        <f>IF(C1721&lt;&gt;"",MONTH(C1721),"")</f>
        <v>9</v>
      </c>
      <c r="C1721" s="183">
        <f>E1721</f>
        <v>42265</v>
      </c>
      <c r="D1721" s="190" t="s">
        <v>2020</v>
      </c>
      <c r="E1721" s="727">
        <v>42265</v>
      </c>
      <c r="F1721" s="296" t="s">
        <v>1393</v>
      </c>
      <c r="G1721" s="482" t="s">
        <v>1100</v>
      </c>
      <c r="H1721" s="7" t="s">
        <v>1391</v>
      </c>
      <c r="I1721" s="255"/>
      <c r="J1721" s="255"/>
      <c r="K1721" s="593">
        <v>1348080</v>
      </c>
      <c r="L1721" s="594" t="s">
        <v>9</v>
      </c>
      <c r="M1721" s="594" t="s">
        <v>8</v>
      </c>
      <c r="N1721" s="52" t="str">
        <f>IF(AND('331-CT'!$E$7=TH!H1721,OR(L1721="331",M1721="331")),"331",IF(AND(OR(L1721="131",M1721="131"),H1721='131-CT'!$E$7),"131",""))</f>
        <v/>
      </c>
      <c r="O1721" s="86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799"/>
    </row>
    <row r="1722" spans="1:27" s="210" customFormat="1" ht="15.75" customHeight="1">
      <c r="A1722" s="203" t="str">
        <f>IF(B1722&lt;&gt;"",IF(AND(B1722&gt;=_TM1,B1722&lt;=_TM2,OR(TH!L1722="1111",TH!M1722="1111")),TH!D1722,""),"")</f>
        <v/>
      </c>
      <c r="B1722" s="36">
        <f>IF(C1722&lt;&gt;"",MONTH(C1722),"")</f>
        <v>9</v>
      </c>
      <c r="C1722" s="183">
        <f>E1722</f>
        <v>42265</v>
      </c>
      <c r="D1722" s="190" t="s">
        <v>2020</v>
      </c>
      <c r="E1722" s="727">
        <v>42265</v>
      </c>
      <c r="F1722" s="296" t="s">
        <v>1326</v>
      </c>
      <c r="G1722" s="482" t="s">
        <v>1100</v>
      </c>
      <c r="H1722" s="7" t="s">
        <v>1391</v>
      </c>
      <c r="I1722" s="255"/>
      <c r="J1722" s="255"/>
      <c r="K1722" s="593">
        <v>15188880</v>
      </c>
      <c r="L1722" s="594" t="s">
        <v>8</v>
      </c>
      <c r="M1722" s="594" t="s">
        <v>47</v>
      </c>
      <c r="N1722" s="52" t="str">
        <f>IF(AND('331-CT'!$E$7=TH!H1722,OR(L1722="331",M1722="331")),"331",IF(AND(OR(L1722="131",M1722="131"),H1722='131-CT'!$E$7),"131",""))</f>
        <v/>
      </c>
      <c r="O1722" s="86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799"/>
    </row>
    <row r="1723" spans="1:27" s="210" customFormat="1" ht="15.75" customHeight="1">
      <c r="A1723" s="203" t="str">
        <f>IF(B1723&lt;&gt;"",IF(AND(B1723&gt;=_TM1,B1723&lt;=_TM2,OR(TH!L1723="1111",TH!M1723="1111")),TH!D1723,""),"")</f>
        <v/>
      </c>
      <c r="B1723" s="36">
        <f>IF(C1723&lt;&gt;"",MONTH(C1723),"")</f>
        <v>9</v>
      </c>
      <c r="C1723" s="183">
        <f>E1723</f>
        <v>42265</v>
      </c>
      <c r="D1723" s="190" t="s">
        <v>1324</v>
      </c>
      <c r="E1723" s="190">
        <v>42265</v>
      </c>
      <c r="F1723" s="191" t="s">
        <v>1896</v>
      </c>
      <c r="G1723" s="482" t="s">
        <v>1907</v>
      </c>
      <c r="H1723" s="192" t="s">
        <v>1923</v>
      </c>
      <c r="I1723" s="255"/>
      <c r="J1723" s="255"/>
      <c r="K1723" s="593">
        <v>80000000</v>
      </c>
      <c r="L1723" s="193" t="s">
        <v>24</v>
      </c>
      <c r="M1723" s="594" t="s">
        <v>47</v>
      </c>
      <c r="N1723" s="52" t="str">
        <f>IF(AND('331-CT'!$E$7=TH!H1723,OR(L1723="331",M1723="331")),"331",IF(AND(OR(L1723="131",M1723="131"),H1723='131-CT'!$E$7),"131",""))</f>
        <v/>
      </c>
      <c r="O1723" s="86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799"/>
    </row>
    <row r="1724" spans="1:27" s="210" customFormat="1" ht="15.75" customHeight="1">
      <c r="A1724" s="203" t="str">
        <f>IF(B1724&lt;&gt;"",IF(AND(B1724&gt;=_TM1,B1724&lt;=_TM2,OR(TH!L1724="1111",TH!M1724="1111")),TH!D1724,""),"")</f>
        <v/>
      </c>
      <c r="B1724" s="36">
        <f>IF(C1724&lt;&gt;"",MONTH(C1724),"")</f>
        <v>9</v>
      </c>
      <c r="C1724" s="183">
        <f>E1724</f>
        <v>42265</v>
      </c>
      <c r="D1724" s="190" t="s">
        <v>1324</v>
      </c>
      <c r="E1724" s="190">
        <v>42265</v>
      </c>
      <c r="F1724" s="191" t="s">
        <v>1924</v>
      </c>
      <c r="G1724" s="482" t="s">
        <v>1907</v>
      </c>
      <c r="H1724" s="192" t="s">
        <v>1920</v>
      </c>
      <c r="I1724" s="255"/>
      <c r="J1724" s="255"/>
      <c r="K1724" s="593">
        <v>2560377</v>
      </c>
      <c r="L1724" s="594" t="s">
        <v>81</v>
      </c>
      <c r="M1724" s="594" t="s">
        <v>24</v>
      </c>
      <c r="N1724" s="52" t="str">
        <f>IF(AND('331-CT'!$E$7=TH!H1724,OR(L1724="331",M1724="331")),"331",IF(AND(OR(L1724="131",M1724="131"),H1724='131-CT'!$E$7),"131",""))</f>
        <v/>
      </c>
      <c r="O1724" s="86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799"/>
    </row>
    <row r="1725" spans="1:27" s="210" customFormat="1" ht="15.75" customHeight="1">
      <c r="A1725" s="203" t="str">
        <f>IF(B1725&lt;&gt;"",IF(AND(B1725&gt;=_TM1,B1725&lt;=_TM2,OR(TH!L1725="1111",TH!M1725="1111")),TH!D1725,""),"")</f>
        <v/>
      </c>
      <c r="B1725" s="36">
        <f>IF(C1725&lt;&gt;"",MONTH(C1725),"")</f>
        <v>9</v>
      </c>
      <c r="C1725" s="183">
        <f>E1725</f>
        <v>42266</v>
      </c>
      <c r="D1725" s="183" t="s">
        <v>1612</v>
      </c>
      <c r="E1725" s="190">
        <v>42266</v>
      </c>
      <c r="F1725" s="191" t="s">
        <v>1791</v>
      </c>
      <c r="G1725" s="482" t="s">
        <v>1037</v>
      </c>
      <c r="H1725" s="192" t="s">
        <v>1022</v>
      </c>
      <c r="I1725" s="255">
        <v>210</v>
      </c>
      <c r="J1725" s="255">
        <v>24473</v>
      </c>
      <c r="K1725" s="593">
        <f>ROUND(I1725*J1725,0)</f>
        <v>5139330</v>
      </c>
      <c r="L1725" s="594" t="s">
        <v>259</v>
      </c>
      <c r="M1725" s="594" t="s">
        <v>174</v>
      </c>
      <c r="N1725" s="52" t="str">
        <f>IF(AND('331-CT'!$E$7=TH!H1725,OR(L1725="331",M1725="331")),"331",IF(AND(OR(L1725="131",M1725="131"),H1725='131-CT'!$E$7),"131",""))</f>
        <v/>
      </c>
      <c r="O1725" s="86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799"/>
    </row>
    <row r="1726" spans="1:27" s="210" customFormat="1" ht="15.75" customHeight="1">
      <c r="A1726" s="203" t="str">
        <f>IF(B1726&lt;&gt;"",IF(AND(B1726&gt;=_TM1,B1726&lt;=_TM2,OR(TH!L1726="1111",TH!M1726="1111")),TH!D1726,""),"")</f>
        <v/>
      </c>
      <c r="B1726" s="36">
        <f>IF(C1726&lt;&gt;"",MONTH(C1726),"")</f>
        <v>9</v>
      </c>
      <c r="C1726" s="183">
        <f>E1726</f>
        <v>42266</v>
      </c>
      <c r="D1726" s="183" t="s">
        <v>1612</v>
      </c>
      <c r="E1726" s="190">
        <v>42266</v>
      </c>
      <c r="F1726" s="191" t="s">
        <v>731</v>
      </c>
      <c r="G1726" s="482" t="s">
        <v>1037</v>
      </c>
      <c r="H1726" s="192" t="s">
        <v>1022</v>
      </c>
      <c r="I1726" s="255"/>
      <c r="J1726" s="255"/>
      <c r="K1726" s="593">
        <v>513933</v>
      </c>
      <c r="L1726" s="594" t="s">
        <v>259</v>
      </c>
      <c r="M1726" s="594" t="s">
        <v>371</v>
      </c>
      <c r="N1726" s="52" t="str">
        <f>IF(AND('331-CT'!$E$7=TH!H1726,OR(L1726="331",M1726="331")),"331",IF(AND(OR(L1726="131",M1726="131"),H1726='131-CT'!$E$7),"131",""))</f>
        <v/>
      </c>
      <c r="O1726" s="86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799"/>
    </row>
    <row r="1727" spans="1:27" s="210" customFormat="1" ht="15.75" customHeight="1">
      <c r="A1727" s="203" t="str">
        <f>IF(B1727&lt;&gt;"",IF(AND(B1727&gt;=_TM1,B1727&lt;=_TM2,OR(TH!L1727="1111",TH!M1727="1111")),TH!D1727,""),"")</f>
        <v/>
      </c>
      <c r="B1727" s="36">
        <f>IF(C1727&lt;&gt;"",MONTH(C1727),"")</f>
        <v>9</v>
      </c>
      <c r="C1727" s="183">
        <f>E1727</f>
        <v>42266</v>
      </c>
      <c r="D1727" s="183" t="s">
        <v>1613</v>
      </c>
      <c r="E1727" s="190">
        <v>42266</v>
      </c>
      <c r="F1727" s="191" t="s">
        <v>451</v>
      </c>
      <c r="G1727" s="482" t="s">
        <v>1038</v>
      </c>
      <c r="H1727" s="192" t="s">
        <v>453</v>
      </c>
      <c r="I1727" s="255">
        <v>304</v>
      </c>
      <c r="J1727" s="255">
        <v>12900</v>
      </c>
      <c r="K1727" s="593">
        <f>ROUND(I1727*J1727,0)</f>
        <v>3921600</v>
      </c>
      <c r="L1727" s="594" t="s">
        <v>259</v>
      </c>
      <c r="M1727" s="594" t="s">
        <v>174</v>
      </c>
      <c r="N1727" s="52" t="str">
        <f>IF(AND('331-CT'!$E$7=TH!H1727,OR(L1727="331",M1727="331")),"331",IF(AND(OR(L1727="131",M1727="131"),H1727='131-CT'!$E$7),"131",""))</f>
        <v/>
      </c>
      <c r="O1727" s="86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799"/>
    </row>
    <row r="1728" spans="1:27" s="210" customFormat="1" ht="15.75" customHeight="1">
      <c r="A1728" s="203" t="str">
        <f>IF(B1728&lt;&gt;"",IF(AND(B1728&gt;=_TM1,B1728&lt;=_TM2,OR(TH!L1728="1111",TH!M1728="1111")),TH!D1728,""),"")</f>
        <v/>
      </c>
      <c r="B1728" s="36">
        <f>IF(C1728&lt;&gt;"",MONTH(C1728),"")</f>
        <v>9</v>
      </c>
      <c r="C1728" s="183">
        <f>E1728</f>
        <v>42266</v>
      </c>
      <c r="D1728" s="183" t="s">
        <v>1613</v>
      </c>
      <c r="E1728" s="190">
        <v>42266</v>
      </c>
      <c r="F1728" s="191" t="s">
        <v>539</v>
      </c>
      <c r="G1728" s="482" t="s">
        <v>1038</v>
      </c>
      <c r="H1728" s="192" t="s">
        <v>453</v>
      </c>
      <c r="I1728" s="255">
        <v>203</v>
      </c>
      <c r="J1728" s="255">
        <v>9400</v>
      </c>
      <c r="K1728" s="593">
        <f>ROUND(I1728*J1728,0)</f>
        <v>1908200</v>
      </c>
      <c r="L1728" s="594" t="s">
        <v>259</v>
      </c>
      <c r="M1728" s="594" t="s">
        <v>174</v>
      </c>
      <c r="N1728" s="52" t="str">
        <f>IF(AND('331-CT'!$E$7=TH!H1728,OR(L1728="331",M1728="331")),"331",IF(AND(OR(L1728="131",M1728="131"),H1728='131-CT'!$E$7),"131",""))</f>
        <v/>
      </c>
      <c r="O1728" s="86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799"/>
    </row>
    <row r="1729" spans="1:27" s="210" customFormat="1" ht="15.75" customHeight="1">
      <c r="A1729" s="203" t="str">
        <f>IF(B1729&lt;&gt;"",IF(AND(B1729&gt;=_TM1,B1729&lt;=_TM2,OR(TH!L1729="1111",TH!M1729="1111")),TH!D1729,""),"")</f>
        <v/>
      </c>
      <c r="B1729" s="36">
        <f>IF(C1729&lt;&gt;"",MONTH(C1729),"")</f>
        <v>9</v>
      </c>
      <c r="C1729" s="183">
        <f>E1729</f>
        <v>42266</v>
      </c>
      <c r="D1729" s="183" t="s">
        <v>1613</v>
      </c>
      <c r="E1729" s="190">
        <v>42266</v>
      </c>
      <c r="F1729" s="188" t="s">
        <v>402</v>
      </c>
      <c r="G1729" s="482" t="s">
        <v>1038</v>
      </c>
      <c r="H1729" s="192" t="s">
        <v>453</v>
      </c>
      <c r="I1729" s="255"/>
      <c r="J1729" s="255"/>
      <c r="K1729" s="593">
        <v>582980</v>
      </c>
      <c r="L1729" s="594" t="s">
        <v>259</v>
      </c>
      <c r="M1729" s="594" t="s">
        <v>371</v>
      </c>
      <c r="N1729" s="52" t="str">
        <f>IF(AND('331-CT'!$E$7=TH!H1729,OR(L1729="331",M1729="331")),"331",IF(AND(OR(L1729="131",M1729="131"),H1729='131-CT'!$E$7),"131",""))</f>
        <v/>
      </c>
      <c r="O1729" s="86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799"/>
    </row>
    <row r="1730" spans="1:27" s="210" customFormat="1" ht="15.75" customHeight="1">
      <c r="A1730" s="203" t="str">
        <f>IF(B1730&lt;&gt;"",IF(AND(B1730&gt;=_TM1,B1730&lt;=_TM2,OR(TH!L1730="1111",TH!M1730="1111")),TH!D1730,""),"")</f>
        <v/>
      </c>
      <c r="B1730" s="36">
        <f>IF(C1730&lt;&gt;"",MONTH(C1730),"")</f>
        <v>9</v>
      </c>
      <c r="C1730" s="183">
        <f>E1730</f>
        <v>42268</v>
      </c>
      <c r="D1730" s="183" t="s">
        <v>1614</v>
      </c>
      <c r="E1730" s="190">
        <v>42268</v>
      </c>
      <c r="F1730" s="191" t="s">
        <v>760</v>
      </c>
      <c r="G1730" s="482" t="s">
        <v>1039</v>
      </c>
      <c r="H1730" s="192" t="s">
        <v>762</v>
      </c>
      <c r="I1730" s="255">
        <v>496</v>
      </c>
      <c r="J1730" s="255">
        <v>6400</v>
      </c>
      <c r="K1730" s="593">
        <f>ROUND(I1730*J1730,0)</f>
        <v>3174400</v>
      </c>
      <c r="L1730" s="594" t="s">
        <v>259</v>
      </c>
      <c r="M1730" s="594" t="s">
        <v>174</v>
      </c>
      <c r="N1730" s="52" t="str">
        <f>IF(AND('331-CT'!$E$7=TH!H1730,OR(L1730="331",M1730="331")),"331",IF(AND(OR(L1730="131",M1730="131"),H1730='131-CT'!$E$7),"131",""))</f>
        <v/>
      </c>
      <c r="O1730" s="86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799"/>
    </row>
    <row r="1731" spans="1:27" s="210" customFormat="1" ht="15.75" customHeight="1">
      <c r="A1731" s="203" t="str">
        <f>IF(B1731&lt;&gt;"",IF(AND(B1731&gt;=_TM1,B1731&lt;=_TM2,OR(TH!L1731="1111",TH!M1731="1111")),TH!D1731,""),"")</f>
        <v/>
      </c>
      <c r="B1731" s="36">
        <f>IF(C1731&lt;&gt;"",MONTH(C1731),"")</f>
        <v>9</v>
      </c>
      <c r="C1731" s="183">
        <f>E1731</f>
        <v>42268</v>
      </c>
      <c r="D1731" s="183" t="s">
        <v>1614</v>
      </c>
      <c r="E1731" s="190">
        <v>42268</v>
      </c>
      <c r="F1731" s="191" t="s">
        <v>402</v>
      </c>
      <c r="G1731" s="482" t="s">
        <v>1039</v>
      </c>
      <c r="H1731" s="192" t="s">
        <v>762</v>
      </c>
      <c r="I1731" s="255"/>
      <c r="J1731" s="255"/>
      <c r="K1731" s="593">
        <v>317440</v>
      </c>
      <c r="L1731" s="594" t="s">
        <v>259</v>
      </c>
      <c r="M1731" s="594" t="s">
        <v>371</v>
      </c>
      <c r="N1731" s="52" t="str">
        <f>IF(AND('331-CT'!$E$7=TH!H1731,OR(L1731="331",M1731="331")),"331",IF(AND(OR(L1731="131",M1731="131"),H1731='131-CT'!$E$7),"131",""))</f>
        <v/>
      </c>
      <c r="O1731" s="86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799"/>
    </row>
    <row r="1732" spans="1:27" s="210" customFormat="1" ht="15.75" customHeight="1">
      <c r="A1732" s="203" t="str">
        <f>IF(B1732&lt;&gt;"",IF(AND(B1732&gt;=_TM1,B1732&lt;=_TM2,OR(TH!L1732="1111",TH!M1732="1111")),TH!D1732,""),"")</f>
        <v/>
      </c>
      <c r="B1732" s="36">
        <f>IF(C1732&lt;&gt;"",MONTH(C1732),"")</f>
        <v>9</v>
      </c>
      <c r="C1732" s="183">
        <f>E1732</f>
        <v>42268</v>
      </c>
      <c r="D1732" s="183" t="s">
        <v>1615</v>
      </c>
      <c r="E1732" s="190">
        <v>42268</v>
      </c>
      <c r="F1732" s="40" t="s">
        <v>2010</v>
      </c>
      <c r="G1732" s="482" t="s">
        <v>1040</v>
      </c>
      <c r="H1732" s="192" t="s">
        <v>957</v>
      </c>
      <c r="I1732" s="255">
        <v>50</v>
      </c>
      <c r="J1732" s="255">
        <v>11700</v>
      </c>
      <c r="K1732" s="593">
        <f>ROUND(I1732*J1732,0)</f>
        <v>585000</v>
      </c>
      <c r="L1732" s="594" t="s">
        <v>259</v>
      </c>
      <c r="M1732" s="594" t="s">
        <v>174</v>
      </c>
      <c r="N1732" s="52" t="str">
        <f>IF(AND('331-CT'!$E$7=TH!H1732,OR(L1732="331",M1732="331")),"331",IF(AND(OR(L1732="131",M1732="131"),H1732='131-CT'!$E$7),"131",""))</f>
        <v/>
      </c>
      <c r="O1732" s="86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799"/>
    </row>
    <row r="1733" spans="1:27" s="210" customFormat="1" ht="15.75" customHeight="1">
      <c r="A1733" s="203" t="str">
        <f>IF(B1733&lt;&gt;"",IF(AND(B1733&gt;=_TM1,B1733&lt;=_TM2,OR(TH!L1733="1111",TH!M1733="1111")),TH!D1733,""),"")</f>
        <v/>
      </c>
      <c r="B1733" s="36">
        <f>IF(C1733&lt;&gt;"",MONTH(C1733),"")</f>
        <v>9</v>
      </c>
      <c r="C1733" s="183">
        <f>E1733</f>
        <v>42268</v>
      </c>
      <c r="D1733" s="183" t="s">
        <v>1615</v>
      </c>
      <c r="E1733" s="727">
        <v>42268</v>
      </c>
      <c r="F1733" s="188" t="s">
        <v>1950</v>
      </c>
      <c r="G1733" s="40" t="s">
        <v>1040</v>
      </c>
      <c r="H1733" s="7" t="s">
        <v>957</v>
      </c>
      <c r="I1733" s="255">
        <v>50</v>
      </c>
      <c r="J1733" s="255">
        <v>15300</v>
      </c>
      <c r="K1733" s="593">
        <f>ROUND(I1733*J1733,0)</f>
        <v>765000</v>
      </c>
      <c r="L1733" s="594" t="s">
        <v>259</v>
      </c>
      <c r="M1733" s="594" t="s">
        <v>174</v>
      </c>
      <c r="N1733" s="52" t="str">
        <f>IF(AND('331-CT'!$E$7=TH!H1733,OR(L1733="331",M1733="331")),"331",IF(AND(OR(L1733="131",M1733="131"),H1733='131-CT'!$E$7),"131",""))</f>
        <v/>
      </c>
      <c r="O1733" s="86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799"/>
    </row>
    <row r="1734" spans="1:27" s="210" customFormat="1" ht="15.75" customHeight="1">
      <c r="A1734" s="203" t="str">
        <f>IF(B1734&lt;&gt;"",IF(AND(B1734&gt;=_TM1,B1734&lt;=_TM2,OR(TH!L1734="1111",TH!M1734="1111")),TH!D1734,""),"")</f>
        <v/>
      </c>
      <c r="B1734" s="36">
        <f>IF(C1734&lt;&gt;"",MONTH(C1734),"")</f>
        <v>9</v>
      </c>
      <c r="C1734" s="183">
        <f>E1734</f>
        <v>42268</v>
      </c>
      <c r="D1734" s="183" t="s">
        <v>1615</v>
      </c>
      <c r="E1734" s="727">
        <v>42268</v>
      </c>
      <c r="F1734" s="188" t="s">
        <v>1951</v>
      </c>
      <c r="G1734" s="40" t="s">
        <v>1040</v>
      </c>
      <c r="H1734" s="7" t="s">
        <v>957</v>
      </c>
      <c r="I1734" s="255">
        <v>50</v>
      </c>
      <c r="J1734" s="255">
        <v>16500</v>
      </c>
      <c r="K1734" s="593">
        <f>ROUND(I1734*J1734,0)</f>
        <v>825000</v>
      </c>
      <c r="L1734" s="594" t="s">
        <v>259</v>
      </c>
      <c r="M1734" s="594" t="s">
        <v>174</v>
      </c>
      <c r="N1734" s="52" t="str">
        <f>IF(AND('331-CT'!$E$7=TH!H1734,OR(L1734="331",M1734="331")),"331",IF(AND(OR(L1734="131",M1734="131"),H1734='131-CT'!$E$7),"131",""))</f>
        <v/>
      </c>
      <c r="O1734" s="86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799"/>
    </row>
    <row r="1735" spans="1:27" s="210" customFormat="1" ht="15.75" customHeight="1">
      <c r="A1735" s="203" t="str">
        <f>IF(B1735&lt;&gt;"",IF(AND(B1735&gt;=_TM1,B1735&lt;=_TM2,OR(TH!L1735="1111",TH!M1735="1111")),TH!D1735,""),"")</f>
        <v/>
      </c>
      <c r="B1735" s="36">
        <f>IF(C1735&lt;&gt;"",MONTH(C1735),"")</f>
        <v>9</v>
      </c>
      <c r="C1735" s="183">
        <f>E1735</f>
        <v>42268</v>
      </c>
      <c r="D1735" s="183" t="s">
        <v>1615</v>
      </c>
      <c r="E1735" s="727">
        <v>42268</v>
      </c>
      <c r="F1735" s="188" t="s">
        <v>402</v>
      </c>
      <c r="G1735" s="40" t="s">
        <v>1040</v>
      </c>
      <c r="H1735" s="7" t="s">
        <v>957</v>
      </c>
      <c r="I1735" s="750"/>
      <c r="J1735" s="255"/>
      <c r="K1735" s="593">
        <v>217500</v>
      </c>
      <c r="L1735" s="594" t="s">
        <v>259</v>
      </c>
      <c r="M1735" s="594" t="s">
        <v>371</v>
      </c>
      <c r="N1735" s="52" t="str">
        <f>IF(AND('331-CT'!$E$7=TH!H1735,OR(L1735="331",M1735="331")),"331",IF(AND(OR(L1735="131",M1735="131"),H1735='131-CT'!$E$7),"131",""))</f>
        <v/>
      </c>
      <c r="O1735" s="86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799"/>
    </row>
    <row r="1736" spans="1:27" s="210" customFormat="1" ht="15.75" customHeight="1">
      <c r="A1736" s="203" t="str">
        <f>IF(B1736&lt;&gt;"",IF(AND(B1736&gt;=_TM1,B1736&lt;=_TM2,OR(TH!L1736="1111",TH!M1736="1111")),TH!D1736,""),"")</f>
        <v/>
      </c>
      <c r="B1736" s="36">
        <f>IF(C1736&lt;&gt;"",MONTH(C1736),"")</f>
        <v>9</v>
      </c>
      <c r="C1736" s="183">
        <f>E1736</f>
        <v>42268</v>
      </c>
      <c r="D1736" s="183" t="s">
        <v>1616</v>
      </c>
      <c r="E1736" s="727">
        <v>42268</v>
      </c>
      <c r="F1736" s="40" t="s">
        <v>1766</v>
      </c>
      <c r="G1736" s="40" t="s">
        <v>1041</v>
      </c>
      <c r="H1736" s="7" t="s">
        <v>1934</v>
      </c>
      <c r="I1736" s="255">
        <v>1000</v>
      </c>
      <c r="J1736" s="255">
        <v>7649</v>
      </c>
      <c r="K1736" s="593">
        <f>ROUND(I1736*J1736,0)</f>
        <v>7649000</v>
      </c>
      <c r="L1736" s="594" t="s">
        <v>259</v>
      </c>
      <c r="M1736" s="594" t="s">
        <v>174</v>
      </c>
      <c r="N1736" s="52" t="str">
        <f>IF(AND('331-CT'!$E$7=TH!H1736,OR(L1736="331",M1736="331")),"331",IF(AND(OR(L1736="131",M1736="131"),H1736='131-CT'!$E$7),"131",""))</f>
        <v/>
      </c>
      <c r="O1736" s="86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799"/>
    </row>
    <row r="1737" spans="1:27" s="210" customFormat="1" ht="15.75" customHeight="1">
      <c r="A1737" s="203" t="str">
        <f>IF(B1737&lt;&gt;"",IF(AND(B1737&gt;=_TM1,B1737&lt;=_TM2,OR(TH!L1737="1111",TH!M1737="1111")),TH!D1737,""),"")</f>
        <v/>
      </c>
      <c r="B1737" s="36">
        <f>IF(C1737&lt;&gt;"",MONTH(C1737),"")</f>
        <v>9</v>
      </c>
      <c r="C1737" s="183">
        <f>E1737</f>
        <v>42268</v>
      </c>
      <c r="D1737" s="183" t="s">
        <v>1616</v>
      </c>
      <c r="E1737" s="727">
        <v>42268</v>
      </c>
      <c r="F1737" s="188" t="s">
        <v>1749</v>
      </c>
      <c r="G1737" s="40" t="s">
        <v>1041</v>
      </c>
      <c r="H1737" s="7" t="s">
        <v>1934</v>
      </c>
      <c r="I1737" s="750">
        <v>355</v>
      </c>
      <c r="J1737" s="255">
        <v>17205</v>
      </c>
      <c r="K1737" s="593">
        <f>ROUND(I1737*J1737,0)</f>
        <v>6107775</v>
      </c>
      <c r="L1737" s="594" t="s">
        <v>259</v>
      </c>
      <c r="M1737" s="594" t="s">
        <v>174</v>
      </c>
      <c r="N1737" s="52" t="str">
        <f>IF(AND('331-CT'!$E$7=TH!H1737,OR(L1737="331",M1737="331")),"331",IF(AND(OR(L1737="131",M1737="131"),H1737='131-CT'!$E$7),"131",""))</f>
        <v/>
      </c>
      <c r="O1737" s="86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799"/>
    </row>
    <row r="1738" spans="1:27" s="210" customFormat="1" ht="15.75" customHeight="1">
      <c r="A1738" s="203" t="str">
        <f>IF(B1738&lt;&gt;"",IF(AND(B1738&gt;=_TM1,B1738&lt;=_TM2,OR(TH!L1738="1111",TH!M1738="1111")),TH!D1738,""),"")</f>
        <v/>
      </c>
      <c r="B1738" s="36">
        <f>IF(C1738&lt;&gt;"",MONTH(C1738),"")</f>
        <v>9</v>
      </c>
      <c r="C1738" s="183">
        <f>E1738</f>
        <v>42268</v>
      </c>
      <c r="D1738" s="183" t="s">
        <v>1616</v>
      </c>
      <c r="E1738" s="727">
        <v>42268</v>
      </c>
      <c r="F1738" s="188" t="s">
        <v>731</v>
      </c>
      <c r="G1738" s="40" t="s">
        <v>1041</v>
      </c>
      <c r="H1738" s="7" t="s">
        <v>1934</v>
      </c>
      <c r="I1738" s="750"/>
      <c r="J1738" s="255"/>
      <c r="K1738" s="593">
        <v>1375678</v>
      </c>
      <c r="L1738" s="594" t="s">
        <v>259</v>
      </c>
      <c r="M1738" s="594" t="s">
        <v>371</v>
      </c>
      <c r="N1738" s="52" t="str">
        <f>IF(AND('331-CT'!$E$7=TH!H1738,OR(L1738="331",M1738="331")),"331",IF(AND(OR(L1738="131",M1738="131"),H1738='131-CT'!$E$7),"131",""))</f>
        <v/>
      </c>
      <c r="O1738" s="86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799"/>
    </row>
    <row r="1739" spans="1:27" s="210" customFormat="1" ht="15.75" customHeight="1">
      <c r="A1739" s="203" t="str">
        <f>IF(B1739&lt;&gt;"",IF(AND(B1739&gt;=_TM1,B1739&lt;=_TM2,OR(TH!L1739="1111",TH!M1739="1111")),TH!D1739,""),"")</f>
        <v/>
      </c>
      <c r="B1739" s="36">
        <f>IF(C1739&lt;&gt;"",MONTH(C1739),"")</f>
        <v>9</v>
      </c>
      <c r="C1739" s="183">
        <f>E1739</f>
        <v>42268</v>
      </c>
      <c r="D1739" s="183" t="s">
        <v>1616</v>
      </c>
      <c r="E1739" s="727">
        <v>42268</v>
      </c>
      <c r="F1739" s="191" t="s">
        <v>1320</v>
      </c>
      <c r="G1739" s="40" t="s">
        <v>2063</v>
      </c>
      <c r="H1739" s="7" t="s">
        <v>1934</v>
      </c>
      <c r="I1739" s="750"/>
      <c r="J1739" s="255"/>
      <c r="K1739" s="593">
        <f>14356650+12620850+15132453</f>
        <v>42109953</v>
      </c>
      <c r="L1739" s="594" t="s">
        <v>47</v>
      </c>
      <c r="M1739" s="594" t="s">
        <v>259</v>
      </c>
      <c r="N1739" s="52" t="str">
        <f>IF(AND('331-CT'!$E$7=TH!H1739,OR(L1739="331",M1739="331")),"331",IF(AND(OR(L1739="131",M1739="131"),H1739='131-CT'!$E$7),"131",""))</f>
        <v/>
      </c>
      <c r="O1739" s="86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799"/>
    </row>
    <row r="1740" spans="1:27" s="210" customFormat="1" ht="15.75" customHeight="1">
      <c r="A1740" s="203" t="str">
        <f>IF(B1740&lt;&gt;"",IF(AND(B1740&gt;=_TM1,B1740&lt;=_TM2,OR(TH!L1740="1111",TH!M1740="1111")),TH!D1740,""),"")</f>
        <v/>
      </c>
      <c r="B1740" s="36">
        <f>IF(C1740&lt;&gt;"",MONTH(C1740),"")</f>
        <v>9</v>
      </c>
      <c r="C1740" s="183">
        <f>E1740</f>
        <v>42268</v>
      </c>
      <c r="D1740" s="183" t="s">
        <v>1617</v>
      </c>
      <c r="E1740" s="727">
        <v>42268</v>
      </c>
      <c r="F1740" s="296" t="s">
        <v>567</v>
      </c>
      <c r="G1740" s="40" t="s">
        <v>1042</v>
      </c>
      <c r="H1740" s="7" t="s">
        <v>733</v>
      </c>
      <c r="I1740" s="255">
        <v>21</v>
      </c>
      <c r="J1740" s="255">
        <v>34538</v>
      </c>
      <c r="K1740" s="593">
        <f>ROUND(I1740*J1740,0)</f>
        <v>725298</v>
      </c>
      <c r="L1740" s="594" t="s">
        <v>259</v>
      </c>
      <c r="M1740" s="594" t="s">
        <v>174</v>
      </c>
      <c r="N1740" s="52" t="str">
        <f>IF(AND('331-CT'!$E$7=TH!H1740,OR(L1740="331",M1740="331")),"331",IF(AND(OR(L1740="131",M1740="131"),H1740='131-CT'!$E$7),"131",""))</f>
        <v/>
      </c>
      <c r="O1740" s="86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799"/>
    </row>
    <row r="1741" spans="1:27" s="210" customFormat="1" ht="15.75" customHeight="1">
      <c r="A1741" s="203" t="str">
        <f>IF(B1741&lt;&gt;"",IF(AND(B1741&gt;=_TM1,B1741&lt;=_TM2,OR(TH!L1741="1111",TH!M1741="1111")),TH!D1741,""),"")</f>
        <v/>
      </c>
      <c r="B1741" s="36">
        <f>IF(C1741&lt;&gt;"",MONTH(C1741),"")</f>
        <v>9</v>
      </c>
      <c r="C1741" s="183">
        <f>E1741</f>
        <v>42268</v>
      </c>
      <c r="D1741" s="183" t="s">
        <v>1617</v>
      </c>
      <c r="E1741" s="727">
        <v>42268</v>
      </c>
      <c r="F1741" s="40" t="s">
        <v>402</v>
      </c>
      <c r="G1741" s="40" t="s">
        <v>1042</v>
      </c>
      <c r="H1741" s="7" t="s">
        <v>733</v>
      </c>
      <c r="I1741" s="255"/>
      <c r="J1741" s="255"/>
      <c r="K1741" s="593">
        <v>72530</v>
      </c>
      <c r="L1741" s="594" t="s">
        <v>259</v>
      </c>
      <c r="M1741" s="594" t="s">
        <v>371</v>
      </c>
      <c r="N1741" s="52" t="str">
        <f>IF(AND('331-CT'!$E$7=TH!H1741,OR(L1741="331",M1741="331")),"331",IF(AND(OR(L1741="131",M1741="131"),H1741='131-CT'!$E$7),"131",""))</f>
        <v/>
      </c>
      <c r="O1741" s="86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799"/>
    </row>
    <row r="1742" spans="1:27" s="210" customFormat="1" ht="15.75" customHeight="1">
      <c r="A1742" s="203" t="str">
        <f>IF(B1742&lt;&gt;"",IF(AND(B1742&gt;=_TM1,B1742&lt;=_TM2,OR(TH!L1742="1111",TH!M1742="1111")),TH!D1742,""),"")</f>
        <v/>
      </c>
      <c r="B1742" s="36">
        <f>IF(C1742&lt;&gt;"",MONTH(C1742),"")</f>
        <v>9</v>
      </c>
      <c r="C1742" s="183">
        <f>E1742</f>
        <v>42268</v>
      </c>
      <c r="D1742" s="183" t="s">
        <v>1618</v>
      </c>
      <c r="E1742" s="37">
        <v>42268</v>
      </c>
      <c r="F1742" s="40" t="s">
        <v>1043</v>
      </c>
      <c r="G1742" s="40" t="s">
        <v>1044</v>
      </c>
      <c r="H1742" s="7" t="s">
        <v>832</v>
      </c>
      <c r="I1742" s="255">
        <v>50</v>
      </c>
      <c r="J1742" s="255">
        <v>26100</v>
      </c>
      <c r="K1742" s="593">
        <f>ROUND(I1742*J1742,0)</f>
        <v>1305000</v>
      </c>
      <c r="L1742" s="594" t="s">
        <v>259</v>
      </c>
      <c r="M1742" s="594" t="s">
        <v>174</v>
      </c>
      <c r="N1742" s="52" t="str">
        <f>IF(AND('331-CT'!$E$7=TH!H1742,OR(L1742="331",M1742="331")),"331",IF(AND(OR(L1742="131",M1742="131"),H1742='131-CT'!$E$7),"131",""))</f>
        <v/>
      </c>
      <c r="O1742" s="86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799"/>
    </row>
    <row r="1743" spans="1:27" s="210" customFormat="1" ht="15.75" customHeight="1">
      <c r="A1743" s="203" t="str">
        <f>IF(B1743&lt;&gt;"",IF(AND(B1743&gt;=_TM1,B1743&lt;=_TM2,OR(TH!L1743="1111",TH!M1743="1111")),TH!D1743,""),"")</f>
        <v/>
      </c>
      <c r="B1743" s="36">
        <f>IF(C1743&lt;&gt;"",MONTH(C1743),"")</f>
        <v>9</v>
      </c>
      <c r="C1743" s="183">
        <f>E1743</f>
        <v>42268</v>
      </c>
      <c r="D1743" s="183" t="s">
        <v>1618</v>
      </c>
      <c r="E1743" s="37">
        <v>42268</v>
      </c>
      <c r="F1743" s="191" t="s">
        <v>1045</v>
      </c>
      <c r="G1743" s="40" t="s">
        <v>1044</v>
      </c>
      <c r="H1743" s="7" t="s">
        <v>832</v>
      </c>
      <c r="I1743" s="255">
        <v>50</v>
      </c>
      <c r="J1743" s="255">
        <v>34700</v>
      </c>
      <c r="K1743" s="593">
        <f>ROUND(I1743*J1743,0)</f>
        <v>1735000</v>
      </c>
      <c r="L1743" s="594" t="s">
        <v>259</v>
      </c>
      <c r="M1743" s="594" t="s">
        <v>174</v>
      </c>
      <c r="N1743" s="52" t="str">
        <f>IF(AND('331-CT'!$E$7=TH!H1743,OR(L1743="331",M1743="331")),"331",IF(AND(OR(L1743="131",M1743="131"),H1743='131-CT'!$E$7),"131",""))</f>
        <v/>
      </c>
      <c r="O1743" s="86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799"/>
    </row>
    <row r="1744" spans="1:27" s="210" customFormat="1" ht="15.75" customHeight="1">
      <c r="A1744" s="203" t="str">
        <f>IF(B1744&lt;&gt;"",IF(AND(B1744&gt;=_TM1,B1744&lt;=_TM2,OR(TH!L1744="1111",TH!M1744="1111")),TH!D1744,""),"")</f>
        <v/>
      </c>
      <c r="B1744" s="36">
        <f>IF(C1744&lt;&gt;"",MONTH(C1744),"")</f>
        <v>9</v>
      </c>
      <c r="C1744" s="183">
        <f>E1744</f>
        <v>42268</v>
      </c>
      <c r="D1744" s="183" t="s">
        <v>1618</v>
      </c>
      <c r="E1744" s="37">
        <v>42268</v>
      </c>
      <c r="F1744" s="40" t="s">
        <v>1046</v>
      </c>
      <c r="G1744" s="40" t="s">
        <v>1044</v>
      </c>
      <c r="H1744" s="7" t="s">
        <v>832</v>
      </c>
      <c r="I1744" s="255">
        <v>20</v>
      </c>
      <c r="J1744" s="255">
        <v>10600</v>
      </c>
      <c r="K1744" s="593">
        <f>ROUND(I1744*J1744,0)</f>
        <v>212000</v>
      </c>
      <c r="L1744" s="594" t="s">
        <v>259</v>
      </c>
      <c r="M1744" s="594" t="s">
        <v>174</v>
      </c>
      <c r="N1744" s="52" t="str">
        <f>IF(AND('331-CT'!$E$7=TH!H1744,OR(L1744="331",M1744="331")),"331",IF(AND(OR(L1744="131",M1744="131"),H1744='131-CT'!$E$7),"131",""))</f>
        <v/>
      </c>
      <c r="O1744" s="86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799"/>
    </row>
    <row r="1745" spans="1:27" s="210" customFormat="1" ht="15.75" customHeight="1">
      <c r="A1745" s="203" t="str">
        <f>IF(B1745&lt;&gt;"",IF(AND(B1745&gt;=_TM1,B1745&lt;=_TM2,OR(TH!L1745="1111",TH!M1745="1111")),TH!D1745,""),"")</f>
        <v/>
      </c>
      <c r="B1745" s="36">
        <f>IF(C1745&lt;&gt;"",MONTH(C1745),"")</f>
        <v>9</v>
      </c>
      <c r="C1745" s="183">
        <f>E1745</f>
        <v>42268</v>
      </c>
      <c r="D1745" s="183" t="s">
        <v>1618</v>
      </c>
      <c r="E1745" s="37">
        <v>42268</v>
      </c>
      <c r="F1745" s="40" t="s">
        <v>402</v>
      </c>
      <c r="G1745" s="40" t="s">
        <v>1044</v>
      </c>
      <c r="H1745" s="7" t="s">
        <v>832</v>
      </c>
      <c r="I1745" s="255"/>
      <c r="J1745" s="255"/>
      <c r="K1745" s="593">
        <v>325200</v>
      </c>
      <c r="L1745" s="594" t="s">
        <v>259</v>
      </c>
      <c r="M1745" s="594" t="s">
        <v>371</v>
      </c>
      <c r="N1745" s="52" t="str">
        <f>IF(AND('331-CT'!$E$7=TH!H1745,OR(L1745="331",M1745="331")),"331",IF(AND(OR(L1745="131",M1745="131"),H1745='131-CT'!$E$7),"131",""))</f>
        <v/>
      </c>
      <c r="O1745" s="86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799"/>
    </row>
    <row r="1746" spans="1:27" s="210" customFormat="1" ht="15.75" customHeight="1">
      <c r="A1746" s="203" t="str">
        <f>IF(B1746&lt;&gt;"",IF(AND(B1746&gt;=_TM1,B1746&lt;=_TM2,OR(TH!L1746="1111",TH!M1746="1111")),TH!D1746,""),"")</f>
        <v/>
      </c>
      <c r="B1746" s="36">
        <f>IF(C1746&lt;&gt;"",MONTH(C1746),"")</f>
        <v>9</v>
      </c>
      <c r="C1746" s="183">
        <f>E1746</f>
        <v>42268</v>
      </c>
      <c r="D1746" s="183" t="s">
        <v>1619</v>
      </c>
      <c r="E1746" s="37">
        <v>42268</v>
      </c>
      <c r="F1746" s="40" t="s">
        <v>1956</v>
      </c>
      <c r="G1746" s="40" t="s">
        <v>1047</v>
      </c>
      <c r="H1746" s="7" t="s">
        <v>1128</v>
      </c>
      <c r="I1746" s="255">
        <v>3200</v>
      </c>
      <c r="J1746" s="255">
        <v>5200</v>
      </c>
      <c r="K1746" s="593">
        <f>ROUND(I1746*J1746,0)</f>
        <v>16640000</v>
      </c>
      <c r="L1746" s="594" t="s">
        <v>259</v>
      </c>
      <c r="M1746" s="594" t="s">
        <v>174</v>
      </c>
      <c r="N1746" s="52" t="str">
        <f>IF(AND('331-CT'!$E$7=TH!H1746,OR(L1746="331",M1746="331")),"331",IF(AND(OR(L1746="131",M1746="131"),H1746='131-CT'!$E$7),"131",""))</f>
        <v/>
      </c>
      <c r="O1746" s="86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799"/>
    </row>
    <row r="1747" spans="1:27" s="210" customFormat="1" ht="15.75" customHeight="1">
      <c r="A1747" s="203" t="str">
        <f>IF(B1747&lt;&gt;"",IF(AND(B1747&gt;=_TM1,B1747&lt;=_TM2,OR(TH!L1747="1111",TH!M1747="1111")),TH!D1747,""),"")</f>
        <v/>
      </c>
      <c r="B1747" s="36">
        <f>IF(C1747&lt;&gt;"",MONTH(C1747),"")</f>
        <v>9</v>
      </c>
      <c r="C1747" s="183">
        <f>E1747</f>
        <v>42268</v>
      </c>
      <c r="D1747" s="183" t="s">
        <v>1619</v>
      </c>
      <c r="E1747" s="37">
        <v>42268</v>
      </c>
      <c r="F1747" s="188" t="s">
        <v>402</v>
      </c>
      <c r="G1747" s="40" t="s">
        <v>1047</v>
      </c>
      <c r="H1747" s="7" t="s">
        <v>1128</v>
      </c>
      <c r="I1747" s="255"/>
      <c r="J1747" s="255"/>
      <c r="K1747" s="593">
        <v>1664000</v>
      </c>
      <c r="L1747" s="594" t="s">
        <v>259</v>
      </c>
      <c r="M1747" s="594" t="s">
        <v>371</v>
      </c>
      <c r="N1747" s="52" t="str">
        <f>IF(AND('331-CT'!$E$7=TH!H1747,OR(L1747="331",M1747="331")),"331",IF(AND(OR(L1747="131",M1747="131"),H1747='131-CT'!$E$7),"131",""))</f>
        <v/>
      </c>
      <c r="O1747" s="86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799"/>
    </row>
    <row r="1748" spans="1:27" s="210" customFormat="1" ht="15.75" customHeight="1">
      <c r="A1748" s="203" t="str">
        <f>IF(B1748&lt;&gt;"",IF(AND(B1748&gt;=_TM1,B1748&lt;=_TM2,OR(TH!L1748="1111",TH!M1748="1111")),TH!D1748,""),"")</f>
        <v/>
      </c>
      <c r="B1748" s="36">
        <f>IF(C1748&lt;&gt;"",MONTH(C1748),"")</f>
        <v>9</v>
      </c>
      <c r="C1748" s="183">
        <f>E1748</f>
        <v>42268</v>
      </c>
      <c r="D1748" s="183" t="s">
        <v>1619</v>
      </c>
      <c r="E1748" s="37">
        <v>42268</v>
      </c>
      <c r="F1748" s="191" t="s">
        <v>1320</v>
      </c>
      <c r="G1748" s="40" t="s">
        <v>1047</v>
      </c>
      <c r="H1748" s="7" t="s">
        <v>1128</v>
      </c>
      <c r="I1748" s="255"/>
      <c r="J1748" s="255"/>
      <c r="K1748" s="593">
        <v>18304000</v>
      </c>
      <c r="L1748" s="594" t="s">
        <v>47</v>
      </c>
      <c r="M1748" s="594" t="s">
        <v>259</v>
      </c>
      <c r="N1748" s="52" t="str">
        <f>IF(AND('331-CT'!$E$7=TH!H1748,OR(L1748="331",M1748="331")),"331",IF(AND(OR(L1748="131",M1748="131"),H1748='131-CT'!$E$7),"131",""))</f>
        <v/>
      </c>
      <c r="O1748" s="86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799"/>
    </row>
    <row r="1749" spans="1:27" s="210" customFormat="1" ht="15.75" customHeight="1">
      <c r="A1749" s="203" t="str">
        <f>IF(B1749&lt;&gt;"",IF(AND(B1749&gt;=_TM1,B1749&lt;=_TM2,OR(TH!L1749="1111",TH!M1749="1111")),TH!D1749,""),"")</f>
        <v/>
      </c>
      <c r="B1749" s="36">
        <f>IF(C1749&lt;&gt;"",MONTH(C1749),"")</f>
        <v>9</v>
      </c>
      <c r="C1749" s="183">
        <f>E1749</f>
        <v>42268</v>
      </c>
      <c r="D1749" s="183" t="s">
        <v>1324</v>
      </c>
      <c r="E1749" s="190">
        <v>42268</v>
      </c>
      <c r="F1749" s="188" t="s">
        <v>1325</v>
      </c>
      <c r="G1749" s="482" t="s">
        <v>332</v>
      </c>
      <c r="H1749" s="7" t="s">
        <v>1322</v>
      </c>
      <c r="I1749" s="255"/>
      <c r="J1749" s="255"/>
      <c r="K1749" s="593">
        <v>56800000</v>
      </c>
      <c r="L1749" s="594" t="s">
        <v>47</v>
      </c>
      <c r="M1749" s="594" t="s">
        <v>24</v>
      </c>
      <c r="N1749" s="52" t="str">
        <f>IF(AND('331-CT'!$E$7=TH!H1749,OR(L1749="331",M1749="331")),"331",IF(AND(OR(L1749="131",M1749="131"),H1749='131-CT'!$E$7),"131",""))</f>
        <v/>
      </c>
      <c r="O1749" s="86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>x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799"/>
    </row>
    <row r="1750" spans="1:27" s="210" customFormat="1" ht="15.75" customHeight="1">
      <c r="A1750" s="203" t="str">
        <f>IF(B1750&lt;&gt;"",IF(AND(B1750&gt;=_TM1,B1750&lt;=_TM2,OR(TH!L1750="1111",TH!M1750="1111")),TH!D1750,""),"")</f>
        <v/>
      </c>
      <c r="B1750" s="36">
        <f>IF(C1750&lt;&gt;"",MONTH(C1750),"")</f>
        <v>9</v>
      </c>
      <c r="C1750" s="183">
        <f>E1750</f>
        <v>42268</v>
      </c>
      <c r="D1750" s="183" t="s">
        <v>1324</v>
      </c>
      <c r="E1750" s="190">
        <v>42268</v>
      </c>
      <c r="F1750" s="296" t="s">
        <v>1326</v>
      </c>
      <c r="G1750" s="482" t="s">
        <v>332</v>
      </c>
      <c r="H1750" s="831" t="s">
        <v>1448</v>
      </c>
      <c r="I1750" s="255"/>
      <c r="J1750" s="255"/>
      <c r="K1750" s="593">
        <v>15000000</v>
      </c>
      <c r="L1750" s="594" t="s">
        <v>8</v>
      </c>
      <c r="M1750" s="594" t="s">
        <v>24</v>
      </c>
      <c r="N1750" s="52" t="str">
        <f>IF(AND('331-CT'!$E$7=TH!H1750,OR(L1750="331",M1750="331")),"331",IF(AND(OR(L1750="131",M1750="131"),H1750='131-CT'!$E$7),"131",""))</f>
        <v>331</v>
      </c>
      <c r="O1750" s="86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>x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799"/>
    </row>
    <row r="1751" spans="1:27" s="210" customFormat="1" ht="15.75" customHeight="1">
      <c r="A1751" s="203" t="str">
        <f>IF(B1751&lt;&gt;"",IF(AND(B1751&gt;=_TM1,B1751&lt;=_TM2,OR(TH!L1751="1111",TH!M1751="1111")),TH!D1751,""),"")</f>
        <v/>
      </c>
      <c r="B1751" s="36">
        <f>IF(C1751&lt;&gt;"",MONTH(C1751),"")</f>
        <v>9</v>
      </c>
      <c r="C1751" s="183">
        <f>E1751</f>
        <v>42268</v>
      </c>
      <c r="D1751" s="190" t="s">
        <v>1324</v>
      </c>
      <c r="E1751" s="190">
        <v>42268</v>
      </c>
      <c r="F1751" s="191" t="s">
        <v>1896</v>
      </c>
      <c r="G1751" s="482" t="s">
        <v>1907</v>
      </c>
      <c r="H1751" s="192" t="s">
        <v>1923</v>
      </c>
      <c r="I1751" s="255"/>
      <c r="J1751" s="255"/>
      <c r="K1751" s="593">
        <v>19000000</v>
      </c>
      <c r="L1751" s="193" t="s">
        <v>24</v>
      </c>
      <c r="M1751" s="594" t="s">
        <v>47</v>
      </c>
      <c r="N1751" s="52" t="str">
        <f>IF(AND('331-CT'!$E$7=TH!H1751,OR(L1751="331",M1751="331")),"331",IF(AND(OR(L1751="131",M1751="131"),H1751='131-CT'!$E$7),"131",""))</f>
        <v/>
      </c>
      <c r="O1751" s="86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799"/>
    </row>
    <row r="1752" spans="1:27" s="210" customFormat="1" ht="15.75" customHeight="1">
      <c r="A1752" s="203" t="str">
        <f>IF(B1752&lt;&gt;"",IF(AND(B1752&gt;=_TM1,B1752&lt;=_TM2,OR(TH!L1752="1111",TH!M1752="1111")),TH!D1752,""),"")</f>
        <v/>
      </c>
      <c r="B1752" s="36">
        <f>IF(C1752&lt;&gt;"",MONTH(C1752),"")</f>
        <v>9</v>
      </c>
      <c r="C1752" s="183">
        <f>E1752</f>
        <v>42268</v>
      </c>
      <c r="D1752" s="190" t="s">
        <v>1324</v>
      </c>
      <c r="E1752" s="190">
        <v>42268</v>
      </c>
      <c r="F1752" s="191" t="s">
        <v>1925</v>
      </c>
      <c r="G1752" s="482" t="s">
        <v>1907</v>
      </c>
      <c r="H1752" s="192" t="s">
        <v>1909</v>
      </c>
      <c r="I1752" s="255"/>
      <c r="J1752" s="255"/>
      <c r="K1752" s="38">
        <v>83385000</v>
      </c>
      <c r="L1752" s="193" t="s">
        <v>1899</v>
      </c>
      <c r="M1752" s="594" t="s">
        <v>24</v>
      </c>
      <c r="N1752" s="52" t="str">
        <f>IF(AND('331-CT'!$E$7=TH!H1752,OR(L1752="331",M1752="331")),"331",IF(AND(OR(L1752="131",M1752="131"),H1752='131-CT'!$E$7),"131",""))</f>
        <v/>
      </c>
      <c r="O1752" s="86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799"/>
    </row>
    <row r="1753" spans="1:27" s="210" customFormat="1" ht="15.75" customHeight="1">
      <c r="A1753" s="203" t="str">
        <f>IF(B1753&lt;&gt;"",IF(AND(B1753&gt;=_TM1,B1753&lt;=_TM2,OR(TH!L1753="1111",TH!M1753="1111")),TH!D1753,""),"")</f>
        <v/>
      </c>
      <c r="B1753" s="36">
        <f>IF(C1753&lt;&gt;"",MONTH(C1753),"")</f>
        <v>9</v>
      </c>
      <c r="C1753" s="183">
        <f>E1753</f>
        <v>42268</v>
      </c>
      <c r="D1753" s="190" t="s">
        <v>1324</v>
      </c>
      <c r="E1753" s="190">
        <v>42268</v>
      </c>
      <c r="F1753" s="191" t="s">
        <v>1924</v>
      </c>
      <c r="G1753" s="482" t="s">
        <v>1907</v>
      </c>
      <c r="H1753" s="192" t="s">
        <v>1909</v>
      </c>
      <c r="I1753" s="255"/>
      <c r="J1753" s="255"/>
      <c r="K1753" s="593">
        <v>12953701</v>
      </c>
      <c r="L1753" s="594" t="s">
        <v>81</v>
      </c>
      <c r="M1753" s="594" t="s">
        <v>24</v>
      </c>
      <c r="N1753" s="52" t="str">
        <f>IF(AND('331-CT'!$E$7=TH!H1753,OR(L1753="331",M1753="331")),"331",IF(AND(OR(L1753="131",M1753="131"),H1753='131-CT'!$E$7),"131",""))</f>
        <v/>
      </c>
      <c r="O1753" s="86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799"/>
    </row>
    <row r="1754" spans="1:27" s="210" customFormat="1" ht="15.75" customHeight="1">
      <c r="A1754" s="203" t="str">
        <f>IF(B1754&lt;&gt;"",IF(AND(B1754&gt;=_TM1,B1754&lt;=_TM2,OR(TH!L1754="1111",TH!M1754="1111")),TH!D1754,""),"")</f>
        <v/>
      </c>
      <c r="B1754" s="36">
        <f>IF(C1754&lt;&gt;"",MONTH(C1754),"")</f>
        <v>9</v>
      </c>
      <c r="C1754" s="183">
        <f>E1754</f>
        <v>42269</v>
      </c>
      <c r="D1754" s="183" t="s">
        <v>1620</v>
      </c>
      <c r="E1754" s="37">
        <v>42269</v>
      </c>
      <c r="F1754" s="40" t="s">
        <v>999</v>
      </c>
      <c r="G1754" s="40" t="s">
        <v>1048</v>
      </c>
      <c r="H1754" s="7" t="s">
        <v>412</v>
      </c>
      <c r="I1754" s="255">
        <v>300</v>
      </c>
      <c r="J1754" s="255">
        <v>8050</v>
      </c>
      <c r="K1754" s="593">
        <f>ROUND(I1754*J1754,0)</f>
        <v>2415000</v>
      </c>
      <c r="L1754" s="594" t="s">
        <v>259</v>
      </c>
      <c r="M1754" s="594" t="s">
        <v>174</v>
      </c>
      <c r="N1754" s="52" t="str">
        <f>IF(AND('331-CT'!$E$7=TH!H1754,OR(L1754="331",M1754="331")),"331",IF(AND(OR(L1754="131",M1754="131"),H1754='131-CT'!$E$7),"131",""))</f>
        <v/>
      </c>
      <c r="O1754" s="86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799"/>
    </row>
    <row r="1755" spans="1:27" s="210" customFormat="1" ht="15.75" customHeight="1">
      <c r="A1755" s="203" t="str">
        <f>IF(B1755&lt;&gt;"",IF(AND(B1755&gt;=_TM1,B1755&lt;=_TM2,OR(TH!L1755="1111",TH!M1755="1111")),TH!D1755,""),"")</f>
        <v/>
      </c>
      <c r="B1755" s="36">
        <f>IF(C1755&lt;&gt;"",MONTH(C1755),"")</f>
        <v>9</v>
      </c>
      <c r="C1755" s="183">
        <f>E1755</f>
        <v>42269</v>
      </c>
      <c r="D1755" s="183" t="s">
        <v>1319</v>
      </c>
      <c r="E1755" s="190">
        <v>42269</v>
      </c>
      <c r="F1755" s="188" t="s">
        <v>1320</v>
      </c>
      <c r="G1755" s="482" t="s">
        <v>332</v>
      </c>
      <c r="H1755" s="7" t="s">
        <v>400</v>
      </c>
      <c r="I1755" s="255"/>
      <c r="J1755" s="255"/>
      <c r="K1755" s="593">
        <v>9003335</v>
      </c>
      <c r="L1755" s="594" t="s">
        <v>24</v>
      </c>
      <c r="M1755" s="594" t="s">
        <v>259</v>
      </c>
      <c r="N1755" s="52" t="str">
        <f>IF(AND('331-CT'!$E$7=TH!H1755,OR(L1755="331",M1755="331")),"331",IF(AND(OR(L1755="131",M1755="131"),H1755='131-CT'!$E$7),"131",""))</f>
        <v/>
      </c>
      <c r="O1755" s="86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799"/>
    </row>
    <row r="1756" spans="1:27" s="210" customFormat="1" ht="15.75" customHeight="1">
      <c r="A1756" s="203" t="str">
        <f>IF(B1756&lt;&gt;"",IF(AND(B1756&gt;=_TM1,B1756&lt;=_TM2,OR(TH!L1756="1111",TH!M1756="1111")),TH!D1756,""),"")</f>
        <v/>
      </c>
      <c r="B1756" s="36">
        <f>IF(C1756&lt;&gt;"",MONTH(C1756),"")</f>
        <v>9</v>
      </c>
      <c r="C1756" s="183">
        <f>E1756</f>
        <v>42269</v>
      </c>
      <c r="D1756" s="190" t="s">
        <v>2020</v>
      </c>
      <c r="E1756" s="727">
        <v>42269</v>
      </c>
      <c r="F1756" s="296" t="s">
        <v>1357</v>
      </c>
      <c r="G1756" s="482" t="s">
        <v>1112</v>
      </c>
      <c r="H1756" s="7" t="s">
        <v>1391</v>
      </c>
      <c r="I1756" s="255">
        <v>1090</v>
      </c>
      <c r="J1756" s="255">
        <v>7300</v>
      </c>
      <c r="K1756" s="593">
        <f>ROUND(I1756*J1756,0)</f>
        <v>7957000</v>
      </c>
      <c r="L1756" s="594" t="s">
        <v>159</v>
      </c>
      <c r="M1756" s="594" t="s">
        <v>8</v>
      </c>
      <c r="N1756" s="52" t="str">
        <f>IF(AND('331-CT'!$E$7=TH!H1756,OR(L1756="331",M1756="331")),"331",IF(AND(OR(L1756="131",M1756="131"),H1756='131-CT'!$E$7),"131",""))</f>
        <v/>
      </c>
      <c r="O1756" s="86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799"/>
    </row>
    <row r="1757" spans="1:27" s="210" customFormat="1" ht="15.75" customHeight="1">
      <c r="A1757" s="203" t="str">
        <f>IF(B1757&lt;&gt;"",IF(AND(B1757&gt;=_TM1,B1757&lt;=_TM2,OR(TH!L1757="1111",TH!M1757="1111")),TH!D1757,""),"")</f>
        <v/>
      </c>
      <c r="B1757" s="36">
        <f>IF(C1757&lt;&gt;"",MONTH(C1757),"")</f>
        <v>9</v>
      </c>
      <c r="C1757" s="183">
        <f>E1757</f>
        <v>42269</v>
      </c>
      <c r="D1757" s="190" t="s">
        <v>2020</v>
      </c>
      <c r="E1757" s="727">
        <v>42269</v>
      </c>
      <c r="F1757" s="296" t="s">
        <v>1393</v>
      </c>
      <c r="G1757" s="482" t="s">
        <v>1112</v>
      </c>
      <c r="H1757" s="7" t="s">
        <v>1391</v>
      </c>
      <c r="I1757" s="255"/>
      <c r="J1757" s="255"/>
      <c r="K1757" s="593">
        <v>795700</v>
      </c>
      <c r="L1757" s="594" t="s">
        <v>9</v>
      </c>
      <c r="M1757" s="594" t="s">
        <v>8</v>
      </c>
      <c r="N1757" s="52" t="str">
        <f>IF(AND('331-CT'!$E$7=TH!H1757,OR(L1757="331",M1757="331")),"331",IF(AND(OR(L1757="131",M1757="131"),H1757='131-CT'!$E$7),"131",""))</f>
        <v/>
      </c>
      <c r="O1757" s="86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799"/>
    </row>
    <row r="1758" spans="1:27" s="210" customFormat="1" ht="15.75" customHeight="1">
      <c r="A1758" s="203" t="str">
        <f>IF(B1758&lt;&gt;"",IF(AND(B1758&gt;=_TM1,B1758&lt;=_TM2,OR(TH!L1758="1111",TH!M1758="1111")),TH!D1758,""),"")</f>
        <v/>
      </c>
      <c r="B1758" s="36">
        <f>IF(C1758&lt;&gt;"",MONTH(C1758),"")</f>
        <v>9</v>
      </c>
      <c r="C1758" s="183">
        <f>E1758</f>
        <v>42269</v>
      </c>
      <c r="D1758" s="190" t="s">
        <v>2020</v>
      </c>
      <c r="E1758" s="727">
        <v>42269</v>
      </c>
      <c r="F1758" s="296" t="s">
        <v>1326</v>
      </c>
      <c r="G1758" s="482" t="s">
        <v>1112</v>
      </c>
      <c r="H1758" s="7" t="s">
        <v>1391</v>
      </c>
      <c r="I1758" s="255"/>
      <c r="J1758" s="255"/>
      <c r="K1758" s="593">
        <f>8752700+830</f>
        <v>8753530</v>
      </c>
      <c r="L1758" s="594" t="s">
        <v>8</v>
      </c>
      <c r="M1758" s="594" t="s">
        <v>47</v>
      </c>
      <c r="N1758" s="52" t="str">
        <f>IF(AND('331-CT'!$E$7=TH!H1758,OR(L1758="331",M1758="331")),"331",IF(AND(OR(L1758="131",M1758="131"),H1758='131-CT'!$E$7),"131",""))</f>
        <v/>
      </c>
      <c r="O1758" s="86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799"/>
    </row>
    <row r="1759" spans="1:27" s="210" customFormat="1" ht="15.75" customHeight="1">
      <c r="A1759" s="203" t="str">
        <f>IF(B1759&lt;&gt;"",IF(AND(B1759&gt;=_TM1,B1759&lt;=_TM2,OR(TH!L1759="1111",TH!M1759="1111")),TH!D1759,""),"")</f>
        <v/>
      </c>
      <c r="B1759" s="36">
        <f>IF(C1759&lt;&gt;"",MONTH(C1759),"")</f>
        <v>9</v>
      </c>
      <c r="C1759" s="183">
        <f>E1759</f>
        <v>42270</v>
      </c>
      <c r="D1759" s="183" t="s">
        <v>1620</v>
      </c>
      <c r="E1759" s="37">
        <v>42270</v>
      </c>
      <c r="F1759" s="40" t="s">
        <v>402</v>
      </c>
      <c r="G1759" s="40" t="s">
        <v>1048</v>
      </c>
      <c r="H1759" s="7" t="s">
        <v>412</v>
      </c>
      <c r="I1759" s="255"/>
      <c r="J1759" s="255"/>
      <c r="K1759" s="593">
        <v>241500</v>
      </c>
      <c r="L1759" s="594" t="s">
        <v>259</v>
      </c>
      <c r="M1759" s="594" t="s">
        <v>371</v>
      </c>
      <c r="N1759" s="52" t="str">
        <f>IF(AND('331-CT'!$E$7=TH!H1759,OR(L1759="331",M1759="331")),"331",IF(AND(OR(L1759="131",M1759="131"),H1759='131-CT'!$E$7),"131",""))</f>
        <v/>
      </c>
      <c r="O1759" s="86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799"/>
    </row>
    <row r="1760" spans="1:27" s="210" customFormat="1" ht="15.75" customHeight="1">
      <c r="A1760" s="203" t="str">
        <f>IF(B1760&lt;&gt;"",IF(AND(B1760&gt;=_TM1,B1760&lt;=_TM2,OR(TH!L1760="1111",TH!M1760="1111")),TH!D1760,""),"")</f>
        <v/>
      </c>
      <c r="B1760" s="36">
        <f>IF(C1760&lt;&gt;"",MONTH(C1760),"")</f>
        <v>9</v>
      </c>
      <c r="C1760" s="183">
        <f>E1760</f>
        <v>42270</v>
      </c>
      <c r="D1760" s="183" t="s">
        <v>1620</v>
      </c>
      <c r="E1760" s="37">
        <v>42270</v>
      </c>
      <c r="F1760" s="191" t="s">
        <v>1320</v>
      </c>
      <c r="G1760" s="40" t="s">
        <v>2044</v>
      </c>
      <c r="H1760" s="7" t="s">
        <v>412</v>
      </c>
      <c r="I1760" s="255"/>
      <c r="J1760" s="255"/>
      <c r="K1760" s="593">
        <f>4953190+2656500</f>
        <v>7609690</v>
      </c>
      <c r="L1760" s="594" t="s">
        <v>47</v>
      </c>
      <c r="M1760" s="594" t="s">
        <v>259</v>
      </c>
      <c r="N1760" s="52" t="str">
        <f>IF(AND('331-CT'!$E$7=TH!H1760,OR(L1760="331",M1760="331")),"331",IF(AND(OR(L1760="131",M1760="131"),H1760='131-CT'!$E$7),"131",""))</f>
        <v/>
      </c>
      <c r="O1760" s="86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799"/>
    </row>
    <row r="1761" spans="1:27" s="210" customFormat="1" ht="15.75" customHeight="1">
      <c r="A1761" s="203" t="str">
        <f>IF(B1761&lt;&gt;"",IF(AND(B1761&gt;=_TM1,B1761&lt;=_TM2,OR(TH!L1761="1111",TH!M1761="1111")),TH!D1761,""),"")</f>
        <v/>
      </c>
      <c r="B1761" s="36">
        <f>IF(C1761&lt;&gt;"",MONTH(C1761),"")</f>
        <v>9</v>
      </c>
      <c r="C1761" s="183">
        <f>E1761</f>
        <v>42270</v>
      </c>
      <c r="D1761" s="183" t="s">
        <v>1621</v>
      </c>
      <c r="E1761" s="37">
        <v>42270</v>
      </c>
      <c r="F1761" s="40" t="s">
        <v>1049</v>
      </c>
      <c r="G1761" s="40" t="s">
        <v>1050</v>
      </c>
      <c r="H1761" s="7" t="s">
        <v>1051</v>
      </c>
      <c r="I1761" s="255">
        <v>555</v>
      </c>
      <c r="J1761" s="255">
        <v>10100</v>
      </c>
      <c r="K1761" s="593">
        <f>ROUND(I1761*J1761,0)</f>
        <v>5605500</v>
      </c>
      <c r="L1761" s="594" t="s">
        <v>259</v>
      </c>
      <c r="M1761" s="594" t="s">
        <v>174</v>
      </c>
      <c r="N1761" s="52" t="str">
        <f>IF(AND('331-CT'!$E$7=TH!H1761,OR(L1761="331",M1761="331")),"331",IF(AND(OR(L1761="131",M1761="131"),H1761='131-CT'!$E$7),"131",""))</f>
        <v/>
      </c>
      <c r="O1761" s="86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799"/>
    </row>
    <row r="1762" spans="1:27" s="210" customFormat="1" ht="15.75" customHeight="1">
      <c r="A1762" s="203" t="str">
        <f>IF(B1762&lt;&gt;"",IF(AND(B1762&gt;=_TM1,B1762&lt;=_TM2,OR(TH!L1762="1111",TH!M1762="1111")),TH!D1762,""),"")</f>
        <v/>
      </c>
      <c r="B1762" s="36">
        <f>IF(C1762&lt;&gt;"",MONTH(C1762),"")</f>
        <v>9</v>
      </c>
      <c r="C1762" s="183">
        <f>E1762</f>
        <v>42270</v>
      </c>
      <c r="D1762" s="183" t="s">
        <v>1621</v>
      </c>
      <c r="E1762" s="37">
        <v>42270</v>
      </c>
      <c r="F1762" s="191" t="s">
        <v>402</v>
      </c>
      <c r="G1762" s="40" t="s">
        <v>1050</v>
      </c>
      <c r="H1762" s="7" t="s">
        <v>1051</v>
      </c>
      <c r="I1762" s="255"/>
      <c r="J1762" s="255"/>
      <c r="K1762" s="593">
        <v>560550</v>
      </c>
      <c r="L1762" s="594" t="s">
        <v>259</v>
      </c>
      <c r="M1762" s="594" t="s">
        <v>371</v>
      </c>
      <c r="N1762" s="52" t="str">
        <f>IF(AND('331-CT'!$E$7=TH!H1762,OR(L1762="331",M1762="331")),"331",IF(AND(OR(L1762="131",M1762="131"),H1762='131-CT'!$E$7),"131",""))</f>
        <v/>
      </c>
      <c r="O1762" s="86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799"/>
    </row>
    <row r="1763" spans="1:27" s="210" customFormat="1" ht="15.75" customHeight="1">
      <c r="A1763" s="203" t="str">
        <f>IF(B1763&lt;&gt;"",IF(AND(B1763&gt;=_TM1,B1763&lt;=_TM2,OR(TH!L1763="1111",TH!M1763="1111")),TH!D1763,""),"")</f>
        <v/>
      </c>
      <c r="B1763" s="36">
        <f>IF(C1763&lt;&gt;"",MONTH(C1763),"")</f>
        <v>9</v>
      </c>
      <c r="C1763" s="183">
        <f>E1763</f>
        <v>42270</v>
      </c>
      <c r="D1763" s="183" t="s">
        <v>1621</v>
      </c>
      <c r="E1763" s="37">
        <v>42270</v>
      </c>
      <c r="F1763" s="191" t="s">
        <v>1320</v>
      </c>
      <c r="G1763" s="40" t="s">
        <v>1050</v>
      </c>
      <c r="H1763" s="7" t="s">
        <v>1051</v>
      </c>
      <c r="I1763" s="255"/>
      <c r="J1763" s="255"/>
      <c r="K1763" s="593">
        <v>6166050</v>
      </c>
      <c r="L1763" s="594" t="s">
        <v>47</v>
      </c>
      <c r="M1763" s="594" t="s">
        <v>259</v>
      </c>
      <c r="N1763" s="52" t="str">
        <f>IF(AND('331-CT'!$E$7=TH!H1763,OR(L1763="331",M1763="331")),"331",IF(AND(OR(L1763="131",M1763="131"),H1763='131-CT'!$E$7),"131",""))</f>
        <v/>
      </c>
      <c r="O1763" s="86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799"/>
    </row>
    <row r="1764" spans="1:27" s="210" customFormat="1" ht="15.75" customHeight="1">
      <c r="A1764" s="203" t="str">
        <f>IF(B1764&lt;&gt;"",IF(AND(B1764&gt;=_TM1,B1764&lt;=_TM2,OR(TH!L1764="1111",TH!M1764="1111")),TH!D1764,""),"")</f>
        <v/>
      </c>
      <c r="B1764" s="36">
        <f>IF(C1764&lt;&gt;"",MONTH(C1764),"")</f>
        <v>9</v>
      </c>
      <c r="C1764" s="183">
        <f>E1764</f>
        <v>42270</v>
      </c>
      <c r="D1764" s="183" t="s">
        <v>1622</v>
      </c>
      <c r="E1764" s="37">
        <v>42270</v>
      </c>
      <c r="F1764" s="40" t="s">
        <v>1052</v>
      </c>
      <c r="G1764" s="40" t="s">
        <v>1053</v>
      </c>
      <c r="H1764" s="7" t="s">
        <v>733</v>
      </c>
      <c r="I1764" s="255">
        <v>1097</v>
      </c>
      <c r="J1764" s="255">
        <v>7135</v>
      </c>
      <c r="K1764" s="593">
        <f>ROUND(I1764*J1764,0)</f>
        <v>7827095</v>
      </c>
      <c r="L1764" s="594" t="s">
        <v>259</v>
      </c>
      <c r="M1764" s="594" t="s">
        <v>174</v>
      </c>
      <c r="N1764" s="52" t="str">
        <f>IF(AND('331-CT'!$E$7=TH!H1764,OR(L1764="331",M1764="331")),"331",IF(AND(OR(L1764="131",M1764="131"),H1764='131-CT'!$E$7),"131",""))</f>
        <v/>
      </c>
      <c r="O1764" s="86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799"/>
    </row>
    <row r="1765" spans="1:27" s="210" customFormat="1" ht="15.75" customHeight="1">
      <c r="A1765" s="203" t="str">
        <f>IF(B1765&lt;&gt;"",IF(AND(B1765&gt;=_TM1,B1765&lt;=_TM2,OR(TH!L1765="1111",TH!M1765="1111")),TH!D1765,""),"")</f>
        <v/>
      </c>
      <c r="B1765" s="36">
        <f>IF(C1765&lt;&gt;"",MONTH(C1765),"")</f>
        <v>9</v>
      </c>
      <c r="C1765" s="183">
        <f>E1765</f>
        <v>42270</v>
      </c>
      <c r="D1765" s="183" t="s">
        <v>1622</v>
      </c>
      <c r="E1765" s="37">
        <v>42270</v>
      </c>
      <c r="F1765" s="40" t="s">
        <v>402</v>
      </c>
      <c r="G1765" s="40" t="s">
        <v>1053</v>
      </c>
      <c r="H1765" s="7" t="s">
        <v>733</v>
      </c>
      <c r="I1765" s="255"/>
      <c r="J1765" s="255"/>
      <c r="K1765" s="593">
        <v>782710</v>
      </c>
      <c r="L1765" s="594" t="s">
        <v>259</v>
      </c>
      <c r="M1765" s="594" t="s">
        <v>371</v>
      </c>
      <c r="N1765" s="52" t="str">
        <f>IF(AND('331-CT'!$E$7=TH!H1765,OR(L1765="331",M1765="331")),"331",IF(AND(OR(L1765="131",M1765="131"),H1765='131-CT'!$E$7),"131",""))</f>
        <v/>
      </c>
      <c r="O1765" s="86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799"/>
    </row>
    <row r="1766" spans="1:27" s="210" customFormat="1" ht="15.75" customHeight="1">
      <c r="A1766" s="203" t="str">
        <f>IF(B1766&lt;&gt;"",IF(AND(B1766&gt;=_TM1,B1766&lt;=_TM2,OR(TH!L1766="1111",TH!M1766="1111")),TH!D1766,""),"")</f>
        <v/>
      </c>
      <c r="B1766" s="36">
        <f>IF(C1766&lt;&gt;"",MONTH(C1766),"")</f>
        <v>9</v>
      </c>
      <c r="C1766" s="183">
        <f>E1766</f>
        <v>42270</v>
      </c>
      <c r="D1766" s="183" t="s">
        <v>1319</v>
      </c>
      <c r="E1766" s="190">
        <v>42270</v>
      </c>
      <c r="F1766" s="188" t="s">
        <v>1320</v>
      </c>
      <c r="G1766" s="482" t="s">
        <v>332</v>
      </c>
      <c r="H1766" s="7" t="s">
        <v>950</v>
      </c>
      <c r="I1766" s="255"/>
      <c r="J1766" s="255"/>
      <c r="K1766" s="593">
        <v>24115366</v>
      </c>
      <c r="L1766" s="594" t="s">
        <v>24</v>
      </c>
      <c r="M1766" s="594" t="s">
        <v>259</v>
      </c>
      <c r="N1766" s="52" t="str">
        <f>IF(AND('331-CT'!$E$7=TH!H1766,OR(L1766="331",M1766="331")),"331",IF(AND(OR(L1766="131",M1766="131"),H1766='131-CT'!$E$7),"131",""))</f>
        <v/>
      </c>
      <c r="O1766" s="86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799"/>
    </row>
    <row r="1767" spans="1:27" s="210" customFormat="1" ht="15.75" customHeight="1">
      <c r="A1767" s="203" t="str">
        <f>IF(B1767&lt;&gt;"",IF(AND(B1767&gt;=_TM1,B1767&lt;=_TM2,OR(TH!L1767="1111",TH!M1767="1111")),TH!D1767,""),"")</f>
        <v/>
      </c>
      <c r="B1767" s="36">
        <f>IF(C1767&lt;&gt;"",MONTH(C1767),"")</f>
        <v>9</v>
      </c>
      <c r="C1767" s="183">
        <f>E1767</f>
        <v>42271</v>
      </c>
      <c r="D1767" s="183" t="s">
        <v>1324</v>
      </c>
      <c r="E1767" s="190">
        <v>42271</v>
      </c>
      <c r="F1767" s="296" t="s">
        <v>1326</v>
      </c>
      <c r="G1767" s="482" t="s">
        <v>332</v>
      </c>
      <c r="H1767" s="7" t="s">
        <v>1504</v>
      </c>
      <c r="I1767" s="255"/>
      <c r="J1767" s="255"/>
      <c r="K1767" s="593">
        <v>30000000</v>
      </c>
      <c r="L1767" s="594" t="s">
        <v>8</v>
      </c>
      <c r="M1767" s="594" t="s">
        <v>24</v>
      </c>
      <c r="N1767" s="52" t="str">
        <f>IF(AND('331-CT'!$E$7=TH!H1767,OR(L1767="331",M1767="331")),"331",IF(AND(OR(L1767="131",M1767="131"),H1767='131-CT'!$E$7),"131",""))</f>
        <v/>
      </c>
      <c r="O1767" s="86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799"/>
    </row>
    <row r="1768" spans="1:27" s="210" customFormat="1" ht="15.75" customHeight="1">
      <c r="A1768" s="203" t="str">
        <f>IF(B1768&lt;&gt;"",IF(AND(B1768&gt;=_TM1,B1768&lt;=_TM2,OR(TH!L1768="1111",TH!M1768="1111")),TH!D1768,""),"")</f>
        <v/>
      </c>
      <c r="B1768" s="36">
        <f>IF(C1768&lt;&gt;"",MONTH(C1768),"")</f>
        <v>9</v>
      </c>
      <c r="C1768" s="183">
        <f>E1768</f>
        <v>42271</v>
      </c>
      <c r="D1768" s="183" t="s">
        <v>1324</v>
      </c>
      <c r="E1768" s="190">
        <v>42271</v>
      </c>
      <c r="F1768" s="188" t="s">
        <v>1327</v>
      </c>
      <c r="G1768" s="482" t="s">
        <v>332</v>
      </c>
      <c r="H1768" s="7"/>
      <c r="I1768" s="255"/>
      <c r="J1768" s="255"/>
      <c r="K1768" s="593">
        <v>20000</v>
      </c>
      <c r="L1768" s="594" t="s">
        <v>83</v>
      </c>
      <c r="M1768" s="594" t="s">
        <v>24</v>
      </c>
      <c r="N1768" s="52" t="str">
        <f>IF(AND('331-CT'!$E$7=TH!H1768,OR(L1768="331",M1768="331")),"331",IF(AND(OR(L1768="131",M1768="131"),H1768='131-CT'!$E$7),"131",""))</f>
        <v/>
      </c>
      <c r="O1768" s="86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52" t="str">
        <f>IF(OR(TH!L1768=TH!$V$7,M1768=TH!$V$7),"x","")</f>
        <v>x</v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799"/>
    </row>
    <row r="1769" spans="1:27" s="210" customFormat="1" ht="15.75" customHeight="1">
      <c r="A1769" s="203" t="str">
        <f>IF(B1769&lt;&gt;"",IF(AND(B1769&gt;=_TM1,B1769&lt;=_TM2,OR(TH!L1769="1111",TH!M1769="1111")),TH!D1769,""),"")</f>
        <v/>
      </c>
      <c r="B1769" s="36">
        <f>IF(C1769&lt;&gt;"",MONTH(C1769),"")</f>
        <v>9</v>
      </c>
      <c r="C1769" s="183">
        <f>E1769</f>
        <v>42271</v>
      </c>
      <c r="D1769" s="190" t="s">
        <v>2020</v>
      </c>
      <c r="E1769" s="190">
        <v>42271</v>
      </c>
      <c r="F1769" s="188" t="s">
        <v>1380</v>
      </c>
      <c r="G1769" s="481" t="s">
        <v>1500</v>
      </c>
      <c r="H1769" s="7" t="s">
        <v>1491</v>
      </c>
      <c r="I1769" s="255">
        <v>7534</v>
      </c>
      <c r="J1769" s="255">
        <v>7600</v>
      </c>
      <c r="K1769" s="593">
        <f>ROUND(I1769*J1769,0)</f>
        <v>57258400</v>
      </c>
      <c r="L1769" s="594" t="s">
        <v>159</v>
      </c>
      <c r="M1769" s="594" t="s">
        <v>8</v>
      </c>
      <c r="N1769" s="52" t="str">
        <f>IF(AND('331-CT'!$E$7=TH!H1769,OR(L1769="331",M1769="331")),"331",IF(AND(OR(L1769="131",M1769="131"),H1769='131-CT'!$E$7),"131",""))</f>
        <v/>
      </c>
      <c r="O1769" s="86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>x</v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799"/>
    </row>
    <row r="1770" spans="1:27" s="210" customFormat="1" ht="15.75" customHeight="1">
      <c r="A1770" s="203" t="str">
        <f>IF(B1770&lt;&gt;"",IF(AND(B1770&gt;=_TM1,B1770&lt;=_TM2,OR(TH!L1770="1111",TH!M1770="1111")),TH!D1770,""),"")</f>
        <v/>
      </c>
      <c r="B1770" s="36">
        <f>IF(C1770&lt;&gt;"",MONTH(C1770),"")</f>
        <v>9</v>
      </c>
      <c r="C1770" s="183">
        <f>E1770</f>
        <v>42271</v>
      </c>
      <c r="D1770" s="190" t="s">
        <v>2020</v>
      </c>
      <c r="E1770" s="190">
        <v>42271</v>
      </c>
      <c r="F1770" s="188" t="s">
        <v>731</v>
      </c>
      <c r="G1770" s="481" t="s">
        <v>1500</v>
      </c>
      <c r="H1770" s="7" t="s">
        <v>1491</v>
      </c>
      <c r="I1770" s="750"/>
      <c r="J1770" s="255"/>
      <c r="K1770" s="593">
        <v>5725840</v>
      </c>
      <c r="L1770" s="594" t="s">
        <v>9</v>
      </c>
      <c r="M1770" s="594" t="s">
        <v>8</v>
      </c>
      <c r="N1770" s="52" t="str">
        <f>IF(AND('331-CT'!$E$7=TH!H1770,OR(L1770="331",M1770="331")),"331",IF(AND(OR(L1770="131",M1770="131"),H1770='131-CT'!$E$7),"131",""))</f>
        <v/>
      </c>
      <c r="O1770" s="86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799"/>
    </row>
    <row r="1771" spans="1:27" s="210" customFormat="1" ht="15.75" customHeight="1">
      <c r="A1771" s="203" t="str">
        <f>IF(B1771&lt;&gt;"",IF(AND(B1771&gt;=_TM1,B1771&lt;=_TM2,OR(TH!L1771="1111",TH!M1771="1111")),TH!D1771,""),"")</f>
        <v/>
      </c>
      <c r="B1771" s="36">
        <f>IF(C1771&lt;&gt;"",MONTH(C1771),"")</f>
        <v>9</v>
      </c>
      <c r="C1771" s="183">
        <f>E1771</f>
        <v>42272</v>
      </c>
      <c r="D1771" s="183" t="s">
        <v>1319</v>
      </c>
      <c r="E1771" s="190">
        <v>42272</v>
      </c>
      <c r="F1771" s="188" t="s">
        <v>1320</v>
      </c>
      <c r="G1771" s="482" t="s">
        <v>332</v>
      </c>
      <c r="H1771" s="7" t="s">
        <v>473</v>
      </c>
      <c r="I1771" s="255"/>
      <c r="J1771" s="255"/>
      <c r="K1771" s="593">
        <v>15492400</v>
      </c>
      <c r="L1771" s="594" t="s">
        <v>24</v>
      </c>
      <c r="M1771" s="594" t="s">
        <v>259</v>
      </c>
      <c r="N1771" s="52" t="str">
        <f>IF(AND('331-CT'!$E$7=TH!H1771,OR(L1771="331",M1771="331")),"331",IF(AND(OR(L1771="131",M1771="131"),H1771='131-CT'!$E$7),"131",""))</f>
        <v/>
      </c>
      <c r="O1771" s="86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799"/>
    </row>
    <row r="1772" spans="1:27" s="210" customFormat="1" ht="15.75" customHeight="1">
      <c r="A1772" s="203" t="str">
        <f>IF(B1772&lt;&gt;"",IF(AND(B1772&gt;=_TM1,B1772&lt;=_TM2,OR(TH!L1772="1111",TH!M1772="1111")),TH!D1772,""),"")</f>
        <v/>
      </c>
      <c r="B1772" s="36">
        <f>IF(C1772&lt;&gt;"",MONTH(C1772),"")</f>
        <v>9</v>
      </c>
      <c r="C1772" s="183">
        <f>E1772</f>
        <v>42272</v>
      </c>
      <c r="D1772" s="183" t="s">
        <v>1319</v>
      </c>
      <c r="E1772" s="190">
        <v>42272</v>
      </c>
      <c r="F1772" s="188" t="s">
        <v>1321</v>
      </c>
      <c r="G1772" s="482" t="s">
        <v>332</v>
      </c>
      <c r="H1772" s="7"/>
      <c r="I1772" s="255"/>
      <c r="J1772" s="255"/>
      <c r="K1772" s="593">
        <v>8678</v>
      </c>
      <c r="L1772" s="594" t="s">
        <v>24</v>
      </c>
      <c r="M1772" s="594" t="s">
        <v>40</v>
      </c>
      <c r="N1772" s="52" t="str">
        <f>IF(AND('331-CT'!$E$7=TH!H1772,OR(L1772="331",M1772="331")),"331",IF(AND(OR(L1772="131",M1772="131"),H1772='131-CT'!$E$7),"131",""))</f>
        <v/>
      </c>
      <c r="O1772" s="86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>x</v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799"/>
    </row>
    <row r="1773" spans="1:27" s="210" customFormat="1" ht="15.75" customHeight="1">
      <c r="A1773" s="203" t="str">
        <f>IF(B1773&lt;&gt;"",IF(AND(B1773&gt;=_TM1,B1773&lt;=_TM2,OR(TH!L1773="1111",TH!M1773="1111")),TH!D1773,""),"")</f>
        <v/>
      </c>
      <c r="B1773" s="36">
        <f>IF(C1773&lt;&gt;"",MONTH(C1773),"")</f>
        <v>9</v>
      </c>
      <c r="C1773" s="183">
        <f>E1773</f>
        <v>42272</v>
      </c>
      <c r="D1773" s="190" t="s">
        <v>2020</v>
      </c>
      <c r="E1773" s="727">
        <v>42272</v>
      </c>
      <c r="F1773" s="188" t="s">
        <v>1380</v>
      </c>
      <c r="G1773" s="481" t="s">
        <v>1492</v>
      </c>
      <c r="H1773" s="7" t="s">
        <v>1491</v>
      </c>
      <c r="I1773" s="750">
        <v>8843</v>
      </c>
      <c r="J1773" s="255">
        <v>7600</v>
      </c>
      <c r="K1773" s="593">
        <f>ROUND(I1773*J1773,0)</f>
        <v>67206800</v>
      </c>
      <c r="L1773" s="594" t="s">
        <v>159</v>
      </c>
      <c r="M1773" s="594" t="s">
        <v>8</v>
      </c>
      <c r="N1773" s="52" t="str">
        <f>IF(AND('331-CT'!$E$7=TH!H1773,OR(L1773="331",M1773="331")),"331",IF(AND(OR(L1773="131",M1773="131"),H1773='131-CT'!$E$7),"131",""))</f>
        <v/>
      </c>
      <c r="O1773" s="86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>x</v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799"/>
    </row>
    <row r="1774" spans="1:27" s="210" customFormat="1" ht="15.75" customHeight="1">
      <c r="A1774" s="203" t="str">
        <f>IF(B1774&lt;&gt;"",IF(AND(B1774&gt;=_TM1,B1774&lt;=_TM2,OR(TH!L1774="1111",TH!M1774="1111")),TH!D1774,""),"")</f>
        <v/>
      </c>
      <c r="B1774" s="36">
        <f>IF(C1774&lt;&gt;"",MONTH(C1774),"")</f>
        <v>9</v>
      </c>
      <c r="C1774" s="183">
        <f>E1774</f>
        <v>42272</v>
      </c>
      <c r="D1774" s="190" t="s">
        <v>2020</v>
      </c>
      <c r="E1774" s="727">
        <v>42272</v>
      </c>
      <c r="F1774" s="188" t="s">
        <v>731</v>
      </c>
      <c r="G1774" s="481" t="s">
        <v>1492</v>
      </c>
      <c r="H1774" s="7" t="s">
        <v>1491</v>
      </c>
      <c r="I1774" s="750"/>
      <c r="J1774" s="255"/>
      <c r="K1774" s="593">
        <v>6720680</v>
      </c>
      <c r="L1774" s="594" t="s">
        <v>9</v>
      </c>
      <c r="M1774" s="594" t="s">
        <v>8</v>
      </c>
      <c r="N1774" s="52" t="str">
        <f>IF(AND('331-CT'!$E$7=TH!H1774,OR(L1774="331",M1774="331")),"331",IF(AND(OR(L1774="131",M1774="131"),H1774='131-CT'!$E$7),"131",""))</f>
        <v/>
      </c>
      <c r="O1774" s="86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799"/>
    </row>
    <row r="1775" spans="1:27" s="210" customFormat="1" ht="15.75" customHeight="1">
      <c r="A1775" s="203" t="str">
        <f>IF(B1775&lt;&gt;"",IF(AND(B1775&gt;=_TM1,B1775&lt;=_TM2,OR(TH!L1775="1111",TH!M1775="1111")),TH!D1775,""),"")</f>
        <v/>
      </c>
      <c r="B1775" s="36">
        <f>IF(C1775&lt;&gt;"",MONTH(C1775),"")</f>
        <v>9</v>
      </c>
      <c r="C1775" s="183">
        <f>E1775</f>
        <v>42273</v>
      </c>
      <c r="D1775" s="183" t="s">
        <v>1319</v>
      </c>
      <c r="E1775" s="190">
        <v>42273</v>
      </c>
      <c r="F1775" s="188" t="s">
        <v>1323</v>
      </c>
      <c r="G1775" s="482" t="s">
        <v>332</v>
      </c>
      <c r="H1775" s="7" t="s">
        <v>1331</v>
      </c>
      <c r="I1775" s="255"/>
      <c r="J1775" s="255"/>
      <c r="K1775" s="593">
        <v>1400000</v>
      </c>
      <c r="L1775" s="594" t="s">
        <v>24</v>
      </c>
      <c r="M1775" s="594" t="s">
        <v>47</v>
      </c>
      <c r="N1775" s="52" t="str">
        <f>IF(AND('331-CT'!$E$7=TH!H1775,OR(L1775="331",M1775="331")),"331",IF(AND(OR(L1775="131",M1775="131"),H1775='131-CT'!$E$7),"131",""))</f>
        <v/>
      </c>
      <c r="O1775" s="86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>x</v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799"/>
    </row>
    <row r="1776" spans="1:27" s="210" customFormat="1" ht="15.75" customHeight="1">
      <c r="A1776" s="203" t="str">
        <f>IF(B1776&lt;&gt;"",IF(AND(B1776&gt;=_TM1,B1776&lt;=_TM2,OR(TH!L1776="1111",TH!M1776="1111")),TH!D1776,""),"")</f>
        <v/>
      </c>
      <c r="B1776" s="36">
        <f>IF(C1776&lt;&gt;"",MONTH(C1776),"")</f>
        <v>9</v>
      </c>
      <c r="C1776" s="183">
        <f>E1776</f>
        <v>42273</v>
      </c>
      <c r="D1776" s="183" t="s">
        <v>1324</v>
      </c>
      <c r="E1776" s="190">
        <v>42273</v>
      </c>
      <c r="F1776" s="296" t="s">
        <v>1326</v>
      </c>
      <c r="G1776" s="482" t="s">
        <v>332</v>
      </c>
      <c r="H1776" s="831" t="s">
        <v>1356</v>
      </c>
      <c r="I1776" s="255"/>
      <c r="J1776" s="255"/>
      <c r="K1776" s="593">
        <v>20000000</v>
      </c>
      <c r="L1776" s="594" t="s">
        <v>8</v>
      </c>
      <c r="M1776" s="594" t="s">
        <v>24</v>
      </c>
      <c r="N1776" s="52" t="str">
        <f>IF(AND('331-CT'!$E$7=TH!H1776,OR(L1776="331",M1776="331")),"331",IF(AND(OR(L1776="131",M1776="131"),H1776='131-CT'!$E$7),"131",""))</f>
        <v/>
      </c>
      <c r="O1776" s="86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799"/>
    </row>
    <row r="1777" spans="1:28" s="210" customFormat="1" ht="15.75" customHeight="1">
      <c r="A1777" s="203" t="str">
        <f>IF(B1777&lt;&gt;"",IF(AND(B1777&gt;=_TM1,B1777&lt;=_TM2,OR(TH!L1777="1111",TH!M1777="1111")),TH!D1777,""),"")</f>
        <v/>
      </c>
      <c r="B1777" s="36">
        <f>IF(C1777&lt;&gt;"",MONTH(C1777),"")</f>
        <v>9</v>
      </c>
      <c r="C1777" s="183">
        <f>E1777</f>
        <v>42273</v>
      </c>
      <c r="D1777" s="183" t="s">
        <v>1324</v>
      </c>
      <c r="E1777" s="190">
        <v>42273</v>
      </c>
      <c r="F1777" s="188" t="s">
        <v>1327</v>
      </c>
      <c r="G1777" s="482" t="s">
        <v>332</v>
      </c>
      <c r="H1777" s="7"/>
      <c r="I1777" s="255"/>
      <c r="J1777" s="255"/>
      <c r="K1777" s="593">
        <v>15000</v>
      </c>
      <c r="L1777" s="594" t="s">
        <v>83</v>
      </c>
      <c r="M1777" s="594" t="s">
        <v>24</v>
      </c>
      <c r="N1777" s="52" t="str">
        <f>IF(AND('331-CT'!$E$7=TH!H1777,OR(L1777="331",M1777="331")),"331",IF(AND(OR(L1777="131",M1777="131"),H1777='131-CT'!$E$7),"131",""))</f>
        <v/>
      </c>
      <c r="O1777" s="86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52" t="str">
        <f>IF(OR(TH!L1777=TH!$V$7,M1777=TH!$V$7),"x","")</f>
        <v>x</v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799"/>
    </row>
    <row r="1778" spans="1:28" s="210" customFormat="1" ht="15.75" customHeight="1">
      <c r="A1778" s="203" t="str">
        <f>IF(B1778&lt;&gt;"",IF(AND(B1778&gt;=_TM1,B1778&lt;=_TM2,OR(TH!L1778="1111",TH!M1778="1111")),TH!D1778,""),"")</f>
        <v/>
      </c>
      <c r="B1778" s="36">
        <f>IF(C1778&lt;&gt;"",MONTH(C1778),"")</f>
        <v>9</v>
      </c>
      <c r="C1778" s="183">
        <f>E1778</f>
        <v>42273</v>
      </c>
      <c r="D1778" s="183" t="s">
        <v>1324</v>
      </c>
      <c r="E1778" s="190">
        <v>42273</v>
      </c>
      <c r="F1778" s="188" t="s">
        <v>1338</v>
      </c>
      <c r="G1778" s="482" t="s">
        <v>332</v>
      </c>
      <c r="H1778" s="7"/>
      <c r="I1778" s="255"/>
      <c r="J1778" s="255"/>
      <c r="K1778" s="593">
        <v>15000</v>
      </c>
      <c r="L1778" s="594" t="s">
        <v>83</v>
      </c>
      <c r="M1778" s="594" t="s">
        <v>24</v>
      </c>
      <c r="N1778" s="52" t="str">
        <f>IF(AND('331-CT'!$E$7=TH!H1778,OR(L1778="331",M1778="331")),"331",IF(AND(OR(L1778="131",M1778="131"),H1778='131-CT'!$E$7),"131",""))</f>
        <v/>
      </c>
      <c r="O1778" s="86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52" t="str">
        <f>IF(OR(TH!L1778=TH!$V$7,M1778=TH!$V$7),"x","")</f>
        <v>x</v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799"/>
    </row>
    <row r="1779" spans="1:28" s="210" customFormat="1" ht="15.75" customHeight="1">
      <c r="A1779" s="203" t="str">
        <f>IF(B1779&lt;&gt;"",IF(AND(B1779&gt;=_TM1,B1779&lt;=_TM2,OR(TH!L1779="1111",TH!M1779="1111")),TH!D1779,""),"")</f>
        <v/>
      </c>
      <c r="B1779" s="36">
        <f>IF(C1779&lt;&gt;"",MONTH(C1779),"")</f>
        <v>9</v>
      </c>
      <c r="C1779" s="183">
        <f>E1779</f>
        <v>42275</v>
      </c>
      <c r="D1779" s="183" t="s">
        <v>1623</v>
      </c>
      <c r="E1779" s="37">
        <v>42275</v>
      </c>
      <c r="F1779" s="188" t="s">
        <v>1948</v>
      </c>
      <c r="G1779" s="40" t="s">
        <v>1054</v>
      </c>
      <c r="H1779" s="7" t="s">
        <v>957</v>
      </c>
      <c r="I1779" s="255">
        <v>44</v>
      </c>
      <c r="J1779" s="255">
        <v>12400</v>
      </c>
      <c r="K1779" s="593">
        <f>ROUND(I1779*J1779,0)</f>
        <v>545600</v>
      </c>
      <c r="L1779" s="594" t="s">
        <v>259</v>
      </c>
      <c r="M1779" s="594" t="s">
        <v>174</v>
      </c>
      <c r="N1779" s="52" t="str">
        <f>IF(AND('331-CT'!$E$7=TH!H1779,OR(L1779="331",M1779="331")),"331",IF(AND(OR(L1779="131",M1779="131"),H1779='131-CT'!$E$7),"131",""))</f>
        <v/>
      </c>
      <c r="O1779" s="86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799"/>
    </row>
    <row r="1780" spans="1:28" s="210" customFormat="1" ht="15.75" customHeight="1">
      <c r="A1780" s="203" t="str">
        <f>IF(B1780&lt;&gt;"",IF(AND(B1780&gt;=_TM1,B1780&lt;=_TM2,OR(TH!L1780="1111",TH!M1780="1111")),TH!D1780,""),"")</f>
        <v/>
      </c>
      <c r="B1780" s="36">
        <f>IF(C1780&lt;&gt;"",MONTH(C1780),"")</f>
        <v>9</v>
      </c>
      <c r="C1780" s="183">
        <f>E1780</f>
        <v>42275</v>
      </c>
      <c r="D1780" s="183" t="s">
        <v>1623</v>
      </c>
      <c r="E1780" s="37">
        <v>42275</v>
      </c>
      <c r="F1780" s="188" t="s">
        <v>2009</v>
      </c>
      <c r="G1780" s="40" t="s">
        <v>1054</v>
      </c>
      <c r="H1780" s="7" t="s">
        <v>957</v>
      </c>
      <c r="I1780" s="255">
        <v>44</v>
      </c>
      <c r="J1780" s="255">
        <v>10900</v>
      </c>
      <c r="K1780" s="593">
        <f>ROUND(I1780*J1780,0)</f>
        <v>479600</v>
      </c>
      <c r="L1780" s="594" t="s">
        <v>259</v>
      </c>
      <c r="M1780" s="594" t="s">
        <v>174</v>
      </c>
      <c r="N1780" s="52" t="str">
        <f>IF(AND('331-CT'!$E$7=TH!H1780,OR(L1780="331",M1780="331")),"331",IF(AND(OR(L1780="131",M1780="131"),H1780='131-CT'!$E$7),"131",""))</f>
        <v/>
      </c>
      <c r="O1780" s="86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799"/>
    </row>
    <row r="1781" spans="1:28" s="210" customFormat="1" ht="15.75" customHeight="1">
      <c r="A1781" s="203" t="str">
        <f>IF(B1781&lt;&gt;"",IF(AND(B1781&gt;=_TM1,B1781&lt;=_TM2,OR(TH!L1781="1111",TH!M1781="1111")),TH!D1781,""),"")</f>
        <v/>
      </c>
      <c r="B1781" s="36">
        <f>IF(C1781&lt;&gt;"",MONTH(C1781),"")</f>
        <v>9</v>
      </c>
      <c r="C1781" s="183">
        <f>E1781</f>
        <v>42275</v>
      </c>
      <c r="D1781" s="183" t="s">
        <v>1623</v>
      </c>
      <c r="E1781" s="37">
        <v>42275</v>
      </c>
      <c r="F1781" s="188" t="s">
        <v>1949</v>
      </c>
      <c r="G1781" s="40" t="s">
        <v>1054</v>
      </c>
      <c r="H1781" s="7" t="s">
        <v>957</v>
      </c>
      <c r="I1781" s="255">
        <v>44</v>
      </c>
      <c r="J1781" s="255">
        <v>14200</v>
      </c>
      <c r="K1781" s="593">
        <f>ROUND(I1781*J1781,0)</f>
        <v>624800</v>
      </c>
      <c r="L1781" s="594" t="s">
        <v>259</v>
      </c>
      <c r="M1781" s="594" t="s">
        <v>174</v>
      </c>
      <c r="N1781" s="52" t="str">
        <f>IF(AND('331-CT'!$E$7=TH!H1781,OR(L1781="331",M1781="331")),"331",IF(AND(OR(L1781="131",M1781="131"),H1781='131-CT'!$E$7),"131",""))</f>
        <v/>
      </c>
      <c r="O1781" s="86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799"/>
    </row>
    <row r="1782" spans="1:28" s="210" customFormat="1" ht="15.75" customHeight="1">
      <c r="A1782" s="203" t="str">
        <f>IF(B1782&lt;&gt;"",IF(AND(B1782&gt;=_TM1,B1782&lt;=_TM2,OR(TH!L1782="1111",TH!M1782="1111")),TH!D1782,""),"")</f>
        <v/>
      </c>
      <c r="B1782" s="36">
        <f>IF(C1782&lt;&gt;"",MONTH(C1782),"")</f>
        <v>9</v>
      </c>
      <c r="C1782" s="183">
        <f>E1782</f>
        <v>42275</v>
      </c>
      <c r="D1782" s="183" t="s">
        <v>1623</v>
      </c>
      <c r="E1782" s="37">
        <v>42275</v>
      </c>
      <c r="F1782" s="40" t="s">
        <v>402</v>
      </c>
      <c r="G1782" s="40" t="s">
        <v>1054</v>
      </c>
      <c r="H1782" s="7" t="s">
        <v>957</v>
      </c>
      <c r="I1782" s="255"/>
      <c r="J1782" s="255"/>
      <c r="K1782" s="593">
        <v>165000</v>
      </c>
      <c r="L1782" s="594" t="s">
        <v>259</v>
      </c>
      <c r="M1782" s="594" t="s">
        <v>371</v>
      </c>
      <c r="N1782" s="52" t="str">
        <f>IF(AND('331-CT'!$E$7=TH!H1782,OR(L1782="331",M1782="331")),"331",IF(AND(OR(L1782="131",M1782="131"),H1782='131-CT'!$E$7),"131",""))</f>
        <v/>
      </c>
      <c r="O1782" s="86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799"/>
    </row>
    <row r="1783" spans="1:28" s="210" customFormat="1" ht="15.75" customHeight="1">
      <c r="A1783" s="203" t="str">
        <f>IF(B1783&lt;&gt;"",IF(AND(B1783&gt;=_TM1,B1783&lt;=_TM2,OR(TH!L1783="1111",TH!M1783="1111")),TH!D1783,""),"")</f>
        <v/>
      </c>
      <c r="B1783" s="36">
        <f>IF(C1783&lt;&gt;"",MONTH(C1783),"")</f>
        <v>9</v>
      </c>
      <c r="C1783" s="183">
        <f>E1783</f>
        <v>42275</v>
      </c>
      <c r="D1783" s="183" t="s">
        <v>1319</v>
      </c>
      <c r="E1783" s="190">
        <v>42275</v>
      </c>
      <c r="F1783" s="188" t="s">
        <v>1320</v>
      </c>
      <c r="G1783" s="482" t="s">
        <v>332</v>
      </c>
      <c r="H1783" s="7" t="s">
        <v>957</v>
      </c>
      <c r="I1783" s="255"/>
      <c r="J1783" s="255"/>
      <c r="K1783" s="593">
        <v>2495900</v>
      </c>
      <c r="L1783" s="594" t="s">
        <v>24</v>
      </c>
      <c r="M1783" s="594" t="s">
        <v>259</v>
      </c>
      <c r="N1783" s="52" t="str">
        <f>IF(AND('331-CT'!$E$7=TH!H1783,OR(L1783="331",M1783="331")),"331",IF(AND(OR(L1783="131",M1783="131"),H1783='131-CT'!$E$7),"131",""))</f>
        <v/>
      </c>
      <c r="O1783" s="86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>x</v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799"/>
    </row>
    <row r="1784" spans="1:28" s="210" customFormat="1" ht="15.75" customHeight="1">
      <c r="A1784" s="203" t="str">
        <f>IF(B1784&lt;&gt;"",IF(AND(B1784&gt;=_TM1,B1784&lt;=_TM2,OR(TH!L1784="1111",TH!M1784="1111")),TH!D1784,""),"")</f>
        <v/>
      </c>
      <c r="B1784" s="36">
        <f>IF(C1784&lt;&gt;"",MONTH(C1784),"")</f>
        <v>9</v>
      </c>
      <c r="C1784" s="183">
        <f>E1784</f>
        <v>42276</v>
      </c>
      <c r="D1784" s="183" t="s">
        <v>1624</v>
      </c>
      <c r="E1784" s="740">
        <v>42276</v>
      </c>
      <c r="F1784" s="191" t="s">
        <v>494</v>
      </c>
      <c r="G1784" s="482" t="s">
        <v>1055</v>
      </c>
      <c r="H1784" s="7" t="s">
        <v>834</v>
      </c>
      <c r="I1784" s="256">
        <v>1018</v>
      </c>
      <c r="J1784" s="256">
        <v>5900</v>
      </c>
      <c r="K1784" s="593">
        <f>ROUND(I1784*J1784,0)</f>
        <v>6006200</v>
      </c>
      <c r="L1784" s="594" t="s">
        <v>259</v>
      </c>
      <c r="M1784" s="594" t="s">
        <v>174</v>
      </c>
      <c r="N1784" s="52" t="str">
        <f>IF(AND('331-CT'!$E$7=TH!H1784,OR(L1784="331",M1784="331")),"331",IF(AND(OR(L1784="131",M1784="131"),H1784='131-CT'!$E$7),"131",""))</f>
        <v/>
      </c>
      <c r="O1784" s="86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799"/>
    </row>
    <row r="1785" spans="1:28" s="210" customFormat="1" ht="15.75" customHeight="1">
      <c r="A1785" s="203" t="str">
        <f>IF(B1785&lt;&gt;"",IF(AND(B1785&gt;=_TM1,B1785&lt;=_TM2,OR(TH!L1785="1111",TH!M1785="1111")),TH!D1785,""),"")</f>
        <v/>
      </c>
      <c r="B1785" s="36">
        <f>IF(C1785&lt;&gt;"",MONTH(C1785),"")</f>
        <v>9</v>
      </c>
      <c r="C1785" s="183">
        <f>E1785</f>
        <v>42276</v>
      </c>
      <c r="D1785" s="183" t="s">
        <v>1624</v>
      </c>
      <c r="E1785" s="740">
        <v>42276</v>
      </c>
      <c r="F1785" s="188" t="s">
        <v>682</v>
      </c>
      <c r="G1785" s="482" t="s">
        <v>1055</v>
      </c>
      <c r="H1785" s="7" t="s">
        <v>834</v>
      </c>
      <c r="I1785" s="255">
        <v>400</v>
      </c>
      <c r="J1785" s="255">
        <v>4900</v>
      </c>
      <c r="K1785" s="593">
        <f>ROUND(I1785*J1785,0)</f>
        <v>1960000</v>
      </c>
      <c r="L1785" s="594" t="s">
        <v>259</v>
      </c>
      <c r="M1785" s="594" t="s">
        <v>174</v>
      </c>
      <c r="N1785" s="52" t="str">
        <f>IF(AND('331-CT'!$E$7=TH!H1785,OR(L1785="331",M1785="331")),"331",IF(AND(OR(L1785="131",M1785="131"),H1785='131-CT'!$E$7),"131",""))</f>
        <v/>
      </c>
      <c r="O1785" s="86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799"/>
    </row>
    <row r="1786" spans="1:28" s="210" customFormat="1" ht="15.75" customHeight="1">
      <c r="A1786" s="203" t="str">
        <f>IF(B1786&lt;&gt;"",IF(AND(B1786&gt;=_TM1,B1786&lt;=_TM2,OR(TH!L1786="1111",TH!M1786="1111")),TH!D1786,""),"")</f>
        <v/>
      </c>
      <c r="B1786" s="36">
        <f>IF(C1786&lt;&gt;"",MONTH(C1786),"")</f>
        <v>9</v>
      </c>
      <c r="C1786" s="183">
        <f>E1786</f>
        <v>42276</v>
      </c>
      <c r="D1786" s="183" t="s">
        <v>1624</v>
      </c>
      <c r="E1786" s="740">
        <v>42276</v>
      </c>
      <c r="F1786" s="188" t="s">
        <v>402</v>
      </c>
      <c r="G1786" s="482" t="s">
        <v>1055</v>
      </c>
      <c r="H1786" s="7" t="s">
        <v>834</v>
      </c>
      <c r="I1786" s="255"/>
      <c r="J1786" s="255"/>
      <c r="K1786" s="38">
        <v>796620</v>
      </c>
      <c r="L1786" s="594" t="s">
        <v>259</v>
      </c>
      <c r="M1786" s="594" t="s">
        <v>371</v>
      </c>
      <c r="N1786" s="52" t="str">
        <f>IF(AND('331-CT'!$E$7=TH!H1786,OR(L1786="331",M1786="331")),"331",IF(AND(OR(L1786="131",M1786="131"),H1786='131-CT'!$E$7),"131",""))</f>
        <v/>
      </c>
      <c r="O1786" s="86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799"/>
    </row>
    <row r="1787" spans="1:28" s="210" customFormat="1" ht="15.75" customHeight="1">
      <c r="A1787" s="203" t="str">
        <f>IF(B1787&lt;&gt;"",IF(AND(B1787&gt;=_TM1,B1787&lt;=_TM2,OR(TH!L1787="1111",TH!M1787="1111")),TH!D1787,""),"")</f>
        <v/>
      </c>
      <c r="B1787" s="36">
        <f>IF(C1787&lt;&gt;"",MONTH(C1787),"")</f>
        <v>9</v>
      </c>
      <c r="C1787" s="183">
        <f>E1787</f>
        <v>42276</v>
      </c>
      <c r="D1787" s="183" t="s">
        <v>1624</v>
      </c>
      <c r="E1787" s="740">
        <v>42276</v>
      </c>
      <c r="F1787" s="191" t="s">
        <v>1320</v>
      </c>
      <c r="G1787" s="482" t="s">
        <v>2051</v>
      </c>
      <c r="H1787" s="7" t="s">
        <v>834</v>
      </c>
      <c r="I1787" s="255"/>
      <c r="J1787" s="255"/>
      <c r="K1787" s="38">
        <f>7956740+8762820</f>
        <v>16719560</v>
      </c>
      <c r="L1787" s="594" t="s">
        <v>47</v>
      </c>
      <c r="M1787" s="594" t="s">
        <v>259</v>
      </c>
      <c r="N1787" s="52" t="str">
        <f>IF(AND('331-CT'!$E$7=TH!H1787,OR(L1787="331",M1787="331")),"331",IF(AND(OR(L1787="131",M1787="131"),H1787='131-CT'!$E$7),"131",""))</f>
        <v/>
      </c>
      <c r="O1787" s="86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799"/>
    </row>
    <row r="1788" spans="1:28" s="210" customFormat="1" ht="15.75" customHeight="1">
      <c r="A1788" s="203" t="str">
        <f>IF(B1788&lt;&gt;"",IF(AND(B1788&gt;=_TM1,B1788&lt;=_TM2,OR(TH!L1788="1111",TH!M1788="1111")),TH!D1788,""),"")</f>
        <v/>
      </c>
      <c r="B1788" s="36">
        <f>IF(C1788&lt;&gt;"",MONTH(C1788),"")</f>
        <v>9</v>
      </c>
      <c r="C1788" s="183">
        <f>E1788</f>
        <v>42276</v>
      </c>
      <c r="D1788" s="183" t="s">
        <v>1625</v>
      </c>
      <c r="E1788" s="190">
        <v>42276</v>
      </c>
      <c r="F1788" s="191" t="s">
        <v>398</v>
      </c>
      <c r="G1788" s="482" t="s">
        <v>1056</v>
      </c>
      <c r="H1788" s="192" t="s">
        <v>400</v>
      </c>
      <c r="I1788" s="255">
        <v>1270</v>
      </c>
      <c r="J1788" s="255">
        <v>5000</v>
      </c>
      <c r="K1788" s="593">
        <f>ROUND(I1788*J1788,0)</f>
        <v>6350000</v>
      </c>
      <c r="L1788" s="594" t="s">
        <v>259</v>
      </c>
      <c r="M1788" s="594" t="s">
        <v>174</v>
      </c>
      <c r="N1788" s="52" t="str">
        <f>IF(AND('331-CT'!$E$7=TH!H1788,OR(L1788="331",M1788="331")),"331",IF(AND(OR(L1788="131",M1788="131"),H1788='131-CT'!$E$7),"131",""))</f>
        <v/>
      </c>
      <c r="O1788" s="86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799"/>
    </row>
    <row r="1789" spans="1:28" s="210" customFormat="1" ht="15.75" customHeight="1">
      <c r="A1789" s="203" t="str">
        <f>IF(B1789&lt;&gt;"",IF(AND(B1789&gt;=_TM1,B1789&lt;=_TM2,OR(TH!L1789="1111",TH!M1789="1111")),TH!D1789,""),"")</f>
        <v/>
      </c>
      <c r="B1789" s="36">
        <f>IF(C1789&lt;&gt;"",MONTH(C1789),"")</f>
        <v>9</v>
      </c>
      <c r="C1789" s="183">
        <f>E1789</f>
        <v>42276</v>
      </c>
      <c r="D1789" s="183" t="s">
        <v>1625</v>
      </c>
      <c r="E1789" s="190">
        <v>42276</v>
      </c>
      <c r="F1789" s="191" t="s">
        <v>536</v>
      </c>
      <c r="G1789" s="482" t="s">
        <v>1056</v>
      </c>
      <c r="H1789" s="192" t="s">
        <v>400</v>
      </c>
      <c r="I1789" s="255">
        <v>320</v>
      </c>
      <c r="J1789" s="255">
        <v>10670</v>
      </c>
      <c r="K1789" s="593">
        <f>ROUND(I1789*J1789,0)</f>
        <v>3414400</v>
      </c>
      <c r="L1789" s="594" t="s">
        <v>259</v>
      </c>
      <c r="M1789" s="594" t="s">
        <v>174</v>
      </c>
      <c r="N1789" s="52" t="str">
        <f>IF(AND('331-CT'!$E$7=TH!H1789,OR(L1789="331",M1789="331")),"331",IF(AND(OR(L1789="131",M1789="131"),H1789='131-CT'!$E$7),"131",""))</f>
        <v/>
      </c>
      <c r="O1789" s="86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799"/>
    </row>
    <row r="1790" spans="1:28" s="210" customFormat="1" ht="15.75" customHeight="1">
      <c r="A1790" s="203" t="str">
        <f>IF(B1790&lt;&gt;"",IF(AND(B1790&gt;=_TM1,B1790&lt;=_TM2,OR(TH!L1790="1111",TH!M1790="1111")),TH!D1790,""),"")</f>
        <v/>
      </c>
      <c r="B1790" s="36">
        <f>IF(C1790&lt;&gt;"",MONTH(C1790),"")</f>
        <v>9</v>
      </c>
      <c r="C1790" s="183">
        <f>E1790</f>
        <v>42276</v>
      </c>
      <c r="D1790" s="183" t="s">
        <v>1625</v>
      </c>
      <c r="E1790" s="190">
        <v>42276</v>
      </c>
      <c r="F1790" s="191" t="s">
        <v>402</v>
      </c>
      <c r="G1790" s="482" t="s">
        <v>1056</v>
      </c>
      <c r="H1790" s="192" t="s">
        <v>400</v>
      </c>
      <c r="I1790" s="255"/>
      <c r="J1790" s="255"/>
      <c r="K1790" s="593">
        <v>976440</v>
      </c>
      <c r="L1790" s="594" t="s">
        <v>259</v>
      </c>
      <c r="M1790" s="594" t="s">
        <v>371</v>
      </c>
      <c r="N1790" s="52" t="str">
        <f>IF(AND('331-CT'!$E$7=TH!H1790,OR(L1790="331",M1790="331")),"331",IF(AND(OR(L1790="131",M1790="131"),H1790='131-CT'!$E$7),"131",""))</f>
        <v/>
      </c>
      <c r="O1790" s="86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799"/>
    </row>
    <row r="1791" spans="1:28" s="210" customFormat="1" ht="15.75" customHeight="1">
      <c r="A1791" s="203" t="str">
        <f>IF(B1791&lt;&gt;"",IF(AND(B1791&gt;=_TM1,B1791&lt;=_TM2,OR(TH!L1791="1111",TH!M1791="1111")),TH!D1791,""),"")</f>
        <v/>
      </c>
      <c r="B1791" s="36">
        <f>IF(C1791&lt;&gt;"",MONTH(C1791),"")</f>
        <v>9</v>
      </c>
      <c r="C1791" s="888">
        <f>E1791</f>
        <v>42277</v>
      </c>
      <c r="D1791" s="888" t="s">
        <v>334</v>
      </c>
      <c r="E1791" s="888">
        <v>42277</v>
      </c>
      <c r="F1791" s="889" t="s">
        <v>1939</v>
      </c>
      <c r="G1791" s="890"/>
      <c r="H1791" s="891"/>
      <c r="I1791" s="892"/>
      <c r="J1791" s="892"/>
      <c r="K1791" s="893">
        <v>16625000</v>
      </c>
      <c r="L1791" s="894" t="s">
        <v>83</v>
      </c>
      <c r="M1791" s="894" t="s">
        <v>262</v>
      </c>
      <c r="N1791" s="52" t="str">
        <f>IF(AND('331-CT'!$E$7=TH!H1791,OR(L1791="331",M1791="331")),"331",IF(AND(OR(L1791="131",M1791="131"),H1791='131-CT'!$E$7),"131",""))</f>
        <v/>
      </c>
      <c r="O1791" s="86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>x</v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197"/>
      <c r="AB1791" s="197"/>
    </row>
    <row r="1792" spans="1:28" s="210" customFormat="1" ht="15.75" customHeight="1">
      <c r="A1792" s="203" t="str">
        <f>IF(B1792&lt;&gt;"",IF(AND(B1792&gt;=_TM1,B1792&lt;=_TM2,OR(TH!L1792="1111",TH!M1792="1111")),TH!D1792,""),"")</f>
        <v/>
      </c>
      <c r="B1792" s="36">
        <f>IF(C1792&lt;&gt;"",MONTH(C1792),"")</f>
        <v>9</v>
      </c>
      <c r="C1792" s="888">
        <f>E1792</f>
        <v>42277</v>
      </c>
      <c r="D1792" s="888" t="s">
        <v>334</v>
      </c>
      <c r="E1792" s="888">
        <v>42277</v>
      </c>
      <c r="F1792" s="889" t="s">
        <v>1940</v>
      </c>
      <c r="G1792" s="890"/>
      <c r="H1792" s="891"/>
      <c r="I1792" s="892"/>
      <c r="J1792" s="892"/>
      <c r="K1792" s="893">
        <v>34425000</v>
      </c>
      <c r="L1792" s="894" t="s">
        <v>165</v>
      </c>
      <c r="M1792" s="894" t="s">
        <v>262</v>
      </c>
      <c r="N1792" s="52" t="str">
        <f>IF(AND('331-CT'!$E$7=TH!H1792,OR(L1792="331",M1792="331")),"331",IF(AND(OR(L1792="131",M1792="131"),H1792='131-CT'!$E$7),"131",""))</f>
        <v/>
      </c>
      <c r="O1792" s="86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197"/>
      <c r="AB1792" s="197"/>
    </row>
    <row r="1793" spans="1:28" s="210" customFormat="1" ht="15.75" customHeight="1">
      <c r="A1793" s="203" t="str">
        <f>IF(B1793&lt;&gt;"",IF(AND(B1793&gt;=_TM1,B1793&lt;=_TM2,OR(TH!L1793="1111",TH!M1793="1111")),TH!D1793,""),"")</f>
        <v/>
      </c>
      <c r="B1793" s="36">
        <f>IF(C1793&lt;&gt;"",MONTH(C1793),"")</f>
        <v>9</v>
      </c>
      <c r="C1793" s="888">
        <f>E1793</f>
        <v>42277</v>
      </c>
      <c r="D1793" s="888" t="s">
        <v>334</v>
      </c>
      <c r="E1793" s="888">
        <v>42277</v>
      </c>
      <c r="F1793" s="889" t="str">
        <f>"Thanh toán tiền lương tháng "&amp;MONTH(E1793)&amp;"/"&amp;YEAR(E1793)</f>
        <v>Thanh toán tiền lương tháng 9/2015</v>
      </c>
      <c r="G1793" s="890"/>
      <c r="H1793" s="891"/>
      <c r="I1793" s="892"/>
      <c r="J1793" s="892"/>
      <c r="K1793" s="893">
        <f>K1791+K1792</f>
        <v>51050000</v>
      </c>
      <c r="L1793" s="894" t="s">
        <v>262</v>
      </c>
      <c r="M1793" s="894" t="s">
        <v>47</v>
      </c>
      <c r="N1793" s="52" t="str">
        <f>IF(AND('331-CT'!$E$7=TH!H1793,OR(L1793="331",M1793="331")),"331",IF(AND(OR(L1793="131",M1793="131"),H1793='131-CT'!$E$7),"131",""))</f>
        <v/>
      </c>
      <c r="O1793" s="86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197"/>
      <c r="AB1793" s="197"/>
    </row>
    <row r="1794" spans="1:28" s="210" customFormat="1" ht="15.75" customHeight="1">
      <c r="A1794" s="203" t="str">
        <f>IF(B1794&lt;&gt;"",IF(AND(B1794&gt;=_TM1,B1794&lt;=_TM2,OR(TH!L1794="1111",TH!M1794="1111")),TH!D1794,""),"")</f>
        <v/>
      </c>
      <c r="B1794" s="36">
        <f>IF(C1794&lt;&gt;"",MONTH(C1794),"")</f>
        <v>9</v>
      </c>
      <c r="C1794" s="183">
        <f>E1794</f>
        <v>42277</v>
      </c>
      <c r="D1794" s="183" t="s">
        <v>1626</v>
      </c>
      <c r="E1794" s="190">
        <v>42277</v>
      </c>
      <c r="F1794" s="191" t="s">
        <v>454</v>
      </c>
      <c r="G1794" s="482" t="s">
        <v>1057</v>
      </c>
      <c r="H1794" s="7" t="s">
        <v>733</v>
      </c>
      <c r="I1794" s="255">
        <v>268</v>
      </c>
      <c r="J1794" s="255">
        <v>47449</v>
      </c>
      <c r="K1794" s="593">
        <f>ROUND(I1794*J1794,0)</f>
        <v>12716332</v>
      </c>
      <c r="L1794" s="594" t="s">
        <v>259</v>
      </c>
      <c r="M1794" s="594" t="s">
        <v>174</v>
      </c>
      <c r="N1794" s="52" t="str">
        <f>IF(AND('331-CT'!$E$7=TH!H1794,OR(L1794="331",M1794="331")),"331",IF(AND(OR(L1794="131",M1794="131"),H1794='131-CT'!$E$7),"131",""))</f>
        <v/>
      </c>
      <c r="O1794" s="86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799"/>
    </row>
    <row r="1795" spans="1:28" s="210" customFormat="1" ht="15.75" customHeight="1">
      <c r="A1795" s="203" t="str">
        <f>IF(B1795&lt;&gt;"",IF(AND(B1795&gt;=_TM1,B1795&lt;=_TM2,OR(TH!L1795="1111",TH!M1795="1111")),TH!D1795,""),"")</f>
        <v/>
      </c>
      <c r="B1795" s="36">
        <f>IF(C1795&lt;&gt;"",MONTH(C1795),"")</f>
        <v>9</v>
      </c>
      <c r="C1795" s="183">
        <f>E1795</f>
        <v>42277</v>
      </c>
      <c r="D1795" s="183" t="s">
        <v>1626</v>
      </c>
      <c r="E1795" s="190">
        <v>42277</v>
      </c>
      <c r="F1795" s="191" t="s">
        <v>402</v>
      </c>
      <c r="G1795" s="482" t="s">
        <v>1057</v>
      </c>
      <c r="H1795" s="7" t="s">
        <v>733</v>
      </c>
      <c r="I1795" s="255"/>
      <c r="J1795" s="255"/>
      <c r="K1795" s="593">
        <v>1271633</v>
      </c>
      <c r="L1795" s="594" t="s">
        <v>259</v>
      </c>
      <c r="M1795" s="594" t="s">
        <v>371</v>
      </c>
      <c r="N1795" s="52" t="str">
        <f>IF(AND('331-CT'!$E$7=TH!H1795,OR(L1795="331",M1795="331")),"331",IF(AND(OR(L1795="131",M1795="131"),H1795='131-CT'!$E$7),"131",""))</f>
        <v/>
      </c>
      <c r="O1795" s="86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799"/>
    </row>
    <row r="1796" spans="1:28" s="210" customFormat="1" ht="15.75" customHeight="1">
      <c r="A1796" s="203" t="str">
        <f>IF(B1796&lt;&gt;"",IF(AND(B1796&gt;=_TM1,B1796&lt;=_TM2,OR(TH!L1796="1111",TH!M1796="1111")),TH!D1796,""),"")</f>
        <v/>
      </c>
      <c r="B1796" s="36">
        <f>IF(C1796&lt;&gt;"",MONTH(C1796),"")</f>
        <v>9</v>
      </c>
      <c r="C1796" s="183">
        <f>E1796</f>
        <v>42277</v>
      </c>
      <c r="D1796" s="183" t="s">
        <v>1626</v>
      </c>
      <c r="E1796" s="190">
        <v>42277</v>
      </c>
      <c r="F1796" s="191" t="s">
        <v>1320</v>
      </c>
      <c r="G1796" s="482" t="s">
        <v>2038</v>
      </c>
      <c r="H1796" s="7" t="s">
        <v>733</v>
      </c>
      <c r="I1796" s="255"/>
      <c r="J1796" s="255"/>
      <c r="K1796" s="593">
        <f>11848651+797828+8609805+13987965</f>
        <v>35244249</v>
      </c>
      <c r="L1796" s="594" t="s">
        <v>47</v>
      </c>
      <c r="M1796" s="594" t="s">
        <v>259</v>
      </c>
      <c r="N1796" s="52" t="str">
        <f>IF(AND('331-CT'!$E$7=TH!H1796,OR(L1796="331",M1796="331")),"331",IF(AND(OR(L1796="131",M1796="131"),H1796='131-CT'!$E$7),"131",""))</f>
        <v/>
      </c>
      <c r="O1796" s="86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799"/>
    </row>
    <row r="1797" spans="1:28" s="210" customFormat="1" ht="15.75" customHeight="1">
      <c r="A1797" s="203" t="str">
        <f>IF(B1797&lt;&gt;"",IF(AND(B1797&gt;=_TM1,B1797&lt;=_TM2,OR(TH!L1797="1111",TH!M1797="1111")),TH!D1797,""),"")</f>
        <v/>
      </c>
      <c r="B1797" s="36">
        <f>IF(C1797&lt;&gt;"",MONTH(C1797),"")</f>
        <v>9</v>
      </c>
      <c r="C1797" s="183">
        <f>E1797</f>
        <v>42277</v>
      </c>
      <c r="D1797" s="183" t="s">
        <v>1627</v>
      </c>
      <c r="E1797" s="190">
        <v>42277</v>
      </c>
      <c r="F1797" s="191" t="s">
        <v>1049</v>
      </c>
      <c r="G1797" s="482" t="s">
        <v>1058</v>
      </c>
      <c r="H1797" s="192" t="s">
        <v>1059</v>
      </c>
      <c r="I1797" s="255">
        <v>514</v>
      </c>
      <c r="J1797" s="255">
        <v>10900</v>
      </c>
      <c r="K1797" s="593">
        <f>ROUND(I1797*J1797,0)</f>
        <v>5602600</v>
      </c>
      <c r="L1797" s="594" t="s">
        <v>259</v>
      </c>
      <c r="M1797" s="594" t="s">
        <v>174</v>
      </c>
      <c r="N1797" s="52" t="str">
        <f>IF(AND('331-CT'!$E$7=TH!H1797,OR(L1797="331",M1797="331")),"331",IF(AND(OR(L1797="131",M1797="131"),H1797='131-CT'!$E$7),"131",""))</f>
        <v/>
      </c>
      <c r="O1797" s="86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799"/>
    </row>
    <row r="1798" spans="1:28" s="210" customFormat="1" ht="15.75" customHeight="1">
      <c r="A1798" s="203" t="str">
        <f>IF(B1798&lt;&gt;"",IF(AND(B1798&gt;=_TM1,B1798&lt;=_TM2,OR(TH!L1798="1111",TH!M1798="1111")),TH!D1798,""),"")</f>
        <v/>
      </c>
      <c r="B1798" s="36">
        <f>IF(C1798&lt;&gt;"",MONTH(C1798),"")</f>
        <v>9</v>
      </c>
      <c r="C1798" s="183">
        <f>E1798</f>
        <v>42277</v>
      </c>
      <c r="D1798" s="183" t="s">
        <v>1627</v>
      </c>
      <c r="E1798" s="190">
        <v>42277</v>
      </c>
      <c r="F1798" s="191" t="s">
        <v>1060</v>
      </c>
      <c r="G1798" s="482" t="s">
        <v>1058</v>
      </c>
      <c r="H1798" s="192" t="s">
        <v>1059</v>
      </c>
      <c r="I1798" s="255">
        <v>497</v>
      </c>
      <c r="J1798" s="255">
        <v>12200</v>
      </c>
      <c r="K1798" s="593">
        <f>ROUND(I1798*J1798,0)</f>
        <v>6063400</v>
      </c>
      <c r="L1798" s="594" t="s">
        <v>259</v>
      </c>
      <c r="M1798" s="594" t="s">
        <v>174</v>
      </c>
      <c r="N1798" s="52" t="str">
        <f>IF(AND('331-CT'!$E$7=TH!H1798,OR(L1798="331",M1798="331")),"331",IF(AND(OR(L1798="131",M1798="131"),H1798='131-CT'!$E$7),"131",""))</f>
        <v/>
      </c>
      <c r="O1798" s="86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799"/>
    </row>
    <row r="1799" spans="1:28" s="210" customFormat="1" ht="15.75" customHeight="1">
      <c r="A1799" s="203" t="str">
        <f>IF(B1799&lt;&gt;"",IF(AND(B1799&gt;=_TM1,B1799&lt;=_TM2,OR(TH!L1799="1111",TH!M1799="1111")),TH!D1799,""),"")</f>
        <v/>
      </c>
      <c r="B1799" s="36">
        <f>IF(C1799&lt;&gt;"",MONTH(C1799),"")</f>
        <v>9</v>
      </c>
      <c r="C1799" s="183">
        <f>E1799</f>
        <v>42277</v>
      </c>
      <c r="D1799" s="183" t="s">
        <v>1627</v>
      </c>
      <c r="E1799" s="190">
        <v>42277</v>
      </c>
      <c r="F1799" s="191" t="s">
        <v>1061</v>
      </c>
      <c r="G1799" s="482" t="s">
        <v>1058</v>
      </c>
      <c r="H1799" s="192" t="s">
        <v>1059</v>
      </c>
      <c r="I1799" s="255">
        <v>500</v>
      </c>
      <c r="J1799" s="255">
        <v>10800</v>
      </c>
      <c r="K1799" s="593">
        <f>ROUND(I1799*J1799,0)</f>
        <v>5400000</v>
      </c>
      <c r="L1799" s="594" t="s">
        <v>259</v>
      </c>
      <c r="M1799" s="594" t="s">
        <v>174</v>
      </c>
      <c r="N1799" s="52" t="str">
        <f>IF(AND('331-CT'!$E$7=TH!H1799,OR(L1799="331",M1799="331")),"331",IF(AND(OR(L1799="131",M1799="131"),H1799='131-CT'!$E$7),"131",""))</f>
        <v/>
      </c>
      <c r="O1799" s="86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799"/>
    </row>
    <row r="1800" spans="1:28" s="210" customFormat="1" ht="15.75" customHeight="1">
      <c r="A1800" s="203" t="str">
        <f>IF(B1800&lt;&gt;"",IF(AND(B1800&gt;=_TM1,B1800&lt;=_TM2,OR(TH!L1800="1111",TH!M1800="1111")),TH!D1800,""),"")</f>
        <v/>
      </c>
      <c r="B1800" s="36">
        <f>IF(C1800&lt;&gt;"",MONTH(C1800),"")</f>
        <v>9</v>
      </c>
      <c r="C1800" s="183">
        <f>E1800</f>
        <v>42277</v>
      </c>
      <c r="D1800" s="183" t="s">
        <v>1627</v>
      </c>
      <c r="E1800" s="190">
        <v>42277</v>
      </c>
      <c r="F1800" s="191" t="s">
        <v>402</v>
      </c>
      <c r="G1800" s="482" t="s">
        <v>1058</v>
      </c>
      <c r="H1800" s="192" t="s">
        <v>1059</v>
      </c>
      <c r="I1800" s="255"/>
      <c r="J1800" s="255"/>
      <c r="K1800" s="593">
        <v>1706600</v>
      </c>
      <c r="L1800" s="594" t="s">
        <v>259</v>
      </c>
      <c r="M1800" s="594" t="s">
        <v>371</v>
      </c>
      <c r="N1800" s="52" t="str">
        <f>IF(AND('331-CT'!$E$7=TH!H1800,OR(L1800="331",M1800="331")),"331",IF(AND(OR(L1800="131",M1800="131"),H1800='131-CT'!$E$7),"131",""))</f>
        <v/>
      </c>
      <c r="O1800" s="86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799"/>
    </row>
    <row r="1801" spans="1:28" s="210" customFormat="1" ht="15.75" customHeight="1">
      <c r="A1801" s="203" t="str">
        <f>IF(B1801&lt;&gt;"",IF(AND(B1801&gt;=_TM1,B1801&lt;=_TM2,OR(TH!L1801="1111",TH!M1801="1111")),TH!D1801,""),"")</f>
        <v/>
      </c>
      <c r="B1801" s="36">
        <f>IF(C1801&lt;&gt;"",MONTH(C1801),"")</f>
        <v>9</v>
      </c>
      <c r="C1801" s="183">
        <f>E1801</f>
        <v>42277</v>
      </c>
      <c r="D1801" s="183" t="s">
        <v>1627</v>
      </c>
      <c r="E1801" s="190">
        <v>42277</v>
      </c>
      <c r="F1801" s="191" t="s">
        <v>1320</v>
      </c>
      <c r="G1801" s="482" t="s">
        <v>1058</v>
      </c>
      <c r="H1801" s="192" t="s">
        <v>1059</v>
      </c>
      <c r="I1801" s="255"/>
      <c r="J1801" s="255"/>
      <c r="K1801" s="593">
        <v>18772600</v>
      </c>
      <c r="L1801" s="594" t="s">
        <v>47</v>
      </c>
      <c r="M1801" s="594" t="s">
        <v>259</v>
      </c>
      <c r="N1801" s="52" t="str">
        <f>IF(AND('331-CT'!$E$7=TH!H1801,OR(L1801="331",M1801="331")),"331",IF(AND(OR(L1801="131",M1801="131"),H1801='131-CT'!$E$7),"131",""))</f>
        <v/>
      </c>
      <c r="O1801" s="86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799"/>
    </row>
    <row r="1802" spans="1:28" s="210" customFormat="1" ht="15.75" customHeight="1">
      <c r="A1802" s="203" t="str">
        <f>IF(B1802&lt;&gt;"",IF(AND(B1802&gt;=_TM1,B1802&lt;=_TM2,OR(TH!L1802="1111",TH!M1802="1111")),TH!D1802,""),"")</f>
        <v/>
      </c>
      <c r="B1802" s="36">
        <f>IF(C1802&lt;&gt;"",MONTH(C1802),"")</f>
        <v>9</v>
      </c>
      <c r="C1802" s="183">
        <f>E1802</f>
        <v>42277</v>
      </c>
      <c r="D1802" s="183" t="s">
        <v>1628</v>
      </c>
      <c r="E1802" s="190">
        <v>42277</v>
      </c>
      <c r="F1802" s="191" t="s">
        <v>1062</v>
      </c>
      <c r="G1802" s="482" t="s">
        <v>1063</v>
      </c>
      <c r="H1802" s="192" t="s">
        <v>1064</v>
      </c>
      <c r="I1802" s="255">
        <v>1000</v>
      </c>
      <c r="J1802" s="255">
        <v>5000</v>
      </c>
      <c r="K1802" s="593">
        <f>ROUND(I1802*J1802,0)</f>
        <v>5000000</v>
      </c>
      <c r="L1802" s="594" t="s">
        <v>259</v>
      </c>
      <c r="M1802" s="594" t="s">
        <v>174</v>
      </c>
      <c r="N1802" s="52" t="str">
        <f>IF(AND('331-CT'!$E$7=TH!H1802,OR(L1802="331",M1802="331")),"331",IF(AND(OR(L1802="131",M1802="131"),H1802='131-CT'!$E$7),"131",""))</f>
        <v/>
      </c>
      <c r="O1802" s="86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799"/>
    </row>
    <row r="1803" spans="1:28" s="210" customFormat="1" ht="15.75" customHeight="1">
      <c r="A1803" s="203" t="str">
        <f>IF(B1803&lt;&gt;"",IF(AND(B1803&gt;=_TM1,B1803&lt;=_TM2,OR(TH!L1803="1111",TH!M1803="1111")),TH!D1803,""),"")</f>
        <v/>
      </c>
      <c r="B1803" s="36">
        <f>IF(C1803&lt;&gt;"",MONTH(C1803),"")</f>
        <v>9</v>
      </c>
      <c r="C1803" s="183">
        <f>E1803</f>
        <v>42277</v>
      </c>
      <c r="D1803" s="183" t="s">
        <v>1628</v>
      </c>
      <c r="E1803" s="190">
        <v>42277</v>
      </c>
      <c r="F1803" s="191" t="s">
        <v>402</v>
      </c>
      <c r="G1803" s="482" t="s">
        <v>1063</v>
      </c>
      <c r="H1803" s="192" t="s">
        <v>1064</v>
      </c>
      <c r="I1803" s="255"/>
      <c r="J1803" s="255"/>
      <c r="K1803" s="593">
        <v>500000</v>
      </c>
      <c r="L1803" s="594" t="s">
        <v>259</v>
      </c>
      <c r="M1803" s="594" t="s">
        <v>371</v>
      </c>
      <c r="N1803" s="52" t="str">
        <f>IF(AND('331-CT'!$E$7=TH!H1803,OR(L1803="331",M1803="331")),"331",IF(AND(OR(L1803="131",M1803="131"),H1803='131-CT'!$E$7),"131",""))</f>
        <v/>
      </c>
      <c r="O1803" s="86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799"/>
    </row>
    <row r="1804" spans="1:28" s="210" customFormat="1" ht="15.75" customHeight="1">
      <c r="A1804" s="203" t="str">
        <f>IF(B1804&lt;&gt;"",IF(AND(B1804&gt;=_TM1,B1804&lt;=_TM2,OR(TH!L1804="1111",TH!M1804="1111")),TH!D1804,""),"")</f>
        <v/>
      </c>
      <c r="B1804" s="36">
        <f>IF(C1804&lt;&gt;"",MONTH(C1804),"")</f>
        <v>9</v>
      </c>
      <c r="C1804" s="183">
        <f>E1804</f>
        <v>42277</v>
      </c>
      <c r="D1804" s="183" t="s">
        <v>1628</v>
      </c>
      <c r="E1804" s="190">
        <v>42277</v>
      </c>
      <c r="F1804" s="191" t="s">
        <v>1320</v>
      </c>
      <c r="G1804" s="482" t="s">
        <v>1063</v>
      </c>
      <c r="H1804" s="192" t="s">
        <v>1064</v>
      </c>
      <c r="I1804" s="255"/>
      <c r="J1804" s="255"/>
      <c r="K1804" s="593">
        <v>5500000</v>
      </c>
      <c r="L1804" s="594" t="s">
        <v>47</v>
      </c>
      <c r="M1804" s="594" t="s">
        <v>259</v>
      </c>
      <c r="N1804" s="52" t="str">
        <f>IF(AND('331-CT'!$E$7=TH!H1804,OR(L1804="331",M1804="331")),"331",IF(AND(OR(L1804="131",M1804="131"),H1804='131-CT'!$E$7),"131",""))</f>
        <v/>
      </c>
      <c r="O1804" s="86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799"/>
    </row>
    <row r="1805" spans="1:28" s="210" customFormat="1" ht="15.75" customHeight="1">
      <c r="A1805" s="203" t="str">
        <f>IF(B1805&lt;&gt;"",IF(AND(B1805&gt;=_TM1,B1805&lt;=_TM2,OR(TH!L1805="1111",TH!M1805="1111")),TH!D1805,""),"")</f>
        <v/>
      </c>
      <c r="B1805" s="36">
        <f>IF(C1805&lt;&gt;"",MONTH(C1805),"")</f>
        <v>10</v>
      </c>
      <c r="C1805" s="888">
        <f>E1805</f>
        <v>42278</v>
      </c>
      <c r="D1805" s="888" t="s">
        <v>334</v>
      </c>
      <c r="E1805" s="888">
        <v>42278</v>
      </c>
      <c r="F1805" s="889" t="s">
        <v>1938</v>
      </c>
      <c r="G1805" s="896"/>
      <c r="H1805" s="891"/>
      <c r="I1805" s="892"/>
      <c r="J1805" s="892"/>
      <c r="K1805" s="893">
        <v>30750000</v>
      </c>
      <c r="L1805" s="894" t="s">
        <v>165</v>
      </c>
      <c r="M1805" s="894" t="s">
        <v>260</v>
      </c>
      <c r="N1805" s="52" t="str">
        <f>IF(AND('331-CT'!$E$7=TH!H1805,OR(L1805="331",M1805="331")),"331",IF(AND(OR(L1805="131",M1805="131"),H1805='131-CT'!$E$7),"131",""))</f>
        <v/>
      </c>
      <c r="O1805" s="86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95"/>
      <c r="AB1805" s="895"/>
    </row>
    <row r="1806" spans="1:28" s="210" customFormat="1" ht="15.75" customHeight="1">
      <c r="A1806" s="203" t="str">
        <f>IF(B1806&lt;&gt;"",IF(AND(B1806&gt;=_TM1,B1806&lt;=_TM2,OR(TH!L1806="1111",TH!M1806="1111")),TH!D1806,""),"")</f>
        <v/>
      </c>
      <c r="B1806" s="36">
        <f>IF(C1806&lt;&gt;"",MONTH(C1806),"")</f>
        <v>10</v>
      </c>
      <c r="C1806" s="183">
        <f>E1806</f>
        <v>42278</v>
      </c>
      <c r="D1806" s="183" t="s">
        <v>1507</v>
      </c>
      <c r="E1806" s="190">
        <v>42278</v>
      </c>
      <c r="F1806" s="188" t="s">
        <v>1948</v>
      </c>
      <c r="G1806" s="482" t="s">
        <v>1065</v>
      </c>
      <c r="H1806" s="192" t="s">
        <v>957</v>
      </c>
      <c r="I1806" s="255">
        <v>20</v>
      </c>
      <c r="J1806" s="255">
        <v>12400</v>
      </c>
      <c r="K1806" s="593">
        <f>ROUND(I1806*J1806,0)</f>
        <v>248000</v>
      </c>
      <c r="L1806" s="594" t="s">
        <v>259</v>
      </c>
      <c r="M1806" s="594" t="s">
        <v>174</v>
      </c>
      <c r="N1806" s="52" t="str">
        <f>IF(AND('331-CT'!$E$7=TH!H1806,OR(L1806="331",M1806="331")),"331",IF(AND(OR(L1806="131",M1806="131"),H1806='131-CT'!$E$7),"131",""))</f>
        <v/>
      </c>
      <c r="O1806" s="86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799"/>
    </row>
    <row r="1807" spans="1:28" s="210" customFormat="1" ht="15.75" customHeight="1">
      <c r="A1807" s="203" t="str">
        <f>IF(B1807&lt;&gt;"",IF(AND(B1807&gt;=_TM1,B1807&lt;=_TM2,OR(TH!L1807="1111",TH!M1807="1111")),TH!D1807,""),"")</f>
        <v/>
      </c>
      <c r="B1807" s="36">
        <f>IF(C1807&lt;&gt;"",MONTH(C1807),"")</f>
        <v>10</v>
      </c>
      <c r="C1807" s="183">
        <f>E1807</f>
        <v>42278</v>
      </c>
      <c r="D1807" s="183" t="s">
        <v>1507</v>
      </c>
      <c r="E1807" s="190">
        <v>42278</v>
      </c>
      <c r="F1807" s="188" t="s">
        <v>1949</v>
      </c>
      <c r="G1807" s="482" t="s">
        <v>1065</v>
      </c>
      <c r="H1807" s="192" t="s">
        <v>957</v>
      </c>
      <c r="I1807" s="255">
        <v>20</v>
      </c>
      <c r="J1807" s="255">
        <v>14200</v>
      </c>
      <c r="K1807" s="593">
        <f>ROUND(I1807*J1807,0)</f>
        <v>284000</v>
      </c>
      <c r="L1807" s="594" t="s">
        <v>259</v>
      </c>
      <c r="M1807" s="594" t="s">
        <v>174</v>
      </c>
      <c r="N1807" s="52" t="str">
        <f>IF(AND('331-CT'!$E$7=TH!H1807,OR(L1807="331",M1807="331")),"331",IF(AND(OR(L1807="131",M1807="131"),H1807='131-CT'!$E$7),"131",""))</f>
        <v/>
      </c>
      <c r="O1807" s="86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799"/>
    </row>
    <row r="1808" spans="1:28" s="210" customFormat="1" ht="15.75" customHeight="1">
      <c r="A1808" s="203" t="str">
        <f>IF(B1808&lt;&gt;"",IF(AND(B1808&gt;=_TM1,B1808&lt;=_TM2,OR(TH!L1808="1111",TH!M1808="1111")),TH!D1808,""),"")</f>
        <v/>
      </c>
      <c r="B1808" s="36">
        <f>IF(C1808&lt;&gt;"",MONTH(C1808),"")</f>
        <v>10</v>
      </c>
      <c r="C1808" s="183">
        <f>E1808</f>
        <v>42278</v>
      </c>
      <c r="D1808" s="183" t="s">
        <v>1507</v>
      </c>
      <c r="E1808" s="190">
        <v>42278</v>
      </c>
      <c r="F1808" s="188" t="s">
        <v>1952</v>
      </c>
      <c r="G1808" s="482" t="s">
        <v>1065</v>
      </c>
      <c r="H1808" s="192" t="s">
        <v>957</v>
      </c>
      <c r="I1808" s="255">
        <v>50</v>
      </c>
      <c r="J1808" s="255">
        <v>19940</v>
      </c>
      <c r="K1808" s="593">
        <f>ROUND(I1808*J1808,0)</f>
        <v>997000</v>
      </c>
      <c r="L1808" s="594" t="s">
        <v>259</v>
      </c>
      <c r="M1808" s="594" t="s">
        <v>174</v>
      </c>
      <c r="N1808" s="52" t="str">
        <f>IF(AND('331-CT'!$E$7=TH!H1808,OR(L1808="331",M1808="331")),"331",IF(AND(OR(L1808="131",M1808="131"),H1808='131-CT'!$E$7),"131",""))</f>
        <v/>
      </c>
      <c r="O1808" s="86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799"/>
    </row>
    <row r="1809" spans="1:27" s="210" customFormat="1" ht="15.75" customHeight="1">
      <c r="A1809" s="203" t="str">
        <f>IF(B1809&lt;&gt;"",IF(AND(B1809&gt;=_TM1,B1809&lt;=_TM2,OR(TH!L1809="1111",TH!M1809="1111")),TH!D1809,""),"")</f>
        <v/>
      </c>
      <c r="B1809" s="36">
        <f>IF(C1809&lt;&gt;"",MONTH(C1809),"")</f>
        <v>10</v>
      </c>
      <c r="C1809" s="183">
        <f>E1809</f>
        <v>42278</v>
      </c>
      <c r="D1809" s="183" t="s">
        <v>1507</v>
      </c>
      <c r="E1809" s="190">
        <v>42278</v>
      </c>
      <c r="F1809" s="191" t="s">
        <v>402</v>
      </c>
      <c r="G1809" s="482" t="s">
        <v>1065</v>
      </c>
      <c r="H1809" s="192" t="s">
        <v>957</v>
      </c>
      <c r="I1809" s="255"/>
      <c r="J1809" s="255"/>
      <c r="K1809" s="593">
        <v>152900</v>
      </c>
      <c r="L1809" s="594" t="s">
        <v>259</v>
      </c>
      <c r="M1809" s="594" t="s">
        <v>371</v>
      </c>
      <c r="N1809" s="52" t="str">
        <f>IF(AND('331-CT'!$E$7=TH!H1809,OR(L1809="331",M1809="331")),"331",IF(AND(OR(L1809="131",M1809="131"),H1809='131-CT'!$E$7),"131",""))</f>
        <v/>
      </c>
      <c r="O1809" s="86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799"/>
    </row>
    <row r="1810" spans="1:27" s="210" customFormat="1" ht="15.75" customHeight="1">
      <c r="A1810" s="203" t="str">
        <f>IF(B1810&lt;&gt;"",IF(AND(B1810&gt;=_TM1,B1810&lt;=_TM2,OR(TH!L1810="1111",TH!M1810="1111")),TH!D1810,""),"")</f>
        <v/>
      </c>
      <c r="B1810" s="36">
        <f>IF(C1810&lt;&gt;"",MONTH(C1810),"")</f>
        <v>10</v>
      </c>
      <c r="C1810" s="183">
        <f>E1810</f>
        <v>42279</v>
      </c>
      <c r="D1810" s="183" t="s">
        <v>1508</v>
      </c>
      <c r="E1810" s="190">
        <v>42279</v>
      </c>
      <c r="F1810" s="188" t="s">
        <v>413</v>
      </c>
      <c r="G1810" s="482" t="s">
        <v>1066</v>
      </c>
      <c r="H1810" s="192" t="s">
        <v>412</v>
      </c>
      <c r="I1810" s="255">
        <v>298</v>
      </c>
      <c r="J1810" s="255">
        <v>10500</v>
      </c>
      <c r="K1810" s="593">
        <f>ROUND(I1810*J1810,0)</f>
        <v>3129000</v>
      </c>
      <c r="L1810" s="594" t="s">
        <v>259</v>
      </c>
      <c r="M1810" s="594" t="s">
        <v>174</v>
      </c>
      <c r="N1810" s="52" t="str">
        <f>IF(AND('331-CT'!$E$7=TH!H1810,OR(L1810="331",M1810="331")),"331",IF(AND(OR(L1810="131",M1810="131"),H1810='131-CT'!$E$7),"131",""))</f>
        <v/>
      </c>
      <c r="O1810" s="86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799"/>
    </row>
    <row r="1811" spans="1:27" s="210" customFormat="1" ht="15.75" customHeight="1">
      <c r="A1811" s="203" t="str">
        <f>IF(B1811&lt;&gt;"",IF(AND(B1811&gt;=_TM1,B1811&lt;=_TM2,OR(TH!L1811="1111",TH!M1811="1111")),TH!D1811,""),"")</f>
        <v/>
      </c>
      <c r="B1811" s="36">
        <f>IF(C1811&lt;&gt;"",MONTH(C1811),"")</f>
        <v>10</v>
      </c>
      <c r="C1811" s="183">
        <f>E1811</f>
        <v>42279</v>
      </c>
      <c r="D1811" s="183" t="s">
        <v>1508</v>
      </c>
      <c r="E1811" s="190">
        <v>42279</v>
      </c>
      <c r="F1811" s="188" t="s">
        <v>413</v>
      </c>
      <c r="G1811" s="482" t="s">
        <v>1066</v>
      </c>
      <c r="H1811" s="192" t="s">
        <v>412</v>
      </c>
      <c r="I1811" s="255">
        <v>207</v>
      </c>
      <c r="J1811" s="255">
        <v>10500</v>
      </c>
      <c r="K1811" s="593">
        <f>ROUND(I1811*J1811,0)</f>
        <v>2173500</v>
      </c>
      <c r="L1811" s="594" t="s">
        <v>259</v>
      </c>
      <c r="M1811" s="594" t="s">
        <v>174</v>
      </c>
      <c r="N1811" s="52" t="str">
        <f>IF(AND('331-CT'!$E$7=TH!H1811,OR(L1811="331",M1811="331")),"331",IF(AND(OR(L1811="131",M1811="131"),H1811='131-CT'!$E$7),"131",""))</f>
        <v/>
      </c>
      <c r="O1811" s="86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799"/>
    </row>
    <row r="1812" spans="1:27" s="210" customFormat="1" ht="15.75" customHeight="1">
      <c r="A1812" s="203" t="str">
        <f>IF(B1812&lt;&gt;"",IF(AND(B1812&gt;=_TM1,B1812&lt;=_TM2,OR(TH!L1812="1111",TH!M1812="1111")),TH!D1812,""),"")</f>
        <v/>
      </c>
      <c r="B1812" s="36">
        <f>IF(C1812&lt;&gt;"",MONTH(C1812),"")</f>
        <v>10</v>
      </c>
      <c r="C1812" s="183">
        <f>E1812</f>
        <v>42279</v>
      </c>
      <c r="D1812" s="183" t="s">
        <v>1508</v>
      </c>
      <c r="E1812" s="190">
        <v>42279</v>
      </c>
      <c r="F1812" s="191" t="s">
        <v>402</v>
      </c>
      <c r="G1812" s="482" t="s">
        <v>1066</v>
      </c>
      <c r="H1812" s="192" t="s">
        <v>412</v>
      </c>
      <c r="I1812" s="255"/>
      <c r="J1812" s="255"/>
      <c r="K1812" s="593">
        <v>530250</v>
      </c>
      <c r="L1812" s="594" t="s">
        <v>259</v>
      </c>
      <c r="M1812" s="594" t="s">
        <v>371</v>
      </c>
      <c r="N1812" s="52" t="str">
        <f>IF(AND('331-CT'!$E$7=TH!H1812,OR(L1812="331",M1812="331")),"331",IF(AND(OR(L1812="131",M1812="131"),H1812='131-CT'!$E$7),"131",""))</f>
        <v/>
      </c>
      <c r="O1812" s="86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799"/>
    </row>
    <row r="1813" spans="1:27" s="210" customFormat="1" ht="15.75" customHeight="1">
      <c r="A1813" s="203" t="str">
        <f>IF(B1813&lt;&gt;"",IF(AND(B1813&gt;=_TM1,B1813&lt;=_TM2,OR(TH!L1813="1111",TH!M1813="1111")),TH!D1813,""),"")</f>
        <v/>
      </c>
      <c r="B1813" s="36">
        <f>IF(C1813&lt;&gt;"",MONTH(C1813),"")</f>
        <v>10</v>
      </c>
      <c r="C1813" s="183">
        <f>E1813</f>
        <v>42279</v>
      </c>
      <c r="D1813" s="183" t="s">
        <v>1509</v>
      </c>
      <c r="E1813" s="37">
        <v>42279</v>
      </c>
      <c r="F1813" s="191" t="s">
        <v>595</v>
      </c>
      <c r="G1813" s="40" t="s">
        <v>1067</v>
      </c>
      <c r="H1813" s="7" t="s">
        <v>453</v>
      </c>
      <c r="I1813" s="255">
        <v>238</v>
      </c>
      <c r="J1813" s="255">
        <v>6400</v>
      </c>
      <c r="K1813" s="593">
        <f>ROUND(I1813*J1813,0)</f>
        <v>1523200</v>
      </c>
      <c r="L1813" s="594" t="s">
        <v>259</v>
      </c>
      <c r="M1813" s="594" t="s">
        <v>174</v>
      </c>
      <c r="N1813" s="52" t="str">
        <f>IF(AND('331-CT'!$E$7=TH!H1813,OR(L1813="331",M1813="331")),"331",IF(AND(OR(L1813="131",M1813="131"),H1813='131-CT'!$E$7),"131",""))</f>
        <v/>
      </c>
      <c r="O1813" s="86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799"/>
    </row>
    <row r="1814" spans="1:27" s="210" customFormat="1" ht="15.75" customHeight="1">
      <c r="A1814" s="203" t="str">
        <f>IF(B1814&lt;&gt;"",IF(AND(B1814&gt;=_TM1,B1814&lt;=_TM2,OR(TH!L1814="1111",TH!M1814="1111")),TH!D1814,""),"")</f>
        <v/>
      </c>
      <c r="B1814" s="36">
        <f>IF(C1814&lt;&gt;"",MONTH(C1814),"")</f>
        <v>10</v>
      </c>
      <c r="C1814" s="183">
        <f>E1814</f>
        <v>42279</v>
      </c>
      <c r="D1814" s="183" t="s">
        <v>1509</v>
      </c>
      <c r="E1814" s="37">
        <v>42279</v>
      </c>
      <c r="F1814" s="40" t="s">
        <v>402</v>
      </c>
      <c r="G1814" s="40" t="s">
        <v>1067</v>
      </c>
      <c r="H1814" s="7" t="s">
        <v>453</v>
      </c>
      <c r="I1814" s="255"/>
      <c r="J1814" s="255"/>
      <c r="K1814" s="593">
        <v>152320</v>
      </c>
      <c r="L1814" s="594" t="s">
        <v>259</v>
      </c>
      <c r="M1814" s="594" t="s">
        <v>371</v>
      </c>
      <c r="N1814" s="52" t="str">
        <f>IF(AND('331-CT'!$E$7=TH!H1814,OR(L1814="331",M1814="331")),"331",IF(AND(OR(L1814="131",M1814="131"),H1814='131-CT'!$E$7),"131",""))</f>
        <v/>
      </c>
      <c r="O1814" s="86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799"/>
    </row>
    <row r="1815" spans="1:27" s="210" customFormat="1" ht="15.75" customHeight="1">
      <c r="A1815" s="203" t="str">
        <f>IF(B1815&lt;&gt;"",IF(AND(B1815&gt;=_TM1,B1815&lt;=_TM2,OR(TH!L1815="1111",TH!M1815="1111")),TH!D1815,""),"")</f>
        <v/>
      </c>
      <c r="B1815" s="36">
        <f>IF(C1815&lt;&gt;"",MONTH(C1815),"")</f>
        <v>10</v>
      </c>
      <c r="C1815" s="183">
        <f>E1815</f>
        <v>42280</v>
      </c>
      <c r="D1815" s="183" t="s">
        <v>1510</v>
      </c>
      <c r="E1815" s="37">
        <v>42280</v>
      </c>
      <c r="F1815" s="188" t="s">
        <v>1948</v>
      </c>
      <c r="G1815" s="40" t="s">
        <v>1068</v>
      </c>
      <c r="H1815" s="7" t="s">
        <v>957</v>
      </c>
      <c r="I1815" s="255">
        <v>2000</v>
      </c>
      <c r="J1815" s="255">
        <v>11800</v>
      </c>
      <c r="K1815" s="593">
        <f>ROUND(I1815*J1815,0)</f>
        <v>23600000</v>
      </c>
      <c r="L1815" s="594" t="s">
        <v>259</v>
      </c>
      <c r="M1815" s="594" t="s">
        <v>174</v>
      </c>
      <c r="N1815" s="52" t="str">
        <f>IF(AND('331-CT'!$E$7=TH!H1815,OR(L1815="331",M1815="331")),"331",IF(AND(OR(L1815="131",M1815="131"),H1815='131-CT'!$E$7),"131",""))</f>
        <v/>
      </c>
      <c r="O1815" s="86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799"/>
    </row>
    <row r="1816" spans="1:27" s="210" customFormat="1" ht="15.75" customHeight="1">
      <c r="A1816" s="203" t="str">
        <f>IF(B1816&lt;&gt;"",IF(AND(B1816&gt;=_TM1,B1816&lt;=_TM2,OR(TH!L1816="1111",TH!M1816="1111")),TH!D1816,""),"")</f>
        <v/>
      </c>
      <c r="B1816" s="36">
        <f>IF(C1816&lt;&gt;"",MONTH(C1816),"")</f>
        <v>10</v>
      </c>
      <c r="C1816" s="183">
        <f>E1816</f>
        <v>42280</v>
      </c>
      <c r="D1816" s="183" t="s">
        <v>1510</v>
      </c>
      <c r="E1816" s="37">
        <v>42280</v>
      </c>
      <c r="F1816" s="40" t="s">
        <v>402</v>
      </c>
      <c r="G1816" s="40" t="s">
        <v>1068</v>
      </c>
      <c r="H1816" s="7" t="s">
        <v>957</v>
      </c>
      <c r="I1816" s="255"/>
      <c r="J1816" s="255"/>
      <c r="K1816" s="593">
        <v>2360000</v>
      </c>
      <c r="L1816" s="594" t="s">
        <v>259</v>
      </c>
      <c r="M1816" s="594" t="s">
        <v>371</v>
      </c>
      <c r="N1816" s="52" t="str">
        <f>IF(AND('331-CT'!$E$7=TH!H1816,OR(L1816="331",M1816="331")),"331",IF(AND(OR(L1816="131",M1816="131"),H1816='131-CT'!$E$7),"131",""))</f>
        <v/>
      </c>
      <c r="O1816" s="86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799"/>
    </row>
    <row r="1817" spans="1:27" s="210" customFormat="1" ht="15.75" customHeight="1">
      <c r="A1817" s="203" t="str">
        <f>IF(B1817&lt;&gt;"",IF(AND(B1817&gt;=_TM1,B1817&lt;=_TM2,OR(TH!L1817="1111",TH!M1817="1111")),TH!D1817,""),"")</f>
        <v/>
      </c>
      <c r="B1817" s="36">
        <f>IF(C1817&lt;&gt;"",MONTH(C1817),"")</f>
        <v>10</v>
      </c>
      <c r="C1817" s="183">
        <f>E1817</f>
        <v>42280</v>
      </c>
      <c r="D1817" s="183" t="s">
        <v>1511</v>
      </c>
      <c r="E1817" s="37">
        <v>42280</v>
      </c>
      <c r="F1817" s="40" t="s">
        <v>446</v>
      </c>
      <c r="G1817" s="40" t="s">
        <v>1069</v>
      </c>
      <c r="H1817" s="7" t="s">
        <v>400</v>
      </c>
      <c r="I1817" s="255">
        <v>606</v>
      </c>
      <c r="J1817" s="255">
        <v>5600</v>
      </c>
      <c r="K1817" s="593">
        <f>ROUND(I1817*J1817,0)</f>
        <v>3393600</v>
      </c>
      <c r="L1817" s="594" t="s">
        <v>259</v>
      </c>
      <c r="M1817" s="594" t="s">
        <v>174</v>
      </c>
      <c r="N1817" s="52" t="str">
        <f>IF(AND('331-CT'!$E$7=TH!H1817,OR(L1817="331",M1817="331")),"331",IF(AND(OR(L1817="131",M1817="131"),H1817='131-CT'!$E$7),"131",""))</f>
        <v/>
      </c>
      <c r="O1817" s="86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799"/>
    </row>
    <row r="1818" spans="1:27" s="210" customFormat="1" ht="15.75" customHeight="1">
      <c r="A1818" s="203" t="str">
        <f>IF(B1818&lt;&gt;"",IF(AND(B1818&gt;=_TM1,B1818&lt;=_TM2,OR(TH!L1818="1111",TH!M1818="1111")),TH!D1818,""),"")</f>
        <v/>
      </c>
      <c r="B1818" s="36">
        <f>IF(C1818&lt;&gt;"",MONTH(C1818),"")</f>
        <v>10</v>
      </c>
      <c r="C1818" s="183">
        <f>E1818</f>
        <v>42280</v>
      </c>
      <c r="D1818" s="183" t="s">
        <v>1511</v>
      </c>
      <c r="E1818" s="37">
        <v>42280</v>
      </c>
      <c r="F1818" s="40" t="s">
        <v>501</v>
      </c>
      <c r="G1818" s="40" t="s">
        <v>1069</v>
      </c>
      <c r="H1818" s="7" t="s">
        <v>400</v>
      </c>
      <c r="I1818" s="255">
        <v>513</v>
      </c>
      <c r="J1818" s="255">
        <v>9800</v>
      </c>
      <c r="K1818" s="593">
        <f>ROUND(I1818*J1818,0)</f>
        <v>5027400</v>
      </c>
      <c r="L1818" s="594" t="s">
        <v>259</v>
      </c>
      <c r="M1818" s="594" t="s">
        <v>174</v>
      </c>
      <c r="N1818" s="52" t="str">
        <f>IF(AND('331-CT'!$E$7=TH!H1818,OR(L1818="331",M1818="331")),"331",IF(AND(OR(L1818="131",M1818="131"),H1818='131-CT'!$E$7),"131",""))</f>
        <v/>
      </c>
      <c r="O1818" s="86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799"/>
    </row>
    <row r="1819" spans="1:27" s="210" customFormat="1" ht="15.75" customHeight="1">
      <c r="A1819" s="203" t="str">
        <f>IF(B1819&lt;&gt;"",IF(AND(B1819&gt;=_TM1,B1819&lt;=_TM2,OR(TH!L1819="1111",TH!M1819="1111")),TH!D1819,""),"")</f>
        <v/>
      </c>
      <c r="B1819" s="36">
        <f>IF(C1819&lt;&gt;"",MONTH(C1819),"")</f>
        <v>10</v>
      </c>
      <c r="C1819" s="183">
        <f>E1819</f>
        <v>42280</v>
      </c>
      <c r="D1819" s="183" t="s">
        <v>1511</v>
      </c>
      <c r="E1819" s="37">
        <v>42280</v>
      </c>
      <c r="F1819" s="191" t="s">
        <v>1070</v>
      </c>
      <c r="G1819" s="40" t="s">
        <v>1069</v>
      </c>
      <c r="H1819" s="7" t="s">
        <v>400</v>
      </c>
      <c r="I1819" s="255">
        <v>618</v>
      </c>
      <c r="J1819" s="255">
        <v>5050</v>
      </c>
      <c r="K1819" s="593">
        <f>ROUND(I1819*J1819,0)</f>
        <v>3120900</v>
      </c>
      <c r="L1819" s="594" t="s">
        <v>259</v>
      </c>
      <c r="M1819" s="594" t="s">
        <v>174</v>
      </c>
      <c r="N1819" s="52" t="str">
        <f>IF(AND('331-CT'!$E$7=TH!H1819,OR(L1819="331",M1819="331")),"331",IF(AND(OR(L1819="131",M1819="131"),H1819='131-CT'!$E$7),"131",""))</f>
        <v/>
      </c>
      <c r="O1819" s="86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799"/>
    </row>
    <row r="1820" spans="1:27" s="210" customFormat="1" ht="15.75" customHeight="1">
      <c r="A1820" s="203" t="str">
        <f>IF(B1820&lt;&gt;"",IF(AND(B1820&gt;=_TM1,B1820&lt;=_TM2,OR(TH!L1820="1111",TH!M1820="1111")),TH!D1820,""),"")</f>
        <v/>
      </c>
      <c r="B1820" s="36">
        <f>IF(C1820&lt;&gt;"",MONTH(C1820),"")</f>
        <v>10</v>
      </c>
      <c r="C1820" s="183">
        <f>E1820</f>
        <v>42280</v>
      </c>
      <c r="D1820" s="183" t="s">
        <v>1511</v>
      </c>
      <c r="E1820" s="37">
        <v>42280</v>
      </c>
      <c r="F1820" s="40" t="s">
        <v>402</v>
      </c>
      <c r="G1820" s="40" t="s">
        <v>1069</v>
      </c>
      <c r="H1820" s="7" t="s">
        <v>400</v>
      </c>
      <c r="I1820" s="255"/>
      <c r="J1820" s="255"/>
      <c r="K1820" s="593">
        <v>1154190</v>
      </c>
      <c r="L1820" s="594" t="s">
        <v>259</v>
      </c>
      <c r="M1820" s="594" t="s">
        <v>371</v>
      </c>
      <c r="N1820" s="52" t="str">
        <f>IF(AND('331-CT'!$E$7=TH!H1820,OR(L1820="331",M1820="331")),"331",IF(AND(OR(L1820="131",M1820="131"),H1820='131-CT'!$E$7),"131",""))</f>
        <v/>
      </c>
      <c r="O1820" s="86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799"/>
    </row>
    <row r="1821" spans="1:27" s="210" customFormat="1" ht="15.75" customHeight="1">
      <c r="A1821" s="203" t="str">
        <f>IF(B1821&lt;&gt;"",IF(AND(B1821&gt;=_TM1,B1821&lt;=_TM2,OR(TH!L1821="1111",TH!M1821="1111")),TH!D1821,""),"")</f>
        <v/>
      </c>
      <c r="B1821" s="36">
        <f>IF(C1821&lt;&gt;"",MONTH(C1821),"")</f>
        <v>10</v>
      </c>
      <c r="C1821" s="183">
        <f>E1821</f>
        <v>42280</v>
      </c>
      <c r="D1821" s="183" t="s">
        <v>1512</v>
      </c>
      <c r="E1821" s="37">
        <v>42280</v>
      </c>
      <c r="F1821" s="40" t="s">
        <v>1796</v>
      </c>
      <c r="G1821" s="40" t="s">
        <v>1071</v>
      </c>
      <c r="H1821" s="7" t="s">
        <v>1934</v>
      </c>
      <c r="I1821" s="255">
        <v>1000</v>
      </c>
      <c r="J1821" s="255">
        <v>1563</v>
      </c>
      <c r="K1821" s="593">
        <f>ROUND(I1821*J1821,0)</f>
        <v>1563000</v>
      </c>
      <c r="L1821" s="594" t="s">
        <v>259</v>
      </c>
      <c r="M1821" s="594" t="s">
        <v>174</v>
      </c>
      <c r="N1821" s="52" t="str">
        <f>IF(AND('331-CT'!$E$7=TH!H1821,OR(L1821="331",M1821="331")),"331",IF(AND(OR(L1821="131",M1821="131"),H1821='131-CT'!$E$7),"131",""))</f>
        <v/>
      </c>
      <c r="O1821" s="86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799"/>
    </row>
    <row r="1822" spans="1:27" s="210" customFormat="1" ht="15.75" customHeight="1">
      <c r="A1822" s="203" t="str">
        <f>IF(B1822&lt;&gt;"",IF(AND(B1822&gt;=_TM1,B1822&lt;=_TM2,OR(TH!L1822="1111",TH!M1822="1111")),TH!D1822,""),"")</f>
        <v/>
      </c>
      <c r="B1822" s="36">
        <f>IF(C1822&lt;&gt;"",MONTH(C1822),"")</f>
        <v>10</v>
      </c>
      <c r="C1822" s="183">
        <f>E1822</f>
        <v>42280</v>
      </c>
      <c r="D1822" s="183" t="s">
        <v>1512</v>
      </c>
      <c r="E1822" s="37">
        <v>42280</v>
      </c>
      <c r="F1822" s="40" t="s">
        <v>1797</v>
      </c>
      <c r="G1822" s="40" t="s">
        <v>1071</v>
      </c>
      <c r="H1822" s="7" t="s">
        <v>1934</v>
      </c>
      <c r="I1822" s="255">
        <v>155</v>
      </c>
      <c r="J1822" s="255">
        <v>6283</v>
      </c>
      <c r="K1822" s="593">
        <f>ROUND(I1822*J1822,0)</f>
        <v>973865</v>
      </c>
      <c r="L1822" s="594" t="s">
        <v>259</v>
      </c>
      <c r="M1822" s="594" t="s">
        <v>174</v>
      </c>
      <c r="N1822" s="52" t="str">
        <f>IF(AND('331-CT'!$E$7=TH!H1822,OR(L1822="331",M1822="331")),"331",IF(AND(OR(L1822="131",M1822="131"),H1822='131-CT'!$E$7),"131",""))</f>
        <v/>
      </c>
      <c r="O1822" s="86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799"/>
    </row>
    <row r="1823" spans="1:27" s="210" customFormat="1" ht="15.75" customHeight="1">
      <c r="A1823" s="203" t="str">
        <f>IF(B1823&lt;&gt;"",IF(AND(B1823&gt;=_TM1,B1823&lt;=_TM2,OR(TH!L1823="1111",TH!M1823="1111")),TH!D1823,""),"")</f>
        <v/>
      </c>
      <c r="B1823" s="36">
        <f>IF(C1823&lt;&gt;"",MONTH(C1823),"")</f>
        <v>10</v>
      </c>
      <c r="C1823" s="183">
        <f>E1823</f>
        <v>42280</v>
      </c>
      <c r="D1823" s="183" t="s">
        <v>1512</v>
      </c>
      <c r="E1823" s="37">
        <v>42280</v>
      </c>
      <c r="F1823" s="40" t="s">
        <v>1798</v>
      </c>
      <c r="G1823" s="40" t="s">
        <v>1071</v>
      </c>
      <c r="H1823" s="7" t="s">
        <v>1934</v>
      </c>
      <c r="I1823" s="255">
        <v>103</v>
      </c>
      <c r="J1823" s="255">
        <v>7885</v>
      </c>
      <c r="K1823" s="593">
        <f>ROUND(I1823*J1823,0)</f>
        <v>812155</v>
      </c>
      <c r="L1823" s="594" t="s">
        <v>259</v>
      </c>
      <c r="M1823" s="594" t="s">
        <v>174</v>
      </c>
      <c r="N1823" s="52" t="str">
        <f>IF(AND('331-CT'!$E$7=TH!H1823,OR(L1823="331",M1823="331")),"331",IF(AND(OR(L1823="131",M1823="131"),H1823='131-CT'!$E$7),"131",""))</f>
        <v/>
      </c>
      <c r="O1823" s="86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799"/>
    </row>
    <row r="1824" spans="1:27" s="210" customFormat="1" ht="15.75" customHeight="1">
      <c r="A1824" s="203" t="str">
        <f>IF(B1824&lt;&gt;"",IF(AND(B1824&gt;=_TM1,B1824&lt;=_TM2,OR(TH!L1824="1111",TH!M1824="1111")),TH!D1824,""),"")</f>
        <v/>
      </c>
      <c r="B1824" s="36">
        <f>IF(C1824&lt;&gt;"",MONTH(C1824),"")</f>
        <v>10</v>
      </c>
      <c r="C1824" s="183">
        <f>E1824</f>
        <v>42280</v>
      </c>
      <c r="D1824" s="183" t="s">
        <v>1512</v>
      </c>
      <c r="E1824" s="37">
        <v>42280</v>
      </c>
      <c r="F1824" s="40" t="s">
        <v>1799</v>
      </c>
      <c r="G1824" s="40" t="s">
        <v>1071</v>
      </c>
      <c r="H1824" s="7" t="s">
        <v>1934</v>
      </c>
      <c r="I1824" s="255">
        <v>250</v>
      </c>
      <c r="J1824" s="255">
        <v>13163</v>
      </c>
      <c r="K1824" s="593">
        <f>ROUND(I1824*J1824,0)</f>
        <v>3290750</v>
      </c>
      <c r="L1824" s="594" t="s">
        <v>259</v>
      </c>
      <c r="M1824" s="594" t="s">
        <v>174</v>
      </c>
      <c r="N1824" s="52" t="str">
        <f>IF(AND('331-CT'!$E$7=TH!H1824,OR(L1824="331",M1824="331")),"331",IF(AND(OR(L1824="131",M1824="131"),H1824='131-CT'!$E$7),"131",""))</f>
        <v/>
      </c>
      <c r="O1824" s="86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799"/>
    </row>
    <row r="1825" spans="1:27" s="210" customFormat="1" ht="15.75" customHeight="1">
      <c r="A1825" s="203" t="str">
        <f>IF(B1825&lt;&gt;"",IF(AND(B1825&gt;=_TM1,B1825&lt;=_TM2,OR(TH!L1825="1111",TH!M1825="1111")),TH!D1825,""),"")</f>
        <v/>
      </c>
      <c r="B1825" s="36">
        <f>IF(C1825&lt;&gt;"",MONTH(C1825),"")</f>
        <v>10</v>
      </c>
      <c r="C1825" s="183">
        <f>E1825</f>
        <v>42280</v>
      </c>
      <c r="D1825" s="183" t="s">
        <v>1512</v>
      </c>
      <c r="E1825" s="37">
        <v>42280</v>
      </c>
      <c r="F1825" s="40" t="s">
        <v>1800</v>
      </c>
      <c r="G1825" s="40" t="s">
        <v>1071</v>
      </c>
      <c r="H1825" s="7" t="s">
        <v>1934</v>
      </c>
      <c r="I1825" s="255">
        <v>59</v>
      </c>
      <c r="J1825" s="255">
        <v>20462</v>
      </c>
      <c r="K1825" s="593">
        <f>ROUND(I1825*J1825,0)</f>
        <v>1207258</v>
      </c>
      <c r="L1825" s="594" t="s">
        <v>259</v>
      </c>
      <c r="M1825" s="594" t="s">
        <v>174</v>
      </c>
      <c r="N1825" s="52" t="str">
        <f>IF(AND('331-CT'!$E$7=TH!H1825,OR(L1825="331",M1825="331")),"331",IF(AND(OR(L1825="131",M1825="131"),H1825='131-CT'!$E$7),"131",""))</f>
        <v/>
      </c>
      <c r="O1825" s="86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799"/>
    </row>
    <row r="1826" spans="1:27" s="210" customFormat="1" ht="15.75" customHeight="1">
      <c r="A1826" s="203" t="str">
        <f>IF(B1826&lt;&gt;"",IF(AND(B1826&gt;=_TM1,B1826&lt;=_TM2,OR(TH!L1826="1111",TH!M1826="1111")),TH!D1826,""),"")</f>
        <v/>
      </c>
      <c r="B1826" s="36">
        <f>IF(C1826&lt;&gt;"",MONTH(C1826),"")</f>
        <v>10</v>
      </c>
      <c r="C1826" s="183">
        <f>E1826</f>
        <v>42280</v>
      </c>
      <c r="D1826" s="183" t="s">
        <v>1512</v>
      </c>
      <c r="E1826" s="37">
        <v>42280</v>
      </c>
      <c r="F1826" s="191" t="s">
        <v>731</v>
      </c>
      <c r="G1826" s="40" t="s">
        <v>1071</v>
      </c>
      <c r="H1826" s="7" t="s">
        <v>1934</v>
      </c>
      <c r="I1826" s="255"/>
      <c r="J1826" s="255"/>
      <c r="K1826" s="593">
        <v>784703</v>
      </c>
      <c r="L1826" s="594" t="s">
        <v>259</v>
      </c>
      <c r="M1826" s="594" t="s">
        <v>371</v>
      </c>
      <c r="N1826" s="52" t="str">
        <f>IF(AND('331-CT'!$E$7=TH!H1826,OR(L1826="331",M1826="331")),"331",IF(AND(OR(L1826="131",M1826="131"),H1826='131-CT'!$E$7),"131",""))</f>
        <v/>
      </c>
      <c r="O1826" s="86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799"/>
    </row>
    <row r="1827" spans="1:27" s="210" customFormat="1" ht="15.75" customHeight="1">
      <c r="A1827" s="203" t="str">
        <f>IF(B1827&lt;&gt;"",IF(AND(B1827&gt;=_TM1,B1827&lt;=_TM2,OR(TH!L1827="1111",TH!M1827="1111")),TH!D1827,""),"")</f>
        <v/>
      </c>
      <c r="B1827" s="36">
        <f>IF(C1827&lt;&gt;"",MONTH(C1827),"")</f>
        <v>10</v>
      </c>
      <c r="C1827" s="183">
        <f>E1827</f>
        <v>42282</v>
      </c>
      <c r="D1827" s="183" t="s">
        <v>1513</v>
      </c>
      <c r="E1827" s="37">
        <v>42282</v>
      </c>
      <c r="F1827" s="191" t="s">
        <v>1072</v>
      </c>
      <c r="G1827" s="40" t="s">
        <v>1073</v>
      </c>
      <c r="H1827" s="7" t="s">
        <v>950</v>
      </c>
      <c r="I1827" s="255">
        <v>110</v>
      </c>
      <c r="J1827" s="255">
        <v>8600</v>
      </c>
      <c r="K1827" s="593">
        <f>ROUND(I1827*J1827,0)</f>
        <v>946000</v>
      </c>
      <c r="L1827" s="594" t="s">
        <v>259</v>
      </c>
      <c r="M1827" s="594" t="s">
        <v>174</v>
      </c>
      <c r="N1827" s="52" t="str">
        <f>IF(AND('331-CT'!$E$7=TH!H1827,OR(L1827="331",M1827="331")),"331",IF(AND(OR(L1827="131",M1827="131"),H1827='131-CT'!$E$7),"131",""))</f>
        <v/>
      </c>
      <c r="O1827" s="86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799"/>
    </row>
    <row r="1828" spans="1:27" s="210" customFormat="1" ht="15.75" customHeight="1">
      <c r="A1828" s="203" t="str">
        <f>IF(B1828&lt;&gt;"",IF(AND(B1828&gt;=_TM1,B1828&lt;=_TM2,OR(TH!L1828="1111",TH!M1828="1111")),TH!D1828,""),"")</f>
        <v/>
      </c>
      <c r="B1828" s="36">
        <f>IF(C1828&lt;&gt;"",MONTH(C1828),"")</f>
        <v>10</v>
      </c>
      <c r="C1828" s="183">
        <f>E1828</f>
        <v>42282</v>
      </c>
      <c r="D1828" s="183" t="s">
        <v>1513</v>
      </c>
      <c r="E1828" s="37">
        <v>42282</v>
      </c>
      <c r="F1828" s="40" t="s">
        <v>602</v>
      </c>
      <c r="G1828" s="40" t="s">
        <v>1073</v>
      </c>
      <c r="H1828" s="7" t="s">
        <v>950</v>
      </c>
      <c r="I1828" s="255">
        <v>967</v>
      </c>
      <c r="J1828" s="255">
        <v>8820</v>
      </c>
      <c r="K1828" s="593">
        <f>ROUND(I1828*J1828,0)</f>
        <v>8528940</v>
      </c>
      <c r="L1828" s="594" t="s">
        <v>259</v>
      </c>
      <c r="M1828" s="594" t="s">
        <v>174</v>
      </c>
      <c r="N1828" s="52" t="str">
        <f>IF(AND('331-CT'!$E$7=TH!H1828,OR(L1828="331",M1828="331")),"331",IF(AND(OR(L1828="131",M1828="131"),H1828='131-CT'!$E$7),"131",""))</f>
        <v/>
      </c>
      <c r="O1828" s="86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799"/>
    </row>
    <row r="1829" spans="1:27" s="210" customFormat="1" ht="15.75" customHeight="1">
      <c r="A1829" s="203" t="str">
        <f>IF(B1829&lt;&gt;"",IF(AND(B1829&gt;=_TM1,B1829&lt;=_TM2,OR(TH!L1829="1111",TH!M1829="1111")),TH!D1829,""),"")</f>
        <v/>
      </c>
      <c r="B1829" s="36">
        <f>IF(C1829&lt;&gt;"",MONTH(C1829),"")</f>
        <v>10</v>
      </c>
      <c r="C1829" s="183">
        <f>E1829</f>
        <v>42282</v>
      </c>
      <c r="D1829" s="183" t="s">
        <v>1513</v>
      </c>
      <c r="E1829" s="37">
        <v>42282</v>
      </c>
      <c r="F1829" s="40" t="s">
        <v>402</v>
      </c>
      <c r="G1829" s="40" t="s">
        <v>1073</v>
      </c>
      <c r="H1829" s="7" t="s">
        <v>950</v>
      </c>
      <c r="I1829" s="255"/>
      <c r="J1829" s="255"/>
      <c r="K1829" s="593">
        <v>947494</v>
      </c>
      <c r="L1829" s="594" t="s">
        <v>259</v>
      </c>
      <c r="M1829" s="594" t="s">
        <v>371</v>
      </c>
      <c r="N1829" s="52" t="str">
        <f>IF(AND('331-CT'!$E$7=TH!H1829,OR(L1829="331",M1829="331")),"331",IF(AND(OR(L1829="131",M1829="131"),H1829='131-CT'!$E$7),"131",""))</f>
        <v/>
      </c>
      <c r="O1829" s="86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799"/>
    </row>
    <row r="1830" spans="1:27" s="210" customFormat="1" ht="15.75" customHeight="1">
      <c r="A1830" s="203" t="str">
        <f>IF(B1830&lt;&gt;"",IF(AND(B1830&gt;=_TM1,B1830&lt;=_TM2,OR(TH!L1830="1111",TH!M1830="1111")),TH!D1830,""),"")</f>
        <v/>
      </c>
      <c r="B1830" s="36">
        <f>IF(C1830&lt;&gt;"",MONTH(C1830),"")</f>
        <v>10</v>
      </c>
      <c r="C1830" s="183">
        <f>E1830</f>
        <v>42282</v>
      </c>
      <c r="D1830" s="183" t="s">
        <v>1514</v>
      </c>
      <c r="E1830" s="37">
        <v>42282</v>
      </c>
      <c r="F1830" s="40" t="s">
        <v>727</v>
      </c>
      <c r="G1830" s="40" t="s">
        <v>1074</v>
      </c>
      <c r="H1830" s="7" t="s">
        <v>1934</v>
      </c>
      <c r="I1830" s="255">
        <v>167</v>
      </c>
      <c r="J1830" s="255">
        <v>5510</v>
      </c>
      <c r="K1830" s="593">
        <f>ROUND(I1830*J1830,0)</f>
        <v>920170</v>
      </c>
      <c r="L1830" s="594" t="s">
        <v>259</v>
      </c>
      <c r="M1830" s="594" t="s">
        <v>174</v>
      </c>
      <c r="N1830" s="52" t="str">
        <f>IF(AND('331-CT'!$E$7=TH!H1830,OR(L1830="331",M1830="331")),"331",IF(AND(OR(L1830="131",M1830="131"),H1830='131-CT'!$E$7),"131",""))</f>
        <v/>
      </c>
      <c r="O1830" s="86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799"/>
    </row>
    <row r="1831" spans="1:27" s="210" customFormat="1" ht="15.75" customHeight="1">
      <c r="A1831" s="203" t="str">
        <f>IF(B1831&lt;&gt;"",IF(AND(B1831&gt;=_TM1,B1831&lt;=_TM2,OR(TH!L1831="1111",TH!M1831="1111")),TH!D1831,""),"")</f>
        <v/>
      </c>
      <c r="B1831" s="36">
        <f>IF(C1831&lt;&gt;"",MONTH(C1831),"")</f>
        <v>10</v>
      </c>
      <c r="C1831" s="183">
        <f>E1831</f>
        <v>42282</v>
      </c>
      <c r="D1831" s="183" t="s">
        <v>1514</v>
      </c>
      <c r="E1831" s="37">
        <v>42282</v>
      </c>
      <c r="F1831" s="40" t="s">
        <v>1780</v>
      </c>
      <c r="G1831" s="40" t="s">
        <v>1074</v>
      </c>
      <c r="H1831" s="7" t="s">
        <v>1934</v>
      </c>
      <c r="I1831" s="255">
        <v>105</v>
      </c>
      <c r="J1831" s="255">
        <v>4872</v>
      </c>
      <c r="K1831" s="593">
        <f>ROUND(I1831*J1831,0)</f>
        <v>511560</v>
      </c>
      <c r="L1831" s="594" t="s">
        <v>259</v>
      </c>
      <c r="M1831" s="594" t="s">
        <v>174</v>
      </c>
      <c r="N1831" s="52" t="str">
        <f>IF(AND('331-CT'!$E$7=TH!H1831,OR(L1831="331",M1831="331")),"331",IF(AND(OR(L1831="131",M1831="131"),H1831='131-CT'!$E$7),"131",""))</f>
        <v/>
      </c>
      <c r="O1831" s="86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799"/>
    </row>
    <row r="1832" spans="1:27" s="210" customFormat="1" ht="15.75" customHeight="1">
      <c r="A1832" s="203" t="str">
        <f>IF(B1832&lt;&gt;"",IF(AND(B1832&gt;=_TM1,B1832&lt;=_TM2,OR(TH!L1832="1111",TH!M1832="1111")),TH!D1832,""),"")</f>
        <v/>
      </c>
      <c r="B1832" s="36">
        <f>IF(C1832&lt;&gt;"",MONTH(C1832),"")</f>
        <v>10</v>
      </c>
      <c r="C1832" s="183">
        <f>E1832</f>
        <v>42282</v>
      </c>
      <c r="D1832" s="183" t="s">
        <v>1514</v>
      </c>
      <c r="E1832" s="37">
        <v>42282</v>
      </c>
      <c r="F1832" s="40" t="s">
        <v>1777</v>
      </c>
      <c r="G1832" s="40" t="s">
        <v>1074</v>
      </c>
      <c r="H1832" s="7" t="s">
        <v>1934</v>
      </c>
      <c r="I1832" s="255">
        <v>147</v>
      </c>
      <c r="J1832" s="255">
        <v>9644</v>
      </c>
      <c r="K1832" s="593">
        <f>ROUND(I1832*J1832,0)</f>
        <v>1417668</v>
      </c>
      <c r="L1832" s="594" t="s">
        <v>259</v>
      </c>
      <c r="M1832" s="594" t="s">
        <v>174</v>
      </c>
      <c r="N1832" s="52" t="str">
        <f>IF(AND('331-CT'!$E$7=TH!H1832,OR(L1832="331",M1832="331")),"331",IF(AND(OR(L1832="131",M1832="131"),H1832='131-CT'!$E$7),"131",""))</f>
        <v/>
      </c>
      <c r="O1832" s="86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799"/>
    </row>
    <row r="1833" spans="1:27" s="210" customFormat="1" ht="15.75" customHeight="1">
      <c r="A1833" s="203" t="str">
        <f>IF(B1833&lt;&gt;"",IF(AND(B1833&gt;=_TM1,B1833&lt;=_TM2,OR(TH!L1833="1111",TH!M1833="1111")),TH!D1833,""),"")</f>
        <v/>
      </c>
      <c r="B1833" s="36">
        <f>IF(C1833&lt;&gt;"",MONTH(C1833),"")</f>
        <v>10</v>
      </c>
      <c r="C1833" s="183">
        <f>E1833</f>
        <v>42282</v>
      </c>
      <c r="D1833" s="183" t="s">
        <v>1514</v>
      </c>
      <c r="E1833" s="37">
        <v>42282</v>
      </c>
      <c r="F1833" s="40" t="s">
        <v>1801</v>
      </c>
      <c r="G1833" s="40" t="s">
        <v>1074</v>
      </c>
      <c r="H1833" s="7" t="s">
        <v>1934</v>
      </c>
      <c r="I1833" s="255">
        <v>100</v>
      </c>
      <c r="J1833" s="255">
        <v>4874</v>
      </c>
      <c r="K1833" s="593">
        <f>ROUND(I1833*J1833,0)</f>
        <v>487400</v>
      </c>
      <c r="L1833" s="594" t="s">
        <v>259</v>
      </c>
      <c r="M1833" s="594" t="s">
        <v>174</v>
      </c>
      <c r="N1833" s="52" t="str">
        <f>IF(AND('331-CT'!$E$7=TH!H1833,OR(L1833="331",M1833="331")),"331",IF(AND(OR(L1833="131",M1833="131"),H1833='131-CT'!$E$7),"131",""))</f>
        <v/>
      </c>
      <c r="O1833" s="86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799"/>
    </row>
    <row r="1834" spans="1:27" s="210" customFormat="1" ht="15.75" customHeight="1">
      <c r="A1834" s="203" t="str">
        <f>IF(B1834&lt;&gt;"",IF(AND(B1834&gt;=_TM1,B1834&lt;=_TM2,OR(TH!L1834="1111",TH!M1834="1111")),TH!D1834,""),"")</f>
        <v/>
      </c>
      <c r="B1834" s="36">
        <f>IF(C1834&lt;&gt;"",MONTH(C1834),"")</f>
        <v>10</v>
      </c>
      <c r="C1834" s="183">
        <f>E1834</f>
        <v>42282</v>
      </c>
      <c r="D1834" s="183" t="s">
        <v>1514</v>
      </c>
      <c r="E1834" s="37">
        <v>42282</v>
      </c>
      <c r="F1834" s="40" t="s">
        <v>1747</v>
      </c>
      <c r="G1834" s="40" t="s">
        <v>1074</v>
      </c>
      <c r="H1834" s="7" t="s">
        <v>1934</v>
      </c>
      <c r="I1834" s="255">
        <v>110</v>
      </c>
      <c r="J1834" s="255">
        <v>4355</v>
      </c>
      <c r="K1834" s="593">
        <f>ROUND(I1834*J1834,0)</f>
        <v>479050</v>
      </c>
      <c r="L1834" s="594" t="s">
        <v>259</v>
      </c>
      <c r="M1834" s="594" t="s">
        <v>174</v>
      </c>
      <c r="N1834" s="52" t="str">
        <f>IF(AND('331-CT'!$E$7=TH!H1834,OR(L1834="331",M1834="331")),"331",IF(AND(OR(L1834="131",M1834="131"),H1834='131-CT'!$E$7),"131",""))</f>
        <v/>
      </c>
      <c r="O1834" s="86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799"/>
    </row>
    <row r="1835" spans="1:27" s="210" customFormat="1" ht="15.75" customHeight="1">
      <c r="A1835" s="203" t="str">
        <f>IF(B1835&lt;&gt;"",IF(AND(B1835&gt;=_TM1,B1835&lt;=_TM2,OR(TH!L1835="1111",TH!M1835="1111")),TH!D1835,""),"")</f>
        <v/>
      </c>
      <c r="B1835" s="36">
        <f>IF(C1835&lt;&gt;"",MONTH(C1835),"")</f>
        <v>10</v>
      </c>
      <c r="C1835" s="183">
        <f>E1835</f>
        <v>42282</v>
      </c>
      <c r="D1835" s="183" t="s">
        <v>1514</v>
      </c>
      <c r="E1835" s="37">
        <v>42282</v>
      </c>
      <c r="F1835" s="191" t="s">
        <v>731</v>
      </c>
      <c r="G1835" s="40" t="s">
        <v>1074</v>
      </c>
      <c r="H1835" s="7" t="s">
        <v>1934</v>
      </c>
      <c r="I1835" s="255"/>
      <c r="J1835" s="255"/>
      <c r="K1835" s="593">
        <v>381585</v>
      </c>
      <c r="L1835" s="594" t="s">
        <v>259</v>
      </c>
      <c r="M1835" s="594" t="s">
        <v>371</v>
      </c>
      <c r="N1835" s="52" t="str">
        <f>IF(AND('331-CT'!$E$7=TH!H1835,OR(L1835="331",M1835="331")),"331",IF(AND(OR(L1835="131",M1835="131"),H1835='131-CT'!$E$7),"131",""))</f>
        <v/>
      </c>
      <c r="O1835" s="86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799"/>
    </row>
    <row r="1836" spans="1:27" s="210" customFormat="1" ht="15.75" customHeight="1">
      <c r="A1836" s="203" t="str">
        <f>IF(B1836&lt;&gt;"",IF(AND(B1836&gt;=_TM1,B1836&lt;=_TM2,OR(TH!L1836="1111",TH!M1836="1111")),TH!D1836,""),"")</f>
        <v/>
      </c>
      <c r="B1836" s="36">
        <f>IF(C1836&lt;&gt;"",MONTH(C1836),"")</f>
        <v>10</v>
      </c>
      <c r="C1836" s="183">
        <f>E1836</f>
        <v>42282</v>
      </c>
      <c r="D1836" s="183" t="s">
        <v>1319</v>
      </c>
      <c r="E1836" s="190">
        <v>42282</v>
      </c>
      <c r="F1836" s="188" t="s">
        <v>1320</v>
      </c>
      <c r="G1836" s="482" t="s">
        <v>332</v>
      </c>
      <c r="H1836" s="7" t="s">
        <v>957</v>
      </c>
      <c r="I1836" s="255"/>
      <c r="J1836" s="255"/>
      <c r="K1836" s="593">
        <v>4207500</v>
      </c>
      <c r="L1836" s="594" t="s">
        <v>24</v>
      </c>
      <c r="M1836" s="594" t="s">
        <v>259</v>
      </c>
      <c r="N1836" s="52" t="str">
        <f>IF(AND('331-CT'!$E$7=TH!H1836,OR(L1836="331",M1836="331")),"331",IF(AND(OR(L1836="131",M1836="131"),H1836='131-CT'!$E$7),"131",""))</f>
        <v/>
      </c>
      <c r="O1836" s="86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>x</v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799"/>
    </row>
    <row r="1837" spans="1:27" s="210" customFormat="1" ht="15.75" customHeight="1">
      <c r="A1837" s="203" t="str">
        <f>IF(B1837&lt;&gt;"",IF(AND(B1837&gt;=_TM1,B1837&lt;=_TM2,OR(TH!L1837="1111",TH!M1837="1111")),TH!D1837,""),"")</f>
        <v/>
      </c>
      <c r="B1837" s="36">
        <f>IF(C1837&lt;&gt;"",MONTH(C1837),"")</f>
        <v>10</v>
      </c>
      <c r="C1837" s="183">
        <f>E1837</f>
        <v>42282</v>
      </c>
      <c r="D1837" s="183" t="s">
        <v>1319</v>
      </c>
      <c r="E1837" s="190">
        <v>42282</v>
      </c>
      <c r="F1837" s="188" t="s">
        <v>1320</v>
      </c>
      <c r="G1837" s="482" t="s">
        <v>332</v>
      </c>
      <c r="H1837" s="45" t="s">
        <v>416</v>
      </c>
      <c r="I1837" s="255"/>
      <c r="J1837" s="255"/>
      <c r="K1837" s="593">
        <v>30000000</v>
      </c>
      <c r="L1837" s="594" t="s">
        <v>24</v>
      </c>
      <c r="M1837" s="594" t="s">
        <v>259</v>
      </c>
      <c r="N1837" s="52" t="str">
        <f>IF(AND('331-CT'!$E$7=TH!H1837,OR(L1837="331",M1837="331")),"331",IF(AND(OR(L1837="131",M1837="131"),H1837='131-CT'!$E$7),"131",""))</f>
        <v/>
      </c>
      <c r="O1837" s="86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>x</v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799"/>
    </row>
    <row r="1838" spans="1:27" s="210" customFormat="1" ht="15.75" customHeight="1">
      <c r="A1838" s="203" t="str">
        <f>IF(B1838&lt;&gt;"",IF(AND(B1838&gt;=_TM1,B1838&lt;=_TM2,OR(TH!L1838="1111",TH!M1838="1111")),TH!D1838,""),"")</f>
        <v/>
      </c>
      <c r="B1838" s="36">
        <f>IF(C1838&lt;&gt;"",MONTH(C1838),"")</f>
        <v>10</v>
      </c>
      <c r="C1838" s="183">
        <f>E1838</f>
        <v>42282</v>
      </c>
      <c r="D1838" s="183" t="s">
        <v>1319</v>
      </c>
      <c r="E1838" s="190">
        <v>42282</v>
      </c>
      <c r="F1838" s="296" t="s">
        <v>1326</v>
      </c>
      <c r="G1838" s="482" t="s">
        <v>332</v>
      </c>
      <c r="H1838" s="7" t="s">
        <v>1504</v>
      </c>
      <c r="I1838" s="255"/>
      <c r="J1838" s="255"/>
      <c r="K1838" s="593">
        <v>26700000</v>
      </c>
      <c r="L1838" s="594" t="s">
        <v>8</v>
      </c>
      <c r="M1838" s="594" t="s">
        <v>24</v>
      </c>
      <c r="N1838" s="52" t="str">
        <f>IF(AND('331-CT'!$E$7=TH!H1838,OR(L1838="331",M1838="331")),"331",IF(AND(OR(L1838="131",M1838="131"),H1838='131-CT'!$E$7),"131",""))</f>
        <v/>
      </c>
      <c r="O1838" s="86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>x</v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799"/>
    </row>
    <row r="1839" spans="1:27" s="210" customFormat="1" ht="15.75" customHeight="1">
      <c r="A1839" s="203" t="str">
        <f>IF(B1839&lt;&gt;"",IF(AND(B1839&gt;=_TM1,B1839&lt;=_TM2,OR(TH!L1839="1111",TH!M1839="1111")),TH!D1839,""),"")</f>
        <v/>
      </c>
      <c r="B1839" s="36">
        <f>IF(C1839&lt;&gt;"",MONTH(C1839),"")</f>
        <v>10</v>
      </c>
      <c r="C1839" s="183">
        <f>E1839</f>
        <v>42282</v>
      </c>
      <c r="D1839" s="183" t="s">
        <v>1319</v>
      </c>
      <c r="E1839" s="190">
        <v>42282</v>
      </c>
      <c r="F1839" s="296" t="s">
        <v>1326</v>
      </c>
      <c r="G1839" s="482" t="s">
        <v>332</v>
      </c>
      <c r="H1839" s="7" t="s">
        <v>1928</v>
      </c>
      <c r="I1839" s="255"/>
      <c r="J1839" s="255"/>
      <c r="K1839" s="593">
        <v>10000000</v>
      </c>
      <c r="L1839" s="594" t="s">
        <v>8</v>
      </c>
      <c r="M1839" s="594" t="s">
        <v>24</v>
      </c>
      <c r="N1839" s="52" t="str">
        <f>IF(AND('331-CT'!$E$7=TH!H1839,OR(L1839="331",M1839="331")),"331",IF(AND(OR(L1839="131",M1839="131"),H1839='131-CT'!$E$7),"131",""))</f>
        <v/>
      </c>
      <c r="O1839" s="86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>x</v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799"/>
    </row>
    <row r="1840" spans="1:27" s="210" customFormat="1" ht="15.75" customHeight="1">
      <c r="A1840" s="203" t="str">
        <f>IF(B1840&lt;&gt;"",IF(AND(B1840&gt;=_TM1,B1840&lt;=_TM2,OR(TH!L1840="1111",TH!M1840="1111")),TH!D1840,""),"")</f>
        <v/>
      </c>
      <c r="B1840" s="36">
        <f>IF(C1840&lt;&gt;"",MONTH(C1840),"")</f>
        <v>10</v>
      </c>
      <c r="C1840" s="183">
        <f>E1840</f>
        <v>42282</v>
      </c>
      <c r="D1840" s="183" t="s">
        <v>1319</v>
      </c>
      <c r="E1840" s="190">
        <v>42282</v>
      </c>
      <c r="F1840" s="188" t="s">
        <v>1327</v>
      </c>
      <c r="G1840" s="482" t="s">
        <v>332</v>
      </c>
      <c r="H1840" s="7"/>
      <c r="I1840" s="255"/>
      <c r="J1840" s="255"/>
      <c r="K1840" s="593">
        <v>15000</v>
      </c>
      <c r="L1840" s="594" t="s">
        <v>83</v>
      </c>
      <c r="M1840" s="594" t="s">
        <v>24</v>
      </c>
      <c r="N1840" s="52" t="str">
        <f>IF(AND('331-CT'!$E$7=TH!H1840,OR(L1840="331",M1840="331")),"331",IF(AND(OR(L1840="131",M1840="131"),H1840='131-CT'!$E$7),"131",""))</f>
        <v/>
      </c>
      <c r="O1840" s="86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>x</v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799"/>
    </row>
    <row r="1841" spans="1:27" s="210" customFormat="1" ht="15.75" customHeight="1">
      <c r="A1841" s="203" t="str">
        <f>IF(B1841&lt;&gt;"",IF(AND(B1841&gt;=_TM1,B1841&lt;=_TM2,OR(TH!L1841="1111",TH!M1841="1111")),TH!D1841,""),"")</f>
        <v/>
      </c>
      <c r="B1841" s="36">
        <f>IF(C1841&lt;&gt;"",MONTH(C1841),"")</f>
        <v>10</v>
      </c>
      <c r="C1841" s="183">
        <f>E1841</f>
        <v>42282</v>
      </c>
      <c r="D1841" s="183" t="s">
        <v>1319</v>
      </c>
      <c r="E1841" s="190">
        <v>42282</v>
      </c>
      <c r="F1841" s="188" t="s">
        <v>1327</v>
      </c>
      <c r="G1841" s="482" t="s">
        <v>332</v>
      </c>
      <c r="H1841" s="7"/>
      <c r="I1841" s="255"/>
      <c r="J1841" s="255"/>
      <c r="K1841" s="593">
        <v>15000</v>
      </c>
      <c r="L1841" s="594" t="s">
        <v>83</v>
      </c>
      <c r="M1841" s="594" t="s">
        <v>24</v>
      </c>
      <c r="N1841" s="52" t="str">
        <f>IF(AND('331-CT'!$E$7=TH!H1841,OR(L1841="331",M1841="331")),"331",IF(AND(OR(L1841="131",M1841="131"),H1841='131-CT'!$E$7),"131",""))</f>
        <v/>
      </c>
      <c r="O1841" s="86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>x</v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>x</v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799"/>
    </row>
    <row r="1842" spans="1:27" s="210" customFormat="1" ht="15.75" customHeight="1">
      <c r="A1842" s="203" t="str">
        <f>IF(B1842&lt;&gt;"",IF(AND(B1842&gt;=_TM1,B1842&lt;=_TM2,OR(TH!L1842="1111",TH!M1842="1111")),TH!D1842,""),"")</f>
        <v/>
      </c>
      <c r="B1842" s="36">
        <f>IF(C1842&lt;&gt;"",MONTH(C1842),"")</f>
        <v>10</v>
      </c>
      <c r="C1842" s="183">
        <f>E1842</f>
        <v>42283</v>
      </c>
      <c r="D1842" s="183" t="s">
        <v>1515</v>
      </c>
      <c r="E1842" s="37">
        <v>42283</v>
      </c>
      <c r="F1842" s="40" t="s">
        <v>1075</v>
      </c>
      <c r="G1842" s="40" t="s">
        <v>1076</v>
      </c>
      <c r="H1842" s="7" t="s">
        <v>1013</v>
      </c>
      <c r="I1842" s="255">
        <v>998</v>
      </c>
      <c r="J1842" s="255">
        <v>13500</v>
      </c>
      <c r="K1842" s="593">
        <f>ROUND(I1842*J1842,0)</f>
        <v>13473000</v>
      </c>
      <c r="L1842" s="594" t="s">
        <v>259</v>
      </c>
      <c r="M1842" s="594" t="s">
        <v>174</v>
      </c>
      <c r="N1842" s="52" t="str">
        <f>IF(AND('331-CT'!$E$7=TH!H1842,OR(L1842="331",M1842="331")),"331",IF(AND(OR(L1842="131",M1842="131"),H1842='131-CT'!$E$7),"131",""))</f>
        <v/>
      </c>
      <c r="O1842" s="86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799"/>
    </row>
    <row r="1843" spans="1:27" s="210" customFormat="1" ht="15.75" customHeight="1">
      <c r="A1843" s="203" t="str">
        <f>IF(B1843&lt;&gt;"",IF(AND(B1843&gt;=_TM1,B1843&lt;=_TM2,OR(TH!L1843="1111",TH!M1843="1111")),TH!D1843,""),"")</f>
        <v/>
      </c>
      <c r="B1843" s="36">
        <f>IF(C1843&lt;&gt;"",MONTH(C1843),"")</f>
        <v>10</v>
      </c>
      <c r="C1843" s="183">
        <f>E1843</f>
        <v>42283</v>
      </c>
      <c r="D1843" s="183" t="s">
        <v>1515</v>
      </c>
      <c r="E1843" s="37">
        <v>42283</v>
      </c>
      <c r="F1843" s="40" t="s">
        <v>402</v>
      </c>
      <c r="G1843" s="40" t="s">
        <v>1076</v>
      </c>
      <c r="H1843" s="7" t="s">
        <v>1013</v>
      </c>
      <c r="I1843" s="255"/>
      <c r="J1843" s="255"/>
      <c r="K1843" s="593">
        <v>1347300</v>
      </c>
      <c r="L1843" s="594" t="s">
        <v>259</v>
      </c>
      <c r="M1843" s="594" t="s">
        <v>371</v>
      </c>
      <c r="N1843" s="52" t="str">
        <f>IF(AND('331-CT'!$E$7=TH!H1843,OR(L1843="331",M1843="331")),"331",IF(AND(OR(L1843="131",M1843="131"),H1843='131-CT'!$E$7),"131",""))</f>
        <v/>
      </c>
      <c r="O1843" s="86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799"/>
    </row>
    <row r="1844" spans="1:27" s="210" customFormat="1" ht="15.75" customHeight="1">
      <c r="A1844" s="203" t="str">
        <f>IF(B1844&lt;&gt;"",IF(AND(B1844&gt;=_TM1,B1844&lt;=_TM2,OR(TH!L1844="1111",TH!M1844="1111")),TH!D1844,""),"")</f>
        <v/>
      </c>
      <c r="B1844" s="36">
        <f>IF(C1844&lt;&gt;"",MONTH(C1844),"")</f>
        <v>10</v>
      </c>
      <c r="C1844" s="183">
        <f>E1844</f>
        <v>42283</v>
      </c>
      <c r="D1844" s="183" t="s">
        <v>1516</v>
      </c>
      <c r="E1844" s="37">
        <v>42283</v>
      </c>
      <c r="F1844" s="40" t="s">
        <v>409</v>
      </c>
      <c r="G1844" s="40" t="s">
        <v>1077</v>
      </c>
      <c r="H1844" s="7" t="s">
        <v>837</v>
      </c>
      <c r="I1844" s="255">
        <v>4110</v>
      </c>
      <c r="J1844" s="255">
        <v>7400</v>
      </c>
      <c r="K1844" s="593">
        <f>ROUND(I1844*J1844,0)</f>
        <v>30414000</v>
      </c>
      <c r="L1844" s="594" t="s">
        <v>259</v>
      </c>
      <c r="M1844" s="594" t="s">
        <v>174</v>
      </c>
      <c r="N1844" s="52" t="str">
        <f>IF(AND('331-CT'!$E$7=TH!H1844,OR(L1844="331",M1844="331")),"331",IF(AND(OR(L1844="131",M1844="131"),H1844='131-CT'!$E$7),"131",""))</f>
        <v/>
      </c>
      <c r="O1844" s="86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799"/>
    </row>
    <row r="1845" spans="1:27" s="210" customFormat="1" ht="15.75" customHeight="1">
      <c r="A1845" s="203" t="str">
        <f>IF(B1845&lt;&gt;"",IF(AND(B1845&gt;=_TM1,B1845&lt;=_TM2,OR(TH!L1845="1111",TH!M1845="1111")),TH!D1845,""),"")</f>
        <v/>
      </c>
      <c r="B1845" s="36">
        <f>IF(C1845&lt;&gt;"",MONTH(C1845),"")</f>
        <v>10</v>
      </c>
      <c r="C1845" s="183">
        <f>E1845</f>
        <v>42283</v>
      </c>
      <c r="D1845" s="183" t="s">
        <v>1516</v>
      </c>
      <c r="E1845" s="37">
        <v>42283</v>
      </c>
      <c r="F1845" s="40" t="s">
        <v>402</v>
      </c>
      <c r="G1845" s="40" t="s">
        <v>1077</v>
      </c>
      <c r="H1845" s="7" t="s">
        <v>837</v>
      </c>
      <c r="I1845" s="255"/>
      <c r="J1845" s="255"/>
      <c r="K1845" s="593">
        <v>3041400</v>
      </c>
      <c r="L1845" s="594" t="s">
        <v>259</v>
      </c>
      <c r="M1845" s="594" t="s">
        <v>371</v>
      </c>
      <c r="N1845" s="52" t="str">
        <f>IF(AND('331-CT'!$E$7=TH!H1845,OR(L1845="331",M1845="331")),"331",IF(AND(OR(L1845="131",M1845="131"),H1845='131-CT'!$E$7),"131",""))</f>
        <v/>
      </c>
      <c r="O1845" s="86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799"/>
    </row>
    <row r="1846" spans="1:27" s="210" customFormat="1" ht="15.75" customHeight="1">
      <c r="A1846" s="203" t="str">
        <f>IF(B1846&lt;&gt;"",IF(AND(B1846&gt;=_TM1,B1846&lt;=_TM2,OR(TH!L1846="1111",TH!M1846="1111")),TH!D1846,""),"")</f>
        <v/>
      </c>
      <c r="B1846" s="36">
        <f>IF(C1846&lt;&gt;"",MONTH(C1846),"")</f>
        <v>10</v>
      </c>
      <c r="C1846" s="183">
        <f>E1846</f>
        <v>42283</v>
      </c>
      <c r="D1846" s="190" t="s">
        <v>2020</v>
      </c>
      <c r="E1846" s="727">
        <v>42283</v>
      </c>
      <c r="F1846" s="188" t="s">
        <v>337</v>
      </c>
      <c r="G1846" s="482" t="s">
        <v>467</v>
      </c>
      <c r="H1846" s="7" t="s">
        <v>357</v>
      </c>
      <c r="I1846" s="255">
        <v>24</v>
      </c>
      <c r="J1846" s="255">
        <v>43000</v>
      </c>
      <c r="K1846" s="593">
        <f>ROUND(I1846*J1846,0)</f>
        <v>1032000</v>
      </c>
      <c r="L1846" s="193" t="s">
        <v>161</v>
      </c>
      <c r="M1846" s="193" t="s">
        <v>8</v>
      </c>
      <c r="N1846" s="52" t="str">
        <f>IF(AND('331-CT'!$E$7=TH!H1846,OR(L1846="331",M1846="331")),"331",IF(AND(OR(L1846="131",M1846="131"),H1846='131-CT'!$E$7),"131",""))</f>
        <v/>
      </c>
      <c r="O1846" s="86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799"/>
    </row>
    <row r="1847" spans="1:27" s="210" customFormat="1" ht="15.75" customHeight="1">
      <c r="A1847" s="203" t="str">
        <f>IF(B1847&lt;&gt;"",IF(AND(B1847&gt;=_TM1,B1847&lt;=_TM2,OR(TH!L1847="1111",TH!M1847="1111")),TH!D1847,""),"")</f>
        <v/>
      </c>
      <c r="B1847" s="36">
        <f>IF(C1847&lt;&gt;"",MONTH(C1847),"")</f>
        <v>10</v>
      </c>
      <c r="C1847" s="183">
        <f>E1847</f>
        <v>42283</v>
      </c>
      <c r="D1847" s="190" t="s">
        <v>2020</v>
      </c>
      <c r="E1847" s="727">
        <v>42283</v>
      </c>
      <c r="F1847" s="188" t="s">
        <v>1366</v>
      </c>
      <c r="G1847" s="482" t="s">
        <v>467</v>
      </c>
      <c r="H1847" s="7" t="s">
        <v>357</v>
      </c>
      <c r="I1847" s="255"/>
      <c r="J1847" s="255"/>
      <c r="K1847" s="593">
        <v>103200</v>
      </c>
      <c r="L1847" s="193" t="s">
        <v>9</v>
      </c>
      <c r="M1847" s="193" t="s">
        <v>8</v>
      </c>
      <c r="N1847" s="52" t="str">
        <f>IF(AND('331-CT'!$E$7=TH!H1847,OR(L1847="331",M1847="331")),"331",IF(AND(OR(L1847="131",M1847="131"),H1847='131-CT'!$E$7),"131",""))</f>
        <v/>
      </c>
      <c r="O1847" s="86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799"/>
    </row>
    <row r="1848" spans="1:27" s="210" customFormat="1" ht="15.75" customHeight="1">
      <c r="A1848" s="203" t="str">
        <f>IF(B1848&lt;&gt;"",IF(AND(B1848&gt;=_TM1,B1848&lt;=_TM2,OR(TH!L1848="1111",TH!M1848="1111")),TH!D1848,""),"")</f>
        <v>NL/N</v>
      </c>
      <c r="B1848" s="36">
        <f>IF(C1848&lt;&gt;"",MONTH(C1848),"")</f>
        <v>10</v>
      </c>
      <c r="C1848" s="183">
        <f>E1848</f>
        <v>42283</v>
      </c>
      <c r="D1848" s="190" t="s">
        <v>2020</v>
      </c>
      <c r="E1848" s="727">
        <v>42283</v>
      </c>
      <c r="F1848" s="296" t="s">
        <v>1326</v>
      </c>
      <c r="G1848" s="482" t="s">
        <v>467</v>
      </c>
      <c r="H1848" s="7" t="s">
        <v>357</v>
      </c>
      <c r="I1848" s="255"/>
      <c r="J1848" s="255"/>
      <c r="K1848" s="593">
        <v>1135200</v>
      </c>
      <c r="L1848" s="193" t="s">
        <v>8</v>
      </c>
      <c r="M1848" s="193" t="s">
        <v>47</v>
      </c>
      <c r="N1848" s="52" t="str">
        <f>IF(AND('331-CT'!$E$7=TH!H1848,OR(L1848="331",M1848="331")),"331",IF(AND(OR(L1848="131",M1848="131"),H1848='131-CT'!$E$7),"131",""))</f>
        <v/>
      </c>
      <c r="O1848" s="86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799"/>
    </row>
    <row r="1849" spans="1:27" s="210" customFormat="1" ht="15.75" customHeight="1">
      <c r="A1849" s="203" t="str">
        <f>IF(B1849&lt;&gt;"",IF(AND(B1849&gt;=_TM1,B1849&lt;=_TM2,OR(TH!L1849="1111",TH!M1849="1111")),TH!D1849,""),"")</f>
        <v/>
      </c>
      <c r="B1849" s="36">
        <f>IF(C1849&lt;&gt;"",MONTH(C1849),"")</f>
        <v>10</v>
      </c>
      <c r="C1849" s="183">
        <f>E1849</f>
        <v>42284</v>
      </c>
      <c r="D1849" s="183" t="s">
        <v>1319</v>
      </c>
      <c r="E1849" s="190">
        <v>42284</v>
      </c>
      <c r="F1849" s="188" t="s">
        <v>1320</v>
      </c>
      <c r="G1849" s="482" t="s">
        <v>332</v>
      </c>
      <c r="H1849" s="831" t="s">
        <v>851</v>
      </c>
      <c r="I1849" s="255"/>
      <c r="J1849" s="255"/>
      <c r="K1849" s="593">
        <v>10740840</v>
      </c>
      <c r="L1849" s="594" t="s">
        <v>24</v>
      </c>
      <c r="M1849" s="594" t="s">
        <v>259</v>
      </c>
      <c r="N1849" s="52" t="str">
        <f>IF(AND('331-CT'!$E$7=TH!H1849,OR(L1849="331",M1849="331")),"331",IF(AND(OR(L1849="131",M1849="131"),H1849='131-CT'!$E$7),"131",""))</f>
        <v/>
      </c>
      <c r="O1849" s="86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799"/>
    </row>
    <row r="1850" spans="1:27" s="210" customFormat="1" ht="15.75" customHeight="1">
      <c r="A1850" s="203" t="str">
        <f>IF(B1850&lt;&gt;"",IF(AND(B1850&gt;=_TM1,B1850&lt;=_TM2,OR(TH!L1850="1111",TH!M1850="1111")),TH!D1850,""),"")</f>
        <v/>
      </c>
      <c r="B1850" s="36">
        <f>IF(C1850&lt;&gt;"",MONTH(C1850),"")</f>
        <v>10</v>
      </c>
      <c r="C1850" s="183">
        <f>E1850</f>
        <v>42285</v>
      </c>
      <c r="D1850" s="183" t="s">
        <v>1517</v>
      </c>
      <c r="E1850" s="37">
        <v>42285</v>
      </c>
      <c r="F1850" s="188" t="s">
        <v>1948</v>
      </c>
      <c r="G1850" s="40" t="s">
        <v>1078</v>
      </c>
      <c r="H1850" s="7" t="s">
        <v>957</v>
      </c>
      <c r="I1850" s="255">
        <v>20</v>
      </c>
      <c r="J1850" s="255">
        <v>12400</v>
      </c>
      <c r="K1850" s="593">
        <f>ROUND(I1850*J1850,0)</f>
        <v>248000</v>
      </c>
      <c r="L1850" s="594" t="s">
        <v>259</v>
      </c>
      <c r="M1850" s="594" t="s">
        <v>174</v>
      </c>
      <c r="N1850" s="52" t="str">
        <f>IF(AND('331-CT'!$E$7=TH!H1850,OR(L1850="331",M1850="331")),"331",IF(AND(OR(L1850="131",M1850="131"),H1850='131-CT'!$E$7),"131",""))</f>
        <v/>
      </c>
      <c r="O1850" s="86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799"/>
    </row>
    <row r="1851" spans="1:27" s="210" customFormat="1" ht="15.75" customHeight="1">
      <c r="A1851" s="203" t="str">
        <f>IF(B1851&lt;&gt;"",IF(AND(B1851&gt;=_TM1,B1851&lt;=_TM2,OR(TH!L1851="1111",TH!M1851="1111")),TH!D1851,""),"")</f>
        <v/>
      </c>
      <c r="B1851" s="36">
        <f>IF(C1851&lt;&gt;"",MONTH(C1851),"")</f>
        <v>10</v>
      </c>
      <c r="C1851" s="183">
        <f>E1851</f>
        <v>42285</v>
      </c>
      <c r="D1851" s="183" t="s">
        <v>1517</v>
      </c>
      <c r="E1851" s="37">
        <v>42285</v>
      </c>
      <c r="F1851" s="188" t="s">
        <v>1949</v>
      </c>
      <c r="G1851" s="40" t="s">
        <v>1078</v>
      </c>
      <c r="H1851" s="7" t="s">
        <v>957</v>
      </c>
      <c r="I1851" s="255">
        <v>20</v>
      </c>
      <c r="J1851" s="255">
        <v>14200</v>
      </c>
      <c r="K1851" s="593">
        <f>ROUND(I1851*J1851,0)</f>
        <v>284000</v>
      </c>
      <c r="L1851" s="594" t="s">
        <v>259</v>
      </c>
      <c r="M1851" s="594" t="s">
        <v>174</v>
      </c>
      <c r="N1851" s="52" t="str">
        <f>IF(AND('331-CT'!$E$7=TH!H1851,OR(L1851="331",M1851="331")),"331",IF(AND(OR(L1851="131",M1851="131"),H1851='131-CT'!$E$7),"131",""))</f>
        <v/>
      </c>
      <c r="O1851" s="86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799"/>
    </row>
    <row r="1852" spans="1:27" s="210" customFormat="1" ht="15.75" customHeight="1">
      <c r="A1852" s="203" t="str">
        <f>IF(B1852&lt;&gt;"",IF(AND(B1852&gt;=_TM1,B1852&lt;=_TM2,OR(TH!L1852="1111",TH!M1852="1111")),TH!D1852,""),"")</f>
        <v/>
      </c>
      <c r="B1852" s="36">
        <f>IF(C1852&lt;&gt;"",MONTH(C1852),"")</f>
        <v>10</v>
      </c>
      <c r="C1852" s="183">
        <f>E1852</f>
        <v>42285</v>
      </c>
      <c r="D1852" s="183" t="s">
        <v>1517</v>
      </c>
      <c r="E1852" s="37">
        <v>42285</v>
      </c>
      <c r="F1852" s="188" t="s">
        <v>1950</v>
      </c>
      <c r="G1852" s="40" t="s">
        <v>1078</v>
      </c>
      <c r="H1852" s="7" t="s">
        <v>957</v>
      </c>
      <c r="I1852" s="255">
        <v>50</v>
      </c>
      <c r="J1852" s="255">
        <v>15300</v>
      </c>
      <c r="K1852" s="593">
        <f>ROUND(I1852*J1852,0)</f>
        <v>765000</v>
      </c>
      <c r="L1852" s="594" t="s">
        <v>259</v>
      </c>
      <c r="M1852" s="594" t="s">
        <v>174</v>
      </c>
      <c r="N1852" s="52" t="str">
        <f>IF(AND('331-CT'!$E$7=TH!H1852,OR(L1852="331",M1852="331")),"331",IF(AND(OR(L1852="131",M1852="131"),H1852='131-CT'!$E$7),"131",""))</f>
        <v/>
      </c>
      <c r="O1852" s="86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799"/>
    </row>
    <row r="1853" spans="1:27" s="210" customFormat="1" ht="15.75" customHeight="1">
      <c r="A1853" s="203" t="str">
        <f>IF(B1853&lt;&gt;"",IF(AND(B1853&gt;=_TM1,B1853&lt;=_TM2,OR(TH!L1853="1111",TH!M1853="1111")),TH!D1853,""),"")</f>
        <v/>
      </c>
      <c r="B1853" s="36">
        <f>IF(C1853&lt;&gt;"",MONTH(C1853),"")</f>
        <v>10</v>
      </c>
      <c r="C1853" s="183">
        <f>E1853</f>
        <v>42285</v>
      </c>
      <c r="D1853" s="183" t="s">
        <v>1517</v>
      </c>
      <c r="E1853" s="37">
        <v>42285</v>
      </c>
      <c r="F1853" s="188" t="s">
        <v>1951</v>
      </c>
      <c r="G1853" s="40" t="s">
        <v>1078</v>
      </c>
      <c r="H1853" s="7" t="s">
        <v>957</v>
      </c>
      <c r="I1853" s="255">
        <v>20</v>
      </c>
      <c r="J1853" s="255">
        <v>16500</v>
      </c>
      <c r="K1853" s="593">
        <f>ROUND(I1853*J1853,0)</f>
        <v>330000</v>
      </c>
      <c r="L1853" s="594" t="s">
        <v>259</v>
      </c>
      <c r="M1853" s="594" t="s">
        <v>174</v>
      </c>
      <c r="N1853" s="52" t="str">
        <f>IF(AND('331-CT'!$E$7=TH!H1853,OR(L1853="331",M1853="331")),"331",IF(AND(OR(L1853="131",M1853="131"),H1853='131-CT'!$E$7),"131",""))</f>
        <v/>
      </c>
      <c r="O1853" s="86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799"/>
    </row>
    <row r="1854" spans="1:27" s="210" customFormat="1" ht="15.75" customHeight="1">
      <c r="A1854" s="203" t="str">
        <f>IF(B1854&lt;&gt;"",IF(AND(B1854&gt;=_TM1,B1854&lt;=_TM2,OR(TH!L1854="1111",TH!M1854="1111")),TH!D1854,""),"")</f>
        <v/>
      </c>
      <c r="B1854" s="36">
        <f>IF(C1854&lt;&gt;"",MONTH(C1854),"")</f>
        <v>10</v>
      </c>
      <c r="C1854" s="183">
        <f>E1854</f>
        <v>42285</v>
      </c>
      <c r="D1854" s="183" t="s">
        <v>1517</v>
      </c>
      <c r="E1854" s="37">
        <v>42285</v>
      </c>
      <c r="F1854" s="188" t="s">
        <v>1952</v>
      </c>
      <c r="G1854" s="40" t="s">
        <v>1078</v>
      </c>
      <c r="H1854" s="7" t="s">
        <v>957</v>
      </c>
      <c r="I1854" s="255">
        <v>50</v>
      </c>
      <c r="J1854" s="255">
        <v>19940</v>
      </c>
      <c r="K1854" s="593">
        <f>ROUND(I1854*J1854,0)</f>
        <v>997000</v>
      </c>
      <c r="L1854" s="594" t="s">
        <v>259</v>
      </c>
      <c r="M1854" s="594" t="s">
        <v>174</v>
      </c>
      <c r="N1854" s="52" t="str">
        <f>IF(AND('331-CT'!$E$7=TH!H1854,OR(L1854="331",M1854="331")),"331",IF(AND(OR(L1854="131",M1854="131"),H1854='131-CT'!$E$7),"131",""))</f>
        <v/>
      </c>
      <c r="O1854" s="86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799"/>
    </row>
    <row r="1855" spans="1:27" s="210" customFormat="1" ht="15.75" customHeight="1">
      <c r="A1855" s="203" t="str">
        <f>IF(B1855&lt;&gt;"",IF(AND(B1855&gt;=_TM1,B1855&lt;=_TM2,OR(TH!L1855="1111",TH!M1855="1111")),TH!D1855,""),"")</f>
        <v/>
      </c>
      <c r="B1855" s="36">
        <f>IF(C1855&lt;&gt;"",MONTH(C1855),"")</f>
        <v>10</v>
      </c>
      <c r="C1855" s="183">
        <f>E1855</f>
        <v>42285</v>
      </c>
      <c r="D1855" s="183" t="s">
        <v>1517</v>
      </c>
      <c r="E1855" s="37">
        <v>42285</v>
      </c>
      <c r="F1855" s="40" t="s">
        <v>402</v>
      </c>
      <c r="G1855" s="40" t="s">
        <v>1078</v>
      </c>
      <c r="H1855" s="7" t="s">
        <v>957</v>
      </c>
      <c r="I1855" s="255"/>
      <c r="J1855" s="255"/>
      <c r="K1855" s="593">
        <v>262400</v>
      </c>
      <c r="L1855" s="594" t="s">
        <v>259</v>
      </c>
      <c r="M1855" s="594" t="s">
        <v>371</v>
      </c>
      <c r="N1855" s="52" t="str">
        <f>IF(AND('331-CT'!$E$7=TH!H1855,OR(L1855="331",M1855="331")),"331",IF(AND(OR(L1855="131",M1855="131"),H1855='131-CT'!$E$7),"131",""))</f>
        <v/>
      </c>
      <c r="O1855" s="86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799"/>
    </row>
    <row r="1856" spans="1:27" s="210" customFormat="1" ht="15.75" customHeight="1">
      <c r="A1856" s="203" t="str">
        <f>IF(B1856&lt;&gt;"",IF(AND(B1856&gt;=_TM1,B1856&lt;=_TM2,OR(TH!L1856="1111",TH!M1856="1111")),TH!D1856,""),"")</f>
        <v/>
      </c>
      <c r="B1856" s="36">
        <f>IF(C1856&lt;&gt;"",MONTH(C1856),"")</f>
        <v>10</v>
      </c>
      <c r="C1856" s="183">
        <f>E1856</f>
        <v>42285</v>
      </c>
      <c r="D1856" s="183" t="s">
        <v>1518</v>
      </c>
      <c r="E1856" s="190">
        <v>42285</v>
      </c>
      <c r="F1856" s="191" t="s">
        <v>398</v>
      </c>
      <c r="G1856" s="482" t="s">
        <v>1079</v>
      </c>
      <c r="H1856" s="192" t="s">
        <v>400</v>
      </c>
      <c r="I1856" s="255">
        <v>919</v>
      </c>
      <c r="J1856" s="255">
        <v>5000</v>
      </c>
      <c r="K1856" s="593">
        <f>ROUND(I1856*J1856,0)</f>
        <v>4595000</v>
      </c>
      <c r="L1856" s="594" t="s">
        <v>259</v>
      </c>
      <c r="M1856" s="594" t="s">
        <v>174</v>
      </c>
      <c r="N1856" s="52" t="str">
        <f>IF(AND('331-CT'!$E$7=TH!H1856,OR(L1856="331",M1856="331")),"331",IF(AND(OR(L1856="131",M1856="131"),H1856='131-CT'!$E$7),"131",""))</f>
        <v/>
      </c>
      <c r="O1856" s="86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799"/>
    </row>
    <row r="1857" spans="1:27" s="210" customFormat="1" ht="15.75" customHeight="1">
      <c r="A1857" s="203" t="str">
        <f>IF(B1857&lt;&gt;"",IF(AND(B1857&gt;=_TM1,B1857&lt;=_TM2,OR(TH!L1857="1111",TH!M1857="1111")),TH!D1857,""),"")</f>
        <v/>
      </c>
      <c r="B1857" s="36">
        <f>IF(C1857&lt;&gt;"",MONTH(C1857),"")</f>
        <v>10</v>
      </c>
      <c r="C1857" s="183">
        <f>E1857</f>
        <v>42285</v>
      </c>
      <c r="D1857" s="183" t="s">
        <v>1518</v>
      </c>
      <c r="E1857" s="190">
        <v>42285</v>
      </c>
      <c r="F1857" s="191" t="s">
        <v>919</v>
      </c>
      <c r="G1857" s="482" t="s">
        <v>1079</v>
      </c>
      <c r="H1857" s="192" t="s">
        <v>400</v>
      </c>
      <c r="I1857" s="255">
        <v>311</v>
      </c>
      <c r="J1857" s="255">
        <v>5750</v>
      </c>
      <c r="K1857" s="593">
        <f>ROUND(I1857*J1857,0)</f>
        <v>1788250</v>
      </c>
      <c r="L1857" s="594" t="s">
        <v>259</v>
      </c>
      <c r="M1857" s="594" t="s">
        <v>174</v>
      </c>
      <c r="N1857" s="52" t="str">
        <f>IF(AND('331-CT'!$E$7=TH!H1857,OR(L1857="331",M1857="331")),"331",IF(AND(OR(L1857="131",M1857="131"),H1857='131-CT'!$E$7),"131",""))</f>
        <v/>
      </c>
      <c r="O1857" s="86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99"/>
    </row>
    <row r="1858" spans="1:27" s="210" customFormat="1" ht="15.75" customHeight="1">
      <c r="A1858" s="203" t="str">
        <f>IF(B1858&lt;&gt;"",IF(AND(B1858&gt;=_TM1,B1858&lt;=_TM2,OR(TH!L1858="1111",TH!M1858="1111")),TH!D1858,""),"")</f>
        <v/>
      </c>
      <c r="B1858" s="36">
        <f>IF(C1858&lt;&gt;"",MONTH(C1858),"")</f>
        <v>10</v>
      </c>
      <c r="C1858" s="183">
        <f>E1858</f>
        <v>42285</v>
      </c>
      <c r="D1858" s="183" t="s">
        <v>1518</v>
      </c>
      <c r="E1858" s="190">
        <v>42285</v>
      </c>
      <c r="F1858" s="191" t="s">
        <v>402</v>
      </c>
      <c r="G1858" s="482" t="s">
        <v>1079</v>
      </c>
      <c r="H1858" s="192" t="s">
        <v>400</v>
      </c>
      <c r="I1858" s="256"/>
      <c r="J1858" s="256"/>
      <c r="K1858" s="593">
        <v>638325</v>
      </c>
      <c r="L1858" s="594" t="s">
        <v>259</v>
      </c>
      <c r="M1858" s="594" t="s">
        <v>371</v>
      </c>
      <c r="N1858" s="52" t="str">
        <f>IF(AND('331-CT'!$E$7=TH!H1858,OR(L1858="331",M1858="331")),"331",IF(AND(OR(L1858="131",M1858="131"),H1858='131-CT'!$E$7),"131",""))</f>
        <v/>
      </c>
      <c r="O1858" s="86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99"/>
    </row>
    <row r="1859" spans="1:27" s="210" customFormat="1" ht="15.75" customHeight="1">
      <c r="A1859" s="203" t="str">
        <f>IF(B1859&lt;&gt;"",IF(AND(B1859&gt;=_TM1,B1859&lt;=_TM2,OR(TH!L1859="1111",TH!M1859="1111")),TH!D1859,""),"")</f>
        <v/>
      </c>
      <c r="B1859" s="36">
        <f>IF(C1859&lt;&gt;"",MONTH(C1859),"")</f>
        <v>10</v>
      </c>
      <c r="C1859" s="183">
        <f>E1859</f>
        <v>42285</v>
      </c>
      <c r="D1859" s="183" t="s">
        <v>1319</v>
      </c>
      <c r="E1859" s="190">
        <v>42285</v>
      </c>
      <c r="F1859" s="188" t="s">
        <v>1320</v>
      </c>
      <c r="G1859" s="482" t="s">
        <v>332</v>
      </c>
      <c r="H1859" s="7" t="s">
        <v>438</v>
      </c>
      <c r="I1859" s="255"/>
      <c r="J1859" s="255"/>
      <c r="K1859" s="593">
        <v>8810340</v>
      </c>
      <c r="L1859" s="594" t="s">
        <v>24</v>
      </c>
      <c r="M1859" s="594" t="s">
        <v>259</v>
      </c>
      <c r="N1859" s="52" t="str">
        <f>IF(AND('331-CT'!$E$7=TH!H1859,OR(L1859="331",M1859="331")),"331",IF(AND(OR(L1859="131",M1859="131"),H1859='131-CT'!$E$7),"131",""))</f>
        <v/>
      </c>
      <c r="O1859" s="86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99"/>
    </row>
    <row r="1860" spans="1:27" s="210" customFormat="1" ht="15.75" customHeight="1">
      <c r="A1860" s="203" t="str">
        <f>IF(B1860&lt;&gt;"",IF(AND(B1860&gt;=_TM1,B1860&lt;=_TM2,OR(TH!L1860="1111",TH!M1860="1111")),TH!D1860,""),"")</f>
        <v/>
      </c>
      <c r="B1860" s="36">
        <f>IF(C1860&lt;&gt;"",MONTH(C1860),"")</f>
        <v>10</v>
      </c>
      <c r="C1860" s="183">
        <f>E1860</f>
        <v>42286</v>
      </c>
      <c r="D1860" s="183" t="s">
        <v>1519</v>
      </c>
      <c r="E1860" s="190">
        <v>42286</v>
      </c>
      <c r="F1860" s="191" t="s">
        <v>518</v>
      </c>
      <c r="G1860" s="482" t="s">
        <v>1080</v>
      </c>
      <c r="H1860" s="192" t="s">
        <v>793</v>
      </c>
      <c r="I1860" s="255">
        <v>485</v>
      </c>
      <c r="J1860" s="255">
        <v>8600</v>
      </c>
      <c r="K1860" s="593">
        <f>ROUND(I1860*J1860,0)</f>
        <v>4171000</v>
      </c>
      <c r="L1860" s="594" t="s">
        <v>259</v>
      </c>
      <c r="M1860" s="594" t="s">
        <v>174</v>
      </c>
      <c r="N1860" s="52" t="str">
        <f>IF(AND('331-CT'!$E$7=TH!H1860,OR(L1860="331",M1860="331")),"331",IF(AND(OR(L1860="131",M1860="131"),H1860='131-CT'!$E$7),"131",""))</f>
        <v/>
      </c>
      <c r="O1860" s="86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99"/>
    </row>
    <row r="1861" spans="1:27" s="210" customFormat="1" ht="15.75" customHeight="1">
      <c r="A1861" s="203" t="str">
        <f>IF(B1861&lt;&gt;"",IF(AND(B1861&gt;=_TM1,B1861&lt;=_TM2,OR(TH!L1861="1111",TH!M1861="1111")),TH!D1861,""),"")</f>
        <v/>
      </c>
      <c r="B1861" s="36">
        <f>IF(C1861&lt;&gt;"",MONTH(C1861),"")</f>
        <v>10</v>
      </c>
      <c r="C1861" s="183">
        <f>E1861</f>
        <v>42286</v>
      </c>
      <c r="D1861" s="183" t="s">
        <v>1519</v>
      </c>
      <c r="E1861" s="190">
        <v>42286</v>
      </c>
      <c r="F1861" s="191" t="s">
        <v>1676</v>
      </c>
      <c r="G1861" s="482" t="s">
        <v>1080</v>
      </c>
      <c r="H1861" s="192" t="s">
        <v>793</v>
      </c>
      <c r="I1861" s="255">
        <v>1000</v>
      </c>
      <c r="J1861" s="255">
        <v>1020</v>
      </c>
      <c r="K1861" s="593">
        <f>ROUND(I1861*J1861,0)</f>
        <v>1020000</v>
      </c>
      <c r="L1861" s="594" t="s">
        <v>259</v>
      </c>
      <c r="M1861" s="594" t="s">
        <v>174</v>
      </c>
      <c r="N1861" s="52" t="str">
        <f>IF(AND('331-CT'!$E$7=TH!H1861,OR(L1861="331",M1861="331")),"331",IF(AND(OR(L1861="131",M1861="131"),H1861='131-CT'!$E$7),"131",""))</f>
        <v/>
      </c>
      <c r="O1861" s="86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99"/>
    </row>
    <row r="1862" spans="1:27" s="210" customFormat="1" ht="15.75" customHeight="1">
      <c r="A1862" s="203" t="str">
        <f>IF(B1862&lt;&gt;"",IF(AND(B1862&gt;=_TM1,B1862&lt;=_TM2,OR(TH!L1862="1111",TH!M1862="1111")),TH!D1862,""),"")</f>
        <v/>
      </c>
      <c r="B1862" s="36">
        <f>IF(C1862&lt;&gt;"",MONTH(C1862),"")</f>
        <v>10</v>
      </c>
      <c r="C1862" s="183">
        <f>E1862</f>
        <v>42286</v>
      </c>
      <c r="D1862" s="183" t="s">
        <v>1519</v>
      </c>
      <c r="E1862" s="190">
        <v>42286</v>
      </c>
      <c r="F1862" s="191" t="s">
        <v>402</v>
      </c>
      <c r="G1862" s="482" t="s">
        <v>1080</v>
      </c>
      <c r="H1862" s="192" t="s">
        <v>793</v>
      </c>
      <c r="I1862" s="255"/>
      <c r="J1862" s="255"/>
      <c r="K1862" s="593">
        <v>519100</v>
      </c>
      <c r="L1862" s="594" t="s">
        <v>259</v>
      </c>
      <c r="M1862" s="594" t="s">
        <v>371</v>
      </c>
      <c r="N1862" s="52" t="str">
        <f>IF(AND('331-CT'!$E$7=TH!H1862,OR(L1862="331",M1862="331")),"331",IF(AND(OR(L1862="131",M1862="131"),H1862='131-CT'!$E$7),"131",""))</f>
        <v/>
      </c>
      <c r="O1862" s="86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99"/>
    </row>
    <row r="1863" spans="1:27" s="210" customFormat="1" ht="15.75" customHeight="1">
      <c r="A1863" s="203" t="str">
        <f>IF(B1863&lt;&gt;"",IF(AND(B1863&gt;=_TM1,B1863&lt;=_TM2,OR(TH!L1863="1111",TH!M1863="1111")),TH!D1863,""),"")</f>
        <v/>
      </c>
      <c r="B1863" s="36">
        <f>IF(C1863&lt;&gt;"",MONTH(C1863),"")</f>
        <v>10</v>
      </c>
      <c r="C1863" s="183">
        <f>E1863</f>
        <v>42286</v>
      </c>
      <c r="D1863" s="183" t="s">
        <v>1520</v>
      </c>
      <c r="E1863" s="190">
        <v>42286</v>
      </c>
      <c r="F1863" s="191" t="s">
        <v>952</v>
      </c>
      <c r="G1863" s="482" t="s">
        <v>1081</v>
      </c>
      <c r="H1863" s="192" t="s">
        <v>954</v>
      </c>
      <c r="I1863" s="255">
        <v>157</v>
      </c>
      <c r="J1863" s="255">
        <v>22750</v>
      </c>
      <c r="K1863" s="593">
        <f>ROUND(I1863*J1863,0)</f>
        <v>3571750</v>
      </c>
      <c r="L1863" s="594" t="s">
        <v>259</v>
      </c>
      <c r="M1863" s="594" t="s">
        <v>174</v>
      </c>
      <c r="N1863" s="52" t="str">
        <f>IF(AND('331-CT'!$E$7=TH!H1863,OR(L1863="331",M1863="331")),"331",IF(AND(OR(L1863="131",M1863="131"),H1863='131-CT'!$E$7),"131",""))</f>
        <v/>
      </c>
      <c r="O1863" s="86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99"/>
    </row>
    <row r="1864" spans="1:27" s="210" customFormat="1" ht="15.75" customHeight="1">
      <c r="A1864" s="203" t="str">
        <f>IF(B1864&lt;&gt;"",IF(AND(B1864&gt;=_TM1,B1864&lt;=_TM2,OR(TH!L1864="1111",TH!M1864="1111")),TH!D1864,""),"")</f>
        <v/>
      </c>
      <c r="B1864" s="36">
        <f>IF(C1864&lt;&gt;"",MONTH(C1864),"")</f>
        <v>10</v>
      </c>
      <c r="C1864" s="183">
        <f>E1864</f>
        <v>42286</v>
      </c>
      <c r="D1864" s="183" t="s">
        <v>1520</v>
      </c>
      <c r="E1864" s="190">
        <v>42286</v>
      </c>
      <c r="F1864" s="191" t="s">
        <v>402</v>
      </c>
      <c r="G1864" s="482" t="s">
        <v>1081</v>
      </c>
      <c r="H1864" s="192" t="s">
        <v>954</v>
      </c>
      <c r="I1864" s="255"/>
      <c r="J1864" s="255"/>
      <c r="K1864" s="593">
        <v>357175</v>
      </c>
      <c r="L1864" s="594" t="s">
        <v>259</v>
      </c>
      <c r="M1864" s="594" t="s">
        <v>371</v>
      </c>
      <c r="N1864" s="52" t="str">
        <f>IF(AND('331-CT'!$E$7=TH!H1864,OR(L1864="331",M1864="331")),"331",IF(AND(OR(L1864="131",M1864="131"),H1864='131-CT'!$E$7),"131",""))</f>
        <v/>
      </c>
      <c r="O1864" s="86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99"/>
    </row>
    <row r="1865" spans="1:27" s="210" customFormat="1" ht="15.75" customHeight="1">
      <c r="A1865" s="203" t="str">
        <f>IF(B1865&lt;&gt;"",IF(AND(B1865&gt;=_TM1,B1865&lt;=_TM2,OR(TH!L1865="1111",TH!M1865="1111")),TH!D1865,""),"")</f>
        <v/>
      </c>
      <c r="B1865" s="36">
        <f>IF(C1865&lt;&gt;"",MONTH(C1865),"")</f>
        <v>10</v>
      </c>
      <c r="C1865" s="183">
        <f>E1865</f>
        <v>42286</v>
      </c>
      <c r="D1865" s="183" t="s">
        <v>1521</v>
      </c>
      <c r="E1865" s="190">
        <v>42286</v>
      </c>
      <c r="F1865" s="191" t="s">
        <v>1802</v>
      </c>
      <c r="G1865" s="482" t="s">
        <v>1082</v>
      </c>
      <c r="H1865" s="7" t="s">
        <v>1934</v>
      </c>
      <c r="I1865" s="255">
        <v>200</v>
      </c>
      <c r="J1865" s="255">
        <v>5643</v>
      </c>
      <c r="K1865" s="593">
        <f>ROUND(I1865*J1865,0)</f>
        <v>1128600</v>
      </c>
      <c r="L1865" s="594" t="s">
        <v>259</v>
      </c>
      <c r="M1865" s="594" t="s">
        <v>174</v>
      </c>
      <c r="N1865" s="52" t="str">
        <f>IF(AND('331-CT'!$E$7=TH!H1865,OR(L1865="331",M1865="331")),"331",IF(AND(OR(L1865="131",M1865="131"),H1865='131-CT'!$E$7),"131",""))</f>
        <v/>
      </c>
      <c r="O1865" s="86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99"/>
    </row>
    <row r="1866" spans="1:27" s="210" customFormat="1" ht="15.75" customHeight="1">
      <c r="A1866" s="203" t="str">
        <f>IF(B1866&lt;&gt;"",IF(AND(B1866&gt;=_TM1,B1866&lt;=_TM2,OR(TH!L1866="1111",TH!M1866="1111")),TH!D1866,""),"")</f>
        <v/>
      </c>
      <c r="B1866" s="36">
        <f>IF(C1866&lt;&gt;"",MONTH(C1866),"")</f>
        <v>10</v>
      </c>
      <c r="C1866" s="183">
        <f>E1866</f>
        <v>42286</v>
      </c>
      <c r="D1866" s="183" t="s">
        <v>1521</v>
      </c>
      <c r="E1866" s="727">
        <v>42286</v>
      </c>
      <c r="F1866" s="188" t="s">
        <v>1803</v>
      </c>
      <c r="G1866" s="40" t="s">
        <v>1082</v>
      </c>
      <c r="H1866" s="7" t="s">
        <v>1934</v>
      </c>
      <c r="I1866" s="750">
        <v>10</v>
      </c>
      <c r="J1866" s="255">
        <v>22422</v>
      </c>
      <c r="K1866" s="593">
        <f>ROUND(I1866*J1866,0)</f>
        <v>224220</v>
      </c>
      <c r="L1866" s="594" t="s">
        <v>259</v>
      </c>
      <c r="M1866" s="594" t="s">
        <v>174</v>
      </c>
      <c r="N1866" s="52" t="str">
        <f>IF(AND('331-CT'!$E$7=TH!H1866,OR(L1866="331",M1866="331")),"331",IF(AND(OR(L1866="131",M1866="131"),H1866='131-CT'!$E$7),"131",""))</f>
        <v/>
      </c>
      <c r="O1866" s="86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99"/>
    </row>
    <row r="1867" spans="1:27" s="210" customFormat="1" ht="15.75" customHeight="1">
      <c r="A1867" s="203" t="str">
        <f>IF(B1867&lt;&gt;"",IF(AND(B1867&gt;=_TM1,B1867&lt;=_TM2,OR(TH!L1867="1111",TH!M1867="1111")),TH!D1867,""),"")</f>
        <v/>
      </c>
      <c r="B1867" s="36">
        <f>IF(C1867&lt;&gt;"",MONTH(C1867),"")</f>
        <v>10</v>
      </c>
      <c r="C1867" s="183">
        <f>E1867</f>
        <v>42286</v>
      </c>
      <c r="D1867" s="183" t="s">
        <v>1521</v>
      </c>
      <c r="E1867" s="727">
        <v>42286</v>
      </c>
      <c r="F1867" s="188" t="s">
        <v>1804</v>
      </c>
      <c r="G1867" s="40" t="s">
        <v>1082</v>
      </c>
      <c r="H1867" s="7" t="s">
        <v>1934</v>
      </c>
      <c r="I1867" s="255">
        <v>55</v>
      </c>
      <c r="J1867" s="255">
        <v>22805</v>
      </c>
      <c r="K1867" s="593">
        <f>ROUND(I1867*J1867,0)</f>
        <v>1254275</v>
      </c>
      <c r="L1867" s="594" t="s">
        <v>259</v>
      </c>
      <c r="M1867" s="594" t="s">
        <v>174</v>
      </c>
      <c r="N1867" s="52" t="str">
        <f>IF(AND('331-CT'!$E$7=TH!H1867,OR(L1867="331",M1867="331")),"331",IF(AND(OR(L1867="131",M1867="131"),H1867='131-CT'!$E$7),"131",""))</f>
        <v/>
      </c>
      <c r="O1867" s="86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99"/>
    </row>
    <row r="1868" spans="1:27" s="210" customFormat="1" ht="15.75" customHeight="1">
      <c r="A1868" s="203" t="str">
        <f>IF(B1868&lt;&gt;"",IF(AND(B1868&gt;=_TM1,B1868&lt;=_TM2,OR(TH!L1868="1111",TH!M1868="1111")),TH!D1868,""),"")</f>
        <v/>
      </c>
      <c r="B1868" s="36">
        <f>IF(C1868&lt;&gt;"",MONTH(C1868),"")</f>
        <v>10</v>
      </c>
      <c r="C1868" s="183">
        <f>E1868</f>
        <v>42286</v>
      </c>
      <c r="D1868" s="183" t="s">
        <v>1521</v>
      </c>
      <c r="E1868" s="727">
        <v>42286</v>
      </c>
      <c r="F1868" s="40" t="s">
        <v>742</v>
      </c>
      <c r="G1868" s="40" t="s">
        <v>1082</v>
      </c>
      <c r="H1868" s="7" t="s">
        <v>1934</v>
      </c>
      <c r="I1868" s="255">
        <v>105</v>
      </c>
      <c r="J1868" s="255">
        <v>17836</v>
      </c>
      <c r="K1868" s="593">
        <f>ROUND(I1868*J1868,0)</f>
        <v>1872780</v>
      </c>
      <c r="L1868" s="594" t="s">
        <v>259</v>
      </c>
      <c r="M1868" s="594" t="s">
        <v>174</v>
      </c>
      <c r="N1868" s="52" t="str">
        <f>IF(AND('331-CT'!$E$7=TH!H1868,OR(L1868="331",M1868="331")),"331",IF(AND(OR(L1868="131",M1868="131"),H1868='131-CT'!$E$7),"131",""))</f>
        <v/>
      </c>
      <c r="O1868" s="86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99"/>
    </row>
    <row r="1869" spans="1:27" s="210" customFormat="1" ht="15.75" customHeight="1">
      <c r="A1869" s="203" t="str">
        <f>IF(B1869&lt;&gt;"",IF(AND(B1869&gt;=_TM1,B1869&lt;=_TM2,OR(TH!L1869="1111",TH!M1869="1111")),TH!D1869,""),"")</f>
        <v/>
      </c>
      <c r="B1869" s="36">
        <f>IF(C1869&lt;&gt;"",MONTH(C1869),"")</f>
        <v>10</v>
      </c>
      <c r="C1869" s="183">
        <f>E1869</f>
        <v>42286</v>
      </c>
      <c r="D1869" s="183" t="s">
        <v>1521</v>
      </c>
      <c r="E1869" s="727">
        <v>42286</v>
      </c>
      <c r="F1869" s="188" t="s">
        <v>731</v>
      </c>
      <c r="G1869" s="40" t="s">
        <v>1082</v>
      </c>
      <c r="H1869" s="7" t="s">
        <v>1934</v>
      </c>
      <c r="I1869" s="255"/>
      <c r="J1869" s="255"/>
      <c r="K1869" s="593">
        <v>447988</v>
      </c>
      <c r="L1869" s="594" t="s">
        <v>259</v>
      </c>
      <c r="M1869" s="594" t="s">
        <v>371</v>
      </c>
      <c r="N1869" s="52" t="str">
        <f>IF(AND('331-CT'!$E$7=TH!H1869,OR(L1869="331",M1869="331")),"331",IF(AND(OR(L1869="131",M1869="131"),H1869='131-CT'!$E$7),"131",""))</f>
        <v/>
      </c>
      <c r="O1869" s="86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99"/>
    </row>
    <row r="1870" spans="1:27" s="210" customFormat="1" ht="15.75" customHeight="1">
      <c r="A1870" s="203" t="str">
        <f>IF(B1870&lt;&gt;"",IF(AND(B1870&gt;=_TM1,B1870&lt;=_TM2,OR(TH!L1870="1111",TH!M1870="1111")),TH!D1870,""),"")</f>
        <v/>
      </c>
      <c r="B1870" s="36">
        <f>IF(C1870&lt;&gt;"",MONTH(C1870),"")</f>
        <v>10</v>
      </c>
      <c r="C1870" s="183">
        <f>E1870</f>
        <v>42286</v>
      </c>
      <c r="D1870" s="183" t="s">
        <v>1319</v>
      </c>
      <c r="E1870" s="190">
        <v>42286</v>
      </c>
      <c r="F1870" s="188" t="s">
        <v>1320</v>
      </c>
      <c r="G1870" s="482" t="s">
        <v>332</v>
      </c>
      <c r="H1870" s="192" t="s">
        <v>1022</v>
      </c>
      <c r="I1870" s="255"/>
      <c r="J1870" s="255"/>
      <c r="K1870" s="593">
        <v>5653263</v>
      </c>
      <c r="L1870" s="594" t="s">
        <v>24</v>
      </c>
      <c r="M1870" s="594" t="s">
        <v>259</v>
      </c>
      <c r="N1870" s="52" t="str">
        <f>IF(AND('331-CT'!$E$7=TH!H1870,OR(L1870="331",M1870="331")),"331",IF(AND(OR(L1870="131",M1870="131"),H1870='131-CT'!$E$7),"131",""))</f>
        <v/>
      </c>
      <c r="O1870" s="86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99"/>
    </row>
    <row r="1871" spans="1:27" s="210" customFormat="1" ht="15.75" customHeight="1">
      <c r="A1871" s="203" t="str">
        <f>IF(B1871&lt;&gt;"",IF(AND(B1871&gt;=_TM1,B1871&lt;=_TM2,OR(TH!L1871="1111",TH!M1871="1111")),TH!D1871,""),"")</f>
        <v>GBC</v>
      </c>
      <c r="B1871" s="36">
        <f>IF(C1871&lt;&gt;"",MONTH(C1871),"")</f>
        <v>10</v>
      </c>
      <c r="C1871" s="183">
        <f>E1871</f>
        <v>42286</v>
      </c>
      <c r="D1871" s="183" t="s">
        <v>1319</v>
      </c>
      <c r="E1871" s="190">
        <v>42286</v>
      </c>
      <c r="F1871" s="188" t="s">
        <v>1325</v>
      </c>
      <c r="G1871" s="482" t="s">
        <v>332</v>
      </c>
      <c r="H1871" s="7" t="s">
        <v>1333</v>
      </c>
      <c r="I1871" s="255"/>
      <c r="J1871" s="255"/>
      <c r="K1871" s="593">
        <v>19000000</v>
      </c>
      <c r="L1871" s="594" t="s">
        <v>47</v>
      </c>
      <c r="M1871" s="594" t="s">
        <v>24</v>
      </c>
      <c r="N1871" s="52" t="str">
        <f>IF(AND('331-CT'!$E$7=TH!H1871,OR(L1871="331",M1871="331")),"331",IF(AND(OR(L1871="131",M1871="131"),H1871='131-CT'!$E$7),"131",""))</f>
        <v/>
      </c>
      <c r="O1871" s="86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99"/>
    </row>
    <row r="1872" spans="1:27" s="210" customFormat="1" ht="15.75" customHeight="1">
      <c r="A1872" s="203" t="str">
        <f>IF(B1872&lt;&gt;"",IF(AND(B1872&gt;=_TM1,B1872&lt;=_TM2,OR(TH!L1872="1111",TH!M1872="1111")),TH!D1872,""),"")</f>
        <v/>
      </c>
      <c r="B1872" s="36">
        <f>IF(C1872&lt;&gt;"",MONTH(C1872),"")</f>
        <v>10</v>
      </c>
      <c r="C1872" s="183">
        <f>E1872</f>
        <v>42287</v>
      </c>
      <c r="D1872" s="183" t="s">
        <v>1522</v>
      </c>
      <c r="E1872" s="727">
        <v>42287</v>
      </c>
      <c r="F1872" s="40" t="s">
        <v>1083</v>
      </c>
      <c r="G1872" s="40" t="s">
        <v>1084</v>
      </c>
      <c r="H1872" s="7" t="s">
        <v>783</v>
      </c>
      <c r="I1872" s="255">
        <v>710</v>
      </c>
      <c r="J1872" s="255">
        <v>25000</v>
      </c>
      <c r="K1872" s="593">
        <f>ROUND(I1872*J1872,0)</f>
        <v>17750000</v>
      </c>
      <c r="L1872" s="594" t="s">
        <v>259</v>
      </c>
      <c r="M1872" s="594" t="s">
        <v>174</v>
      </c>
      <c r="N1872" s="52" t="str">
        <f>IF(AND('331-CT'!$E$7=TH!H1872,OR(L1872="331",M1872="331")),"331",IF(AND(OR(L1872="131",M1872="131"),H1872='131-CT'!$E$7),"131",""))</f>
        <v/>
      </c>
      <c r="O1872" s="86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99"/>
    </row>
    <row r="1873" spans="1:27" s="210" customFormat="1" ht="15.75" customHeight="1">
      <c r="A1873" s="203" t="str">
        <f>IF(B1873&lt;&gt;"",IF(AND(B1873&gt;=_TM1,B1873&lt;=_TM2,OR(TH!L1873="1111",TH!M1873="1111")),TH!D1873,""),"")</f>
        <v/>
      </c>
      <c r="B1873" s="36">
        <f>IF(C1873&lt;&gt;"",MONTH(C1873),"")</f>
        <v>10</v>
      </c>
      <c r="C1873" s="183">
        <f>E1873</f>
        <v>42287</v>
      </c>
      <c r="D1873" s="183" t="s">
        <v>1522</v>
      </c>
      <c r="E1873" s="37">
        <v>42287</v>
      </c>
      <c r="F1873" s="40" t="s">
        <v>402</v>
      </c>
      <c r="G1873" s="40" t="s">
        <v>1084</v>
      </c>
      <c r="H1873" s="7" t="s">
        <v>783</v>
      </c>
      <c r="I1873" s="255"/>
      <c r="J1873" s="255"/>
      <c r="K1873" s="593">
        <v>1775000</v>
      </c>
      <c r="L1873" s="594" t="s">
        <v>259</v>
      </c>
      <c r="M1873" s="594" t="s">
        <v>371</v>
      </c>
      <c r="N1873" s="52" t="str">
        <f>IF(AND('331-CT'!$E$7=TH!H1873,OR(L1873="331",M1873="331")),"331",IF(AND(OR(L1873="131",M1873="131"),H1873='131-CT'!$E$7),"131",""))</f>
        <v/>
      </c>
      <c r="O1873" s="86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99"/>
    </row>
    <row r="1874" spans="1:27" s="210" customFormat="1" ht="15.75" customHeight="1">
      <c r="A1874" s="203" t="str">
        <f>IF(B1874&lt;&gt;"",IF(AND(B1874&gt;=_TM1,B1874&lt;=_TM2,OR(TH!L1874="1111",TH!M1874="1111")),TH!D1874,""),"")</f>
        <v/>
      </c>
      <c r="B1874" s="36">
        <f>IF(C1874&lt;&gt;"",MONTH(C1874),"")</f>
        <v>10</v>
      </c>
      <c r="C1874" s="183">
        <f>E1874</f>
        <v>42287</v>
      </c>
      <c r="D1874" s="183" t="s">
        <v>1523</v>
      </c>
      <c r="E1874" s="37">
        <v>42287</v>
      </c>
      <c r="F1874" s="40" t="s">
        <v>1691</v>
      </c>
      <c r="G1874" s="40" t="s">
        <v>1085</v>
      </c>
      <c r="H1874" s="7" t="s">
        <v>464</v>
      </c>
      <c r="I1874" s="255">
        <v>1000</v>
      </c>
      <c r="J1874" s="255">
        <v>460</v>
      </c>
      <c r="K1874" s="593">
        <f>ROUND(I1874*J1874,0)</f>
        <v>460000</v>
      </c>
      <c r="L1874" s="594" t="s">
        <v>259</v>
      </c>
      <c r="M1874" s="594" t="s">
        <v>174</v>
      </c>
      <c r="N1874" s="52" t="str">
        <f>IF(AND('331-CT'!$E$7=TH!H1874,OR(L1874="331",M1874="331")),"331",IF(AND(OR(L1874="131",M1874="131"),H1874='131-CT'!$E$7),"131",""))</f>
        <v/>
      </c>
      <c r="O1874" s="86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799"/>
    </row>
    <row r="1875" spans="1:27" s="210" customFormat="1" ht="15.75" customHeight="1">
      <c r="A1875" s="203" t="str">
        <f>IF(B1875&lt;&gt;"",IF(AND(B1875&gt;=_TM1,B1875&lt;=_TM2,OR(TH!L1875="1111",TH!M1875="1111")),TH!D1875,""),"")</f>
        <v/>
      </c>
      <c r="B1875" s="36">
        <f>IF(C1875&lt;&gt;"",MONTH(C1875),"")</f>
        <v>10</v>
      </c>
      <c r="C1875" s="183">
        <f>E1875</f>
        <v>42287</v>
      </c>
      <c r="D1875" s="183" t="s">
        <v>1523</v>
      </c>
      <c r="E1875" s="37">
        <v>42287</v>
      </c>
      <c r="F1875" s="40" t="s">
        <v>1692</v>
      </c>
      <c r="G1875" s="40" t="s">
        <v>1085</v>
      </c>
      <c r="H1875" s="7" t="s">
        <v>464</v>
      </c>
      <c r="I1875" s="255">
        <v>1000</v>
      </c>
      <c r="J1875" s="255">
        <v>760</v>
      </c>
      <c r="K1875" s="593">
        <f>ROUND(I1875*J1875,0)</f>
        <v>760000</v>
      </c>
      <c r="L1875" s="594" t="s">
        <v>259</v>
      </c>
      <c r="M1875" s="594" t="s">
        <v>174</v>
      </c>
      <c r="N1875" s="52" t="str">
        <f>IF(AND('331-CT'!$E$7=TH!H1875,OR(L1875="331",M1875="331")),"331",IF(AND(OR(L1875="131",M1875="131"),H1875='131-CT'!$E$7),"131",""))</f>
        <v/>
      </c>
      <c r="O1875" s="86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799"/>
    </row>
    <row r="1876" spans="1:27" s="210" customFormat="1" ht="15.75" customHeight="1">
      <c r="A1876" s="203" t="str">
        <f>IF(B1876&lt;&gt;"",IF(AND(B1876&gt;=_TM1,B1876&lt;=_TM2,OR(TH!L1876="1111",TH!M1876="1111")),TH!D1876,""),"")</f>
        <v/>
      </c>
      <c r="B1876" s="36">
        <f>IF(C1876&lt;&gt;"",MONTH(C1876),"")</f>
        <v>10</v>
      </c>
      <c r="C1876" s="183">
        <f>E1876</f>
        <v>42287</v>
      </c>
      <c r="D1876" s="183" t="s">
        <v>1523</v>
      </c>
      <c r="E1876" s="37">
        <v>42287</v>
      </c>
      <c r="F1876" s="40" t="s">
        <v>731</v>
      </c>
      <c r="G1876" s="40" t="s">
        <v>1085</v>
      </c>
      <c r="H1876" s="831" t="s">
        <v>464</v>
      </c>
      <c r="I1876" s="255"/>
      <c r="J1876" s="255"/>
      <c r="K1876" s="593">
        <v>122000</v>
      </c>
      <c r="L1876" s="594" t="s">
        <v>259</v>
      </c>
      <c r="M1876" s="594" t="s">
        <v>371</v>
      </c>
      <c r="N1876" s="52" t="str">
        <f>IF(AND('331-CT'!$E$7=TH!H1876,OR(L1876="331",M1876="331")),"331",IF(AND(OR(L1876="131",M1876="131"),H1876='131-CT'!$E$7),"131",""))</f>
        <v/>
      </c>
      <c r="O1876" s="86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799"/>
    </row>
    <row r="1877" spans="1:27" s="210" customFormat="1" ht="15.75" customHeight="1">
      <c r="A1877" s="203" t="str">
        <f>IF(B1877&lt;&gt;"",IF(AND(B1877&gt;=_TM1,B1877&lt;=_TM2,OR(TH!L1877="1111",TH!M1877="1111")),TH!D1877,""),"")</f>
        <v/>
      </c>
      <c r="B1877" s="36">
        <f>IF(C1877&lt;&gt;"",MONTH(C1877),"")</f>
        <v>10</v>
      </c>
      <c r="C1877" s="183">
        <f>E1877</f>
        <v>42287</v>
      </c>
      <c r="D1877" s="183" t="s">
        <v>1524</v>
      </c>
      <c r="E1877" s="37">
        <v>42287</v>
      </c>
      <c r="F1877" s="40" t="s">
        <v>1805</v>
      </c>
      <c r="G1877" s="40" t="s">
        <v>1086</v>
      </c>
      <c r="H1877" s="7" t="s">
        <v>1934</v>
      </c>
      <c r="I1877" s="255">
        <v>65</v>
      </c>
      <c r="J1877" s="255">
        <v>11612</v>
      </c>
      <c r="K1877" s="593">
        <f>ROUND(I1877*J1877,0)</f>
        <v>754780</v>
      </c>
      <c r="L1877" s="594" t="s">
        <v>259</v>
      </c>
      <c r="M1877" s="594" t="s">
        <v>174</v>
      </c>
      <c r="N1877" s="52" t="str">
        <f>IF(AND('331-CT'!$E$7=TH!H1877,OR(L1877="331",M1877="331")),"331",IF(AND(OR(L1877="131",M1877="131"),H1877='131-CT'!$E$7),"131",""))</f>
        <v/>
      </c>
      <c r="O1877" s="86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799"/>
    </row>
    <row r="1878" spans="1:27" s="210" customFormat="1" ht="15.75" customHeight="1">
      <c r="A1878" s="203" t="str">
        <f>IF(B1878&lt;&gt;"",IF(AND(B1878&gt;=_TM1,B1878&lt;=_TM2,OR(TH!L1878="1111",TH!M1878="1111")),TH!D1878,""),"")</f>
        <v/>
      </c>
      <c r="B1878" s="36">
        <f>IF(C1878&lt;&gt;"",MONTH(C1878),"")</f>
        <v>10</v>
      </c>
      <c r="C1878" s="183">
        <f>E1878</f>
        <v>42287</v>
      </c>
      <c r="D1878" s="183" t="s">
        <v>1524</v>
      </c>
      <c r="E1878" s="37">
        <v>42287</v>
      </c>
      <c r="F1878" s="40" t="s">
        <v>1746</v>
      </c>
      <c r="G1878" s="40" t="s">
        <v>1086</v>
      </c>
      <c r="H1878" s="7" t="s">
        <v>1934</v>
      </c>
      <c r="I1878" s="255">
        <v>65</v>
      </c>
      <c r="J1878" s="255">
        <v>9769</v>
      </c>
      <c r="K1878" s="593">
        <f>ROUND(I1878*J1878,0)</f>
        <v>634985</v>
      </c>
      <c r="L1878" s="594" t="s">
        <v>259</v>
      </c>
      <c r="M1878" s="594" t="s">
        <v>174</v>
      </c>
      <c r="N1878" s="52" t="str">
        <f>IF(AND('331-CT'!$E$7=TH!H1878,OR(L1878="331",M1878="331")),"331",IF(AND(OR(L1878="131",M1878="131"),H1878='131-CT'!$E$7),"131",""))</f>
        <v/>
      </c>
      <c r="O1878" s="86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799"/>
    </row>
    <row r="1879" spans="1:27" s="210" customFormat="1" ht="15.75" customHeight="1">
      <c r="A1879" s="203" t="str">
        <f>IF(B1879&lt;&gt;"",IF(AND(B1879&gt;=_TM1,B1879&lt;=_TM2,OR(TH!L1879="1111",TH!M1879="1111")),TH!D1879,""),"")</f>
        <v/>
      </c>
      <c r="B1879" s="36">
        <f>IF(C1879&lt;&gt;"",MONTH(C1879),"")</f>
        <v>10</v>
      </c>
      <c r="C1879" s="183">
        <f>E1879</f>
        <v>42287</v>
      </c>
      <c r="D1879" s="183" t="s">
        <v>1524</v>
      </c>
      <c r="E1879" s="37">
        <v>42287</v>
      </c>
      <c r="F1879" s="40" t="s">
        <v>1743</v>
      </c>
      <c r="G1879" s="40" t="s">
        <v>1086</v>
      </c>
      <c r="H1879" s="7" t="s">
        <v>1934</v>
      </c>
      <c r="I1879" s="255">
        <v>105</v>
      </c>
      <c r="J1879" s="255">
        <v>7826</v>
      </c>
      <c r="K1879" s="593">
        <f>ROUND(I1879*J1879,0)</f>
        <v>821730</v>
      </c>
      <c r="L1879" s="594" t="s">
        <v>259</v>
      </c>
      <c r="M1879" s="594" t="s">
        <v>174</v>
      </c>
      <c r="N1879" s="52" t="str">
        <f>IF(AND('331-CT'!$E$7=TH!H1879,OR(L1879="331",M1879="331")),"331",IF(AND(OR(L1879="131",M1879="131"),H1879='131-CT'!$E$7),"131",""))</f>
        <v/>
      </c>
      <c r="O1879" s="86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799"/>
    </row>
    <row r="1880" spans="1:27" s="210" customFormat="1" ht="15.75" customHeight="1">
      <c r="A1880" s="203" t="str">
        <f>IF(B1880&lt;&gt;"",IF(AND(B1880&gt;=_TM1,B1880&lt;=_TM2,OR(TH!L1880="1111",TH!M1880="1111")),TH!D1880,""),"")</f>
        <v/>
      </c>
      <c r="B1880" s="36">
        <f>IF(C1880&lt;&gt;"",MONTH(C1880),"")</f>
        <v>10</v>
      </c>
      <c r="C1880" s="183">
        <f>E1880</f>
        <v>42287</v>
      </c>
      <c r="D1880" s="183" t="s">
        <v>1524</v>
      </c>
      <c r="E1880" s="37">
        <v>42287</v>
      </c>
      <c r="F1880" s="40" t="s">
        <v>1744</v>
      </c>
      <c r="G1880" s="40" t="s">
        <v>1086</v>
      </c>
      <c r="H1880" s="7" t="s">
        <v>1934</v>
      </c>
      <c r="I1880" s="255">
        <v>105</v>
      </c>
      <c r="J1880" s="255">
        <v>7175</v>
      </c>
      <c r="K1880" s="593">
        <f>ROUND(I1880*J1880,0)</f>
        <v>753375</v>
      </c>
      <c r="L1880" s="594" t="s">
        <v>259</v>
      </c>
      <c r="M1880" s="594" t="s">
        <v>174</v>
      </c>
      <c r="N1880" s="52" t="str">
        <f>IF(AND('331-CT'!$E$7=TH!H1880,OR(L1880="331",M1880="331")),"331",IF(AND(OR(L1880="131",M1880="131"),H1880='131-CT'!$E$7),"131",""))</f>
        <v/>
      </c>
      <c r="O1880" s="86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799"/>
    </row>
    <row r="1881" spans="1:27" s="210" customFormat="1" ht="15.75" customHeight="1">
      <c r="A1881" s="203" t="str">
        <f>IF(B1881&lt;&gt;"",IF(AND(B1881&gt;=_TM1,B1881&lt;=_TM2,OR(TH!L1881="1111",TH!M1881="1111")),TH!D1881,""),"")</f>
        <v/>
      </c>
      <c r="B1881" s="36">
        <f>IF(C1881&lt;&gt;"",MONTH(C1881),"")</f>
        <v>10</v>
      </c>
      <c r="C1881" s="183">
        <f>E1881</f>
        <v>42287</v>
      </c>
      <c r="D1881" s="183" t="s">
        <v>1524</v>
      </c>
      <c r="E1881" s="37">
        <v>42287</v>
      </c>
      <c r="F1881" s="191" t="s">
        <v>748</v>
      </c>
      <c r="G1881" s="40" t="s">
        <v>1086</v>
      </c>
      <c r="H1881" s="7" t="s">
        <v>1934</v>
      </c>
      <c r="I1881" s="255">
        <v>150</v>
      </c>
      <c r="J1881" s="255">
        <v>11997</v>
      </c>
      <c r="K1881" s="593">
        <f>ROUND(I1881*J1881,0)</f>
        <v>1799550</v>
      </c>
      <c r="L1881" s="594" t="s">
        <v>259</v>
      </c>
      <c r="M1881" s="594" t="s">
        <v>174</v>
      </c>
      <c r="N1881" s="52" t="str">
        <f>IF(AND('331-CT'!$E$7=TH!H1881,OR(L1881="331",M1881="331")),"331",IF(AND(OR(L1881="131",M1881="131"),H1881='131-CT'!$E$7),"131",""))</f>
        <v/>
      </c>
      <c r="O1881" s="86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799"/>
    </row>
    <row r="1882" spans="1:27" s="210" customFormat="1" ht="15.75" customHeight="1">
      <c r="A1882" s="203" t="str">
        <f>IF(B1882&lt;&gt;"",IF(AND(B1882&gt;=_TM1,B1882&lt;=_TM2,OR(TH!L1882="1111",TH!M1882="1111")),TH!D1882,""),"")</f>
        <v/>
      </c>
      <c r="B1882" s="36">
        <f>IF(C1882&lt;&gt;"",MONTH(C1882),"")</f>
        <v>10</v>
      </c>
      <c r="C1882" s="183">
        <f>E1882</f>
        <v>42287</v>
      </c>
      <c r="D1882" s="183" t="s">
        <v>1524</v>
      </c>
      <c r="E1882" s="37">
        <v>42287</v>
      </c>
      <c r="F1882" s="40" t="s">
        <v>728</v>
      </c>
      <c r="G1882" s="40" t="s">
        <v>1086</v>
      </c>
      <c r="H1882" s="7" t="s">
        <v>1934</v>
      </c>
      <c r="I1882" s="255">
        <v>300</v>
      </c>
      <c r="J1882" s="255">
        <v>10854</v>
      </c>
      <c r="K1882" s="593">
        <f>ROUND(I1882*J1882,0)</f>
        <v>3256200</v>
      </c>
      <c r="L1882" s="594" t="s">
        <v>259</v>
      </c>
      <c r="M1882" s="594" t="s">
        <v>174</v>
      </c>
      <c r="N1882" s="52" t="str">
        <f>IF(AND('331-CT'!$E$7=TH!H1882,OR(L1882="331",M1882="331")),"331",IF(AND(OR(L1882="131",M1882="131"),H1882='131-CT'!$E$7),"131",""))</f>
        <v/>
      </c>
      <c r="O1882" s="86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799"/>
    </row>
    <row r="1883" spans="1:27" s="210" customFormat="1" ht="15.75" customHeight="1">
      <c r="A1883" s="203" t="str">
        <f>IF(B1883&lt;&gt;"",IF(AND(B1883&gt;=_TM1,B1883&lt;=_TM2,OR(TH!L1883="1111",TH!M1883="1111")),TH!D1883,""),"")</f>
        <v/>
      </c>
      <c r="B1883" s="36">
        <f>IF(C1883&lt;&gt;"",MONTH(C1883),"")</f>
        <v>10</v>
      </c>
      <c r="C1883" s="183">
        <f>E1883</f>
        <v>42287</v>
      </c>
      <c r="D1883" s="183" t="s">
        <v>1524</v>
      </c>
      <c r="E1883" s="37">
        <v>42287</v>
      </c>
      <c r="F1883" s="40" t="s">
        <v>731</v>
      </c>
      <c r="G1883" s="40" t="s">
        <v>1086</v>
      </c>
      <c r="H1883" s="7" t="s">
        <v>1934</v>
      </c>
      <c r="I1883" s="255"/>
      <c r="J1883" s="255"/>
      <c r="K1883" s="593">
        <v>802062</v>
      </c>
      <c r="L1883" s="594" t="s">
        <v>259</v>
      </c>
      <c r="M1883" s="594" t="s">
        <v>371</v>
      </c>
      <c r="N1883" s="52" t="str">
        <f>IF(AND('331-CT'!$E$7=TH!H1883,OR(L1883="331",M1883="331")),"331",IF(AND(OR(L1883="131",M1883="131"),H1883='131-CT'!$E$7),"131",""))</f>
        <v/>
      </c>
      <c r="O1883" s="86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799"/>
    </row>
    <row r="1884" spans="1:27" s="210" customFormat="1" ht="15.75" customHeight="1">
      <c r="A1884" s="203" t="str">
        <f>IF(B1884&lt;&gt;"",IF(AND(B1884&gt;=_TM1,B1884&lt;=_TM2,OR(TH!L1884="1111",TH!M1884="1111")),TH!D1884,""),"")</f>
        <v>GBC</v>
      </c>
      <c r="B1884" s="36">
        <f>IF(C1884&lt;&gt;"",MONTH(C1884),"")</f>
        <v>10</v>
      </c>
      <c r="C1884" s="183">
        <f>E1884</f>
        <v>42287</v>
      </c>
      <c r="D1884" s="183" t="s">
        <v>1319</v>
      </c>
      <c r="E1884" s="190">
        <v>42287</v>
      </c>
      <c r="F1884" s="188" t="s">
        <v>1325</v>
      </c>
      <c r="G1884" s="482" t="s">
        <v>332</v>
      </c>
      <c r="H1884" s="7" t="s">
        <v>1333</v>
      </c>
      <c r="I1884" s="255"/>
      <c r="J1884" s="255"/>
      <c r="K1884" s="593">
        <v>6200000</v>
      </c>
      <c r="L1884" s="594" t="s">
        <v>47</v>
      </c>
      <c r="M1884" s="594" t="s">
        <v>24</v>
      </c>
      <c r="N1884" s="52" t="str">
        <f>IF(AND('331-CT'!$E$7=TH!H1884,OR(L1884="331",M1884="331")),"331",IF(AND(OR(L1884="131",M1884="131"),H1884='131-CT'!$E$7),"131",""))</f>
        <v/>
      </c>
      <c r="O1884" s="86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799"/>
    </row>
    <row r="1885" spans="1:27" s="210" customFormat="1" ht="15.75" customHeight="1">
      <c r="A1885" s="203" t="str">
        <f>IF(B1885&lt;&gt;"",IF(AND(B1885&gt;=_TM1,B1885&lt;=_TM2,OR(TH!L1885="1111",TH!M1885="1111")),TH!D1885,""),"")</f>
        <v/>
      </c>
      <c r="B1885" s="36">
        <f>IF(C1885&lt;&gt;"",MONTH(C1885),"")</f>
        <v>10</v>
      </c>
      <c r="C1885" s="183">
        <f>E1885</f>
        <v>42289</v>
      </c>
      <c r="D1885" s="183" t="s">
        <v>1525</v>
      </c>
      <c r="E1885" s="37">
        <v>42289</v>
      </c>
      <c r="F1885" s="40" t="s">
        <v>1806</v>
      </c>
      <c r="G1885" s="40" t="s">
        <v>1087</v>
      </c>
      <c r="H1885" s="7" t="s">
        <v>1934</v>
      </c>
      <c r="I1885" s="255">
        <v>220</v>
      </c>
      <c r="J1885" s="255">
        <v>11346</v>
      </c>
      <c r="K1885" s="593">
        <f>ROUND(I1885*J1885,0)</f>
        <v>2496120</v>
      </c>
      <c r="L1885" s="594" t="s">
        <v>259</v>
      </c>
      <c r="M1885" s="594" t="s">
        <v>174</v>
      </c>
      <c r="N1885" s="52" t="str">
        <f>IF(AND('331-CT'!$E$7=TH!H1885,OR(L1885="331",M1885="331")),"331",IF(AND(OR(L1885="131",M1885="131"),H1885='131-CT'!$E$7),"131",""))</f>
        <v/>
      </c>
      <c r="O1885" s="86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799"/>
    </row>
    <row r="1886" spans="1:27" s="210" customFormat="1" ht="15.75" customHeight="1">
      <c r="A1886" s="203" t="str">
        <f>IF(B1886&lt;&gt;"",IF(AND(B1886&gt;=_TM1,B1886&lt;=_TM2,OR(TH!L1886="1111",TH!M1886="1111")),TH!D1886,""),"")</f>
        <v/>
      </c>
      <c r="B1886" s="36">
        <f>IF(C1886&lt;&gt;"",MONTH(C1886),"")</f>
        <v>10</v>
      </c>
      <c r="C1886" s="183">
        <f>E1886</f>
        <v>42289</v>
      </c>
      <c r="D1886" s="183" t="s">
        <v>1525</v>
      </c>
      <c r="E1886" s="37">
        <v>42289</v>
      </c>
      <c r="F1886" s="40" t="s">
        <v>1782</v>
      </c>
      <c r="G1886" s="40" t="s">
        <v>1087</v>
      </c>
      <c r="H1886" s="7" t="s">
        <v>1934</v>
      </c>
      <c r="I1886" s="255">
        <v>140</v>
      </c>
      <c r="J1886" s="255">
        <v>12886</v>
      </c>
      <c r="K1886" s="593">
        <f>ROUND(I1886*J1886,0)</f>
        <v>1804040</v>
      </c>
      <c r="L1886" s="594" t="s">
        <v>259</v>
      </c>
      <c r="M1886" s="594" t="s">
        <v>174</v>
      </c>
      <c r="N1886" s="52" t="str">
        <f>IF(AND('331-CT'!$E$7=TH!H1886,OR(L1886="331",M1886="331")),"331",IF(AND(OR(L1886="131",M1886="131"),H1886='131-CT'!$E$7),"131",""))</f>
        <v/>
      </c>
      <c r="O1886" s="86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799"/>
    </row>
    <row r="1887" spans="1:27" s="210" customFormat="1" ht="15.75" customHeight="1">
      <c r="A1887" s="203" t="str">
        <f>IF(B1887&lt;&gt;"",IF(AND(B1887&gt;=_TM1,B1887&lt;=_TM2,OR(TH!L1887="1111",TH!M1887="1111")),TH!D1887,""),"")</f>
        <v/>
      </c>
      <c r="B1887" s="36">
        <f>IF(C1887&lt;&gt;"",MONTH(C1887),"")</f>
        <v>10</v>
      </c>
      <c r="C1887" s="183">
        <f>E1887</f>
        <v>42289</v>
      </c>
      <c r="D1887" s="183" t="s">
        <v>1525</v>
      </c>
      <c r="E1887" s="37">
        <v>42289</v>
      </c>
      <c r="F1887" s="40" t="s">
        <v>1807</v>
      </c>
      <c r="G1887" s="40" t="s">
        <v>1087</v>
      </c>
      <c r="H1887" s="7" t="s">
        <v>1934</v>
      </c>
      <c r="I1887" s="255">
        <v>20</v>
      </c>
      <c r="J1887" s="255">
        <v>12522</v>
      </c>
      <c r="K1887" s="593">
        <f>ROUND(I1887*J1887,0)</f>
        <v>250440</v>
      </c>
      <c r="L1887" s="594" t="s">
        <v>259</v>
      </c>
      <c r="M1887" s="594" t="s">
        <v>174</v>
      </c>
      <c r="N1887" s="52" t="str">
        <f>IF(AND('331-CT'!$E$7=TH!H1887,OR(L1887="331",M1887="331")),"331",IF(AND(OR(L1887="131",M1887="131"),H1887='131-CT'!$E$7),"131",""))</f>
        <v/>
      </c>
      <c r="O1887" s="86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799"/>
    </row>
    <row r="1888" spans="1:27" s="210" customFormat="1" ht="15.75" customHeight="1">
      <c r="A1888" s="203" t="str">
        <f>IF(B1888&lt;&gt;"",IF(AND(B1888&gt;=_TM1,B1888&lt;=_TM2,OR(TH!L1888="1111",TH!M1888="1111")),TH!D1888,""),"")</f>
        <v/>
      </c>
      <c r="B1888" s="36">
        <f>IF(C1888&lt;&gt;"",MONTH(C1888),"")</f>
        <v>10</v>
      </c>
      <c r="C1888" s="183">
        <f>E1888</f>
        <v>42289</v>
      </c>
      <c r="D1888" s="183" t="s">
        <v>1525</v>
      </c>
      <c r="E1888" s="37">
        <v>42289</v>
      </c>
      <c r="F1888" s="40" t="s">
        <v>1761</v>
      </c>
      <c r="G1888" s="40" t="s">
        <v>1087</v>
      </c>
      <c r="H1888" s="7" t="s">
        <v>1934</v>
      </c>
      <c r="I1888" s="255">
        <v>102</v>
      </c>
      <c r="J1888" s="255">
        <v>13213</v>
      </c>
      <c r="K1888" s="593">
        <f>ROUND(I1888*J1888,0)</f>
        <v>1347726</v>
      </c>
      <c r="L1888" s="594" t="s">
        <v>259</v>
      </c>
      <c r="M1888" s="594" t="s">
        <v>174</v>
      </c>
      <c r="N1888" s="52" t="str">
        <f>IF(AND('331-CT'!$E$7=TH!H1888,OR(L1888="331",M1888="331")),"331",IF(AND(OR(L1888="131",M1888="131"),H1888='131-CT'!$E$7),"131",""))</f>
        <v/>
      </c>
      <c r="O1888" s="86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799"/>
    </row>
    <row r="1889" spans="1:27" s="210" customFormat="1" ht="15.75" customHeight="1">
      <c r="A1889" s="203" t="str">
        <f>IF(B1889&lt;&gt;"",IF(AND(B1889&gt;=_TM1,B1889&lt;=_TM2,OR(TH!L1889="1111",TH!M1889="1111")),TH!D1889,""),"")</f>
        <v/>
      </c>
      <c r="B1889" s="36">
        <f>IF(C1889&lt;&gt;"",MONTH(C1889),"")</f>
        <v>10</v>
      </c>
      <c r="C1889" s="183">
        <f>E1889</f>
        <v>42289</v>
      </c>
      <c r="D1889" s="183" t="s">
        <v>1525</v>
      </c>
      <c r="E1889" s="37">
        <v>42289</v>
      </c>
      <c r="F1889" s="40" t="s">
        <v>731</v>
      </c>
      <c r="G1889" s="40" t="s">
        <v>1087</v>
      </c>
      <c r="H1889" s="7" t="s">
        <v>1934</v>
      </c>
      <c r="I1889" s="255"/>
      <c r="J1889" s="255"/>
      <c r="K1889" s="593">
        <v>589833</v>
      </c>
      <c r="L1889" s="594" t="s">
        <v>259</v>
      </c>
      <c r="M1889" s="594" t="s">
        <v>371</v>
      </c>
      <c r="N1889" s="52" t="str">
        <f>IF(AND('331-CT'!$E$7=TH!H1889,OR(L1889="331",M1889="331")),"331",IF(AND(OR(L1889="131",M1889="131"),H1889='131-CT'!$E$7),"131",""))</f>
        <v/>
      </c>
      <c r="O1889" s="86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799"/>
    </row>
    <row r="1890" spans="1:27" s="210" customFormat="1" ht="15.75" customHeight="1">
      <c r="A1890" s="203" t="str">
        <f>IF(B1890&lt;&gt;"",IF(AND(B1890&gt;=_TM1,B1890&lt;=_TM2,OR(TH!L1890="1111",TH!M1890="1111")),TH!D1890,""),"")</f>
        <v/>
      </c>
      <c r="B1890" s="36">
        <f>IF(C1890&lt;&gt;"",MONTH(C1890),"")</f>
        <v>10</v>
      </c>
      <c r="C1890" s="183">
        <f>E1890</f>
        <v>42289</v>
      </c>
      <c r="D1890" s="183" t="s">
        <v>1526</v>
      </c>
      <c r="E1890" s="190">
        <v>42289</v>
      </c>
      <c r="F1890" s="191" t="s">
        <v>1088</v>
      </c>
      <c r="G1890" s="482" t="s">
        <v>1089</v>
      </c>
      <c r="H1890" s="192" t="s">
        <v>1090</v>
      </c>
      <c r="I1890" s="255">
        <v>300</v>
      </c>
      <c r="J1890" s="255">
        <v>8300</v>
      </c>
      <c r="K1890" s="593">
        <f>ROUND(I1890*J1890,0)</f>
        <v>2490000</v>
      </c>
      <c r="L1890" s="594" t="s">
        <v>259</v>
      </c>
      <c r="M1890" s="594" t="s">
        <v>174</v>
      </c>
      <c r="N1890" s="52" t="str">
        <f>IF(AND('331-CT'!$E$7=TH!H1890,OR(L1890="331",M1890="331")),"331",IF(AND(OR(L1890="131",M1890="131"),H1890='131-CT'!$E$7),"131",""))</f>
        <v/>
      </c>
      <c r="O1890" s="86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799"/>
    </row>
    <row r="1891" spans="1:27" s="210" customFormat="1" ht="15.75" customHeight="1">
      <c r="A1891" s="203" t="str">
        <f>IF(B1891&lt;&gt;"",IF(AND(B1891&gt;=_TM1,B1891&lt;=_TM2,OR(TH!L1891="1111",TH!M1891="1111")),TH!D1891,""),"")</f>
        <v/>
      </c>
      <c r="B1891" s="36">
        <f>IF(C1891&lt;&gt;"",MONTH(C1891),"")</f>
        <v>10</v>
      </c>
      <c r="C1891" s="183">
        <f>E1891</f>
        <v>42289</v>
      </c>
      <c r="D1891" s="183" t="s">
        <v>1526</v>
      </c>
      <c r="E1891" s="190">
        <v>42289</v>
      </c>
      <c r="F1891" s="191" t="s">
        <v>402</v>
      </c>
      <c r="G1891" s="482" t="s">
        <v>1089</v>
      </c>
      <c r="H1891" s="192" t="s">
        <v>1090</v>
      </c>
      <c r="I1891" s="255"/>
      <c r="J1891" s="255"/>
      <c r="K1891" s="593">
        <v>249000</v>
      </c>
      <c r="L1891" s="594" t="s">
        <v>259</v>
      </c>
      <c r="M1891" s="594" t="s">
        <v>371</v>
      </c>
      <c r="N1891" s="52" t="str">
        <f>IF(AND('331-CT'!$E$7=TH!H1891,OR(L1891="331",M1891="331")),"331",IF(AND(OR(L1891="131",M1891="131"),H1891='131-CT'!$E$7),"131",""))</f>
        <v/>
      </c>
      <c r="O1891" s="86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799"/>
    </row>
    <row r="1892" spans="1:27" s="210" customFormat="1" ht="15.75" customHeight="1">
      <c r="A1892" s="203" t="str">
        <f>IF(B1892&lt;&gt;"",IF(AND(B1892&gt;=_TM1,B1892&lt;=_TM2,OR(TH!L1892="1111",TH!M1892="1111")),TH!D1892,""),"")</f>
        <v/>
      </c>
      <c r="B1892" s="36">
        <f>IF(C1892&lt;&gt;"",MONTH(C1892),"")</f>
        <v>10</v>
      </c>
      <c r="C1892" s="183">
        <f>E1892</f>
        <v>42289</v>
      </c>
      <c r="D1892" s="183" t="s">
        <v>1527</v>
      </c>
      <c r="E1892" s="190">
        <v>42289</v>
      </c>
      <c r="F1892" s="191" t="s">
        <v>1091</v>
      </c>
      <c r="G1892" s="482" t="s">
        <v>1092</v>
      </c>
      <c r="H1892" s="192" t="s">
        <v>1093</v>
      </c>
      <c r="I1892" s="255">
        <v>300</v>
      </c>
      <c r="J1892" s="255">
        <v>38800</v>
      </c>
      <c r="K1892" s="593">
        <f>ROUND(I1892*J1892,0)</f>
        <v>11640000</v>
      </c>
      <c r="L1892" s="594" t="s">
        <v>259</v>
      </c>
      <c r="M1892" s="594" t="s">
        <v>174</v>
      </c>
      <c r="N1892" s="52" t="str">
        <f>IF(AND('331-CT'!$E$7=TH!H1892,OR(L1892="331",M1892="331")),"331",IF(AND(OR(L1892="131",M1892="131"),H1892='131-CT'!$E$7),"131",""))</f>
        <v/>
      </c>
      <c r="O1892" s="86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799"/>
    </row>
    <row r="1893" spans="1:27" s="210" customFormat="1" ht="15.75" customHeight="1">
      <c r="A1893" s="203" t="str">
        <f>IF(B1893&lt;&gt;"",IF(AND(B1893&gt;=_TM1,B1893&lt;=_TM2,OR(TH!L1893="1111",TH!M1893="1111")),TH!D1893,""),"")</f>
        <v/>
      </c>
      <c r="B1893" s="36">
        <f>IF(C1893&lt;&gt;"",MONTH(C1893),"")</f>
        <v>10</v>
      </c>
      <c r="C1893" s="183">
        <f>E1893</f>
        <v>42289</v>
      </c>
      <c r="D1893" s="183" t="s">
        <v>1527</v>
      </c>
      <c r="E1893" s="190">
        <v>42289</v>
      </c>
      <c r="F1893" s="191" t="s">
        <v>1094</v>
      </c>
      <c r="G1893" s="482" t="s">
        <v>1092</v>
      </c>
      <c r="H1893" s="192" t="s">
        <v>1093</v>
      </c>
      <c r="I1893" s="255">
        <v>50</v>
      </c>
      <c r="J1893" s="255">
        <v>59700</v>
      </c>
      <c r="K1893" s="593">
        <f>ROUND(I1893*J1893,0)</f>
        <v>2985000</v>
      </c>
      <c r="L1893" s="594" t="s">
        <v>259</v>
      </c>
      <c r="M1893" s="594" t="s">
        <v>174</v>
      </c>
      <c r="N1893" s="52" t="str">
        <f>IF(AND('331-CT'!$E$7=TH!H1893,OR(L1893="331",M1893="331")),"331",IF(AND(OR(L1893="131",M1893="131"),H1893='131-CT'!$E$7),"131",""))</f>
        <v/>
      </c>
      <c r="O1893" s="86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99"/>
    </row>
    <row r="1894" spans="1:27" s="210" customFormat="1" ht="15.75" customHeight="1">
      <c r="A1894" s="203" t="str">
        <f>IF(B1894&lt;&gt;"",IF(AND(B1894&gt;=_TM1,B1894&lt;=_TM2,OR(TH!L1894="1111",TH!M1894="1111")),TH!D1894,""),"")</f>
        <v/>
      </c>
      <c r="B1894" s="36">
        <f>IF(C1894&lt;&gt;"",MONTH(C1894),"")</f>
        <v>10</v>
      </c>
      <c r="C1894" s="183">
        <f>E1894</f>
        <v>42289</v>
      </c>
      <c r="D1894" s="183" t="s">
        <v>1527</v>
      </c>
      <c r="E1894" s="190">
        <v>42289</v>
      </c>
      <c r="F1894" s="191" t="s">
        <v>402</v>
      </c>
      <c r="G1894" s="482" t="s">
        <v>1092</v>
      </c>
      <c r="H1894" s="192" t="s">
        <v>1093</v>
      </c>
      <c r="I1894" s="255"/>
      <c r="J1894" s="255"/>
      <c r="K1894" s="593">
        <v>1462500</v>
      </c>
      <c r="L1894" s="594" t="s">
        <v>259</v>
      </c>
      <c r="M1894" s="594" t="s">
        <v>371</v>
      </c>
      <c r="N1894" s="52" t="str">
        <f>IF(AND('331-CT'!$E$7=TH!H1894,OR(L1894="331",M1894="331")),"331",IF(AND(OR(L1894="131",M1894="131"),H1894='131-CT'!$E$7),"131",""))</f>
        <v/>
      </c>
      <c r="O1894" s="86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99"/>
    </row>
    <row r="1895" spans="1:27" s="210" customFormat="1" ht="15.75" customHeight="1">
      <c r="A1895" s="203" t="str">
        <f>IF(B1895&lt;&gt;"",IF(AND(B1895&gt;=_TM1,B1895&lt;=_TM2,OR(TH!L1895="1111",TH!M1895="1111")),TH!D1895,""),"")</f>
        <v/>
      </c>
      <c r="B1895" s="36">
        <f>IF(C1895&lt;&gt;"",MONTH(C1895),"")</f>
        <v>10</v>
      </c>
      <c r="C1895" s="183">
        <f>E1895</f>
        <v>42289</v>
      </c>
      <c r="D1895" s="183" t="s">
        <v>1528</v>
      </c>
      <c r="E1895" s="190">
        <v>42289</v>
      </c>
      <c r="F1895" s="40" t="s">
        <v>1740</v>
      </c>
      <c r="G1895" s="482" t="s">
        <v>1095</v>
      </c>
      <c r="H1895" s="192" t="s">
        <v>1096</v>
      </c>
      <c r="I1895" s="255">
        <v>1400</v>
      </c>
      <c r="J1895" s="255">
        <v>10300</v>
      </c>
      <c r="K1895" s="593">
        <f>ROUND(I1895*J1895,0)</f>
        <v>14420000</v>
      </c>
      <c r="L1895" s="594" t="s">
        <v>259</v>
      </c>
      <c r="M1895" s="594" t="s">
        <v>174</v>
      </c>
      <c r="N1895" s="52" t="str">
        <f>IF(AND('331-CT'!$E$7=TH!H1895,OR(L1895="331",M1895="331")),"331",IF(AND(OR(L1895="131",M1895="131"),H1895='131-CT'!$E$7),"131",""))</f>
        <v/>
      </c>
      <c r="O1895" s="86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799"/>
    </row>
    <row r="1896" spans="1:27" s="210" customFormat="1" ht="15.75" customHeight="1">
      <c r="A1896" s="203" t="str">
        <f>IF(B1896&lt;&gt;"",IF(AND(B1896&gt;=_TM1,B1896&lt;=_TM2,OR(TH!L1896="1111",TH!M1896="1111")),TH!D1896,""),"")</f>
        <v/>
      </c>
      <c r="B1896" s="36">
        <f>IF(C1896&lt;&gt;"",MONTH(C1896),"")</f>
        <v>10</v>
      </c>
      <c r="C1896" s="183">
        <f>E1896</f>
        <v>42289</v>
      </c>
      <c r="D1896" s="183" t="s">
        <v>1528</v>
      </c>
      <c r="E1896" s="190">
        <v>42289</v>
      </c>
      <c r="F1896" s="191" t="s">
        <v>731</v>
      </c>
      <c r="G1896" s="482" t="s">
        <v>1095</v>
      </c>
      <c r="H1896" s="192" t="s">
        <v>1096</v>
      </c>
      <c r="I1896" s="255"/>
      <c r="J1896" s="255"/>
      <c r="K1896" s="593">
        <v>1442000</v>
      </c>
      <c r="L1896" s="594" t="s">
        <v>259</v>
      </c>
      <c r="M1896" s="594" t="s">
        <v>371</v>
      </c>
      <c r="N1896" s="52" t="str">
        <f>IF(AND('331-CT'!$E$7=TH!H1896,OR(L1896="331",M1896="331")),"331",IF(AND(OR(L1896="131",M1896="131"),H1896='131-CT'!$E$7),"131",""))</f>
        <v/>
      </c>
      <c r="O1896" s="86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799"/>
    </row>
    <row r="1897" spans="1:27" s="210" customFormat="1" ht="15.75" customHeight="1">
      <c r="A1897" s="203" t="str">
        <f>IF(B1897&lt;&gt;"",IF(AND(B1897&gt;=_TM1,B1897&lt;=_TM2,OR(TH!L1897="1111",TH!M1897="1111")),TH!D1897,""),"")</f>
        <v/>
      </c>
      <c r="B1897" s="36">
        <f>IF(C1897&lt;&gt;"",MONTH(C1897),"")</f>
        <v>10</v>
      </c>
      <c r="C1897" s="183">
        <f>E1897</f>
        <v>42289</v>
      </c>
      <c r="D1897" s="190" t="s">
        <v>2020</v>
      </c>
      <c r="E1897" s="190">
        <v>42289</v>
      </c>
      <c r="F1897" s="188" t="s">
        <v>1499</v>
      </c>
      <c r="G1897" s="482" t="s">
        <v>1505</v>
      </c>
      <c r="H1897" s="7" t="s">
        <v>1504</v>
      </c>
      <c r="I1897" s="255">
        <v>1800</v>
      </c>
      <c r="J1897" s="255">
        <v>9000</v>
      </c>
      <c r="K1897" s="593">
        <f>ROUND(I1897*J1897,0)</f>
        <v>16200000</v>
      </c>
      <c r="L1897" s="594" t="s">
        <v>159</v>
      </c>
      <c r="M1897" s="594" t="s">
        <v>8</v>
      </c>
      <c r="N1897" s="52" t="str">
        <f>IF(AND('331-CT'!$E$7=TH!H1897,OR(L1897="331",M1897="331")),"331",IF(AND(OR(L1897="131",M1897="131"),H1897='131-CT'!$E$7),"131",""))</f>
        <v/>
      </c>
      <c r="O1897" s="86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799"/>
    </row>
    <row r="1898" spans="1:27" s="210" customFormat="1" ht="15.75" customHeight="1">
      <c r="A1898" s="203" t="str">
        <f>IF(B1898&lt;&gt;"",IF(AND(B1898&gt;=_TM1,B1898&lt;=_TM2,OR(TH!L1898="1111",TH!M1898="1111")),TH!D1898,""),"")</f>
        <v/>
      </c>
      <c r="B1898" s="36">
        <f>IF(C1898&lt;&gt;"",MONTH(C1898),"")</f>
        <v>10</v>
      </c>
      <c r="C1898" s="183">
        <f>E1898</f>
        <v>42289</v>
      </c>
      <c r="D1898" s="190" t="s">
        <v>2020</v>
      </c>
      <c r="E1898" s="190">
        <v>42289</v>
      </c>
      <c r="F1898" s="188" t="s">
        <v>1498</v>
      </c>
      <c r="G1898" s="482" t="s">
        <v>1505</v>
      </c>
      <c r="H1898" s="7" t="s">
        <v>1504</v>
      </c>
      <c r="I1898" s="255"/>
      <c r="J1898" s="255"/>
      <c r="K1898" s="593">
        <v>1620000</v>
      </c>
      <c r="L1898" s="594" t="s">
        <v>9</v>
      </c>
      <c r="M1898" s="594" t="s">
        <v>8</v>
      </c>
      <c r="N1898" s="52" t="str">
        <f>IF(AND('331-CT'!$E$7=TH!H1898,OR(L1898="331",M1898="331")),"331",IF(AND(OR(L1898="131",M1898="131"),H1898='131-CT'!$E$7),"131",""))</f>
        <v/>
      </c>
      <c r="O1898" s="86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799"/>
    </row>
    <row r="1899" spans="1:27" s="210" customFormat="1" ht="15.75" customHeight="1">
      <c r="A1899" s="203" t="str">
        <f>IF(B1899&lt;&gt;"",IF(AND(B1899&gt;=_TM1,B1899&lt;=_TM2,OR(TH!L1899="1111",TH!M1899="1111")),TH!D1899,""),"")</f>
        <v>NL/N</v>
      </c>
      <c r="B1899" s="36">
        <f>IF(C1899&lt;&gt;"",MONTH(C1899),"")</f>
        <v>10</v>
      </c>
      <c r="C1899" s="183">
        <f>E1899</f>
        <v>42289</v>
      </c>
      <c r="D1899" s="190" t="s">
        <v>2020</v>
      </c>
      <c r="E1899" s="190">
        <v>42289</v>
      </c>
      <c r="F1899" s="296" t="s">
        <v>1326</v>
      </c>
      <c r="G1899" s="482" t="s">
        <v>1505</v>
      </c>
      <c r="H1899" s="7" t="s">
        <v>1504</v>
      </c>
      <c r="I1899" s="255"/>
      <c r="J1899" s="255"/>
      <c r="K1899" s="593">
        <v>17820000</v>
      </c>
      <c r="L1899" s="193" t="s">
        <v>8</v>
      </c>
      <c r="M1899" s="193" t="s">
        <v>47</v>
      </c>
      <c r="N1899" s="52" t="str">
        <f>IF(AND('331-CT'!$E$7=TH!H1899,OR(L1899="331",M1899="331")),"331",IF(AND(OR(L1899="131",M1899="131"),H1899='131-CT'!$E$7),"131",""))</f>
        <v/>
      </c>
      <c r="O1899" s="86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799"/>
    </row>
    <row r="1900" spans="1:27" s="210" customFormat="1" ht="15.75" customHeight="1">
      <c r="A1900" s="203" t="str">
        <f>IF(B1900&lt;&gt;"",IF(AND(B1900&gt;=_TM1,B1900&lt;=_TM2,OR(TH!L1900="1111",TH!M1900="1111")),TH!D1900,""),"")</f>
        <v/>
      </c>
      <c r="B1900" s="36">
        <f>IF(C1900&lt;&gt;"",MONTH(C1900),"")</f>
        <v>10</v>
      </c>
      <c r="C1900" s="183">
        <f>E1900</f>
        <v>42290</v>
      </c>
      <c r="D1900" s="183" t="s">
        <v>1529</v>
      </c>
      <c r="E1900" s="190">
        <v>42290</v>
      </c>
      <c r="F1900" s="191" t="s">
        <v>2008</v>
      </c>
      <c r="G1900" s="482" t="s">
        <v>1097</v>
      </c>
      <c r="H1900" s="192" t="s">
        <v>957</v>
      </c>
      <c r="I1900" s="255">
        <v>200</v>
      </c>
      <c r="J1900" s="255">
        <v>3550</v>
      </c>
      <c r="K1900" s="593">
        <f>ROUND(I1900*J1900,0)</f>
        <v>710000</v>
      </c>
      <c r="L1900" s="594" t="s">
        <v>259</v>
      </c>
      <c r="M1900" s="594" t="s">
        <v>174</v>
      </c>
      <c r="N1900" s="52" t="str">
        <f>IF(AND('331-CT'!$E$7=TH!H1900,OR(L1900="331",M1900="331")),"331",IF(AND(OR(L1900="131",M1900="131"),H1900='131-CT'!$E$7),"131",""))</f>
        <v/>
      </c>
      <c r="O1900" s="86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799"/>
    </row>
    <row r="1901" spans="1:27" s="210" customFormat="1" ht="15.75" customHeight="1">
      <c r="A1901" s="203" t="str">
        <f>IF(B1901&lt;&gt;"",IF(AND(B1901&gt;=_TM1,B1901&lt;=_TM2,OR(TH!L1901="1111",TH!M1901="1111")),TH!D1901,""),"")</f>
        <v/>
      </c>
      <c r="B1901" s="36">
        <f>IF(C1901&lt;&gt;"",MONTH(C1901),"")</f>
        <v>10</v>
      </c>
      <c r="C1901" s="183">
        <f>E1901</f>
        <v>42290</v>
      </c>
      <c r="D1901" s="183" t="s">
        <v>1529</v>
      </c>
      <c r="E1901" s="190">
        <v>42290</v>
      </c>
      <c r="F1901" s="191" t="s">
        <v>402</v>
      </c>
      <c r="G1901" s="482" t="s">
        <v>1097</v>
      </c>
      <c r="H1901" s="192" t="s">
        <v>957</v>
      </c>
      <c r="I1901" s="255"/>
      <c r="J1901" s="255"/>
      <c r="K1901" s="593">
        <v>71000</v>
      </c>
      <c r="L1901" s="594" t="s">
        <v>259</v>
      </c>
      <c r="M1901" s="594" t="s">
        <v>371</v>
      </c>
      <c r="N1901" s="52" t="str">
        <f>IF(AND('331-CT'!$E$7=TH!H1901,OR(L1901="331",M1901="331")),"331",IF(AND(OR(L1901="131",M1901="131"),H1901='131-CT'!$E$7),"131",""))</f>
        <v/>
      </c>
      <c r="O1901" s="86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799"/>
    </row>
    <row r="1902" spans="1:27" s="210" customFormat="1" ht="15.75" customHeight="1">
      <c r="A1902" s="203" t="str">
        <f>IF(B1902&lt;&gt;"",IF(AND(B1902&gt;=_TM1,B1902&lt;=_TM2,OR(TH!L1902="1111",TH!M1902="1111")),TH!D1902,""),"")</f>
        <v/>
      </c>
      <c r="B1902" s="36">
        <f>IF(C1902&lt;&gt;"",MONTH(C1902),"")</f>
        <v>10</v>
      </c>
      <c r="C1902" s="183">
        <f>E1902</f>
        <v>42290</v>
      </c>
      <c r="D1902" s="183" t="s">
        <v>1530</v>
      </c>
      <c r="E1902" s="727">
        <v>42290</v>
      </c>
      <c r="F1902" s="40" t="s">
        <v>746</v>
      </c>
      <c r="G1902" s="40" t="s">
        <v>1098</v>
      </c>
      <c r="H1902" s="7" t="s">
        <v>1934</v>
      </c>
      <c r="I1902" s="255">
        <v>1000</v>
      </c>
      <c r="J1902" s="255">
        <v>12719</v>
      </c>
      <c r="K1902" s="593">
        <f>ROUND(I1902*J1902,0)</f>
        <v>12719000</v>
      </c>
      <c r="L1902" s="594" t="s">
        <v>259</v>
      </c>
      <c r="M1902" s="594" t="s">
        <v>174</v>
      </c>
      <c r="N1902" s="52" t="str">
        <f>IF(AND('331-CT'!$E$7=TH!H1902,OR(L1902="331",M1902="331")),"331",IF(AND(OR(L1902="131",M1902="131"),H1902='131-CT'!$E$7),"131",""))</f>
        <v/>
      </c>
      <c r="O1902" s="86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799"/>
    </row>
    <row r="1903" spans="1:27" s="210" customFormat="1" ht="15.75" customHeight="1">
      <c r="A1903" s="203" t="str">
        <f>IF(B1903&lt;&gt;"",IF(AND(B1903&gt;=_TM1,B1903&lt;=_TM2,OR(TH!L1903="1111",TH!M1903="1111")),TH!D1903,""),"")</f>
        <v/>
      </c>
      <c r="B1903" s="36">
        <f>IF(C1903&lt;&gt;"",MONTH(C1903),"")</f>
        <v>10</v>
      </c>
      <c r="C1903" s="183">
        <f>E1903</f>
        <v>42290</v>
      </c>
      <c r="D1903" s="183" t="s">
        <v>1530</v>
      </c>
      <c r="E1903" s="727">
        <v>42290</v>
      </c>
      <c r="F1903" s="40" t="s">
        <v>731</v>
      </c>
      <c r="G1903" s="40" t="s">
        <v>1098</v>
      </c>
      <c r="H1903" s="7" t="s">
        <v>1934</v>
      </c>
      <c r="I1903" s="750"/>
      <c r="J1903" s="255"/>
      <c r="K1903" s="593">
        <v>1271900</v>
      </c>
      <c r="L1903" s="594" t="s">
        <v>259</v>
      </c>
      <c r="M1903" s="594" t="s">
        <v>371</v>
      </c>
      <c r="N1903" s="52" t="str">
        <f>IF(AND('331-CT'!$E$7=TH!H1903,OR(L1903="331",M1903="331")),"331",IF(AND(OR(L1903="131",M1903="131"),H1903='131-CT'!$E$7),"131",""))</f>
        <v/>
      </c>
      <c r="O1903" s="86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799"/>
    </row>
    <row r="1904" spans="1:27" s="210" customFormat="1" ht="15.75" customHeight="1">
      <c r="A1904" s="203" t="str">
        <f>IF(B1904&lt;&gt;"",IF(AND(B1904&gt;=_TM1,B1904&lt;=_TM2,OR(TH!L1904="1111",TH!M1904="1111")),TH!D1904,""),"")</f>
        <v/>
      </c>
      <c r="B1904" s="36">
        <f>IF(C1904&lt;&gt;"",MONTH(C1904),"")</f>
        <v>10</v>
      </c>
      <c r="C1904" s="183">
        <f>E1904</f>
        <v>42290</v>
      </c>
      <c r="D1904" s="183" t="s">
        <v>1319</v>
      </c>
      <c r="E1904" s="190">
        <v>42290</v>
      </c>
      <c r="F1904" s="188" t="s">
        <v>1320</v>
      </c>
      <c r="G1904" s="482" t="s">
        <v>332</v>
      </c>
      <c r="H1904" s="192" t="s">
        <v>1090</v>
      </c>
      <c r="I1904" s="255"/>
      <c r="J1904" s="255"/>
      <c r="K1904" s="593">
        <v>2739000</v>
      </c>
      <c r="L1904" s="594" t="s">
        <v>24</v>
      </c>
      <c r="M1904" s="594" t="s">
        <v>259</v>
      </c>
      <c r="N1904" s="52" t="str">
        <f>IF(AND('331-CT'!$E$7=TH!H1904,OR(L1904="331",M1904="331")),"331",IF(AND(OR(L1904="131",M1904="131"),H1904='131-CT'!$E$7),"131",""))</f>
        <v/>
      </c>
      <c r="O1904" s="86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799"/>
    </row>
    <row r="1905" spans="1:27" s="210" customFormat="1" ht="15.75" customHeight="1">
      <c r="A1905" s="203" t="str">
        <f>IF(B1905&lt;&gt;"",IF(AND(B1905&gt;=_TM1,B1905&lt;=_TM2,OR(TH!L1905="1111",TH!M1905="1111")),TH!D1905,""),"")</f>
        <v>NL/N</v>
      </c>
      <c r="B1905" s="36">
        <f>IF(C1905&lt;&gt;"",MONTH(C1905),"")</f>
        <v>10</v>
      </c>
      <c r="C1905" s="183">
        <f>E1905</f>
        <v>42290</v>
      </c>
      <c r="D1905" s="190" t="s">
        <v>2020</v>
      </c>
      <c r="E1905" s="727">
        <v>42290</v>
      </c>
      <c r="F1905" s="188" t="s">
        <v>374</v>
      </c>
      <c r="G1905" s="482" t="s">
        <v>1464</v>
      </c>
      <c r="H1905" s="7" t="s">
        <v>1365</v>
      </c>
      <c r="I1905" s="255"/>
      <c r="J1905" s="255"/>
      <c r="K1905" s="593">
        <v>9565000</v>
      </c>
      <c r="L1905" s="594" t="s">
        <v>165</v>
      </c>
      <c r="M1905" s="594" t="s">
        <v>47</v>
      </c>
      <c r="N1905" s="52" t="str">
        <f>IF(AND('331-CT'!$E$7=TH!H1905,OR(L1905="331",M1905="331")),"331",IF(AND(OR(L1905="131",M1905="131"),H1905='131-CT'!$E$7),"131",""))</f>
        <v/>
      </c>
      <c r="O1905" s="86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799"/>
    </row>
    <row r="1906" spans="1:27" s="210" customFormat="1" ht="15.75" customHeight="1">
      <c r="A1906" s="203" t="str">
        <f>IF(B1906&lt;&gt;"",IF(AND(B1906&gt;=_TM1,B1906&lt;=_TM2,OR(TH!L1906="1111",TH!M1906="1111")),TH!D1906,""),"")</f>
        <v>NL/N</v>
      </c>
      <c r="B1906" s="36">
        <f>IF(C1906&lt;&gt;"",MONTH(C1906),"")</f>
        <v>10</v>
      </c>
      <c r="C1906" s="183">
        <f>E1906</f>
        <v>42290</v>
      </c>
      <c r="D1906" s="190" t="s">
        <v>2020</v>
      </c>
      <c r="E1906" s="727">
        <v>42290</v>
      </c>
      <c r="F1906" s="188" t="s">
        <v>1364</v>
      </c>
      <c r="G1906" s="482" t="s">
        <v>1464</v>
      </c>
      <c r="H1906" s="7" t="s">
        <v>1365</v>
      </c>
      <c r="I1906" s="255"/>
      <c r="J1906" s="255"/>
      <c r="K1906" s="593">
        <v>956500</v>
      </c>
      <c r="L1906" s="594" t="s">
        <v>9</v>
      </c>
      <c r="M1906" s="594" t="s">
        <v>47</v>
      </c>
      <c r="N1906" s="52" t="str">
        <f>IF(AND('331-CT'!$E$7=TH!H1906,OR(L1906="331",M1906="331")),"331",IF(AND(OR(L1906="131",M1906="131"),H1906='131-CT'!$E$7),"131",""))</f>
        <v/>
      </c>
      <c r="O1906" s="86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799"/>
    </row>
    <row r="1907" spans="1:27" s="210" customFormat="1" ht="15.75" customHeight="1">
      <c r="A1907" s="203" t="str">
        <f>IF(B1907&lt;&gt;"",IF(AND(B1907&gt;=_TM1,B1907&lt;=_TM2,OR(TH!L1907="1111",TH!M1907="1111")),TH!D1907,""),"")</f>
        <v/>
      </c>
      <c r="B1907" s="36">
        <f>IF(C1907&lt;&gt;"",MONTH(C1907),"")</f>
        <v>10</v>
      </c>
      <c r="C1907" s="183">
        <f>E1907</f>
        <v>42291</v>
      </c>
      <c r="D1907" s="183" t="s">
        <v>1531</v>
      </c>
      <c r="E1907" s="727">
        <v>42291</v>
      </c>
      <c r="F1907" s="188" t="s">
        <v>1948</v>
      </c>
      <c r="G1907" s="40" t="s">
        <v>1099</v>
      </c>
      <c r="H1907" s="7" t="s">
        <v>957</v>
      </c>
      <c r="I1907" s="255">
        <v>2107</v>
      </c>
      <c r="J1907" s="255">
        <v>11800</v>
      </c>
      <c r="K1907" s="593">
        <f>ROUND(I1907*J1907,0)</f>
        <v>24862600</v>
      </c>
      <c r="L1907" s="594" t="s">
        <v>259</v>
      </c>
      <c r="M1907" s="594" t="s">
        <v>174</v>
      </c>
      <c r="N1907" s="52" t="str">
        <f>IF(AND('331-CT'!$E$7=TH!H1907,OR(L1907="331",M1907="331")),"331",IF(AND(OR(L1907="131",M1907="131"),H1907='131-CT'!$E$7),"131",""))</f>
        <v/>
      </c>
      <c r="O1907" s="86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99"/>
    </row>
    <row r="1908" spans="1:27" s="210" customFormat="1" ht="15.75" customHeight="1">
      <c r="A1908" s="203" t="str">
        <f>IF(B1908&lt;&gt;"",IF(AND(B1908&gt;=_TM1,B1908&lt;=_TM2,OR(TH!L1908="1111",TH!M1908="1111")),TH!D1908,""),"")</f>
        <v/>
      </c>
      <c r="B1908" s="36">
        <f>IF(C1908&lt;&gt;"",MONTH(C1908),"")</f>
        <v>10</v>
      </c>
      <c r="C1908" s="183">
        <f>E1908</f>
        <v>42291</v>
      </c>
      <c r="D1908" s="183" t="s">
        <v>1531</v>
      </c>
      <c r="E1908" s="37">
        <v>42291</v>
      </c>
      <c r="F1908" s="40" t="s">
        <v>402</v>
      </c>
      <c r="G1908" s="40" t="s">
        <v>1099</v>
      </c>
      <c r="H1908" s="7" t="s">
        <v>957</v>
      </c>
      <c r="I1908" s="255"/>
      <c r="J1908" s="255"/>
      <c r="K1908" s="593">
        <v>2486260</v>
      </c>
      <c r="L1908" s="594" t="s">
        <v>259</v>
      </c>
      <c r="M1908" s="594" t="s">
        <v>371</v>
      </c>
      <c r="N1908" s="52" t="str">
        <f>IF(AND('331-CT'!$E$7=TH!H1908,OR(L1908="331",M1908="331")),"331",IF(AND(OR(L1908="131",M1908="131"),H1908='131-CT'!$E$7),"131",""))</f>
        <v/>
      </c>
      <c r="O1908" s="86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99"/>
    </row>
    <row r="1909" spans="1:27" s="210" customFormat="1" ht="15.75" customHeight="1">
      <c r="A1909" s="203" t="str">
        <f>IF(B1909&lt;&gt;"",IF(AND(B1909&gt;=_TM1,B1909&lt;=_TM2,OR(TH!L1909="1111",TH!M1909="1111")),TH!D1909,""),"")</f>
        <v/>
      </c>
      <c r="B1909" s="36">
        <f>IF(C1909&lt;&gt;"",MONTH(C1909),"")</f>
        <v>10</v>
      </c>
      <c r="C1909" s="183">
        <f>E1909</f>
        <v>42291</v>
      </c>
      <c r="D1909" s="183" t="s">
        <v>1319</v>
      </c>
      <c r="E1909" s="190">
        <v>42291</v>
      </c>
      <c r="F1909" s="188" t="s">
        <v>1320</v>
      </c>
      <c r="G1909" s="482" t="s">
        <v>332</v>
      </c>
      <c r="H1909" s="7" t="s">
        <v>400</v>
      </c>
      <c r="I1909" s="255"/>
      <c r="J1909" s="255"/>
      <c r="K1909" s="593">
        <v>6974925</v>
      </c>
      <c r="L1909" s="594" t="s">
        <v>24</v>
      </c>
      <c r="M1909" s="594" t="s">
        <v>259</v>
      </c>
      <c r="N1909" s="52" t="str">
        <f>IF(AND('331-CT'!$E$7=TH!H1909,OR(L1909="331",M1909="331")),"331",IF(AND(OR(L1909="131",M1909="131"),H1909='131-CT'!$E$7),"131",""))</f>
        <v/>
      </c>
      <c r="O1909" s="86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99"/>
    </row>
    <row r="1910" spans="1:27" s="210" customFormat="1" ht="15.75" customHeight="1">
      <c r="A1910" s="203" t="str">
        <f>IF(B1910&lt;&gt;"",IF(AND(B1910&gt;=_TM1,B1910&lt;=_TM2,OR(TH!L1910="1111",TH!M1910="1111")),TH!D1910,""),"")</f>
        <v/>
      </c>
      <c r="B1910" s="36">
        <f>IF(C1910&lt;&gt;"",MONTH(C1910),"")</f>
        <v>10</v>
      </c>
      <c r="C1910" s="183">
        <f>E1910</f>
        <v>42291</v>
      </c>
      <c r="D1910" s="183" t="s">
        <v>1319</v>
      </c>
      <c r="E1910" s="190">
        <v>42291</v>
      </c>
      <c r="F1910" s="188" t="s">
        <v>1320</v>
      </c>
      <c r="G1910" s="482" t="s">
        <v>332</v>
      </c>
      <c r="H1910" s="831" t="s">
        <v>851</v>
      </c>
      <c r="I1910" s="255"/>
      <c r="J1910" s="255"/>
      <c r="K1910" s="593">
        <v>12614490</v>
      </c>
      <c r="L1910" s="594" t="s">
        <v>24</v>
      </c>
      <c r="M1910" s="594" t="s">
        <v>259</v>
      </c>
      <c r="N1910" s="52" t="str">
        <f>IF(AND('331-CT'!$E$7=TH!H1910,OR(L1910="331",M1910="331")),"331",IF(AND(OR(L1910="131",M1910="131"),H1910='131-CT'!$E$7),"131",""))</f>
        <v/>
      </c>
      <c r="O1910" s="86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99"/>
    </row>
    <row r="1911" spans="1:27" s="210" customFormat="1" ht="15.75" customHeight="1">
      <c r="A1911" s="203" t="str">
        <f>IF(B1911&lt;&gt;"",IF(AND(B1911&gt;=_TM1,B1911&lt;=_TM2,OR(TH!L1911="1111",TH!M1911="1111")),TH!D1911,""),"")</f>
        <v>GBC</v>
      </c>
      <c r="B1911" s="36">
        <f>IF(C1911&lt;&gt;"",MONTH(C1911),"")</f>
        <v>10</v>
      </c>
      <c r="C1911" s="183">
        <f>E1911</f>
        <v>42291</v>
      </c>
      <c r="D1911" s="183" t="s">
        <v>1319</v>
      </c>
      <c r="E1911" s="190">
        <v>42291</v>
      </c>
      <c r="F1911" s="188" t="s">
        <v>1325</v>
      </c>
      <c r="G1911" s="482" t="s">
        <v>332</v>
      </c>
      <c r="H1911" s="7" t="s">
        <v>1333</v>
      </c>
      <c r="I1911" s="255"/>
      <c r="J1911" s="255"/>
      <c r="K1911" s="593">
        <v>2700000</v>
      </c>
      <c r="L1911" s="594" t="s">
        <v>47</v>
      </c>
      <c r="M1911" s="594" t="s">
        <v>24</v>
      </c>
      <c r="N1911" s="52" t="str">
        <f>IF(AND('331-CT'!$E$7=TH!H1911,OR(L1911="331",M1911="331")),"331",IF(AND(OR(L1911="131",M1911="131"),H1911='131-CT'!$E$7),"131",""))</f>
        <v/>
      </c>
      <c r="O1911" s="86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99"/>
    </row>
    <row r="1912" spans="1:27" s="210" customFormat="1" ht="15.75" customHeight="1">
      <c r="A1912" s="203" t="str">
        <f>IF(B1912&lt;&gt;"",IF(AND(B1912&gt;=_TM1,B1912&lt;=_TM2,OR(TH!L1912="1111",TH!M1912="1111")),TH!D1912,""),"")</f>
        <v>NL/N</v>
      </c>
      <c r="B1912" s="36">
        <f>IF(C1912&lt;&gt;"",MONTH(C1912),"")</f>
        <v>10</v>
      </c>
      <c r="C1912" s="183">
        <f>E1912</f>
        <v>42291</v>
      </c>
      <c r="D1912" s="190" t="s">
        <v>2020</v>
      </c>
      <c r="E1912" s="727">
        <v>42291</v>
      </c>
      <c r="F1912" s="296" t="s">
        <v>1465</v>
      </c>
      <c r="G1912" s="482" t="s">
        <v>1467</v>
      </c>
      <c r="H1912" s="7" t="s">
        <v>1468</v>
      </c>
      <c r="I1912" s="255"/>
      <c r="J1912" s="255"/>
      <c r="K1912" s="593">
        <v>3000000</v>
      </c>
      <c r="L1912" s="594" t="s">
        <v>83</v>
      </c>
      <c r="M1912" s="594" t="s">
        <v>47</v>
      </c>
      <c r="N1912" s="52" t="str">
        <f>IF(AND('331-CT'!$E$7=TH!H1912,OR(L1912="331",M1912="331")),"331",IF(AND(OR(L1912="131",M1912="131"),H1912='131-CT'!$E$7),"131",""))</f>
        <v/>
      </c>
      <c r="O1912" s="86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>x</v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99"/>
    </row>
    <row r="1913" spans="1:27" s="210" customFormat="1" ht="15.75" customHeight="1">
      <c r="A1913" s="203" t="str">
        <f>IF(B1913&lt;&gt;"",IF(AND(B1913&gt;=_TM1,B1913&lt;=_TM2,OR(TH!L1913="1111",TH!M1913="1111")),TH!D1913,""),"")</f>
        <v>NL/N</v>
      </c>
      <c r="B1913" s="36">
        <f>IF(C1913&lt;&gt;"",MONTH(C1913),"")</f>
        <v>10</v>
      </c>
      <c r="C1913" s="183">
        <f>E1913</f>
        <v>42291</v>
      </c>
      <c r="D1913" s="190" t="s">
        <v>2020</v>
      </c>
      <c r="E1913" s="727">
        <v>42291</v>
      </c>
      <c r="F1913" s="296" t="s">
        <v>1466</v>
      </c>
      <c r="G1913" s="482" t="s">
        <v>1467</v>
      </c>
      <c r="H1913" s="7" t="s">
        <v>1468</v>
      </c>
      <c r="I1913" s="255"/>
      <c r="J1913" s="255"/>
      <c r="K1913" s="593">
        <v>300000</v>
      </c>
      <c r="L1913" s="594" t="s">
        <v>9</v>
      </c>
      <c r="M1913" s="594" t="s">
        <v>47</v>
      </c>
      <c r="N1913" s="52" t="str">
        <f>IF(AND('331-CT'!$E$7=TH!H1913,OR(L1913="331",M1913="331")),"331",IF(AND(OR(L1913="131",M1913="131"),H1913='131-CT'!$E$7),"131",""))</f>
        <v/>
      </c>
      <c r="O1913" s="86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99"/>
    </row>
    <row r="1914" spans="1:27" s="210" customFormat="1" ht="15.75" customHeight="1">
      <c r="A1914" s="203" t="str">
        <f>IF(B1914&lt;&gt;"",IF(AND(B1914&gt;=_TM1,B1914&lt;=_TM2,OR(TH!L1914="1111",TH!M1914="1111")),TH!D1914,""),"")</f>
        <v/>
      </c>
      <c r="B1914" s="36">
        <f>IF(C1914&lt;&gt;"",MONTH(C1914),"")</f>
        <v>10</v>
      </c>
      <c r="C1914" s="183">
        <f>E1914</f>
        <v>42292</v>
      </c>
      <c r="D1914" s="190" t="s">
        <v>2020</v>
      </c>
      <c r="E1914" s="727">
        <v>42292</v>
      </c>
      <c r="F1914" s="296" t="s">
        <v>1380</v>
      </c>
      <c r="G1914" s="482" t="s">
        <v>1478</v>
      </c>
      <c r="H1914" s="7" t="s">
        <v>1472</v>
      </c>
      <c r="I1914" s="255">
        <v>4471</v>
      </c>
      <c r="J1914" s="255">
        <v>8800</v>
      </c>
      <c r="K1914" s="593">
        <f>ROUND(I1914*J1914,0)</f>
        <v>39344800</v>
      </c>
      <c r="L1914" s="594" t="s">
        <v>159</v>
      </c>
      <c r="M1914" s="594" t="s">
        <v>8</v>
      </c>
      <c r="N1914" s="52" t="str">
        <f>IF(AND('331-CT'!$E$7=TH!H1914,OR(L1914="331",M1914="331")),"331",IF(AND(OR(L1914="131",M1914="131"),H1914='131-CT'!$E$7),"131",""))</f>
        <v/>
      </c>
      <c r="O1914" s="86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>x</v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99"/>
    </row>
    <row r="1915" spans="1:27" s="210" customFormat="1" ht="15.75" customHeight="1">
      <c r="A1915" s="203" t="str">
        <f>IF(B1915&lt;&gt;"",IF(AND(B1915&gt;=_TM1,B1915&lt;=_TM2,OR(TH!L1915="1111",TH!M1915="1111")),TH!D1915,""),"")</f>
        <v/>
      </c>
      <c r="B1915" s="36">
        <f>IF(C1915&lt;&gt;"",MONTH(C1915),"")</f>
        <v>10</v>
      </c>
      <c r="C1915" s="183">
        <f>E1915</f>
        <v>42292</v>
      </c>
      <c r="D1915" s="190" t="s">
        <v>2020</v>
      </c>
      <c r="E1915" s="727">
        <v>42292</v>
      </c>
      <c r="F1915" s="296" t="s">
        <v>1381</v>
      </c>
      <c r="G1915" s="482" t="s">
        <v>1478</v>
      </c>
      <c r="H1915" s="7" t="s">
        <v>1472</v>
      </c>
      <c r="I1915" s="255"/>
      <c r="J1915" s="255"/>
      <c r="K1915" s="593">
        <v>3934480</v>
      </c>
      <c r="L1915" s="594" t="s">
        <v>9</v>
      </c>
      <c r="M1915" s="594" t="s">
        <v>8</v>
      </c>
      <c r="N1915" s="52" t="str">
        <f>IF(AND('331-CT'!$E$7=TH!H1915,OR(L1915="331",M1915="331")),"331",IF(AND(OR(L1915="131",M1915="131"),H1915='131-CT'!$E$7),"131",""))</f>
        <v/>
      </c>
      <c r="O1915" s="86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99"/>
    </row>
    <row r="1916" spans="1:27" s="210" customFormat="1" ht="15.75" customHeight="1">
      <c r="A1916" s="203" t="str">
        <f>IF(B1916&lt;&gt;"",IF(AND(B1916&gt;=_TM1,B1916&lt;=_TM2,OR(TH!L1916="1111",TH!M1916="1111")),TH!D1916,""),"")</f>
        <v/>
      </c>
      <c r="B1916" s="36">
        <f>IF(C1916&lt;&gt;"",MONTH(C1916),"")</f>
        <v>10</v>
      </c>
      <c r="C1916" s="183">
        <f>E1916</f>
        <v>42293</v>
      </c>
      <c r="D1916" s="183" t="s">
        <v>1532</v>
      </c>
      <c r="E1916" s="37">
        <v>42293</v>
      </c>
      <c r="F1916" s="40" t="s">
        <v>1766</v>
      </c>
      <c r="G1916" s="40" t="s">
        <v>1100</v>
      </c>
      <c r="H1916" s="7" t="s">
        <v>1934</v>
      </c>
      <c r="I1916" s="255">
        <v>1500</v>
      </c>
      <c r="J1916" s="255">
        <v>7649</v>
      </c>
      <c r="K1916" s="593">
        <f>ROUND(I1916*J1916,0)</f>
        <v>11473500</v>
      </c>
      <c r="L1916" s="594" t="s">
        <v>259</v>
      </c>
      <c r="M1916" s="594" t="s">
        <v>174</v>
      </c>
      <c r="N1916" s="52" t="str">
        <f>IF(AND('331-CT'!$E$7=TH!H1916,OR(L1916="331",M1916="331")),"331",IF(AND(OR(L1916="131",M1916="131"),H1916='131-CT'!$E$7),"131",""))</f>
        <v/>
      </c>
      <c r="O1916" s="86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99"/>
    </row>
    <row r="1917" spans="1:27" s="210" customFormat="1" ht="15.75" customHeight="1">
      <c r="A1917" s="203" t="str">
        <f>IF(B1917&lt;&gt;"",IF(AND(B1917&gt;=_TM1,B1917&lt;=_TM2,OR(TH!L1917="1111",TH!M1917="1111")),TH!D1917,""),"")</f>
        <v/>
      </c>
      <c r="B1917" s="36">
        <f>IF(C1917&lt;&gt;"",MONTH(C1917),"")</f>
        <v>10</v>
      </c>
      <c r="C1917" s="183">
        <f>E1917</f>
        <v>42293</v>
      </c>
      <c r="D1917" s="183" t="s">
        <v>1532</v>
      </c>
      <c r="E1917" s="37">
        <v>42293</v>
      </c>
      <c r="F1917" s="191" t="s">
        <v>731</v>
      </c>
      <c r="G1917" s="40" t="s">
        <v>1100</v>
      </c>
      <c r="H1917" s="7" t="s">
        <v>1934</v>
      </c>
      <c r="I1917" s="255"/>
      <c r="J1917" s="255"/>
      <c r="K1917" s="593">
        <v>1147350</v>
      </c>
      <c r="L1917" s="594" t="s">
        <v>259</v>
      </c>
      <c r="M1917" s="594" t="s">
        <v>371</v>
      </c>
      <c r="N1917" s="52" t="str">
        <f>IF(AND('331-CT'!$E$7=TH!H1917,OR(L1917="331",M1917="331")),"331",IF(AND(OR(L1917="131",M1917="131"),H1917='131-CT'!$E$7),"131",""))</f>
        <v/>
      </c>
      <c r="O1917" s="86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99"/>
    </row>
    <row r="1918" spans="1:27" s="210" customFormat="1" ht="15.75" customHeight="1">
      <c r="A1918" s="203" t="str">
        <f>IF(B1918&lt;&gt;"",IF(AND(B1918&gt;=_TM1,B1918&lt;=_TM2,OR(TH!L1918="1111",TH!M1918="1111")),TH!D1918,""),"")</f>
        <v/>
      </c>
      <c r="B1918" s="36">
        <f>IF(C1918&lt;&gt;"",MONTH(C1918),"")</f>
        <v>10</v>
      </c>
      <c r="C1918" s="183">
        <f>E1918</f>
        <v>42293</v>
      </c>
      <c r="D1918" s="183" t="s">
        <v>1533</v>
      </c>
      <c r="E1918" s="37">
        <v>42293</v>
      </c>
      <c r="F1918" s="40" t="s">
        <v>398</v>
      </c>
      <c r="G1918" s="40" t="s">
        <v>1101</v>
      </c>
      <c r="H1918" s="7" t="s">
        <v>400</v>
      </c>
      <c r="I1918" s="255">
        <v>1233</v>
      </c>
      <c r="J1918" s="255">
        <v>5000</v>
      </c>
      <c r="K1918" s="593">
        <f>ROUND(I1918*J1918,0)</f>
        <v>6165000</v>
      </c>
      <c r="L1918" s="594" t="s">
        <v>259</v>
      </c>
      <c r="M1918" s="594" t="s">
        <v>174</v>
      </c>
      <c r="N1918" s="52" t="str">
        <f>IF(AND('331-CT'!$E$7=TH!H1918,OR(L1918="331",M1918="331")),"331",IF(AND(OR(L1918="131",M1918="131"),H1918='131-CT'!$E$7),"131",""))</f>
        <v/>
      </c>
      <c r="O1918" s="86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99"/>
    </row>
    <row r="1919" spans="1:27" s="210" customFormat="1" ht="15.75" customHeight="1">
      <c r="A1919" s="203" t="str">
        <f>IF(B1919&lt;&gt;"",IF(AND(B1919&gt;=_TM1,B1919&lt;=_TM2,OR(TH!L1919="1111",TH!M1919="1111")),TH!D1919,""),"")</f>
        <v/>
      </c>
      <c r="B1919" s="36">
        <f>IF(C1919&lt;&gt;"",MONTH(C1919),"")</f>
        <v>10</v>
      </c>
      <c r="C1919" s="183">
        <f>E1919</f>
        <v>42293</v>
      </c>
      <c r="D1919" s="183" t="s">
        <v>1533</v>
      </c>
      <c r="E1919" s="37">
        <v>42293</v>
      </c>
      <c r="F1919" s="40" t="s">
        <v>446</v>
      </c>
      <c r="G1919" s="40" t="s">
        <v>1101</v>
      </c>
      <c r="H1919" s="7" t="s">
        <v>400</v>
      </c>
      <c r="I1919" s="255">
        <v>607</v>
      </c>
      <c r="J1919" s="255">
        <v>5550</v>
      </c>
      <c r="K1919" s="593">
        <f>ROUND(I1919*J1919,0)</f>
        <v>3368850</v>
      </c>
      <c r="L1919" s="594" t="s">
        <v>259</v>
      </c>
      <c r="M1919" s="594" t="s">
        <v>174</v>
      </c>
      <c r="N1919" s="52" t="str">
        <f>IF(AND('331-CT'!$E$7=TH!H1919,OR(L1919="331",M1919="331")),"331",IF(AND(OR(L1919="131",M1919="131"),H1919='131-CT'!$E$7),"131",""))</f>
        <v/>
      </c>
      <c r="O1919" s="86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99"/>
    </row>
    <row r="1920" spans="1:27" s="210" customFormat="1" ht="15.75" customHeight="1">
      <c r="A1920" s="203" t="str">
        <f>IF(B1920&lt;&gt;"",IF(AND(B1920&gt;=_TM1,B1920&lt;=_TM2,OR(TH!L1920="1111",TH!M1920="1111")),TH!D1920,""),"")</f>
        <v/>
      </c>
      <c r="B1920" s="36">
        <f>IF(C1920&lt;&gt;"",MONTH(C1920),"")</f>
        <v>10</v>
      </c>
      <c r="C1920" s="183">
        <f>E1920</f>
        <v>42293</v>
      </c>
      <c r="D1920" s="183" t="s">
        <v>1533</v>
      </c>
      <c r="E1920" s="37">
        <v>42293</v>
      </c>
      <c r="F1920" s="188" t="s">
        <v>402</v>
      </c>
      <c r="G1920" s="40" t="s">
        <v>1101</v>
      </c>
      <c r="H1920" s="7" t="s">
        <v>400</v>
      </c>
      <c r="I1920" s="255"/>
      <c r="J1920" s="255"/>
      <c r="K1920" s="593">
        <v>953385</v>
      </c>
      <c r="L1920" s="594" t="s">
        <v>259</v>
      </c>
      <c r="M1920" s="594" t="s">
        <v>371</v>
      </c>
      <c r="N1920" s="52" t="str">
        <f>IF(AND('331-CT'!$E$7=TH!H1920,OR(L1920="331",M1920="331")),"331",IF(AND(OR(L1920="131",M1920="131"),H1920='131-CT'!$E$7),"131",""))</f>
        <v/>
      </c>
      <c r="O1920" s="86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99"/>
    </row>
    <row r="1921" spans="1:27" s="210" customFormat="1" ht="15.75" customHeight="1">
      <c r="A1921" s="203" t="str">
        <f>IF(B1921&lt;&gt;"",IF(AND(B1921&gt;=_TM1,B1921&lt;=_TM2,OR(TH!L1921="1111",TH!M1921="1111")),TH!D1921,""),"")</f>
        <v/>
      </c>
      <c r="B1921" s="36">
        <f>IF(C1921&lt;&gt;"",MONTH(C1921),"")</f>
        <v>10</v>
      </c>
      <c r="C1921" s="183">
        <f>E1921</f>
        <v>42293</v>
      </c>
      <c r="D1921" s="183" t="s">
        <v>1534</v>
      </c>
      <c r="E1921" s="37">
        <v>42293</v>
      </c>
      <c r="F1921" s="188" t="s">
        <v>413</v>
      </c>
      <c r="G1921" s="40" t="s">
        <v>1102</v>
      </c>
      <c r="H1921" s="7" t="s">
        <v>412</v>
      </c>
      <c r="I1921" s="255">
        <v>411</v>
      </c>
      <c r="J1921" s="255">
        <v>10500</v>
      </c>
      <c r="K1921" s="593">
        <f>ROUND(I1921*J1921,0)</f>
        <v>4315500</v>
      </c>
      <c r="L1921" s="594" t="s">
        <v>259</v>
      </c>
      <c r="M1921" s="594" t="s">
        <v>174</v>
      </c>
      <c r="N1921" s="52" t="str">
        <f>IF(AND('331-CT'!$E$7=TH!H1921,OR(L1921="331",M1921="331")),"331",IF(AND(OR(L1921="131",M1921="131"),H1921='131-CT'!$E$7),"131",""))</f>
        <v/>
      </c>
      <c r="O1921" s="86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99"/>
    </row>
    <row r="1922" spans="1:27" s="210" customFormat="1" ht="15.75" customHeight="1">
      <c r="A1922" s="203" t="str">
        <f>IF(B1922&lt;&gt;"",IF(AND(B1922&gt;=_TM1,B1922&lt;=_TM2,OR(TH!L1922="1111",TH!M1922="1111")),TH!D1922,""),"")</f>
        <v/>
      </c>
      <c r="B1922" s="36">
        <f>IF(C1922&lt;&gt;"",MONTH(C1922),"")</f>
        <v>10</v>
      </c>
      <c r="C1922" s="183">
        <f>E1922</f>
        <v>42293</v>
      </c>
      <c r="D1922" s="183" t="s">
        <v>1534</v>
      </c>
      <c r="E1922" s="37">
        <v>42293</v>
      </c>
      <c r="F1922" s="40" t="s">
        <v>999</v>
      </c>
      <c r="G1922" s="40" t="s">
        <v>1102</v>
      </c>
      <c r="H1922" s="7" t="s">
        <v>412</v>
      </c>
      <c r="I1922" s="255">
        <v>536</v>
      </c>
      <c r="J1922" s="255">
        <v>6400</v>
      </c>
      <c r="K1922" s="593">
        <f>ROUND(I1922*J1922,0)</f>
        <v>3430400</v>
      </c>
      <c r="L1922" s="594" t="s">
        <v>259</v>
      </c>
      <c r="M1922" s="594" t="s">
        <v>174</v>
      </c>
      <c r="N1922" s="52" t="str">
        <f>IF(AND('331-CT'!$E$7=TH!H1922,OR(L1922="331",M1922="331")),"331",IF(AND(OR(L1922="131",M1922="131"),H1922='131-CT'!$E$7),"131",""))</f>
        <v/>
      </c>
      <c r="O1922" s="86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99"/>
    </row>
    <row r="1923" spans="1:27" s="210" customFormat="1" ht="15.75" customHeight="1">
      <c r="A1923" s="203" t="str">
        <f>IF(B1923&lt;&gt;"",IF(AND(B1923&gt;=_TM1,B1923&lt;=_TM2,OR(TH!L1923="1111",TH!M1923="1111")),TH!D1923,""),"")</f>
        <v/>
      </c>
      <c r="B1923" s="36">
        <f>IF(C1923&lt;&gt;"",MONTH(C1923),"")</f>
        <v>10</v>
      </c>
      <c r="C1923" s="183">
        <f>E1923</f>
        <v>42293</v>
      </c>
      <c r="D1923" s="183" t="s">
        <v>1534</v>
      </c>
      <c r="E1923" s="37">
        <v>42293</v>
      </c>
      <c r="F1923" s="40" t="s">
        <v>402</v>
      </c>
      <c r="G1923" s="40" t="s">
        <v>1102</v>
      </c>
      <c r="H1923" s="7" t="s">
        <v>412</v>
      </c>
      <c r="I1923" s="255"/>
      <c r="J1923" s="255"/>
      <c r="K1923" s="593">
        <v>774590</v>
      </c>
      <c r="L1923" s="594" t="s">
        <v>259</v>
      </c>
      <c r="M1923" s="594" t="s">
        <v>371</v>
      </c>
      <c r="N1923" s="52" t="str">
        <f>IF(AND('331-CT'!$E$7=TH!H1923,OR(L1923="331",M1923="331")),"331",IF(AND(OR(L1923="131",M1923="131"),H1923='131-CT'!$E$7),"131",""))</f>
        <v/>
      </c>
      <c r="O1923" s="86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799"/>
    </row>
    <row r="1924" spans="1:27" s="210" customFormat="1" ht="15.75" customHeight="1">
      <c r="A1924" s="203" t="str">
        <f>IF(B1924&lt;&gt;"",IF(AND(B1924&gt;=_TM1,B1924&lt;=_TM2,OR(TH!L1924="1111",TH!M1924="1111")),TH!D1924,""),"")</f>
        <v/>
      </c>
      <c r="B1924" s="36">
        <f>IF(C1924&lt;&gt;"",MONTH(C1924),"")</f>
        <v>10</v>
      </c>
      <c r="C1924" s="183">
        <f>E1924</f>
        <v>42293</v>
      </c>
      <c r="D1924" s="183" t="s">
        <v>1535</v>
      </c>
      <c r="E1924" s="37">
        <v>42293</v>
      </c>
      <c r="F1924" s="40" t="s">
        <v>1103</v>
      </c>
      <c r="G1924" s="40" t="s">
        <v>1104</v>
      </c>
      <c r="H1924" s="7" t="s">
        <v>1003</v>
      </c>
      <c r="I1924" s="255">
        <v>203</v>
      </c>
      <c r="J1924" s="255">
        <v>6000</v>
      </c>
      <c r="K1924" s="593">
        <f>ROUND(I1924*J1924,0)</f>
        <v>1218000</v>
      </c>
      <c r="L1924" s="594" t="s">
        <v>259</v>
      </c>
      <c r="M1924" s="594" t="s">
        <v>174</v>
      </c>
      <c r="N1924" s="52" t="str">
        <f>IF(AND('331-CT'!$E$7=TH!H1924,OR(L1924="331",M1924="331")),"331",IF(AND(OR(L1924="131",M1924="131"),H1924='131-CT'!$E$7),"131",""))</f>
        <v/>
      </c>
      <c r="O1924" s="86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799"/>
    </row>
    <row r="1925" spans="1:27" s="210" customFormat="1" ht="15.75" customHeight="1">
      <c r="A1925" s="203" t="str">
        <f>IF(B1925&lt;&gt;"",IF(AND(B1925&gt;=_TM1,B1925&lt;=_TM2,OR(TH!L1925="1111",TH!M1925="1111")),TH!D1925,""),"")</f>
        <v/>
      </c>
      <c r="B1925" s="36">
        <f>IF(C1925&lt;&gt;"",MONTH(C1925),"")</f>
        <v>10</v>
      </c>
      <c r="C1925" s="183">
        <f>E1925</f>
        <v>42293</v>
      </c>
      <c r="D1925" s="183" t="s">
        <v>1535</v>
      </c>
      <c r="E1925" s="37">
        <v>42293</v>
      </c>
      <c r="F1925" s="191" t="s">
        <v>1106</v>
      </c>
      <c r="G1925" s="40" t="s">
        <v>1104</v>
      </c>
      <c r="H1925" s="7" t="s">
        <v>1003</v>
      </c>
      <c r="I1925" s="255">
        <v>312</v>
      </c>
      <c r="J1925" s="255">
        <v>6600</v>
      </c>
      <c r="K1925" s="593">
        <f>ROUND(I1925*J1925,0)</f>
        <v>2059200</v>
      </c>
      <c r="L1925" s="594" t="s">
        <v>259</v>
      </c>
      <c r="M1925" s="594" t="s">
        <v>174</v>
      </c>
      <c r="N1925" s="52" t="str">
        <f>IF(AND('331-CT'!$E$7=TH!H1925,OR(L1925="331",M1925="331")),"331",IF(AND(OR(L1925="131",M1925="131"),H1925='131-CT'!$E$7),"131",""))</f>
        <v/>
      </c>
      <c r="O1925" s="86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799"/>
    </row>
    <row r="1926" spans="1:27" s="210" customFormat="1" ht="15.75" customHeight="1">
      <c r="A1926" s="203" t="str">
        <f>IF(B1926&lt;&gt;"",IF(AND(B1926&gt;=_TM1,B1926&lt;=_TM2,OR(TH!L1926="1111",TH!M1926="1111")),TH!D1926,""),"")</f>
        <v/>
      </c>
      <c r="B1926" s="36">
        <f>IF(C1926&lt;&gt;"",MONTH(C1926),"")</f>
        <v>10</v>
      </c>
      <c r="C1926" s="183">
        <f>E1926</f>
        <v>42293</v>
      </c>
      <c r="D1926" s="183" t="s">
        <v>1535</v>
      </c>
      <c r="E1926" s="37">
        <v>42293</v>
      </c>
      <c r="F1926" s="40" t="s">
        <v>1107</v>
      </c>
      <c r="G1926" s="40" t="s">
        <v>1104</v>
      </c>
      <c r="H1926" s="7" t="s">
        <v>1003</v>
      </c>
      <c r="I1926" s="255">
        <v>513</v>
      </c>
      <c r="J1926" s="255">
        <v>11700</v>
      </c>
      <c r="K1926" s="593">
        <f>ROUND(I1926*J1926,0)</f>
        <v>6002100</v>
      </c>
      <c r="L1926" s="594" t="s">
        <v>259</v>
      </c>
      <c r="M1926" s="594" t="s">
        <v>174</v>
      </c>
      <c r="N1926" s="52" t="str">
        <f>IF(AND('331-CT'!$E$7=TH!H1926,OR(L1926="331",M1926="331")),"331",IF(AND(OR(L1926="131",M1926="131"),H1926='131-CT'!$E$7),"131",""))</f>
        <v/>
      </c>
      <c r="O1926" s="86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799"/>
    </row>
    <row r="1927" spans="1:27" s="210" customFormat="1" ht="15.75" customHeight="1">
      <c r="A1927" s="203" t="str">
        <f>IF(B1927&lt;&gt;"",IF(AND(B1927&gt;=_TM1,B1927&lt;=_TM2,OR(TH!L1927="1111",TH!M1927="1111")),TH!D1927,""),"")</f>
        <v/>
      </c>
      <c r="B1927" s="36">
        <f>IF(C1927&lt;&gt;"",MONTH(C1927),"")</f>
        <v>10</v>
      </c>
      <c r="C1927" s="183">
        <f>E1927</f>
        <v>42293</v>
      </c>
      <c r="D1927" s="183" t="s">
        <v>1535</v>
      </c>
      <c r="E1927" s="37">
        <v>42293</v>
      </c>
      <c r="F1927" s="40" t="s">
        <v>402</v>
      </c>
      <c r="G1927" s="40" t="s">
        <v>1104</v>
      </c>
      <c r="H1927" s="7" t="s">
        <v>1003</v>
      </c>
      <c r="I1927" s="255"/>
      <c r="J1927" s="255"/>
      <c r="K1927" s="593">
        <v>927930</v>
      </c>
      <c r="L1927" s="594" t="s">
        <v>259</v>
      </c>
      <c r="M1927" s="594" t="s">
        <v>371</v>
      </c>
      <c r="N1927" s="52" t="str">
        <f>IF(AND('331-CT'!$E$7=TH!H1927,OR(L1927="331",M1927="331")),"331",IF(AND(OR(L1927="131",M1927="131"),H1927='131-CT'!$E$7),"131",""))</f>
        <v/>
      </c>
      <c r="O1927" s="86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799"/>
    </row>
    <row r="1928" spans="1:27" s="210" customFormat="1" ht="15.75" customHeight="1">
      <c r="A1928" s="203" t="str">
        <f>IF(B1928&lt;&gt;"",IF(AND(B1928&gt;=_TM1,B1928&lt;=_TM2,OR(TH!L1928="1111",TH!M1928="1111")),TH!D1928,""),"")</f>
        <v/>
      </c>
      <c r="B1928" s="36">
        <f>IF(C1928&lt;&gt;"",MONTH(C1928),"")</f>
        <v>10</v>
      </c>
      <c r="C1928" s="183">
        <f>E1928</f>
        <v>42293</v>
      </c>
      <c r="D1928" s="183" t="s">
        <v>1319</v>
      </c>
      <c r="E1928" s="190">
        <v>42293</v>
      </c>
      <c r="F1928" s="188" t="s">
        <v>1320</v>
      </c>
      <c r="G1928" s="482" t="s">
        <v>332</v>
      </c>
      <c r="H1928" s="7" t="s">
        <v>957</v>
      </c>
      <c r="I1928" s="255"/>
      <c r="J1928" s="255"/>
      <c r="K1928" s="593">
        <v>27641900</v>
      </c>
      <c r="L1928" s="594" t="s">
        <v>24</v>
      </c>
      <c r="M1928" s="594" t="s">
        <v>259</v>
      </c>
      <c r="N1928" s="52" t="str">
        <f>IF(AND('331-CT'!$E$7=TH!H1928,OR(L1928="331",M1928="331")),"331",IF(AND(OR(L1928="131",M1928="131"),H1928='131-CT'!$E$7),"131",""))</f>
        <v/>
      </c>
      <c r="O1928" s="86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799"/>
    </row>
    <row r="1929" spans="1:27" s="210" customFormat="1" ht="15.75" customHeight="1">
      <c r="A1929" s="203" t="str">
        <f>IF(B1929&lt;&gt;"",IF(AND(B1929&gt;=_TM1,B1929&lt;=_TM2,OR(TH!L1929="1111",TH!M1929="1111")),TH!D1929,""),"")</f>
        <v/>
      </c>
      <c r="B1929" s="36">
        <f>IF(C1929&lt;&gt;"",MONTH(C1929),"")</f>
        <v>10</v>
      </c>
      <c r="C1929" s="183">
        <f>E1929</f>
        <v>42294</v>
      </c>
      <c r="D1929" s="183" t="s">
        <v>1536</v>
      </c>
      <c r="E1929" s="37">
        <v>42294</v>
      </c>
      <c r="F1929" s="188" t="s">
        <v>616</v>
      </c>
      <c r="G1929" s="40" t="s">
        <v>1108</v>
      </c>
      <c r="H1929" s="7" t="s">
        <v>976</v>
      </c>
      <c r="I1929" s="255">
        <v>1056</v>
      </c>
      <c r="J1929" s="255">
        <v>5500</v>
      </c>
      <c r="K1929" s="593">
        <f>ROUND(I1929*J1929,0)</f>
        <v>5808000</v>
      </c>
      <c r="L1929" s="594" t="s">
        <v>259</v>
      </c>
      <c r="M1929" s="594" t="s">
        <v>174</v>
      </c>
      <c r="N1929" s="52" t="str">
        <f>IF(AND('331-CT'!$E$7=TH!H1929,OR(L1929="331",M1929="331")),"331",IF(AND(OR(L1929="131",M1929="131"),H1929='131-CT'!$E$7),"131",""))</f>
        <v/>
      </c>
      <c r="O1929" s="86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799"/>
    </row>
    <row r="1930" spans="1:27" s="210" customFormat="1" ht="15.75" customHeight="1">
      <c r="A1930" s="203" t="str">
        <f>IF(B1930&lt;&gt;"",IF(AND(B1930&gt;=_TM1,B1930&lt;=_TM2,OR(TH!L1930="1111",TH!M1930="1111")),TH!D1930,""),"")</f>
        <v/>
      </c>
      <c r="B1930" s="36">
        <f>IF(C1930&lt;&gt;"",MONTH(C1930),"")</f>
        <v>10</v>
      </c>
      <c r="C1930" s="183">
        <f>E1930</f>
        <v>42294</v>
      </c>
      <c r="D1930" s="183" t="s">
        <v>1536</v>
      </c>
      <c r="E1930" s="37">
        <v>42294</v>
      </c>
      <c r="F1930" s="40" t="s">
        <v>402</v>
      </c>
      <c r="G1930" s="40" t="s">
        <v>1108</v>
      </c>
      <c r="H1930" s="7" t="s">
        <v>976</v>
      </c>
      <c r="I1930" s="255"/>
      <c r="J1930" s="255"/>
      <c r="K1930" s="593">
        <v>580800</v>
      </c>
      <c r="L1930" s="594" t="s">
        <v>259</v>
      </c>
      <c r="M1930" s="594" t="s">
        <v>371</v>
      </c>
      <c r="N1930" s="52" t="str">
        <f>IF(AND('331-CT'!$E$7=TH!H1930,OR(L1930="331",M1930="331")),"331",IF(AND(OR(L1930="131",M1930="131"),H1930='131-CT'!$E$7),"131",""))</f>
        <v/>
      </c>
      <c r="O1930" s="86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799"/>
    </row>
    <row r="1931" spans="1:27" s="210" customFormat="1" ht="15.75" customHeight="1">
      <c r="A1931" s="203" t="str">
        <f>IF(B1931&lt;&gt;"",IF(AND(B1931&gt;=_TM1,B1931&lt;=_TM2,OR(TH!L1931="1111",TH!M1931="1111")),TH!D1931,""),"")</f>
        <v/>
      </c>
      <c r="B1931" s="36">
        <f>IF(C1931&lt;&gt;"",MONTH(C1931),"")</f>
        <v>10</v>
      </c>
      <c r="C1931" s="183">
        <f>E1931</f>
        <v>42294</v>
      </c>
      <c r="D1931" s="183" t="s">
        <v>1537</v>
      </c>
      <c r="E1931" s="37">
        <v>42294</v>
      </c>
      <c r="F1931" s="40" t="s">
        <v>965</v>
      </c>
      <c r="G1931" s="40" t="s">
        <v>1109</v>
      </c>
      <c r="H1931" s="7" t="s">
        <v>967</v>
      </c>
      <c r="I1931" s="255">
        <v>500</v>
      </c>
      <c r="J1931" s="255">
        <v>18000</v>
      </c>
      <c r="K1931" s="593">
        <f>ROUND(I1931*J1931,0)</f>
        <v>9000000</v>
      </c>
      <c r="L1931" s="594" t="s">
        <v>259</v>
      </c>
      <c r="M1931" s="594" t="s">
        <v>174</v>
      </c>
      <c r="N1931" s="52" t="str">
        <f>IF(AND('331-CT'!$E$7=TH!H1931,OR(L1931="331",M1931="331")),"331",IF(AND(OR(L1931="131",M1931="131"),H1931='131-CT'!$E$7),"131",""))</f>
        <v/>
      </c>
      <c r="O1931" s="86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799"/>
    </row>
    <row r="1932" spans="1:27" s="210" customFormat="1" ht="15.75" customHeight="1">
      <c r="A1932" s="203" t="str">
        <f>IF(B1932&lt;&gt;"",IF(AND(B1932&gt;=_TM1,B1932&lt;=_TM2,OR(TH!L1932="1111",TH!M1932="1111")),TH!D1932,""),"")</f>
        <v/>
      </c>
      <c r="B1932" s="36">
        <f>IF(C1932&lt;&gt;"",MONTH(C1932),"")</f>
        <v>10</v>
      </c>
      <c r="C1932" s="183">
        <f>E1932</f>
        <v>42294</v>
      </c>
      <c r="D1932" s="183" t="s">
        <v>1537</v>
      </c>
      <c r="E1932" s="190">
        <v>42294</v>
      </c>
      <c r="F1932" s="191" t="s">
        <v>402</v>
      </c>
      <c r="G1932" s="482" t="s">
        <v>1109</v>
      </c>
      <c r="H1932" s="192" t="s">
        <v>967</v>
      </c>
      <c r="I1932" s="255"/>
      <c r="J1932" s="255"/>
      <c r="K1932" s="593">
        <v>900000</v>
      </c>
      <c r="L1932" s="594" t="s">
        <v>259</v>
      </c>
      <c r="M1932" s="594" t="s">
        <v>371</v>
      </c>
      <c r="N1932" s="52" t="str">
        <f>IF(AND('331-CT'!$E$7=TH!H1932,OR(L1932="331",M1932="331")),"331",IF(AND(OR(L1932="131",M1932="131"),H1932='131-CT'!$E$7),"131",""))</f>
        <v/>
      </c>
      <c r="O1932" s="86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799"/>
    </row>
    <row r="1933" spans="1:27" s="210" customFormat="1" ht="15.75" customHeight="1">
      <c r="A1933" s="203" t="str">
        <f>IF(B1933&lt;&gt;"",IF(AND(B1933&gt;=_TM1,B1933&lt;=_TM2,OR(TH!L1933="1111",TH!M1933="1111")),TH!D1933,""),"")</f>
        <v/>
      </c>
      <c r="B1933" s="36">
        <f>IF(C1933&lt;&gt;"",MONTH(C1933),"")</f>
        <v>10</v>
      </c>
      <c r="C1933" s="183">
        <f>E1933</f>
        <v>42294</v>
      </c>
      <c r="D1933" s="183" t="s">
        <v>1538</v>
      </c>
      <c r="E1933" s="190">
        <v>42294</v>
      </c>
      <c r="F1933" s="191" t="s">
        <v>1110</v>
      </c>
      <c r="G1933" s="482" t="s">
        <v>1111</v>
      </c>
      <c r="H1933" s="192" t="s">
        <v>799</v>
      </c>
      <c r="I1933" s="255">
        <v>252</v>
      </c>
      <c r="J1933" s="255">
        <v>10100</v>
      </c>
      <c r="K1933" s="593">
        <f>ROUND(I1933*J1933,0)</f>
        <v>2545200</v>
      </c>
      <c r="L1933" s="594" t="s">
        <v>259</v>
      </c>
      <c r="M1933" s="594" t="s">
        <v>174</v>
      </c>
      <c r="N1933" s="52" t="str">
        <f>IF(AND('331-CT'!$E$7=TH!H1933,OR(L1933="331",M1933="331")),"331",IF(AND(OR(L1933="131",M1933="131"),H1933='131-CT'!$E$7),"131",""))</f>
        <v/>
      </c>
      <c r="O1933" s="86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799"/>
    </row>
    <row r="1934" spans="1:27" s="210" customFormat="1" ht="15.75" customHeight="1">
      <c r="A1934" s="203" t="str">
        <f>IF(B1934&lt;&gt;"",IF(AND(B1934&gt;=_TM1,B1934&lt;=_TM2,OR(TH!L1934="1111",TH!M1934="1111")),TH!D1934,""),"")</f>
        <v/>
      </c>
      <c r="B1934" s="36">
        <f>IF(C1934&lt;&gt;"",MONTH(C1934),"")</f>
        <v>10</v>
      </c>
      <c r="C1934" s="183">
        <f>E1934</f>
        <v>42294</v>
      </c>
      <c r="D1934" s="183" t="s">
        <v>1538</v>
      </c>
      <c r="E1934" s="190">
        <v>42294</v>
      </c>
      <c r="F1934" s="191" t="s">
        <v>402</v>
      </c>
      <c r="G1934" s="482" t="s">
        <v>1111</v>
      </c>
      <c r="H1934" s="192" t="s">
        <v>799</v>
      </c>
      <c r="I1934" s="255"/>
      <c r="J1934" s="255"/>
      <c r="K1934" s="593">
        <v>254520</v>
      </c>
      <c r="L1934" s="594" t="s">
        <v>259</v>
      </c>
      <c r="M1934" s="594" t="s">
        <v>371</v>
      </c>
      <c r="N1934" s="52" t="str">
        <f>IF(AND('331-CT'!$E$7=TH!H1934,OR(L1934="331",M1934="331")),"331",IF(AND(OR(L1934="131",M1934="131"),H1934='131-CT'!$E$7),"131",""))</f>
        <v/>
      </c>
      <c r="O1934" s="86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799"/>
    </row>
    <row r="1935" spans="1:27" s="210" customFormat="1" ht="15.75" customHeight="1">
      <c r="A1935" s="203" t="str">
        <f>IF(B1935&lt;&gt;"",IF(AND(B1935&gt;=_TM1,B1935&lt;=_TM2,OR(TH!L1935="1111",TH!M1935="1111")),TH!D1935,""),"")</f>
        <v>NL/N</v>
      </c>
      <c r="B1935" s="36">
        <f>IF(C1935&lt;&gt;"",MONTH(C1935),"")</f>
        <v>10</v>
      </c>
      <c r="C1935" s="183">
        <f>E1935</f>
        <v>42294</v>
      </c>
      <c r="D1935" s="190" t="s">
        <v>2020</v>
      </c>
      <c r="E1935" s="727">
        <v>42294</v>
      </c>
      <c r="F1935" s="296" t="s">
        <v>1436</v>
      </c>
      <c r="G1935" s="482" t="s">
        <v>1469</v>
      </c>
      <c r="H1935" s="7" t="s">
        <v>1435</v>
      </c>
      <c r="I1935" s="255"/>
      <c r="J1935" s="255"/>
      <c r="K1935" s="593">
        <v>933182</v>
      </c>
      <c r="L1935" s="594" t="s">
        <v>83</v>
      </c>
      <c r="M1935" s="594" t="s">
        <v>47</v>
      </c>
      <c r="N1935" s="52" t="str">
        <f>IF(AND('331-CT'!$E$7=TH!H1935,OR(L1935="331",M1935="331")),"331",IF(AND(OR(L1935="131",M1935="131"),H1935='131-CT'!$E$7),"131",""))</f>
        <v/>
      </c>
      <c r="O1935" s="86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>x</v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799"/>
    </row>
    <row r="1936" spans="1:27" s="210" customFormat="1" ht="15.75" customHeight="1">
      <c r="A1936" s="203" t="str">
        <f>IF(B1936&lt;&gt;"",IF(AND(B1936&gt;=_TM1,B1936&lt;=_TM2,OR(TH!L1936="1111",TH!M1936="1111")),TH!D1936,""),"")</f>
        <v>NL/N</v>
      </c>
      <c r="B1936" s="36">
        <f>IF(C1936&lt;&gt;"",MONTH(C1936),"")</f>
        <v>10</v>
      </c>
      <c r="C1936" s="183">
        <f>E1936</f>
        <v>42294</v>
      </c>
      <c r="D1936" s="190" t="s">
        <v>2020</v>
      </c>
      <c r="E1936" s="727">
        <v>42294</v>
      </c>
      <c r="F1936" s="296" t="s">
        <v>1437</v>
      </c>
      <c r="G1936" s="482" t="s">
        <v>1469</v>
      </c>
      <c r="H1936" s="7" t="s">
        <v>1435</v>
      </c>
      <c r="I1936" s="255"/>
      <c r="J1936" s="255"/>
      <c r="K1936" s="593">
        <v>93318</v>
      </c>
      <c r="L1936" s="594" t="s">
        <v>9</v>
      </c>
      <c r="M1936" s="594" t="s">
        <v>47</v>
      </c>
      <c r="N1936" s="52" t="str">
        <f>IF(AND('331-CT'!$E$7=TH!H1936,OR(L1936="331",M1936="331")),"331",IF(AND(OR(L1936="131",M1936="131"),H1936='131-CT'!$E$7),"131",""))</f>
        <v/>
      </c>
      <c r="O1936" s="86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799"/>
    </row>
    <row r="1937" spans="1:27" s="210" customFormat="1" ht="15.75" customHeight="1">
      <c r="A1937" s="203" t="str">
        <f>IF(B1937&lt;&gt;"",IF(AND(B1937&gt;=_TM1,B1937&lt;=_TM2,OR(TH!L1937="1111",TH!M1937="1111")),TH!D1937,""),"")</f>
        <v/>
      </c>
      <c r="B1937" s="36">
        <f>IF(C1937&lt;&gt;"",MONTH(C1937),"")</f>
        <v>10</v>
      </c>
      <c r="C1937" s="183">
        <f>E1937</f>
        <v>42296</v>
      </c>
      <c r="D1937" s="183" t="s">
        <v>1539</v>
      </c>
      <c r="E1937" s="190">
        <v>42296</v>
      </c>
      <c r="F1937" s="188" t="s">
        <v>2009</v>
      </c>
      <c r="G1937" s="482" t="s">
        <v>1112</v>
      </c>
      <c r="H1937" s="192" t="s">
        <v>957</v>
      </c>
      <c r="I1937" s="255">
        <v>44</v>
      </c>
      <c r="J1937" s="255">
        <v>10900</v>
      </c>
      <c r="K1937" s="593">
        <f>ROUND(I1937*J1937,0)</f>
        <v>479600</v>
      </c>
      <c r="L1937" s="594" t="s">
        <v>259</v>
      </c>
      <c r="M1937" s="594" t="s">
        <v>174</v>
      </c>
      <c r="N1937" s="52" t="str">
        <f>IF(AND('331-CT'!$E$7=TH!H1937,OR(L1937="331",M1937="331")),"331",IF(AND(OR(L1937="131",M1937="131"),H1937='131-CT'!$E$7),"131",""))</f>
        <v/>
      </c>
      <c r="O1937" s="86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799"/>
    </row>
    <row r="1938" spans="1:27" s="210" customFormat="1" ht="15.75" customHeight="1">
      <c r="A1938" s="203" t="str">
        <f>IF(B1938&lt;&gt;"",IF(AND(B1938&gt;=_TM1,B1938&lt;=_TM2,OR(TH!L1938="1111",TH!M1938="1111")),TH!D1938,""),"")</f>
        <v/>
      </c>
      <c r="B1938" s="36">
        <f>IF(C1938&lt;&gt;"",MONTH(C1938),"")</f>
        <v>10</v>
      </c>
      <c r="C1938" s="183">
        <f>E1938</f>
        <v>42296</v>
      </c>
      <c r="D1938" s="183" t="s">
        <v>1539</v>
      </c>
      <c r="E1938" s="190">
        <v>42296</v>
      </c>
      <c r="F1938" s="188" t="s">
        <v>1948</v>
      </c>
      <c r="G1938" s="482" t="s">
        <v>1112</v>
      </c>
      <c r="H1938" s="192" t="s">
        <v>957</v>
      </c>
      <c r="I1938" s="255">
        <v>44</v>
      </c>
      <c r="J1938" s="255">
        <v>12400</v>
      </c>
      <c r="K1938" s="593">
        <f>ROUND(I1938*J1938,0)</f>
        <v>545600</v>
      </c>
      <c r="L1938" s="594" t="s">
        <v>259</v>
      </c>
      <c r="M1938" s="594" t="s">
        <v>174</v>
      </c>
      <c r="N1938" s="52" t="str">
        <f>IF(AND('331-CT'!$E$7=TH!H1938,OR(L1938="331",M1938="331")),"331",IF(AND(OR(L1938="131",M1938="131"),H1938='131-CT'!$E$7),"131",""))</f>
        <v/>
      </c>
      <c r="O1938" s="86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799"/>
    </row>
    <row r="1939" spans="1:27" s="210" customFormat="1" ht="15.75" customHeight="1">
      <c r="A1939" s="203" t="str">
        <f>IF(B1939&lt;&gt;"",IF(AND(B1939&gt;=_TM1,B1939&lt;=_TM2,OR(TH!L1939="1111",TH!M1939="1111")),TH!D1939,""),"")</f>
        <v/>
      </c>
      <c r="B1939" s="36">
        <f>IF(C1939&lt;&gt;"",MONTH(C1939),"")</f>
        <v>10</v>
      </c>
      <c r="C1939" s="183">
        <f>E1939</f>
        <v>42296</v>
      </c>
      <c r="D1939" s="183" t="s">
        <v>1539</v>
      </c>
      <c r="E1939" s="190">
        <v>42296</v>
      </c>
      <c r="F1939" s="188" t="s">
        <v>1949</v>
      </c>
      <c r="G1939" s="482" t="s">
        <v>1112</v>
      </c>
      <c r="H1939" s="192" t="s">
        <v>957</v>
      </c>
      <c r="I1939" s="255">
        <v>44</v>
      </c>
      <c r="J1939" s="255">
        <v>14200</v>
      </c>
      <c r="K1939" s="593">
        <f>ROUND(I1939*J1939,0)</f>
        <v>624800</v>
      </c>
      <c r="L1939" s="594" t="s">
        <v>259</v>
      </c>
      <c r="M1939" s="594" t="s">
        <v>174</v>
      </c>
      <c r="N1939" s="52" t="str">
        <f>IF(AND('331-CT'!$E$7=TH!H1939,OR(L1939="331",M1939="331")),"331",IF(AND(OR(L1939="131",M1939="131"),H1939='131-CT'!$E$7),"131",""))</f>
        <v/>
      </c>
      <c r="O1939" s="86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799"/>
    </row>
    <row r="1940" spans="1:27" s="210" customFormat="1" ht="15.75" customHeight="1">
      <c r="A1940" s="203" t="str">
        <f>IF(B1940&lt;&gt;"",IF(AND(B1940&gt;=_TM1,B1940&lt;=_TM2,OR(TH!L1940="1111",TH!M1940="1111")),TH!D1940,""),"")</f>
        <v/>
      </c>
      <c r="B1940" s="36">
        <f>IF(C1940&lt;&gt;"",MONTH(C1940),"")</f>
        <v>10</v>
      </c>
      <c r="C1940" s="183">
        <f>E1940</f>
        <v>42296</v>
      </c>
      <c r="D1940" s="183" t="s">
        <v>1539</v>
      </c>
      <c r="E1940" s="727">
        <v>42296</v>
      </c>
      <c r="F1940" s="188" t="s">
        <v>1950</v>
      </c>
      <c r="G1940" s="40" t="s">
        <v>1112</v>
      </c>
      <c r="H1940" s="7" t="s">
        <v>957</v>
      </c>
      <c r="I1940" s="255">
        <v>50</v>
      </c>
      <c r="J1940" s="255">
        <v>15300</v>
      </c>
      <c r="K1940" s="593">
        <f>ROUND(I1940*J1940,0)</f>
        <v>765000</v>
      </c>
      <c r="L1940" s="594" t="s">
        <v>259</v>
      </c>
      <c r="M1940" s="594" t="s">
        <v>174</v>
      </c>
      <c r="N1940" s="52" t="str">
        <f>IF(AND('331-CT'!$E$7=TH!H1940,OR(L1940="331",M1940="331")),"331",IF(AND(OR(L1940="131",M1940="131"),H1940='131-CT'!$E$7),"131",""))</f>
        <v/>
      </c>
      <c r="O1940" s="86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799"/>
    </row>
    <row r="1941" spans="1:27" s="210" customFormat="1" ht="15.75" customHeight="1">
      <c r="A1941" s="203" t="str">
        <f>IF(B1941&lt;&gt;"",IF(AND(B1941&gt;=_TM1,B1941&lt;=_TM2,OR(TH!L1941="1111",TH!M1941="1111")),TH!D1941,""),"")</f>
        <v/>
      </c>
      <c r="B1941" s="36">
        <f>IF(C1941&lt;&gt;"",MONTH(C1941),"")</f>
        <v>10</v>
      </c>
      <c r="C1941" s="183">
        <f>E1941</f>
        <v>42296</v>
      </c>
      <c r="D1941" s="183" t="s">
        <v>1539</v>
      </c>
      <c r="E1941" s="37">
        <v>42296</v>
      </c>
      <c r="F1941" s="188" t="s">
        <v>1952</v>
      </c>
      <c r="G1941" s="40" t="s">
        <v>1112</v>
      </c>
      <c r="H1941" s="7" t="s">
        <v>957</v>
      </c>
      <c r="I1941" s="255">
        <v>50</v>
      </c>
      <c r="J1941" s="255">
        <v>19940</v>
      </c>
      <c r="K1941" s="593">
        <f>ROUND(I1941*J1941,0)</f>
        <v>997000</v>
      </c>
      <c r="L1941" s="594" t="s">
        <v>259</v>
      </c>
      <c r="M1941" s="594" t="s">
        <v>174</v>
      </c>
      <c r="N1941" s="52" t="str">
        <f>IF(AND('331-CT'!$E$7=TH!H1941,OR(L1941="331",M1941="331")),"331",IF(AND(OR(L1941="131",M1941="131"),H1941='131-CT'!$E$7),"131",""))</f>
        <v/>
      </c>
      <c r="O1941" s="86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799"/>
    </row>
    <row r="1942" spans="1:27" s="210" customFormat="1" ht="15.75" customHeight="1">
      <c r="A1942" s="203" t="str">
        <f>IF(B1942&lt;&gt;"",IF(AND(B1942&gt;=_TM1,B1942&lt;=_TM2,OR(TH!L1942="1111",TH!M1942="1111")),TH!D1942,""),"")</f>
        <v/>
      </c>
      <c r="B1942" s="36">
        <f>IF(C1942&lt;&gt;"",MONTH(C1942),"")</f>
        <v>10</v>
      </c>
      <c r="C1942" s="183">
        <f>E1942</f>
        <v>42296</v>
      </c>
      <c r="D1942" s="183" t="s">
        <v>1539</v>
      </c>
      <c r="E1942" s="37">
        <v>42296</v>
      </c>
      <c r="F1942" s="188" t="s">
        <v>2011</v>
      </c>
      <c r="G1942" s="40" t="s">
        <v>1112</v>
      </c>
      <c r="H1942" s="7" t="s">
        <v>957</v>
      </c>
      <c r="I1942" s="255">
        <v>50</v>
      </c>
      <c r="J1942" s="255">
        <v>20900</v>
      </c>
      <c r="K1942" s="593">
        <f>ROUND(I1942*J1942,0)</f>
        <v>1045000</v>
      </c>
      <c r="L1942" s="594" t="s">
        <v>259</v>
      </c>
      <c r="M1942" s="594" t="s">
        <v>174</v>
      </c>
      <c r="N1942" s="52" t="str">
        <f>IF(AND('331-CT'!$E$7=TH!H1942,OR(L1942="331",M1942="331")),"331",IF(AND(OR(L1942="131",M1942="131"),H1942='131-CT'!$E$7),"131",""))</f>
        <v/>
      </c>
      <c r="O1942" s="86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799"/>
    </row>
    <row r="1943" spans="1:27" s="210" customFormat="1" ht="15.75" customHeight="1">
      <c r="A1943" s="203" t="str">
        <f>IF(B1943&lt;&gt;"",IF(AND(B1943&gt;=_TM1,B1943&lt;=_TM2,OR(TH!L1943="1111",TH!M1943="1111")),TH!D1943,""),"")</f>
        <v/>
      </c>
      <c r="B1943" s="36">
        <f>IF(C1943&lt;&gt;"",MONTH(C1943),"")</f>
        <v>10</v>
      </c>
      <c r="C1943" s="183">
        <f>E1943</f>
        <v>42296</v>
      </c>
      <c r="D1943" s="183" t="s">
        <v>1539</v>
      </c>
      <c r="E1943" s="37">
        <v>42296</v>
      </c>
      <c r="F1943" s="40" t="s">
        <v>402</v>
      </c>
      <c r="G1943" s="40" t="s">
        <v>1112</v>
      </c>
      <c r="H1943" s="7" t="s">
        <v>957</v>
      </c>
      <c r="I1943" s="255"/>
      <c r="J1943" s="255"/>
      <c r="K1943" s="593">
        <v>445700</v>
      </c>
      <c r="L1943" s="594" t="s">
        <v>259</v>
      </c>
      <c r="M1943" s="594" t="s">
        <v>371</v>
      </c>
      <c r="N1943" s="52" t="str">
        <f>IF(AND('331-CT'!$E$7=TH!H1943,OR(L1943="331",M1943="331")),"331",IF(AND(OR(L1943="131",M1943="131"),H1943='131-CT'!$E$7),"131",""))</f>
        <v/>
      </c>
      <c r="O1943" s="86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799"/>
    </row>
    <row r="1944" spans="1:27" s="210" customFormat="1" ht="15.75" customHeight="1">
      <c r="A1944" s="203" t="str">
        <f>IF(B1944&lt;&gt;"",IF(AND(B1944&gt;=_TM1,B1944&lt;=_TM2,OR(TH!L1944="1111",TH!M1944="1111")),TH!D1944,""),"")</f>
        <v/>
      </c>
      <c r="B1944" s="36">
        <f>IF(C1944&lt;&gt;"",MONTH(C1944),"")</f>
        <v>10</v>
      </c>
      <c r="C1944" s="183">
        <f>E1944</f>
        <v>42296</v>
      </c>
      <c r="D1944" s="183" t="s">
        <v>1540</v>
      </c>
      <c r="E1944" s="37">
        <v>42296</v>
      </c>
      <c r="F1944" s="296" t="s">
        <v>741</v>
      </c>
      <c r="G1944" s="40" t="s">
        <v>1113</v>
      </c>
      <c r="H1944" s="7" t="s">
        <v>799</v>
      </c>
      <c r="I1944" s="255">
        <v>338</v>
      </c>
      <c r="J1944" s="255">
        <v>9300</v>
      </c>
      <c r="K1944" s="593">
        <f>ROUND(I1944*J1944,0)</f>
        <v>3143400</v>
      </c>
      <c r="L1944" s="594" t="s">
        <v>259</v>
      </c>
      <c r="M1944" s="594" t="s">
        <v>174</v>
      </c>
      <c r="N1944" s="52" t="str">
        <f>IF(AND('331-CT'!$E$7=TH!H1944,OR(L1944="331",M1944="331")),"331",IF(AND(OR(L1944="131",M1944="131"),H1944='131-CT'!$E$7),"131",""))</f>
        <v/>
      </c>
      <c r="O1944" s="86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799"/>
    </row>
    <row r="1945" spans="1:27" s="210" customFormat="1" ht="15.75" customHeight="1">
      <c r="A1945" s="203" t="str">
        <f>IF(B1945&lt;&gt;"",IF(AND(B1945&gt;=_TM1,B1945&lt;=_TM2,OR(TH!L1945="1111",TH!M1945="1111")),TH!D1945,""),"")</f>
        <v/>
      </c>
      <c r="B1945" s="36">
        <f>IF(C1945&lt;&gt;"",MONTH(C1945),"")</f>
        <v>10</v>
      </c>
      <c r="C1945" s="183">
        <f>E1945</f>
        <v>42296</v>
      </c>
      <c r="D1945" s="183" t="s">
        <v>1540</v>
      </c>
      <c r="E1945" s="37">
        <v>42296</v>
      </c>
      <c r="F1945" s="40" t="s">
        <v>731</v>
      </c>
      <c r="G1945" s="40" t="s">
        <v>1113</v>
      </c>
      <c r="H1945" s="7" t="s">
        <v>799</v>
      </c>
      <c r="I1945" s="255"/>
      <c r="J1945" s="255"/>
      <c r="K1945" s="593">
        <v>314340</v>
      </c>
      <c r="L1945" s="594" t="s">
        <v>259</v>
      </c>
      <c r="M1945" s="594" t="s">
        <v>371</v>
      </c>
      <c r="N1945" s="52" t="str">
        <f>IF(AND('331-CT'!$E$7=TH!H1945,OR(L1945="331",M1945="331")),"331",IF(AND(OR(L1945="131",M1945="131"),H1945='131-CT'!$E$7),"131",""))</f>
        <v/>
      </c>
      <c r="O1945" s="86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799"/>
    </row>
    <row r="1946" spans="1:27" s="210" customFormat="1" ht="15.75" customHeight="1">
      <c r="A1946" s="203" t="str">
        <f>IF(B1946&lt;&gt;"",IF(AND(B1946&gt;=_TM1,B1946&lt;=_TM2,OR(TH!L1946="1111",TH!M1946="1111")),TH!D1946,""),"")</f>
        <v/>
      </c>
      <c r="B1946" s="36">
        <f>IF(C1946&lt;&gt;"",MONTH(C1946),"")</f>
        <v>10</v>
      </c>
      <c r="C1946" s="183">
        <f>E1946</f>
        <v>42296</v>
      </c>
      <c r="D1946" s="183" t="s">
        <v>1541</v>
      </c>
      <c r="E1946" s="37">
        <v>42296</v>
      </c>
      <c r="F1946" s="40" t="s">
        <v>849</v>
      </c>
      <c r="G1946" s="40" t="s">
        <v>1114</v>
      </c>
      <c r="H1946" s="7" t="s">
        <v>851</v>
      </c>
      <c r="I1946" s="255">
        <v>50</v>
      </c>
      <c r="J1946" s="255">
        <v>17693</v>
      </c>
      <c r="K1946" s="593">
        <f>ROUND(I1946*J1946,0)</f>
        <v>884650</v>
      </c>
      <c r="L1946" s="594" t="s">
        <v>259</v>
      </c>
      <c r="M1946" s="594" t="s">
        <v>174</v>
      </c>
      <c r="N1946" s="52" t="str">
        <f>IF(AND('331-CT'!$E$7=TH!H1946,OR(L1946="331",M1946="331")),"331",IF(AND(OR(L1946="131",M1946="131"),H1946='131-CT'!$E$7),"131",""))</f>
        <v/>
      </c>
      <c r="O1946" s="86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799"/>
    </row>
    <row r="1947" spans="1:27" s="210" customFormat="1" ht="15.75" customHeight="1">
      <c r="A1947" s="203" t="str">
        <f>IF(B1947&lt;&gt;"",IF(AND(B1947&gt;=_TM1,B1947&lt;=_TM2,OR(TH!L1947="1111",TH!M1947="1111")),TH!D1947,""),"")</f>
        <v/>
      </c>
      <c r="B1947" s="36">
        <f>IF(C1947&lt;&gt;"",MONTH(C1947),"")</f>
        <v>10</v>
      </c>
      <c r="C1947" s="183">
        <f>E1947</f>
        <v>42296</v>
      </c>
      <c r="D1947" s="183" t="s">
        <v>1541</v>
      </c>
      <c r="E1947" s="37">
        <v>42296</v>
      </c>
      <c r="F1947" s="40" t="s">
        <v>852</v>
      </c>
      <c r="G1947" s="40" t="s">
        <v>1114</v>
      </c>
      <c r="H1947" s="7" t="s">
        <v>851</v>
      </c>
      <c r="I1947" s="255">
        <v>200</v>
      </c>
      <c r="J1947" s="255">
        <v>20027</v>
      </c>
      <c r="K1947" s="593">
        <f>ROUND(I1947*J1947,0)</f>
        <v>4005400</v>
      </c>
      <c r="L1947" s="594" t="s">
        <v>259</v>
      </c>
      <c r="M1947" s="594" t="s">
        <v>174</v>
      </c>
      <c r="N1947" s="52" t="str">
        <f>IF(AND('331-CT'!$E$7=TH!H1947,OR(L1947="331",M1947="331")),"331",IF(AND(OR(L1947="131",M1947="131"),H1947='131-CT'!$E$7),"131",""))</f>
        <v/>
      </c>
      <c r="O1947" s="86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799"/>
    </row>
    <row r="1948" spans="1:27" s="210" customFormat="1" ht="15.75" customHeight="1">
      <c r="A1948" s="203" t="str">
        <f>IF(B1948&lt;&gt;"",IF(AND(B1948&gt;=_TM1,B1948&lt;=_TM2,OR(TH!L1948="1111",TH!M1948="1111")),TH!D1948,""),"")</f>
        <v/>
      </c>
      <c r="B1948" s="36">
        <f>IF(C1948&lt;&gt;"",MONTH(C1948),"")</f>
        <v>10</v>
      </c>
      <c r="C1948" s="183">
        <f>E1948</f>
        <v>42296</v>
      </c>
      <c r="D1948" s="183" t="s">
        <v>1541</v>
      </c>
      <c r="E1948" s="37">
        <v>42296</v>
      </c>
      <c r="F1948" s="40" t="s">
        <v>853</v>
      </c>
      <c r="G1948" s="40" t="s">
        <v>1114</v>
      </c>
      <c r="H1948" s="7" t="s">
        <v>851</v>
      </c>
      <c r="I1948" s="255">
        <v>100</v>
      </c>
      <c r="J1948" s="255">
        <v>22253</v>
      </c>
      <c r="K1948" s="593">
        <f>ROUND(I1948*J1948,0)</f>
        <v>2225300</v>
      </c>
      <c r="L1948" s="594" t="s">
        <v>259</v>
      </c>
      <c r="M1948" s="594" t="s">
        <v>174</v>
      </c>
      <c r="N1948" s="52" t="str">
        <f>IF(AND('331-CT'!$E$7=TH!H1948,OR(L1948="331",M1948="331")),"331",IF(AND(OR(L1948="131",M1948="131"),H1948='131-CT'!$E$7),"131",""))</f>
        <v/>
      </c>
      <c r="O1948" s="86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799"/>
    </row>
    <row r="1949" spans="1:27" s="210" customFormat="1" ht="15.75" customHeight="1">
      <c r="A1949" s="203" t="str">
        <f>IF(B1949&lt;&gt;"",IF(AND(B1949&gt;=_TM1,B1949&lt;=_TM2,OR(TH!L1949="1111",TH!M1949="1111")),TH!D1949,""),"")</f>
        <v/>
      </c>
      <c r="B1949" s="36">
        <f>IF(C1949&lt;&gt;"",MONTH(C1949),"")</f>
        <v>10</v>
      </c>
      <c r="C1949" s="183">
        <f>E1949</f>
        <v>42296</v>
      </c>
      <c r="D1949" s="183" t="s">
        <v>1541</v>
      </c>
      <c r="E1949" s="37">
        <v>42296</v>
      </c>
      <c r="F1949" s="191" t="s">
        <v>402</v>
      </c>
      <c r="G1949" s="40" t="s">
        <v>1114</v>
      </c>
      <c r="H1949" s="7" t="s">
        <v>851</v>
      </c>
      <c r="I1949" s="255"/>
      <c r="J1949" s="255"/>
      <c r="K1949" s="593">
        <v>711535</v>
      </c>
      <c r="L1949" s="594" t="s">
        <v>259</v>
      </c>
      <c r="M1949" s="594" t="s">
        <v>371</v>
      </c>
      <c r="N1949" s="52" t="str">
        <f>IF(AND('331-CT'!$E$7=TH!H1949,OR(L1949="331",M1949="331")),"331",IF(AND(OR(L1949="131",M1949="131"),H1949='131-CT'!$E$7),"131",""))</f>
        <v/>
      </c>
      <c r="O1949" s="86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799"/>
    </row>
    <row r="1950" spans="1:27" s="210" customFormat="1" ht="15.75" customHeight="1">
      <c r="A1950" s="203" t="str">
        <f>IF(B1950&lt;&gt;"",IF(AND(B1950&gt;=_TM1,B1950&lt;=_TM2,OR(TH!L1950="1111",TH!M1950="1111")),TH!D1950,""),"")</f>
        <v>GBC</v>
      </c>
      <c r="B1950" s="36">
        <f>IF(C1950&lt;&gt;"",MONTH(C1950),"")</f>
        <v>10</v>
      </c>
      <c r="C1950" s="183">
        <f>E1950</f>
        <v>42296</v>
      </c>
      <c r="D1950" s="183" t="s">
        <v>1319</v>
      </c>
      <c r="E1950" s="190">
        <v>42296</v>
      </c>
      <c r="F1950" s="188" t="s">
        <v>1323</v>
      </c>
      <c r="G1950" s="482" t="s">
        <v>332</v>
      </c>
      <c r="H1950" s="7" t="s">
        <v>1333</v>
      </c>
      <c r="I1950" s="255"/>
      <c r="J1950" s="255"/>
      <c r="K1950" s="593">
        <v>65200000</v>
      </c>
      <c r="L1950" s="594" t="s">
        <v>24</v>
      </c>
      <c r="M1950" s="594" t="s">
        <v>47</v>
      </c>
      <c r="N1950" s="52" t="str">
        <f>IF(AND('331-CT'!$E$7=TH!H1950,OR(L1950="331",M1950="331")),"331",IF(AND(OR(L1950="131",M1950="131"),H1950='131-CT'!$E$7),"131",""))</f>
        <v/>
      </c>
      <c r="O1950" s="86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799"/>
    </row>
    <row r="1951" spans="1:27" s="210" customFormat="1" ht="15.75" customHeight="1">
      <c r="A1951" s="203" t="str">
        <f>IF(B1951&lt;&gt;"",IF(AND(B1951&gt;=_TM1,B1951&lt;=_TM2,OR(TH!L1951="1111",TH!M1951="1111")),TH!D1951,""),"")</f>
        <v>GBC</v>
      </c>
      <c r="B1951" s="36">
        <f>IF(C1951&lt;&gt;"",MONTH(C1951),"")</f>
        <v>10</v>
      </c>
      <c r="C1951" s="183">
        <f>E1951</f>
        <v>42296</v>
      </c>
      <c r="D1951" s="183" t="s">
        <v>1319</v>
      </c>
      <c r="E1951" s="190">
        <v>42296</v>
      </c>
      <c r="F1951" s="188" t="s">
        <v>1325</v>
      </c>
      <c r="G1951" s="482" t="s">
        <v>332</v>
      </c>
      <c r="H1951" s="7" t="s">
        <v>1322</v>
      </c>
      <c r="I1951" s="255"/>
      <c r="J1951" s="255"/>
      <c r="K1951" s="593">
        <v>32200000</v>
      </c>
      <c r="L1951" s="594" t="s">
        <v>47</v>
      </c>
      <c r="M1951" s="594" t="s">
        <v>24</v>
      </c>
      <c r="N1951" s="52" t="str">
        <f>IF(AND('331-CT'!$E$7=TH!H1951,OR(L1951="331",M1951="331")),"331",IF(AND(OR(L1951="131",M1951="131"),H1951='131-CT'!$E$7),"131",""))</f>
        <v/>
      </c>
      <c r="O1951" s="86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799"/>
    </row>
    <row r="1952" spans="1:27" s="210" customFormat="1" ht="15.75" customHeight="1">
      <c r="A1952" s="203" t="str">
        <f>IF(B1952&lt;&gt;"",IF(AND(B1952&gt;=_TM1,B1952&lt;=_TM2,OR(TH!L1952="1111",TH!M1952="1111")),TH!D1952,""),"")</f>
        <v/>
      </c>
      <c r="B1952" s="36">
        <f>IF(C1952&lt;&gt;"",MONTH(C1952),"")</f>
        <v>10</v>
      </c>
      <c r="C1952" s="183">
        <f>E1952</f>
        <v>42296</v>
      </c>
      <c r="D1952" s="183" t="s">
        <v>1319</v>
      </c>
      <c r="E1952" s="190">
        <v>42296</v>
      </c>
      <c r="F1952" s="296" t="s">
        <v>1326</v>
      </c>
      <c r="G1952" s="482" t="s">
        <v>332</v>
      </c>
      <c r="H1952" s="831" t="s">
        <v>1448</v>
      </c>
      <c r="I1952" s="255"/>
      <c r="J1952" s="255"/>
      <c r="K1952" s="593">
        <v>15000000</v>
      </c>
      <c r="L1952" s="594" t="s">
        <v>8</v>
      </c>
      <c r="M1952" s="594" t="s">
        <v>24</v>
      </c>
      <c r="N1952" s="52" t="str">
        <f>IF(AND('331-CT'!$E$7=TH!H1952,OR(L1952="331",M1952="331")),"331",IF(AND(OR(L1952="131",M1952="131"),H1952='131-CT'!$E$7),"131",""))</f>
        <v>331</v>
      </c>
      <c r="O1952" s="86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799"/>
    </row>
    <row r="1953" spans="1:27" s="210" customFormat="1" ht="15.75" customHeight="1">
      <c r="A1953" s="203" t="str">
        <f>IF(B1953&lt;&gt;"",IF(AND(B1953&gt;=_TM1,B1953&lt;=_TM2,OR(TH!L1953="1111",TH!M1953="1111")),TH!D1953,""),"")</f>
        <v/>
      </c>
      <c r="B1953" s="36">
        <f>IF(C1953&lt;&gt;"",MONTH(C1953),"")</f>
        <v>10</v>
      </c>
      <c r="C1953" s="183">
        <f>E1953</f>
        <v>42296</v>
      </c>
      <c r="D1953" s="183" t="s">
        <v>1319</v>
      </c>
      <c r="E1953" s="190">
        <v>42296</v>
      </c>
      <c r="F1953" s="188" t="s">
        <v>1327</v>
      </c>
      <c r="G1953" s="482" t="s">
        <v>332</v>
      </c>
      <c r="H1953" s="7"/>
      <c r="I1953" s="255"/>
      <c r="J1953" s="255"/>
      <c r="K1953" s="593">
        <v>15000</v>
      </c>
      <c r="L1953" s="594" t="s">
        <v>83</v>
      </c>
      <c r="M1953" s="594" t="s">
        <v>24</v>
      </c>
      <c r="N1953" s="52" t="str">
        <f>IF(AND('331-CT'!$E$7=TH!H1953,OR(L1953="331",M1953="331")),"331",IF(AND(OR(L1953="131",M1953="131"),H1953='131-CT'!$E$7),"131",""))</f>
        <v/>
      </c>
      <c r="O1953" s="86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>x</v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799"/>
    </row>
    <row r="1954" spans="1:27" s="210" customFormat="1" ht="15.75" customHeight="1">
      <c r="A1954" s="203" t="str">
        <f>IF(B1954&lt;&gt;"",IF(AND(B1954&gt;=_TM1,B1954&lt;=_TM2,OR(TH!L1954="1111",TH!M1954="1111")),TH!D1954,""),"")</f>
        <v/>
      </c>
      <c r="B1954" s="36">
        <f>IF(C1954&lt;&gt;"",MONTH(C1954),"")</f>
        <v>10</v>
      </c>
      <c r="C1954" s="183">
        <f>E1954</f>
        <v>42296</v>
      </c>
      <c r="D1954" s="183" t="s">
        <v>1319</v>
      </c>
      <c r="E1954" s="190">
        <v>42296</v>
      </c>
      <c r="F1954" s="296" t="s">
        <v>1326</v>
      </c>
      <c r="G1954" s="482" t="s">
        <v>332</v>
      </c>
      <c r="H1954" s="7" t="s">
        <v>1504</v>
      </c>
      <c r="I1954" s="255"/>
      <c r="J1954" s="255"/>
      <c r="K1954" s="593">
        <v>30000000</v>
      </c>
      <c r="L1954" s="594" t="s">
        <v>8</v>
      </c>
      <c r="M1954" s="594" t="s">
        <v>24</v>
      </c>
      <c r="N1954" s="52" t="str">
        <f>IF(AND('331-CT'!$E$7=TH!H1954,OR(L1954="331",M1954="331")),"331",IF(AND(OR(L1954="131",M1954="131"),H1954='131-CT'!$E$7),"131",""))</f>
        <v/>
      </c>
      <c r="O1954" s="86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799"/>
    </row>
    <row r="1955" spans="1:27" s="210" customFormat="1" ht="15.75" customHeight="1">
      <c r="A1955" s="203" t="str">
        <f>IF(B1955&lt;&gt;"",IF(AND(B1955&gt;=_TM1,B1955&lt;=_TM2,OR(TH!L1955="1111",TH!M1955="1111")),TH!D1955,""),"")</f>
        <v/>
      </c>
      <c r="B1955" s="36">
        <f>IF(C1955&lt;&gt;"",MONTH(C1955),"")</f>
        <v>10</v>
      </c>
      <c r="C1955" s="183">
        <f>E1955</f>
        <v>42296</v>
      </c>
      <c r="D1955" s="183" t="s">
        <v>1319</v>
      </c>
      <c r="E1955" s="190">
        <v>42296</v>
      </c>
      <c r="F1955" s="296" t="s">
        <v>1326</v>
      </c>
      <c r="G1955" s="482" t="s">
        <v>332</v>
      </c>
      <c r="H1955" s="7" t="s">
        <v>1491</v>
      </c>
      <c r="I1955" s="255"/>
      <c r="J1955" s="255"/>
      <c r="K1955" s="593">
        <v>30000000</v>
      </c>
      <c r="L1955" s="594" t="s">
        <v>8</v>
      </c>
      <c r="M1955" s="594" t="s">
        <v>24</v>
      </c>
      <c r="N1955" s="52" t="str">
        <f>IF(AND('331-CT'!$E$7=TH!H1955,OR(L1955="331",M1955="331")),"331",IF(AND(OR(L1955="131",M1955="131"),H1955='131-CT'!$E$7),"131",""))</f>
        <v/>
      </c>
      <c r="O1955" s="86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799"/>
    </row>
    <row r="1956" spans="1:27" s="210" customFormat="1" ht="15.75" customHeight="1">
      <c r="A1956" s="203" t="str">
        <f>IF(B1956&lt;&gt;"",IF(AND(B1956&gt;=_TM1,B1956&lt;=_TM2,OR(TH!L1956="1111",TH!M1956="1111")),TH!D1956,""),"")</f>
        <v/>
      </c>
      <c r="B1956" s="36">
        <f>IF(C1956&lt;&gt;"",MONTH(C1956),"")</f>
        <v>10</v>
      </c>
      <c r="C1956" s="183">
        <f>E1956</f>
        <v>42296</v>
      </c>
      <c r="D1956" s="183" t="s">
        <v>1319</v>
      </c>
      <c r="E1956" s="190">
        <v>42296</v>
      </c>
      <c r="F1956" s="296" t="s">
        <v>1326</v>
      </c>
      <c r="G1956" s="482" t="s">
        <v>332</v>
      </c>
      <c r="H1956" s="831" t="s">
        <v>1929</v>
      </c>
      <c r="I1956" s="255"/>
      <c r="J1956" s="255"/>
      <c r="K1956" s="593">
        <v>5000000</v>
      </c>
      <c r="L1956" s="594" t="s">
        <v>8</v>
      </c>
      <c r="M1956" s="594" t="s">
        <v>24</v>
      </c>
      <c r="N1956" s="52" t="str">
        <f>IF(AND('331-CT'!$E$7=TH!H1956,OR(L1956="331",M1956="331")),"331",IF(AND(OR(L1956="131",M1956="131"),H1956='131-CT'!$E$7),"131",""))</f>
        <v/>
      </c>
      <c r="O1956" s="86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799"/>
    </row>
    <row r="1957" spans="1:27" s="210" customFormat="1" ht="15.75" customHeight="1">
      <c r="A1957" s="203" t="str">
        <f>IF(B1957&lt;&gt;"",IF(AND(B1957&gt;=_TM1,B1957&lt;=_TM2,OR(TH!L1957="1111",TH!M1957="1111")),TH!D1957,""),"")</f>
        <v/>
      </c>
      <c r="B1957" s="36">
        <f>IF(C1957&lt;&gt;"",MONTH(C1957),"")</f>
        <v>10</v>
      </c>
      <c r="C1957" s="183">
        <f>E1957</f>
        <v>42296</v>
      </c>
      <c r="D1957" s="183" t="s">
        <v>1319</v>
      </c>
      <c r="E1957" s="190">
        <v>42296</v>
      </c>
      <c r="F1957" s="188" t="s">
        <v>1338</v>
      </c>
      <c r="G1957" s="482" t="s">
        <v>332</v>
      </c>
      <c r="H1957" s="7"/>
      <c r="I1957" s="255"/>
      <c r="J1957" s="255"/>
      <c r="K1957" s="593">
        <v>19477</v>
      </c>
      <c r="L1957" s="594" t="s">
        <v>83</v>
      </c>
      <c r="M1957" s="594" t="s">
        <v>24</v>
      </c>
      <c r="N1957" s="52" t="str">
        <f>IF(AND('331-CT'!$E$7=TH!H1957,OR(L1957="331",M1957="331")),"331",IF(AND(OR(L1957="131",M1957="131"),H1957='131-CT'!$E$7),"131",""))</f>
        <v/>
      </c>
      <c r="O1957" s="86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>x</v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799"/>
    </row>
    <row r="1958" spans="1:27" s="210" customFormat="1" ht="15.75" customHeight="1">
      <c r="A1958" s="203" t="str">
        <f>IF(B1958&lt;&gt;"",IF(AND(B1958&gt;=_TM1,B1958&lt;=_TM2,OR(TH!L1958="1111",TH!M1958="1111")),TH!D1958,""),"")</f>
        <v/>
      </c>
      <c r="B1958" s="36">
        <f>IF(C1958&lt;&gt;"",MONTH(C1958),"")</f>
        <v>10</v>
      </c>
      <c r="C1958" s="183">
        <f>E1958</f>
        <v>42296</v>
      </c>
      <c r="D1958" s="183" t="s">
        <v>1319</v>
      </c>
      <c r="E1958" s="190">
        <v>42296</v>
      </c>
      <c r="F1958" s="188" t="s">
        <v>1327</v>
      </c>
      <c r="G1958" s="482" t="s">
        <v>332</v>
      </c>
      <c r="H1958" s="7"/>
      <c r="I1958" s="255"/>
      <c r="J1958" s="255"/>
      <c r="K1958" s="593">
        <v>15000</v>
      </c>
      <c r="L1958" s="594" t="s">
        <v>83</v>
      </c>
      <c r="M1958" s="594" t="s">
        <v>24</v>
      </c>
      <c r="N1958" s="52" t="str">
        <f>IF(AND('331-CT'!$E$7=TH!H1958,OR(L1958="331",M1958="331")),"331",IF(AND(OR(L1958="131",M1958="131"),H1958='131-CT'!$E$7),"131",""))</f>
        <v/>
      </c>
      <c r="O1958" s="86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>x</v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799"/>
    </row>
    <row r="1959" spans="1:27" s="210" customFormat="1" ht="15.75" customHeight="1">
      <c r="A1959" s="203" t="str">
        <f>IF(B1959&lt;&gt;"",IF(AND(B1959&gt;=_TM1,B1959&lt;=_TM2,OR(TH!L1959="1111",TH!M1959="1111")),TH!D1959,""),"")</f>
        <v/>
      </c>
      <c r="B1959" s="36">
        <f>IF(C1959&lt;&gt;"",MONTH(C1959),"")</f>
        <v>10</v>
      </c>
      <c r="C1959" s="183">
        <f>E1959</f>
        <v>42296</v>
      </c>
      <c r="D1959" s="183" t="s">
        <v>1319</v>
      </c>
      <c r="E1959" s="190">
        <v>42296</v>
      </c>
      <c r="F1959" s="188" t="s">
        <v>1327</v>
      </c>
      <c r="G1959" s="482" t="s">
        <v>332</v>
      </c>
      <c r="H1959" s="7"/>
      <c r="I1959" s="255"/>
      <c r="J1959" s="255"/>
      <c r="K1959" s="593">
        <v>15000</v>
      </c>
      <c r="L1959" s="594" t="s">
        <v>83</v>
      </c>
      <c r="M1959" s="594" t="s">
        <v>24</v>
      </c>
      <c r="N1959" s="52" t="str">
        <f>IF(AND('331-CT'!$E$7=TH!H1959,OR(L1959="331",M1959="331")),"331",IF(AND(OR(L1959="131",M1959="131"),H1959='131-CT'!$E$7),"131",""))</f>
        <v/>
      </c>
      <c r="O1959" s="86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799"/>
    </row>
    <row r="1960" spans="1:27" s="210" customFormat="1" ht="15.75" customHeight="1">
      <c r="A1960" s="203" t="str">
        <f>IF(B1960&lt;&gt;"",IF(AND(B1960&gt;=_TM1,B1960&lt;=_TM2,OR(TH!L1960="1111",TH!M1960="1111")),TH!D1960,""),"")</f>
        <v/>
      </c>
      <c r="B1960" s="36">
        <f>IF(C1960&lt;&gt;"",MONTH(C1960),"")</f>
        <v>10</v>
      </c>
      <c r="C1960" s="183">
        <f>E1960</f>
        <v>42296</v>
      </c>
      <c r="D1960" s="183" t="s">
        <v>1319</v>
      </c>
      <c r="E1960" s="190">
        <v>42296</v>
      </c>
      <c r="F1960" s="188" t="s">
        <v>1327</v>
      </c>
      <c r="G1960" s="482" t="s">
        <v>332</v>
      </c>
      <c r="H1960" s="7"/>
      <c r="I1960" s="255"/>
      <c r="J1960" s="255"/>
      <c r="K1960" s="593">
        <v>15000</v>
      </c>
      <c r="L1960" s="594" t="s">
        <v>83</v>
      </c>
      <c r="M1960" s="594" t="s">
        <v>24</v>
      </c>
      <c r="N1960" s="52" t="str">
        <f>IF(AND('331-CT'!$E$7=TH!H1960,OR(L1960="331",M1960="331")),"331",IF(AND(OR(L1960="131",M1960="131"),H1960='131-CT'!$E$7),"131",""))</f>
        <v/>
      </c>
      <c r="O1960" s="86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>x</v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799"/>
    </row>
    <row r="1961" spans="1:27" s="210" customFormat="1" ht="15.75" customHeight="1">
      <c r="A1961" s="203" t="str">
        <f>IF(B1961&lt;&gt;"",IF(AND(B1961&gt;=_TM1,B1961&lt;=_TM2,OR(TH!L1961="1111",TH!M1961="1111")),TH!D1961,""),"")</f>
        <v/>
      </c>
      <c r="B1961" s="36">
        <f>IF(C1961&lt;&gt;"",MONTH(C1961),"")</f>
        <v>10</v>
      </c>
      <c r="C1961" s="183">
        <f>E1961</f>
        <v>42297</v>
      </c>
      <c r="D1961" s="183" t="s">
        <v>1542</v>
      </c>
      <c r="E1961" s="37">
        <v>42297</v>
      </c>
      <c r="F1961" s="40" t="s">
        <v>1115</v>
      </c>
      <c r="G1961" s="40" t="s">
        <v>1116</v>
      </c>
      <c r="H1961" s="7" t="s">
        <v>967</v>
      </c>
      <c r="I1961" s="255">
        <v>300</v>
      </c>
      <c r="J1961" s="255">
        <v>10415</v>
      </c>
      <c r="K1961" s="593">
        <f>ROUND(I1961*J1961,0)</f>
        <v>3124500</v>
      </c>
      <c r="L1961" s="594" t="s">
        <v>259</v>
      </c>
      <c r="M1961" s="594" t="s">
        <v>174</v>
      </c>
      <c r="N1961" s="52" t="str">
        <f>IF(AND('331-CT'!$E$7=TH!H1961,OR(L1961="331",M1961="331")),"331",IF(AND(OR(L1961="131",M1961="131"),H1961='131-CT'!$E$7),"131",""))</f>
        <v/>
      </c>
      <c r="O1961" s="86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799"/>
    </row>
    <row r="1962" spans="1:27" s="210" customFormat="1" ht="15.75" customHeight="1">
      <c r="A1962" s="203" t="str">
        <f>IF(B1962&lt;&gt;"",IF(AND(B1962&gt;=_TM1,B1962&lt;=_TM2,OR(TH!L1962="1111",TH!M1962="1111")),TH!D1962,""),"")</f>
        <v/>
      </c>
      <c r="B1962" s="36">
        <f>IF(C1962&lt;&gt;"",MONTH(C1962),"")</f>
        <v>10</v>
      </c>
      <c r="C1962" s="183">
        <f>E1962</f>
        <v>42297</v>
      </c>
      <c r="D1962" s="183" t="s">
        <v>1542</v>
      </c>
      <c r="E1962" s="183">
        <v>42297</v>
      </c>
      <c r="F1962" s="188" t="s">
        <v>402</v>
      </c>
      <c r="G1962" s="595" t="s">
        <v>1116</v>
      </c>
      <c r="H1962" s="192" t="s">
        <v>967</v>
      </c>
      <c r="I1962" s="255"/>
      <c r="J1962" s="255"/>
      <c r="K1962" s="593">
        <v>312450</v>
      </c>
      <c r="L1962" s="594" t="s">
        <v>259</v>
      </c>
      <c r="M1962" s="594" t="s">
        <v>371</v>
      </c>
      <c r="N1962" s="52" t="str">
        <f>IF(AND('331-CT'!$E$7=TH!H1962,OR(L1962="331",M1962="331")),"331",IF(AND(OR(L1962="131",M1962="131"),H1962='131-CT'!$E$7),"131",""))</f>
        <v/>
      </c>
      <c r="O1962" s="86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799"/>
    </row>
    <row r="1963" spans="1:27" s="210" customFormat="1" ht="15.75" customHeight="1">
      <c r="A1963" s="203" t="str">
        <f>IF(B1963&lt;&gt;"",IF(AND(B1963&gt;=_TM1,B1963&lt;=_TM2,OR(TH!L1963="1111",TH!M1963="1111")),TH!D1963,""),"")</f>
        <v/>
      </c>
      <c r="B1963" s="36">
        <f>IF(C1963&lt;&gt;"",MONTH(C1963),"")</f>
        <v>10</v>
      </c>
      <c r="C1963" s="183">
        <f>E1963</f>
        <v>42297</v>
      </c>
      <c r="D1963" s="183" t="s">
        <v>1543</v>
      </c>
      <c r="E1963" s="190">
        <v>42297</v>
      </c>
      <c r="F1963" s="191" t="s">
        <v>1117</v>
      </c>
      <c r="G1963" s="482" t="s">
        <v>1118</v>
      </c>
      <c r="H1963" s="192" t="s">
        <v>1093</v>
      </c>
      <c r="I1963" s="255">
        <v>200</v>
      </c>
      <c r="J1963" s="255">
        <v>45000</v>
      </c>
      <c r="K1963" s="593">
        <f>ROUND(I1963*J1963,0)</f>
        <v>9000000</v>
      </c>
      <c r="L1963" s="594" t="s">
        <v>259</v>
      </c>
      <c r="M1963" s="594" t="s">
        <v>174</v>
      </c>
      <c r="N1963" s="52" t="str">
        <f>IF(AND('331-CT'!$E$7=TH!H1963,OR(L1963="331",M1963="331")),"331",IF(AND(OR(L1963="131",M1963="131"),H1963='131-CT'!$E$7),"131",""))</f>
        <v/>
      </c>
      <c r="O1963" s="86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799"/>
    </row>
    <row r="1964" spans="1:27" s="210" customFormat="1" ht="15.75" customHeight="1">
      <c r="A1964" s="203" t="str">
        <f>IF(B1964&lt;&gt;"",IF(AND(B1964&gt;=_TM1,B1964&lt;=_TM2,OR(TH!L1964="1111",TH!M1964="1111")),TH!D1964,""),"")</f>
        <v/>
      </c>
      <c r="B1964" s="36">
        <f>IF(C1964&lt;&gt;"",MONTH(C1964),"")</f>
        <v>10</v>
      </c>
      <c r="C1964" s="183">
        <f>E1964</f>
        <v>42297</v>
      </c>
      <c r="D1964" s="183" t="s">
        <v>1543</v>
      </c>
      <c r="E1964" s="190">
        <v>42297</v>
      </c>
      <c r="F1964" s="191" t="s">
        <v>1119</v>
      </c>
      <c r="G1964" s="482" t="s">
        <v>1118</v>
      </c>
      <c r="H1964" s="192" t="s">
        <v>1093</v>
      </c>
      <c r="I1964" s="255">
        <v>150</v>
      </c>
      <c r="J1964" s="255">
        <v>45300</v>
      </c>
      <c r="K1964" s="593">
        <f>ROUND(I1964*J1964,0)</f>
        <v>6795000</v>
      </c>
      <c r="L1964" s="594" t="s">
        <v>259</v>
      </c>
      <c r="M1964" s="594" t="s">
        <v>174</v>
      </c>
      <c r="N1964" s="52" t="str">
        <f>IF(AND('331-CT'!$E$7=TH!H1964,OR(L1964="331",M1964="331")),"331",IF(AND(OR(L1964="131",M1964="131"),H1964='131-CT'!$E$7),"131",""))</f>
        <v/>
      </c>
      <c r="O1964" s="86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799"/>
    </row>
    <row r="1965" spans="1:27" s="210" customFormat="1" ht="15.75" customHeight="1">
      <c r="A1965" s="203" t="str">
        <f>IF(B1965&lt;&gt;"",IF(AND(B1965&gt;=_TM1,B1965&lt;=_TM2,OR(TH!L1965="1111",TH!M1965="1111")),TH!D1965,""),"")</f>
        <v/>
      </c>
      <c r="B1965" s="36">
        <f>IF(C1965&lt;&gt;"",MONTH(C1965),"")</f>
        <v>10</v>
      </c>
      <c r="C1965" s="183">
        <f>E1965</f>
        <v>42297</v>
      </c>
      <c r="D1965" s="183" t="s">
        <v>1543</v>
      </c>
      <c r="E1965" s="190">
        <v>42297</v>
      </c>
      <c r="F1965" s="191" t="s">
        <v>402</v>
      </c>
      <c r="G1965" s="482" t="s">
        <v>1118</v>
      </c>
      <c r="H1965" s="192" t="s">
        <v>1093</v>
      </c>
      <c r="I1965" s="255"/>
      <c r="J1965" s="255"/>
      <c r="K1965" s="593">
        <v>1579500</v>
      </c>
      <c r="L1965" s="594" t="s">
        <v>259</v>
      </c>
      <c r="M1965" s="594" t="s">
        <v>371</v>
      </c>
      <c r="N1965" s="52" t="str">
        <f>IF(AND('331-CT'!$E$7=TH!H1965,OR(L1965="331",M1965="331")),"331",IF(AND(OR(L1965="131",M1965="131"),H1965='131-CT'!$E$7),"131",""))</f>
        <v/>
      </c>
      <c r="O1965" s="86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799"/>
    </row>
    <row r="1966" spans="1:27" s="210" customFormat="1" ht="15.75" customHeight="1">
      <c r="A1966" s="203" t="str">
        <f>IF(B1966&lt;&gt;"",IF(AND(B1966&gt;=_TM1,B1966&lt;=_TM2,OR(TH!L1966="1111",TH!M1966="1111")),TH!D1966,""),"")</f>
        <v/>
      </c>
      <c r="B1966" s="36">
        <f>IF(C1966&lt;&gt;"",MONTH(C1966),"")</f>
        <v>10</v>
      </c>
      <c r="C1966" s="183">
        <f>E1966</f>
        <v>42297</v>
      </c>
      <c r="D1966" s="190" t="s">
        <v>2020</v>
      </c>
      <c r="E1966" s="727">
        <v>42297</v>
      </c>
      <c r="F1966" s="191" t="s">
        <v>1378</v>
      </c>
      <c r="G1966" s="481" t="s">
        <v>1495</v>
      </c>
      <c r="H1966" s="7" t="s">
        <v>1491</v>
      </c>
      <c r="I1966" s="255">
        <v>7399</v>
      </c>
      <c r="J1966" s="255">
        <v>9000</v>
      </c>
      <c r="K1966" s="593">
        <f>ROUND(I1966*J1966,0)</f>
        <v>66591000</v>
      </c>
      <c r="L1966" s="594" t="s">
        <v>159</v>
      </c>
      <c r="M1966" s="594" t="s">
        <v>8</v>
      </c>
      <c r="N1966" s="52" t="str">
        <f>IF(AND('331-CT'!$E$7=TH!H1966,OR(L1966="331",M1966="331")),"331",IF(AND(OR(L1966="131",M1966="131"),H1966='131-CT'!$E$7),"131",""))</f>
        <v/>
      </c>
      <c r="O1966" s="86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799"/>
    </row>
    <row r="1967" spans="1:27" s="210" customFormat="1" ht="15.75" customHeight="1">
      <c r="A1967" s="203" t="str">
        <f>IF(B1967&lt;&gt;"",IF(AND(B1967&gt;=_TM1,B1967&lt;=_TM2,OR(TH!L1967="1111",TH!M1967="1111")),TH!D1967,""),"")</f>
        <v/>
      </c>
      <c r="B1967" s="36">
        <f>IF(C1967&lt;&gt;"",MONTH(C1967),"")</f>
        <v>10</v>
      </c>
      <c r="C1967" s="183">
        <f>E1967</f>
        <v>42297</v>
      </c>
      <c r="D1967" s="190" t="s">
        <v>2020</v>
      </c>
      <c r="E1967" s="727">
        <v>42297</v>
      </c>
      <c r="F1967" s="188" t="s">
        <v>731</v>
      </c>
      <c r="G1967" s="481" t="s">
        <v>1495</v>
      </c>
      <c r="H1967" s="7" t="s">
        <v>1491</v>
      </c>
      <c r="I1967" s="255"/>
      <c r="J1967" s="255"/>
      <c r="K1967" s="593">
        <v>6659100</v>
      </c>
      <c r="L1967" s="594" t="s">
        <v>9</v>
      </c>
      <c r="M1967" s="594" t="s">
        <v>8</v>
      </c>
      <c r="N1967" s="52" t="str">
        <f>IF(AND('331-CT'!$E$7=TH!H1967,OR(L1967="331",M1967="331")),"331",IF(AND(OR(L1967="131",M1967="131"),H1967='131-CT'!$E$7),"131",""))</f>
        <v/>
      </c>
      <c r="O1967" s="86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799"/>
    </row>
    <row r="1968" spans="1:27" s="210" customFormat="1" ht="15.75" customHeight="1">
      <c r="A1968" s="203" t="str">
        <f>IF(B1968&lt;&gt;"",IF(AND(B1968&gt;=_TM1,B1968&lt;=_TM2,OR(TH!L1968="1111",TH!M1968="1111")),TH!D1968,""),"")</f>
        <v/>
      </c>
      <c r="B1968" s="36">
        <f>IF(C1968&lt;&gt;"",MONTH(C1968),"")</f>
        <v>10</v>
      </c>
      <c r="C1968" s="183">
        <f>E1968</f>
        <v>42298</v>
      </c>
      <c r="D1968" s="183" t="s">
        <v>1544</v>
      </c>
      <c r="E1968" s="190">
        <v>42298</v>
      </c>
      <c r="F1968" s="191" t="s">
        <v>1120</v>
      </c>
      <c r="G1968" s="482" t="s">
        <v>1121</v>
      </c>
      <c r="H1968" s="192" t="s">
        <v>1013</v>
      </c>
      <c r="I1968" s="255">
        <v>1000</v>
      </c>
      <c r="J1968" s="255">
        <v>13300</v>
      </c>
      <c r="K1968" s="593">
        <f>ROUND(I1968*J1968,0)</f>
        <v>13300000</v>
      </c>
      <c r="L1968" s="594" t="s">
        <v>259</v>
      </c>
      <c r="M1968" s="594" t="s">
        <v>174</v>
      </c>
      <c r="N1968" s="52" t="str">
        <f>IF(AND('331-CT'!$E$7=TH!H1968,OR(L1968="331",M1968="331")),"331",IF(AND(OR(L1968="131",M1968="131"),H1968='131-CT'!$E$7),"131",""))</f>
        <v/>
      </c>
      <c r="O1968" s="86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799"/>
    </row>
    <row r="1969" spans="1:27" s="210" customFormat="1" ht="15.75" customHeight="1">
      <c r="A1969" s="203" t="str">
        <f>IF(B1969&lt;&gt;"",IF(AND(B1969&gt;=_TM1,B1969&lt;=_TM2,OR(TH!L1969="1111",TH!M1969="1111")),TH!D1969,""),"")</f>
        <v/>
      </c>
      <c r="B1969" s="36">
        <f>IF(C1969&lt;&gt;"",MONTH(C1969),"")</f>
        <v>10</v>
      </c>
      <c r="C1969" s="183">
        <f>E1969</f>
        <v>42298</v>
      </c>
      <c r="D1969" s="183" t="s">
        <v>1544</v>
      </c>
      <c r="E1969" s="37">
        <v>42298</v>
      </c>
      <c r="F1969" s="40" t="s">
        <v>402</v>
      </c>
      <c r="G1969" s="40" t="s">
        <v>1121</v>
      </c>
      <c r="H1969" s="7" t="s">
        <v>1013</v>
      </c>
      <c r="I1969" s="255"/>
      <c r="J1969" s="255"/>
      <c r="K1969" s="593">
        <v>1330000</v>
      </c>
      <c r="L1969" s="594" t="s">
        <v>259</v>
      </c>
      <c r="M1969" s="594" t="s">
        <v>371</v>
      </c>
      <c r="N1969" s="52" t="str">
        <f>IF(AND('331-CT'!$E$7=TH!H1969,OR(L1969="331",M1969="331")),"331",IF(AND(OR(L1969="131",M1969="131"),H1969='131-CT'!$E$7),"131",""))</f>
        <v/>
      </c>
      <c r="O1969" s="86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799"/>
    </row>
    <row r="1970" spans="1:27" s="210" customFormat="1" ht="15.75" customHeight="1">
      <c r="A1970" s="203" t="str">
        <f>IF(B1970&lt;&gt;"",IF(AND(B1970&gt;=_TM1,B1970&lt;=_TM2,OR(TH!L1970="1111",TH!M1970="1111")),TH!D1970,""),"")</f>
        <v/>
      </c>
      <c r="B1970" s="36">
        <f>IF(C1970&lt;&gt;"",MONTH(C1970),"")</f>
        <v>10</v>
      </c>
      <c r="C1970" s="183">
        <f>E1970</f>
        <v>42298</v>
      </c>
      <c r="D1970" s="183" t="s">
        <v>1319</v>
      </c>
      <c r="E1970" s="190">
        <v>42298</v>
      </c>
      <c r="F1970" s="188" t="s">
        <v>1320</v>
      </c>
      <c r="G1970" s="482" t="s">
        <v>332</v>
      </c>
      <c r="H1970" s="7" t="s">
        <v>837</v>
      </c>
      <c r="I1970" s="255"/>
      <c r="J1970" s="255"/>
      <c r="K1970" s="593">
        <v>33455400</v>
      </c>
      <c r="L1970" s="594" t="s">
        <v>24</v>
      </c>
      <c r="M1970" s="594" t="s">
        <v>259</v>
      </c>
      <c r="N1970" s="52" t="str">
        <f>IF(AND('331-CT'!$E$7=TH!H1970,OR(L1970="331",M1970="331")),"331",IF(AND(OR(L1970="131",M1970="131"),H1970='131-CT'!$E$7),"131",""))</f>
        <v/>
      </c>
      <c r="O1970" s="86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799"/>
    </row>
    <row r="1971" spans="1:27" s="210" customFormat="1" ht="15.75" customHeight="1">
      <c r="A1971" s="203" t="str">
        <f>IF(B1971&lt;&gt;"",IF(AND(B1971&gt;=_TM1,B1971&lt;=_TM2,OR(TH!L1971="1111",TH!M1971="1111")),TH!D1971,""),"")</f>
        <v/>
      </c>
      <c r="B1971" s="36">
        <f>IF(C1971&lt;&gt;"",MONTH(C1971),"")</f>
        <v>10</v>
      </c>
      <c r="C1971" s="183">
        <f>E1971</f>
        <v>42299</v>
      </c>
      <c r="D1971" s="183" t="s">
        <v>1545</v>
      </c>
      <c r="E1971" s="37">
        <v>42299</v>
      </c>
      <c r="F1971" s="40" t="s">
        <v>1122</v>
      </c>
      <c r="G1971" s="40" t="s">
        <v>1123</v>
      </c>
      <c r="H1971" s="7" t="s">
        <v>453</v>
      </c>
      <c r="I1971" s="255">
        <v>173</v>
      </c>
      <c r="J1971" s="255">
        <v>11250</v>
      </c>
      <c r="K1971" s="593">
        <f>ROUND(I1971*J1971,0)</f>
        <v>1946250</v>
      </c>
      <c r="L1971" s="594" t="s">
        <v>259</v>
      </c>
      <c r="M1971" s="594" t="s">
        <v>174</v>
      </c>
      <c r="N1971" s="52" t="str">
        <f>IF(AND('331-CT'!$E$7=TH!H1971,OR(L1971="331",M1971="331")),"331",IF(AND(OR(L1971="131",M1971="131"),H1971='131-CT'!$E$7),"131",""))</f>
        <v/>
      </c>
      <c r="O1971" s="86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799"/>
    </row>
    <row r="1972" spans="1:27" s="210" customFormat="1" ht="15.75" customHeight="1">
      <c r="A1972" s="203" t="str">
        <f>IF(B1972&lt;&gt;"",IF(AND(B1972&gt;=_TM1,B1972&lt;=_TM2,OR(TH!L1972="1111",TH!M1972="1111")),TH!D1972,""),"")</f>
        <v/>
      </c>
      <c r="B1972" s="36">
        <f>IF(C1972&lt;&gt;"",MONTH(C1972),"")</f>
        <v>10</v>
      </c>
      <c r="C1972" s="183">
        <f>E1972</f>
        <v>42299</v>
      </c>
      <c r="D1972" s="183" t="s">
        <v>1545</v>
      </c>
      <c r="E1972" s="37">
        <v>42299</v>
      </c>
      <c r="F1972" s="40" t="s">
        <v>540</v>
      </c>
      <c r="G1972" s="40" t="s">
        <v>1123</v>
      </c>
      <c r="H1972" s="7" t="s">
        <v>453</v>
      </c>
      <c r="I1972" s="255">
        <v>318</v>
      </c>
      <c r="J1972" s="255">
        <v>8600</v>
      </c>
      <c r="K1972" s="593">
        <f>ROUND(I1972*J1972,0)</f>
        <v>2734800</v>
      </c>
      <c r="L1972" s="594" t="s">
        <v>259</v>
      </c>
      <c r="M1972" s="594" t="s">
        <v>174</v>
      </c>
      <c r="N1972" s="52" t="str">
        <f>IF(AND('331-CT'!$E$7=TH!H1972,OR(L1972="331",M1972="331")),"331",IF(AND(OR(L1972="131",M1972="131"),H1972='131-CT'!$E$7),"131",""))</f>
        <v/>
      </c>
      <c r="O1972" s="86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799"/>
    </row>
    <row r="1973" spans="1:27" s="210" customFormat="1" ht="15.75" customHeight="1">
      <c r="A1973" s="203" t="str">
        <f>IF(B1973&lt;&gt;"",IF(AND(B1973&gt;=_TM1,B1973&lt;=_TM2,OR(TH!L1973="1111",TH!M1973="1111")),TH!D1973,""),"")</f>
        <v/>
      </c>
      <c r="B1973" s="36">
        <f>IF(C1973&lt;&gt;"",MONTH(C1973),"")</f>
        <v>10</v>
      </c>
      <c r="C1973" s="183">
        <f>E1973</f>
        <v>42299</v>
      </c>
      <c r="D1973" s="183" t="s">
        <v>1545</v>
      </c>
      <c r="E1973" s="37">
        <v>42299</v>
      </c>
      <c r="F1973" s="40" t="s">
        <v>451</v>
      </c>
      <c r="G1973" s="40" t="s">
        <v>1123</v>
      </c>
      <c r="H1973" s="7" t="s">
        <v>453</v>
      </c>
      <c r="I1973" s="255">
        <v>512</v>
      </c>
      <c r="J1973" s="255">
        <v>12900</v>
      </c>
      <c r="K1973" s="593">
        <f>ROUND(I1973*J1973,0)</f>
        <v>6604800</v>
      </c>
      <c r="L1973" s="594" t="s">
        <v>259</v>
      </c>
      <c r="M1973" s="594" t="s">
        <v>174</v>
      </c>
      <c r="N1973" s="52" t="str">
        <f>IF(AND('331-CT'!$E$7=TH!H1973,OR(L1973="331",M1973="331")),"331",IF(AND(OR(L1973="131",M1973="131"),H1973='131-CT'!$E$7),"131",""))</f>
        <v/>
      </c>
      <c r="O1973" s="86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799"/>
    </row>
    <row r="1974" spans="1:27" s="210" customFormat="1" ht="15.75" customHeight="1">
      <c r="A1974" s="203" t="str">
        <f>IF(B1974&lt;&gt;"",IF(AND(B1974&gt;=_TM1,B1974&lt;=_TM2,OR(TH!L1974="1111",TH!M1974="1111")),TH!D1974,""),"")</f>
        <v/>
      </c>
      <c r="B1974" s="36">
        <f>IF(C1974&lt;&gt;"",MONTH(C1974),"")</f>
        <v>10</v>
      </c>
      <c r="C1974" s="183">
        <f>E1974</f>
        <v>42299</v>
      </c>
      <c r="D1974" s="183" t="s">
        <v>1545</v>
      </c>
      <c r="E1974" s="37">
        <v>42299</v>
      </c>
      <c r="F1974" s="40" t="s">
        <v>931</v>
      </c>
      <c r="G1974" s="40" t="s">
        <v>1123</v>
      </c>
      <c r="H1974" s="7" t="s">
        <v>453</v>
      </c>
      <c r="I1974" s="255">
        <v>207</v>
      </c>
      <c r="J1974" s="255">
        <v>9800</v>
      </c>
      <c r="K1974" s="593">
        <f>ROUND(I1974*J1974,0)</f>
        <v>2028600</v>
      </c>
      <c r="L1974" s="594" t="s">
        <v>259</v>
      </c>
      <c r="M1974" s="594" t="s">
        <v>174</v>
      </c>
      <c r="N1974" s="52" t="str">
        <f>IF(AND('331-CT'!$E$7=TH!H1974,OR(L1974="331",M1974="331")),"331",IF(AND(OR(L1974="131",M1974="131"),H1974='131-CT'!$E$7),"131",""))</f>
        <v/>
      </c>
      <c r="O1974" s="86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799"/>
    </row>
    <row r="1975" spans="1:27" s="210" customFormat="1" ht="15.75" customHeight="1">
      <c r="A1975" s="203" t="str">
        <f>IF(B1975&lt;&gt;"",IF(AND(B1975&gt;=_TM1,B1975&lt;=_TM2,OR(TH!L1975="1111",TH!M1975="1111")),TH!D1975,""),"")</f>
        <v/>
      </c>
      <c r="B1975" s="36">
        <f>IF(C1975&lt;&gt;"",MONTH(C1975),"")</f>
        <v>10</v>
      </c>
      <c r="C1975" s="183">
        <f>E1975</f>
        <v>42299</v>
      </c>
      <c r="D1975" s="183" t="s">
        <v>1545</v>
      </c>
      <c r="E1975" s="37">
        <v>42299</v>
      </c>
      <c r="F1975" s="40" t="s">
        <v>402</v>
      </c>
      <c r="G1975" s="40" t="s">
        <v>1123</v>
      </c>
      <c r="H1975" s="7" t="s">
        <v>453</v>
      </c>
      <c r="I1975" s="255"/>
      <c r="J1975" s="255"/>
      <c r="K1975" s="593">
        <v>1331445</v>
      </c>
      <c r="L1975" s="594" t="s">
        <v>259</v>
      </c>
      <c r="M1975" s="594" t="s">
        <v>371</v>
      </c>
      <c r="N1975" s="52" t="str">
        <f>IF(AND('331-CT'!$E$7=TH!H1975,OR(L1975="331",M1975="331")),"331",IF(AND(OR(L1975="131",M1975="131"),H1975='131-CT'!$E$7),"131",""))</f>
        <v/>
      </c>
      <c r="O1975" s="86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99"/>
    </row>
    <row r="1976" spans="1:27" s="210" customFormat="1" ht="15.75" customHeight="1">
      <c r="A1976" s="203" t="str">
        <f>IF(B1976&lt;&gt;"",IF(AND(B1976&gt;=_TM1,B1976&lt;=_TM2,OR(TH!L1976="1111",TH!M1976="1111")),TH!D1976,""),"")</f>
        <v/>
      </c>
      <c r="B1976" s="36">
        <f>IF(C1976&lt;&gt;"",MONTH(C1976),"")</f>
        <v>10</v>
      </c>
      <c r="C1976" s="183">
        <f>E1976</f>
        <v>42299</v>
      </c>
      <c r="D1976" s="183" t="s">
        <v>1546</v>
      </c>
      <c r="E1976" s="190">
        <v>42299</v>
      </c>
      <c r="F1976" s="191" t="s">
        <v>1124</v>
      </c>
      <c r="G1976" s="482" t="s">
        <v>1125</v>
      </c>
      <c r="H1976" s="192" t="s">
        <v>1126</v>
      </c>
      <c r="I1976" s="255">
        <v>300</v>
      </c>
      <c r="J1976" s="255">
        <v>7600</v>
      </c>
      <c r="K1976" s="593">
        <f>ROUND(I1976*J1976,0)</f>
        <v>2280000</v>
      </c>
      <c r="L1976" s="594" t="s">
        <v>259</v>
      </c>
      <c r="M1976" s="594" t="s">
        <v>174</v>
      </c>
      <c r="N1976" s="52" t="str">
        <f>IF(AND('331-CT'!$E$7=TH!H1976,OR(L1976="331",M1976="331")),"331",IF(AND(OR(L1976="131",M1976="131"),H1976='131-CT'!$E$7),"131",""))</f>
        <v/>
      </c>
      <c r="O1976" s="86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99"/>
    </row>
    <row r="1977" spans="1:27" s="210" customFormat="1" ht="15.75" customHeight="1">
      <c r="A1977" s="203" t="str">
        <f>IF(B1977&lt;&gt;"",IF(AND(B1977&gt;=_TM1,B1977&lt;=_TM2,OR(TH!L1977="1111",TH!M1977="1111")),TH!D1977,""),"")</f>
        <v/>
      </c>
      <c r="B1977" s="36">
        <f>IF(C1977&lt;&gt;"",MONTH(C1977),"")</f>
        <v>10</v>
      </c>
      <c r="C1977" s="183">
        <f>E1977</f>
        <v>42299</v>
      </c>
      <c r="D1977" s="183" t="s">
        <v>1546</v>
      </c>
      <c r="E1977" s="190">
        <v>42299</v>
      </c>
      <c r="F1977" s="191" t="s">
        <v>402</v>
      </c>
      <c r="G1977" s="482" t="s">
        <v>1125</v>
      </c>
      <c r="H1977" s="192" t="s">
        <v>1126</v>
      </c>
      <c r="I1977" s="256"/>
      <c r="J1977" s="256"/>
      <c r="K1977" s="593">
        <v>228000</v>
      </c>
      <c r="L1977" s="594" t="s">
        <v>259</v>
      </c>
      <c r="M1977" s="594" t="s">
        <v>371</v>
      </c>
      <c r="N1977" s="52" t="str">
        <f>IF(AND('331-CT'!$E$7=TH!H1977,OR(L1977="331",M1977="331")),"331",IF(AND(OR(L1977="131",M1977="131"),H1977='131-CT'!$E$7),"131",""))</f>
        <v/>
      </c>
      <c r="O1977" s="86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99"/>
    </row>
    <row r="1978" spans="1:27" s="210" customFormat="1" ht="15.75" customHeight="1">
      <c r="A1978" s="203" t="str">
        <f>IF(B1978&lt;&gt;"",IF(AND(B1978&gt;=_TM1,B1978&lt;=_TM2,OR(TH!L1978="1111",TH!M1978="1111")),TH!D1978,""),"")</f>
        <v/>
      </c>
      <c r="B1978" s="36">
        <f>IF(C1978&lt;&gt;"",MONTH(C1978),"")</f>
        <v>10</v>
      </c>
      <c r="C1978" s="183">
        <f>E1978</f>
        <v>42299</v>
      </c>
      <c r="D1978" s="183" t="s">
        <v>1547</v>
      </c>
      <c r="E1978" s="37">
        <v>42299</v>
      </c>
      <c r="F1978" s="40" t="s">
        <v>1953</v>
      </c>
      <c r="G1978" s="40" t="s">
        <v>1127</v>
      </c>
      <c r="H1978" s="7" t="s">
        <v>1128</v>
      </c>
      <c r="I1978" s="255">
        <v>800</v>
      </c>
      <c r="J1978" s="255">
        <v>10200</v>
      </c>
      <c r="K1978" s="593">
        <f>ROUND(I1978*J1978,0)</f>
        <v>8160000</v>
      </c>
      <c r="L1978" s="594" t="s">
        <v>259</v>
      </c>
      <c r="M1978" s="594" t="s">
        <v>174</v>
      </c>
      <c r="N1978" s="52" t="str">
        <f>IF(AND('331-CT'!$E$7=TH!H1978,OR(L1978="331",M1978="331")),"331",IF(AND(OR(L1978="131",M1978="131"),H1978='131-CT'!$E$7),"131",""))</f>
        <v/>
      </c>
      <c r="O1978" s="86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99"/>
    </row>
    <row r="1979" spans="1:27" s="210" customFormat="1" ht="15.75" customHeight="1">
      <c r="A1979" s="203" t="str">
        <f>IF(B1979&lt;&gt;"",IF(AND(B1979&gt;=_TM1,B1979&lt;=_TM2,OR(TH!L1979="1111",TH!M1979="1111")),TH!D1979,""),"")</f>
        <v/>
      </c>
      <c r="B1979" s="36">
        <f>IF(C1979&lt;&gt;"",MONTH(C1979),"")</f>
        <v>10</v>
      </c>
      <c r="C1979" s="183">
        <f>E1979</f>
        <v>42299</v>
      </c>
      <c r="D1979" s="183" t="s">
        <v>1547</v>
      </c>
      <c r="E1979" s="37">
        <v>42299</v>
      </c>
      <c r="F1979" s="40" t="s">
        <v>402</v>
      </c>
      <c r="G1979" s="40" t="s">
        <v>1127</v>
      </c>
      <c r="H1979" s="7" t="s">
        <v>1128</v>
      </c>
      <c r="I1979" s="255"/>
      <c r="J1979" s="255"/>
      <c r="K1979" s="593">
        <v>816000</v>
      </c>
      <c r="L1979" s="594" t="s">
        <v>259</v>
      </c>
      <c r="M1979" s="594" t="s">
        <v>371</v>
      </c>
      <c r="N1979" s="52" t="str">
        <f>IF(AND('331-CT'!$E$7=TH!H1979,OR(L1979="331",M1979="331")),"331",IF(AND(OR(L1979="131",M1979="131"),H1979='131-CT'!$E$7),"131",""))</f>
        <v/>
      </c>
      <c r="O1979" s="86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99"/>
    </row>
    <row r="1980" spans="1:27" s="210" customFormat="1" ht="15.75" customHeight="1">
      <c r="A1980" s="203" t="str">
        <f>IF(B1980&lt;&gt;"",IF(AND(B1980&gt;=_TM1,B1980&lt;=_TM2,OR(TH!L1980="1111",TH!M1980="1111")),TH!D1980,""),"")</f>
        <v/>
      </c>
      <c r="B1980" s="36">
        <f>IF(C1980&lt;&gt;"",MONTH(C1980),"")</f>
        <v>10</v>
      </c>
      <c r="C1980" s="183">
        <f>E1980</f>
        <v>42299</v>
      </c>
      <c r="D1980" s="183" t="s">
        <v>1319</v>
      </c>
      <c r="E1980" s="190">
        <v>42299</v>
      </c>
      <c r="F1980" s="188" t="s">
        <v>1339</v>
      </c>
      <c r="G1980" s="482" t="s">
        <v>1926</v>
      </c>
      <c r="H1980" s="7"/>
      <c r="I1980" s="255"/>
      <c r="J1980" s="255"/>
      <c r="K1980" s="593">
        <v>30982388</v>
      </c>
      <c r="L1980" s="594" t="s">
        <v>24</v>
      </c>
      <c r="M1980" s="594" t="s">
        <v>24</v>
      </c>
      <c r="N1980" s="52" t="str">
        <f>IF(AND('331-CT'!$E$7=TH!H1980,OR(L1980="331",M1980="331")),"331",IF(AND(OR(L1980="131",M1980="131"),H1980='131-CT'!$E$7),"131",""))</f>
        <v/>
      </c>
      <c r="O1980" s="86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799"/>
    </row>
    <row r="1981" spans="1:27" s="210" customFormat="1" ht="15.75" customHeight="1">
      <c r="A1981" s="203" t="str">
        <f>IF(B1981&lt;&gt;"",IF(AND(B1981&gt;=_TM1,B1981&lt;=_TM2,OR(TH!L1981="1111",TH!M1981="1111")),TH!D1981,""),"")</f>
        <v/>
      </c>
      <c r="B1981" s="36">
        <f>IF(C1981&lt;&gt;"",MONTH(C1981),"")</f>
        <v>10</v>
      </c>
      <c r="C1981" s="183">
        <f>E1981</f>
        <v>42299</v>
      </c>
      <c r="D1981" s="183" t="s">
        <v>1319</v>
      </c>
      <c r="E1981" s="190">
        <v>42299</v>
      </c>
      <c r="F1981" s="188" t="s">
        <v>1327</v>
      </c>
      <c r="G1981" s="482" t="s">
        <v>332</v>
      </c>
      <c r="H1981" s="7"/>
      <c r="I1981" s="255"/>
      <c r="J1981" s="255"/>
      <c r="K1981" s="593">
        <v>15000</v>
      </c>
      <c r="L1981" s="594" t="s">
        <v>83</v>
      </c>
      <c r="M1981" s="594" t="s">
        <v>24</v>
      </c>
      <c r="N1981" s="52" t="str">
        <f>IF(AND('331-CT'!$E$7=TH!H1981,OR(L1981="331",M1981="331")),"331",IF(AND(OR(L1981="131",M1981="131"),H1981='131-CT'!$E$7),"131",""))</f>
        <v/>
      </c>
      <c r="O1981" s="86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>x</v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99"/>
    </row>
    <row r="1982" spans="1:27" s="210" customFormat="1" ht="15.75" customHeight="1">
      <c r="A1982" s="203" t="str">
        <f>IF(B1982&lt;&gt;"",IF(AND(B1982&gt;=_TM1,B1982&lt;=_TM2,OR(TH!L1982="1111",TH!M1982="1111")),TH!D1982,""),"")</f>
        <v/>
      </c>
      <c r="B1982" s="36">
        <f>IF(C1982&lt;&gt;"",MONTH(C1982),"")</f>
        <v>10</v>
      </c>
      <c r="C1982" s="183">
        <f>E1982</f>
        <v>42299</v>
      </c>
      <c r="D1982" s="190" t="s">
        <v>1324</v>
      </c>
      <c r="E1982" s="190">
        <v>42299</v>
      </c>
      <c r="F1982" s="191" t="s">
        <v>1925</v>
      </c>
      <c r="G1982" s="482" t="s">
        <v>1907</v>
      </c>
      <c r="H1982" s="192" t="s">
        <v>1920</v>
      </c>
      <c r="I1982" s="255"/>
      <c r="J1982" s="255"/>
      <c r="K1982" s="593">
        <v>16500000</v>
      </c>
      <c r="L1982" s="193" t="s">
        <v>1899</v>
      </c>
      <c r="M1982" s="594" t="s">
        <v>24</v>
      </c>
      <c r="N1982" s="52" t="str">
        <f>IF(AND('331-CT'!$E$7=TH!H1982,OR(L1982="331",M1982="331")),"331",IF(AND(OR(L1982="131",M1982="131"),H1982='131-CT'!$E$7),"131",""))</f>
        <v/>
      </c>
      <c r="O1982" s="86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99"/>
    </row>
    <row r="1983" spans="1:27" s="210" customFormat="1" ht="15.75" customHeight="1">
      <c r="A1983" s="203" t="str">
        <f>IF(B1983&lt;&gt;"",IF(AND(B1983&gt;=_TM1,B1983&lt;=_TM2,OR(TH!L1983="1111",TH!M1983="1111")),TH!D1983,""),"")</f>
        <v/>
      </c>
      <c r="B1983" s="36">
        <f>IF(C1983&lt;&gt;"",MONTH(C1983),"")</f>
        <v>10</v>
      </c>
      <c r="C1983" s="183">
        <f>E1983</f>
        <v>42299</v>
      </c>
      <c r="D1983" s="190" t="s">
        <v>1324</v>
      </c>
      <c r="E1983" s="190">
        <v>42299</v>
      </c>
      <c r="F1983" s="191" t="s">
        <v>1924</v>
      </c>
      <c r="G1983" s="482" t="s">
        <v>1907</v>
      </c>
      <c r="H1983" s="192" t="s">
        <v>1920</v>
      </c>
      <c r="I1983" s="255"/>
      <c r="J1983" s="255"/>
      <c r="K1983" s="593">
        <v>2481497</v>
      </c>
      <c r="L1983" s="594" t="s">
        <v>81</v>
      </c>
      <c r="M1983" s="594" t="s">
        <v>24</v>
      </c>
      <c r="N1983" s="52" t="str">
        <f>IF(AND('331-CT'!$E$7=TH!H1983,OR(L1983="331",M1983="331")),"331",IF(AND(OR(L1983="131",M1983="131"),H1983='131-CT'!$E$7),"131",""))</f>
        <v/>
      </c>
      <c r="O1983" s="86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99"/>
    </row>
    <row r="1984" spans="1:27" s="210" customFormat="1" ht="15.75" customHeight="1">
      <c r="A1984" s="203" t="str">
        <f>IF(B1984&lt;&gt;"",IF(AND(B1984&gt;=_TM1,B1984&lt;=_TM2,OR(TH!L1984="1111",TH!M1984="1111")),TH!D1984,""),"")</f>
        <v/>
      </c>
      <c r="B1984" s="36">
        <f>IF(C1984&lt;&gt;"",MONTH(C1984),"")</f>
        <v>10</v>
      </c>
      <c r="C1984" s="183">
        <f>E1984</f>
        <v>42299</v>
      </c>
      <c r="D1984" s="190" t="s">
        <v>1324</v>
      </c>
      <c r="E1984" s="190">
        <v>42299</v>
      </c>
      <c r="F1984" s="191" t="s">
        <v>1924</v>
      </c>
      <c r="G1984" s="482" t="s">
        <v>1907</v>
      </c>
      <c r="H1984" s="192" t="s">
        <v>1909</v>
      </c>
      <c r="I1984" s="255"/>
      <c r="J1984" s="255"/>
      <c r="K1984" s="593">
        <v>12091161</v>
      </c>
      <c r="L1984" s="594" t="s">
        <v>81</v>
      </c>
      <c r="M1984" s="594" t="s">
        <v>24</v>
      </c>
      <c r="N1984" s="52" t="str">
        <f>IF(AND('331-CT'!$E$7=TH!H1984,OR(L1984="331",M1984="331")),"331",IF(AND(OR(L1984="131",M1984="131"),H1984='131-CT'!$E$7),"131",""))</f>
        <v/>
      </c>
      <c r="O1984" s="86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799"/>
    </row>
    <row r="1985" spans="1:27" s="210" customFormat="1" ht="15.75" customHeight="1">
      <c r="A1985" s="203" t="str">
        <f>IF(B1985&lt;&gt;"",IF(AND(B1985&gt;=_TM1,B1985&lt;=_TM2,OR(TH!L1985="1111",TH!M1985="1111")),TH!D1985,""),"")</f>
        <v/>
      </c>
      <c r="B1985" s="36">
        <f>IF(C1985&lt;&gt;"",MONTH(C1985),"")</f>
        <v>10</v>
      </c>
      <c r="C1985" s="183">
        <f>E1985</f>
        <v>42300</v>
      </c>
      <c r="D1985" s="183" t="s">
        <v>1548</v>
      </c>
      <c r="E1985" s="190">
        <v>42300</v>
      </c>
      <c r="F1985" s="188" t="s">
        <v>436</v>
      </c>
      <c r="G1985" s="595" t="s">
        <v>1129</v>
      </c>
      <c r="H1985" s="7" t="s">
        <v>438</v>
      </c>
      <c r="I1985" s="255">
        <v>221</v>
      </c>
      <c r="J1985" s="255">
        <v>7200</v>
      </c>
      <c r="K1985" s="593">
        <f>ROUND(I1985*J1985,0)</f>
        <v>1591200</v>
      </c>
      <c r="L1985" s="594" t="s">
        <v>259</v>
      </c>
      <c r="M1985" s="594" t="s">
        <v>174</v>
      </c>
      <c r="N1985" s="52" t="str">
        <f>IF(AND('331-CT'!$E$7=TH!H1985,OR(L1985="331",M1985="331")),"331",IF(AND(OR(L1985="131",M1985="131"),H1985='131-CT'!$E$7),"131",""))</f>
        <v/>
      </c>
      <c r="O1985" s="86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99"/>
    </row>
    <row r="1986" spans="1:27" s="210" customFormat="1" ht="15.75" customHeight="1">
      <c r="A1986" s="203" t="str">
        <f>IF(B1986&lt;&gt;"",IF(AND(B1986&gt;=_TM1,B1986&lt;=_TM2,OR(TH!L1986="1111",TH!M1986="1111")),TH!D1986,""),"")</f>
        <v/>
      </c>
      <c r="B1986" s="36">
        <f>IF(C1986&lt;&gt;"",MONTH(C1986),"")</f>
        <v>10</v>
      </c>
      <c r="C1986" s="183">
        <f>E1986</f>
        <v>42300</v>
      </c>
      <c r="D1986" s="183" t="s">
        <v>1548</v>
      </c>
      <c r="E1986" s="190">
        <v>42300</v>
      </c>
      <c r="F1986" s="188" t="s">
        <v>441</v>
      </c>
      <c r="G1986" s="482" t="s">
        <v>1129</v>
      </c>
      <c r="H1986" s="192" t="s">
        <v>438</v>
      </c>
      <c r="I1986" s="255">
        <v>518</v>
      </c>
      <c r="J1986" s="255">
        <v>4400</v>
      </c>
      <c r="K1986" s="593">
        <f>ROUND(I1986*J1986,0)</f>
        <v>2279200</v>
      </c>
      <c r="L1986" s="594" t="s">
        <v>259</v>
      </c>
      <c r="M1986" s="594" t="s">
        <v>174</v>
      </c>
      <c r="N1986" s="52" t="str">
        <f>IF(AND('331-CT'!$E$7=TH!H1986,OR(L1986="331",M1986="331")),"331",IF(AND(OR(L1986="131",M1986="131"),H1986='131-CT'!$E$7),"131",""))</f>
        <v/>
      </c>
      <c r="O1986" s="86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99"/>
    </row>
    <row r="1987" spans="1:27" s="210" customFormat="1" ht="15.75" customHeight="1">
      <c r="A1987" s="203" t="str">
        <f>IF(B1987&lt;&gt;"",IF(AND(B1987&gt;=_TM1,B1987&lt;=_TM2,OR(TH!L1987="1111",TH!M1987="1111")),TH!D1987,""),"")</f>
        <v/>
      </c>
      <c r="B1987" s="36">
        <f>IF(C1987&lt;&gt;"",MONTH(C1987),"")</f>
        <v>10</v>
      </c>
      <c r="C1987" s="183">
        <f>E1987</f>
        <v>42300</v>
      </c>
      <c r="D1987" s="183" t="s">
        <v>1548</v>
      </c>
      <c r="E1987" s="190">
        <v>42300</v>
      </c>
      <c r="F1987" s="40" t="s">
        <v>522</v>
      </c>
      <c r="G1987" s="482" t="s">
        <v>1129</v>
      </c>
      <c r="H1987" s="192" t="s">
        <v>438</v>
      </c>
      <c r="I1987" s="255">
        <v>227</v>
      </c>
      <c r="J1987" s="255">
        <v>4700</v>
      </c>
      <c r="K1987" s="593">
        <f>ROUND(I1987*J1987,0)</f>
        <v>1066900</v>
      </c>
      <c r="L1987" s="594" t="s">
        <v>259</v>
      </c>
      <c r="M1987" s="594" t="s">
        <v>174</v>
      </c>
      <c r="N1987" s="52" t="str">
        <f>IF(AND('331-CT'!$E$7=TH!H1987,OR(L1987="331",M1987="331")),"331",IF(AND(OR(L1987="131",M1987="131"),H1987='131-CT'!$E$7),"131",""))</f>
        <v/>
      </c>
      <c r="O1987" s="86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99"/>
    </row>
    <row r="1988" spans="1:27" s="210" customFormat="1" ht="15.75" customHeight="1">
      <c r="A1988" s="203" t="str">
        <f>IF(B1988&lt;&gt;"",IF(AND(B1988&gt;=_TM1,B1988&lt;=_TM2,OR(TH!L1988="1111",TH!M1988="1111")),TH!D1988,""),"")</f>
        <v/>
      </c>
      <c r="B1988" s="36">
        <f>IF(C1988&lt;&gt;"",MONTH(C1988),"")</f>
        <v>10</v>
      </c>
      <c r="C1988" s="183">
        <f>E1988</f>
        <v>42300</v>
      </c>
      <c r="D1988" s="183" t="s">
        <v>1548</v>
      </c>
      <c r="E1988" s="190">
        <v>42300</v>
      </c>
      <c r="F1988" s="188" t="s">
        <v>439</v>
      </c>
      <c r="G1988" s="595" t="s">
        <v>1129</v>
      </c>
      <c r="H1988" s="7" t="s">
        <v>438</v>
      </c>
      <c r="I1988" s="255">
        <v>204</v>
      </c>
      <c r="J1988" s="255">
        <v>5300</v>
      </c>
      <c r="K1988" s="593">
        <f>ROUND(I1988*J1988,0)</f>
        <v>1081200</v>
      </c>
      <c r="L1988" s="594" t="s">
        <v>259</v>
      </c>
      <c r="M1988" s="594" t="s">
        <v>174</v>
      </c>
      <c r="N1988" s="52" t="str">
        <f>IF(AND('331-CT'!$E$7=TH!H1988,OR(L1988="331",M1988="331")),"331",IF(AND(OR(L1988="131",M1988="131"),H1988='131-CT'!$E$7),"131",""))</f>
        <v/>
      </c>
      <c r="O1988" s="86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99"/>
    </row>
    <row r="1989" spans="1:27" s="210" customFormat="1" ht="15.75" customHeight="1">
      <c r="A1989" s="203" t="str">
        <f>IF(B1989&lt;&gt;"",IF(AND(B1989&gt;=_TM1,B1989&lt;=_TM2,OR(TH!L1989="1111",TH!M1989="1111")),TH!D1989,""),"")</f>
        <v/>
      </c>
      <c r="B1989" s="36">
        <f>IF(C1989&lt;&gt;"",MONTH(C1989),"")</f>
        <v>10</v>
      </c>
      <c r="C1989" s="183">
        <f>E1989</f>
        <v>42300</v>
      </c>
      <c r="D1989" s="183" t="s">
        <v>1548</v>
      </c>
      <c r="E1989" s="190">
        <v>42300</v>
      </c>
      <c r="F1989" s="188" t="s">
        <v>402</v>
      </c>
      <c r="G1989" s="595" t="s">
        <v>1129</v>
      </c>
      <c r="H1989" s="7" t="s">
        <v>438</v>
      </c>
      <c r="I1989" s="255"/>
      <c r="J1989" s="255"/>
      <c r="K1989" s="593">
        <v>601850</v>
      </c>
      <c r="L1989" s="594" t="s">
        <v>259</v>
      </c>
      <c r="M1989" s="594" t="s">
        <v>371</v>
      </c>
      <c r="N1989" s="52" t="str">
        <f>IF(AND('331-CT'!$E$7=TH!H1989,OR(L1989="331",M1989="331")),"331",IF(AND(OR(L1989="131",M1989="131"),H1989='131-CT'!$E$7),"131",""))</f>
        <v/>
      </c>
      <c r="O1989" s="86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99"/>
    </row>
    <row r="1990" spans="1:27" s="210" customFormat="1" ht="15.75" customHeight="1">
      <c r="A1990" s="203" t="str">
        <f>IF(B1990&lt;&gt;"",IF(AND(B1990&gt;=_TM1,B1990&lt;=_TM2,OR(TH!L1990="1111",TH!M1990="1111")),TH!D1990,""),"")</f>
        <v/>
      </c>
      <c r="B1990" s="36">
        <f>IF(C1990&lt;&gt;"",MONTH(C1990),"")</f>
        <v>10</v>
      </c>
      <c r="C1990" s="183">
        <f>E1990</f>
        <v>42300</v>
      </c>
      <c r="D1990" s="183" t="s">
        <v>1549</v>
      </c>
      <c r="E1990" s="727">
        <v>42300</v>
      </c>
      <c r="F1990" s="40" t="s">
        <v>1130</v>
      </c>
      <c r="G1990" s="40" t="s">
        <v>1131</v>
      </c>
      <c r="H1990" s="7" t="s">
        <v>733</v>
      </c>
      <c r="I1990" s="255">
        <v>50</v>
      </c>
      <c r="J1990" s="255">
        <v>31317</v>
      </c>
      <c r="K1990" s="593">
        <f>ROUND(I1990*J1990,0)</f>
        <v>1565850</v>
      </c>
      <c r="L1990" s="594" t="s">
        <v>259</v>
      </c>
      <c r="M1990" s="594" t="s">
        <v>174</v>
      </c>
      <c r="N1990" s="52" t="str">
        <f>IF(AND('331-CT'!$E$7=TH!H1990,OR(L1990="331",M1990="331")),"331",IF(AND(OR(L1990="131",M1990="131"),H1990='131-CT'!$E$7),"131",""))</f>
        <v/>
      </c>
      <c r="O1990" s="86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99"/>
    </row>
    <row r="1991" spans="1:27" s="210" customFormat="1" ht="15.75" customHeight="1">
      <c r="A1991" s="203" t="str">
        <f>IF(B1991&lt;&gt;"",IF(AND(B1991&gt;=_TM1,B1991&lt;=_TM2,OR(TH!L1991="1111",TH!M1991="1111")),TH!D1991,""),"")</f>
        <v/>
      </c>
      <c r="B1991" s="36">
        <f>IF(C1991&lt;&gt;"",MONTH(C1991),"")</f>
        <v>10</v>
      </c>
      <c r="C1991" s="183">
        <f>E1991</f>
        <v>42300</v>
      </c>
      <c r="D1991" s="183" t="s">
        <v>1549</v>
      </c>
      <c r="E1991" s="740">
        <v>42300</v>
      </c>
      <c r="F1991" s="191" t="s">
        <v>1132</v>
      </c>
      <c r="G1991" s="482" t="s">
        <v>1131</v>
      </c>
      <c r="H1991" s="7" t="s">
        <v>733</v>
      </c>
      <c r="I1991" s="255">
        <v>38</v>
      </c>
      <c r="J1991" s="255">
        <v>34538</v>
      </c>
      <c r="K1991" s="593">
        <f>ROUND(I1991*J1991,0)</f>
        <v>1312444</v>
      </c>
      <c r="L1991" s="594" t="s">
        <v>259</v>
      </c>
      <c r="M1991" s="594" t="s">
        <v>174</v>
      </c>
      <c r="N1991" s="52" t="str">
        <f>IF(AND('331-CT'!$E$7=TH!H1991,OR(L1991="331",M1991="331")),"331",IF(AND(OR(L1991="131",M1991="131"),H1991='131-CT'!$E$7),"131",""))</f>
        <v/>
      </c>
      <c r="O1991" s="86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99"/>
    </row>
    <row r="1992" spans="1:27" s="210" customFormat="1" ht="15.75" customHeight="1">
      <c r="A1992" s="203" t="str">
        <f>IF(B1992&lt;&gt;"",IF(AND(B1992&gt;=_TM1,B1992&lt;=_TM2,OR(TH!L1992="1111",TH!M1992="1111")),TH!D1992,""),"")</f>
        <v/>
      </c>
      <c r="B1992" s="36">
        <f>IF(C1992&lt;&gt;"",MONTH(C1992),"")</f>
        <v>10</v>
      </c>
      <c r="C1992" s="183">
        <f>E1992</f>
        <v>42300</v>
      </c>
      <c r="D1992" s="183" t="s">
        <v>1549</v>
      </c>
      <c r="E1992" s="740">
        <v>42300</v>
      </c>
      <c r="F1992" s="191" t="s">
        <v>454</v>
      </c>
      <c r="G1992" s="482" t="s">
        <v>1131</v>
      </c>
      <c r="H1992" s="7" t="s">
        <v>733</v>
      </c>
      <c r="I1992" s="255">
        <v>257</v>
      </c>
      <c r="J1992" s="255">
        <v>47449</v>
      </c>
      <c r="K1992" s="593">
        <f>ROUND(I1992*J1992,0)</f>
        <v>12194393</v>
      </c>
      <c r="L1992" s="594" t="s">
        <v>259</v>
      </c>
      <c r="M1992" s="594" t="s">
        <v>174</v>
      </c>
      <c r="N1992" s="52" t="str">
        <f>IF(AND('331-CT'!$E$7=TH!H1992,OR(L1992="331",M1992="331")),"331",IF(AND(OR(L1992="131",M1992="131"),H1992='131-CT'!$E$7),"131",""))</f>
        <v/>
      </c>
      <c r="O1992" s="86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99"/>
    </row>
    <row r="1993" spans="1:27" s="210" customFormat="1" ht="15.75" customHeight="1">
      <c r="A1993" s="203" t="str">
        <f>IF(B1993&lt;&gt;"",IF(AND(B1993&gt;=_TM1,B1993&lt;=_TM2,OR(TH!L1993="1111",TH!M1993="1111")),TH!D1993,""),"")</f>
        <v/>
      </c>
      <c r="B1993" s="36">
        <f>IF(C1993&lt;&gt;"",MONTH(C1993),"")</f>
        <v>10</v>
      </c>
      <c r="C1993" s="183">
        <f>E1993</f>
        <v>42300</v>
      </c>
      <c r="D1993" s="183" t="s">
        <v>1549</v>
      </c>
      <c r="E1993" s="190">
        <v>42300</v>
      </c>
      <c r="F1993" s="296" t="s">
        <v>1007</v>
      </c>
      <c r="G1993" s="482" t="s">
        <v>1131</v>
      </c>
      <c r="H1993" s="7" t="s">
        <v>733</v>
      </c>
      <c r="I1993" s="255">
        <v>31</v>
      </c>
      <c r="J1993" s="255">
        <v>54530</v>
      </c>
      <c r="K1993" s="593">
        <f>ROUND(I1993*J1993,0)</f>
        <v>1690430</v>
      </c>
      <c r="L1993" s="594" t="s">
        <v>259</v>
      </c>
      <c r="M1993" s="594" t="s">
        <v>174</v>
      </c>
      <c r="N1993" s="52" t="str">
        <f>IF(AND('331-CT'!$E$7=TH!H1993,OR(L1993="331",M1993="331")),"331",IF(AND(OR(L1993="131",M1993="131"),H1993='131-CT'!$E$7),"131",""))</f>
        <v/>
      </c>
      <c r="O1993" s="86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99"/>
    </row>
    <row r="1994" spans="1:27" s="210" customFormat="1" ht="15.75" customHeight="1">
      <c r="A1994" s="203" t="str">
        <f>IF(B1994&lt;&gt;"",IF(AND(B1994&gt;=_TM1,B1994&lt;=_TM2,OR(TH!L1994="1111",TH!M1994="1111")),TH!D1994,""),"")</f>
        <v/>
      </c>
      <c r="B1994" s="36">
        <f>IF(C1994&lt;&gt;"",MONTH(C1994),"")</f>
        <v>10</v>
      </c>
      <c r="C1994" s="183">
        <f>E1994</f>
        <v>42300</v>
      </c>
      <c r="D1994" s="183" t="s">
        <v>1549</v>
      </c>
      <c r="E1994" s="190">
        <v>42300</v>
      </c>
      <c r="F1994" s="296" t="s">
        <v>402</v>
      </c>
      <c r="G1994" s="482" t="s">
        <v>1131</v>
      </c>
      <c r="H1994" s="7" t="s">
        <v>733</v>
      </c>
      <c r="I1994" s="255"/>
      <c r="J1994" s="255"/>
      <c r="K1994" s="38">
        <v>1676312</v>
      </c>
      <c r="L1994" s="594" t="s">
        <v>259</v>
      </c>
      <c r="M1994" s="594" t="s">
        <v>371</v>
      </c>
      <c r="N1994" s="52" t="str">
        <f>IF(AND('331-CT'!$E$7=TH!H1994,OR(L1994="331",M1994="331")),"331",IF(AND(OR(L1994="131",M1994="131"),H1994='131-CT'!$E$7),"131",""))</f>
        <v/>
      </c>
      <c r="O1994" s="86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99"/>
    </row>
    <row r="1995" spans="1:27" s="210" customFormat="1" ht="15.75" customHeight="1">
      <c r="A1995" s="203" t="str">
        <f>IF(B1995&lt;&gt;"",IF(AND(B1995&gt;=_TM1,B1995&lt;=_TM2,OR(TH!L1995="1111",TH!M1995="1111")),TH!D1995,""),"")</f>
        <v/>
      </c>
      <c r="B1995" s="36">
        <f>IF(C1995&lt;&gt;"",MONTH(C1995),"")</f>
        <v>10</v>
      </c>
      <c r="C1995" s="183">
        <f>E1995</f>
        <v>42300</v>
      </c>
      <c r="D1995" s="183" t="s">
        <v>1550</v>
      </c>
      <c r="E1995" s="183">
        <v>42300</v>
      </c>
      <c r="F1995" s="188" t="s">
        <v>661</v>
      </c>
      <c r="G1995" s="595" t="s">
        <v>1133</v>
      </c>
      <c r="H1995" s="192" t="s">
        <v>950</v>
      </c>
      <c r="I1995" s="255">
        <v>180</v>
      </c>
      <c r="J1995" s="255">
        <v>10800</v>
      </c>
      <c r="K1995" s="593">
        <f>ROUND(I1995*J1995,0)</f>
        <v>1944000</v>
      </c>
      <c r="L1995" s="594" t="s">
        <v>259</v>
      </c>
      <c r="M1995" s="594" t="s">
        <v>174</v>
      </c>
      <c r="N1995" s="52" t="str">
        <f>IF(AND('331-CT'!$E$7=TH!H1995,OR(L1995="331",M1995="331")),"331",IF(AND(OR(L1995="131",M1995="131"),H1995='131-CT'!$E$7),"131",""))</f>
        <v/>
      </c>
      <c r="O1995" s="86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99"/>
    </row>
    <row r="1996" spans="1:27" s="210" customFormat="1" ht="15.75" customHeight="1">
      <c r="A1996" s="203" t="str">
        <f>IF(B1996&lt;&gt;"",IF(AND(B1996&gt;=_TM1,B1996&lt;=_TM2,OR(TH!L1996="1111",TH!M1996="1111")),TH!D1996,""),"")</f>
        <v/>
      </c>
      <c r="B1996" s="36">
        <f>IF(C1996&lt;&gt;"",MONTH(C1996),"")</f>
        <v>10</v>
      </c>
      <c r="C1996" s="183">
        <f>E1996</f>
        <v>42300</v>
      </c>
      <c r="D1996" s="183" t="s">
        <v>1550</v>
      </c>
      <c r="E1996" s="727">
        <v>42300</v>
      </c>
      <c r="F1996" s="188" t="s">
        <v>432</v>
      </c>
      <c r="G1996" s="40" t="s">
        <v>1133</v>
      </c>
      <c r="H1996" s="7" t="s">
        <v>950</v>
      </c>
      <c r="I1996" s="255">
        <v>120</v>
      </c>
      <c r="J1996" s="255">
        <v>13000</v>
      </c>
      <c r="K1996" s="593">
        <f>ROUND(I1996*J1996,0)</f>
        <v>1560000</v>
      </c>
      <c r="L1996" s="594" t="s">
        <v>259</v>
      </c>
      <c r="M1996" s="594" t="s">
        <v>174</v>
      </c>
      <c r="N1996" s="52" t="str">
        <f>IF(AND('331-CT'!$E$7=TH!H1996,OR(L1996="331",M1996="331")),"331",IF(AND(OR(L1996="131",M1996="131"),H1996='131-CT'!$E$7),"131",""))</f>
        <v/>
      </c>
      <c r="O1996" s="86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99"/>
    </row>
    <row r="1997" spans="1:27" s="210" customFormat="1" ht="15.75" customHeight="1">
      <c r="A1997" s="203" t="str">
        <f>IF(B1997&lt;&gt;"",IF(AND(B1997&gt;=_TM1,B1997&lt;=_TM2,OR(TH!L1997="1111",TH!M1997="1111")),TH!D1997,""),"")</f>
        <v/>
      </c>
      <c r="B1997" s="36">
        <f>IF(C1997&lt;&gt;"",MONTH(C1997),"")</f>
        <v>10</v>
      </c>
      <c r="C1997" s="183">
        <f>E1997</f>
        <v>42300</v>
      </c>
      <c r="D1997" s="183" t="s">
        <v>1550</v>
      </c>
      <c r="E1997" s="727">
        <v>42300</v>
      </c>
      <c r="F1997" s="40" t="s">
        <v>1134</v>
      </c>
      <c r="G1997" s="40" t="s">
        <v>1133</v>
      </c>
      <c r="H1997" s="7" t="s">
        <v>950</v>
      </c>
      <c r="I1997" s="255">
        <v>220</v>
      </c>
      <c r="J1997" s="255">
        <v>10800</v>
      </c>
      <c r="K1997" s="593">
        <f>ROUND(I1997*J1997,0)</f>
        <v>2376000</v>
      </c>
      <c r="L1997" s="594" t="s">
        <v>259</v>
      </c>
      <c r="M1997" s="594" t="s">
        <v>174</v>
      </c>
      <c r="N1997" s="52" t="str">
        <f>IF(AND('331-CT'!$E$7=TH!H1997,OR(L1997="331",M1997="331")),"331",IF(AND(OR(L1997="131",M1997="131"),H1997='131-CT'!$E$7),"131",""))</f>
        <v/>
      </c>
      <c r="O1997" s="86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99"/>
    </row>
    <row r="1998" spans="1:27" s="210" customFormat="1" ht="15.75" customHeight="1">
      <c r="A1998" s="203" t="str">
        <f>IF(B1998&lt;&gt;"",IF(AND(B1998&gt;=_TM1,B1998&lt;=_TM2,OR(TH!L1998="1111",TH!M1998="1111")),TH!D1998,""),"")</f>
        <v/>
      </c>
      <c r="B1998" s="36">
        <f>IF(C1998&lt;&gt;"",MONTH(C1998),"")</f>
        <v>10</v>
      </c>
      <c r="C1998" s="183">
        <f>E1998</f>
        <v>42300</v>
      </c>
      <c r="D1998" s="183" t="s">
        <v>1550</v>
      </c>
      <c r="E1998" s="727">
        <v>42300</v>
      </c>
      <c r="F1998" s="188" t="s">
        <v>1135</v>
      </c>
      <c r="G1998" s="40" t="s">
        <v>1133</v>
      </c>
      <c r="H1998" s="7" t="s">
        <v>950</v>
      </c>
      <c r="I1998" s="750">
        <v>360</v>
      </c>
      <c r="J1998" s="255">
        <v>12300</v>
      </c>
      <c r="K1998" s="593">
        <f>ROUND(I1998*J1998,0)</f>
        <v>4428000</v>
      </c>
      <c r="L1998" s="594" t="s">
        <v>259</v>
      </c>
      <c r="M1998" s="594" t="s">
        <v>174</v>
      </c>
      <c r="N1998" s="52" t="str">
        <f>IF(AND('331-CT'!$E$7=TH!H1998,OR(L1998="331",M1998="331")),"331",IF(AND(OR(L1998="131",M1998="131"),H1998='131-CT'!$E$7),"131",""))</f>
        <v/>
      </c>
      <c r="O1998" s="86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99"/>
    </row>
    <row r="1999" spans="1:27" s="210" customFormat="1" ht="15.75" customHeight="1">
      <c r="A1999" s="203" t="str">
        <f>IF(B1999&lt;&gt;"",IF(AND(B1999&gt;=_TM1,B1999&lt;=_TM2,OR(TH!L1999="1111",TH!M1999="1111")),TH!D1999,""),"")</f>
        <v/>
      </c>
      <c r="B1999" s="36">
        <f>IF(C1999&lt;&gt;"",MONTH(C1999),"")</f>
        <v>10</v>
      </c>
      <c r="C1999" s="183">
        <f>E1999</f>
        <v>42300</v>
      </c>
      <c r="D1999" s="183" t="s">
        <v>1550</v>
      </c>
      <c r="E1999" s="727">
        <v>42300</v>
      </c>
      <c r="F1999" s="40" t="s">
        <v>602</v>
      </c>
      <c r="G1999" s="40" t="s">
        <v>1133</v>
      </c>
      <c r="H1999" s="7" t="s">
        <v>950</v>
      </c>
      <c r="I1999" s="255">
        <v>767</v>
      </c>
      <c r="J1999" s="255">
        <v>8950</v>
      </c>
      <c r="K1999" s="593">
        <f>ROUND(I1999*J1999,0)</f>
        <v>6864650</v>
      </c>
      <c r="L1999" s="594" t="s">
        <v>259</v>
      </c>
      <c r="M1999" s="594" t="s">
        <v>174</v>
      </c>
      <c r="N1999" s="52" t="str">
        <f>IF(AND('331-CT'!$E$7=TH!H1999,OR(L1999="331",M1999="331")),"331",IF(AND(OR(L1999="131",M1999="131"),H1999='131-CT'!$E$7),"131",""))</f>
        <v/>
      </c>
      <c r="O1999" s="86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99"/>
    </row>
    <row r="2000" spans="1:27" s="210" customFormat="1" ht="15.75" customHeight="1">
      <c r="A2000" s="203" t="str">
        <f>IF(B2000&lt;&gt;"",IF(AND(B2000&gt;=_TM1,B2000&lt;=_TM2,OR(TH!L2000="1111",TH!M2000="1111")),TH!D2000,""),"")</f>
        <v/>
      </c>
      <c r="B2000" s="36">
        <f>IF(C2000&lt;&gt;"",MONTH(C2000),"")</f>
        <v>10</v>
      </c>
      <c r="C2000" s="183">
        <f>E2000</f>
        <v>42300</v>
      </c>
      <c r="D2000" s="183" t="s">
        <v>1550</v>
      </c>
      <c r="E2000" s="727">
        <v>42300</v>
      </c>
      <c r="F2000" s="188" t="s">
        <v>402</v>
      </c>
      <c r="G2000" s="40" t="s">
        <v>1133</v>
      </c>
      <c r="H2000" s="7" t="s">
        <v>950</v>
      </c>
      <c r="I2000" s="255"/>
      <c r="J2000" s="255"/>
      <c r="K2000" s="593">
        <v>1717265</v>
      </c>
      <c r="L2000" s="594" t="s">
        <v>259</v>
      </c>
      <c r="M2000" s="594" t="s">
        <v>371</v>
      </c>
      <c r="N2000" s="52" t="str">
        <f>IF(AND('331-CT'!$E$7=TH!H2000,OR(L2000="331",M2000="331")),"331",IF(AND(OR(L2000="131",M2000="131"),H2000='131-CT'!$E$7),"131",""))</f>
        <v/>
      </c>
      <c r="O2000" s="86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99"/>
    </row>
    <row r="2001" spans="1:27" s="210" customFormat="1" ht="15.75" customHeight="1">
      <c r="A2001" s="203" t="str">
        <f>IF(B2001&lt;&gt;"",IF(AND(B2001&gt;=_TM1,B2001&lt;=_TM2,OR(TH!L2001="1111",TH!M2001="1111")),TH!D2001,""),"")</f>
        <v/>
      </c>
      <c r="B2001" s="36">
        <f>IF(C2001&lt;&gt;"",MONTH(C2001),"")</f>
        <v>10</v>
      </c>
      <c r="C2001" s="183">
        <f>E2001</f>
        <v>42300</v>
      </c>
      <c r="D2001" s="183" t="s">
        <v>1551</v>
      </c>
      <c r="E2001" s="727">
        <v>42300</v>
      </c>
      <c r="F2001" s="40" t="s">
        <v>2010</v>
      </c>
      <c r="G2001" s="40" t="s">
        <v>1136</v>
      </c>
      <c r="H2001" s="7" t="s">
        <v>957</v>
      </c>
      <c r="I2001" s="255">
        <v>100</v>
      </c>
      <c r="J2001" s="255">
        <v>11700</v>
      </c>
      <c r="K2001" s="593">
        <f>ROUND(I2001*J2001,0)</f>
        <v>1170000</v>
      </c>
      <c r="L2001" s="594" t="s">
        <v>259</v>
      </c>
      <c r="M2001" s="594" t="s">
        <v>174</v>
      </c>
      <c r="N2001" s="52" t="str">
        <f>IF(AND('331-CT'!$E$7=TH!H2001,OR(L2001="331",M2001="331")),"331",IF(AND(OR(L2001="131",M2001="131"),H2001='131-CT'!$E$7),"131",""))</f>
        <v/>
      </c>
      <c r="O2001" s="86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99"/>
    </row>
    <row r="2002" spans="1:27" s="210" customFormat="1" ht="15.75" customHeight="1">
      <c r="A2002" s="203" t="str">
        <f>IF(B2002&lt;&gt;"",IF(AND(B2002&gt;=_TM1,B2002&lt;=_TM2,OR(TH!L2002="1111",TH!M2002="1111")),TH!D2002,""),"")</f>
        <v/>
      </c>
      <c r="B2002" s="36">
        <f>IF(C2002&lt;&gt;"",MONTH(C2002),"")</f>
        <v>10</v>
      </c>
      <c r="C2002" s="183">
        <f>E2002</f>
        <v>42300</v>
      </c>
      <c r="D2002" s="183" t="s">
        <v>1551</v>
      </c>
      <c r="E2002" s="727">
        <v>42300</v>
      </c>
      <c r="F2002" s="188" t="s">
        <v>1948</v>
      </c>
      <c r="G2002" s="40" t="s">
        <v>1136</v>
      </c>
      <c r="H2002" s="7" t="s">
        <v>957</v>
      </c>
      <c r="I2002" s="255">
        <v>50</v>
      </c>
      <c r="J2002" s="255">
        <v>12400</v>
      </c>
      <c r="K2002" s="593">
        <f>ROUND(I2002*J2002,0)</f>
        <v>620000</v>
      </c>
      <c r="L2002" s="594" t="s">
        <v>259</v>
      </c>
      <c r="M2002" s="594" t="s">
        <v>174</v>
      </c>
      <c r="N2002" s="52" t="str">
        <f>IF(AND('331-CT'!$E$7=TH!H2002,OR(L2002="331",M2002="331")),"331",IF(AND(OR(L2002="131",M2002="131"),H2002='131-CT'!$E$7),"131",""))</f>
        <v/>
      </c>
      <c r="O2002" s="86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99"/>
    </row>
    <row r="2003" spans="1:27" s="210" customFormat="1" ht="15.75" customHeight="1">
      <c r="A2003" s="203" t="str">
        <f>IF(B2003&lt;&gt;"",IF(AND(B2003&gt;=_TM1,B2003&lt;=_TM2,OR(TH!L2003="1111",TH!M2003="1111")),TH!D2003,""),"")</f>
        <v/>
      </c>
      <c r="B2003" s="36">
        <f>IF(C2003&lt;&gt;"",MONTH(C2003),"")</f>
        <v>10</v>
      </c>
      <c r="C2003" s="183">
        <f>E2003</f>
        <v>42300</v>
      </c>
      <c r="D2003" s="183" t="s">
        <v>1551</v>
      </c>
      <c r="E2003" s="727">
        <v>42300</v>
      </c>
      <c r="F2003" s="188" t="s">
        <v>1949</v>
      </c>
      <c r="G2003" s="40" t="s">
        <v>1136</v>
      </c>
      <c r="H2003" s="7" t="s">
        <v>957</v>
      </c>
      <c r="I2003" s="255">
        <v>50</v>
      </c>
      <c r="J2003" s="255">
        <v>14200</v>
      </c>
      <c r="K2003" s="593">
        <f>ROUND(I2003*J2003,0)</f>
        <v>710000</v>
      </c>
      <c r="L2003" s="594" t="s">
        <v>259</v>
      </c>
      <c r="M2003" s="594" t="s">
        <v>174</v>
      </c>
      <c r="N2003" s="52" t="str">
        <f>IF(AND('331-CT'!$E$7=TH!H2003,OR(L2003="331",M2003="331")),"331",IF(AND(OR(L2003="131",M2003="131"),H2003='131-CT'!$E$7),"131",""))</f>
        <v/>
      </c>
      <c r="O2003" s="86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99"/>
    </row>
    <row r="2004" spans="1:27" s="210" customFormat="1" ht="15.75" customHeight="1">
      <c r="A2004" s="203" t="str">
        <f>IF(B2004&lt;&gt;"",IF(AND(B2004&gt;=_TM1,B2004&lt;=_TM2,OR(TH!L2004="1111",TH!M2004="1111")),TH!D2004,""),"")</f>
        <v/>
      </c>
      <c r="B2004" s="36">
        <f>IF(C2004&lt;&gt;"",MONTH(C2004),"")</f>
        <v>10</v>
      </c>
      <c r="C2004" s="183">
        <f>E2004</f>
        <v>42300</v>
      </c>
      <c r="D2004" s="183" t="s">
        <v>1551</v>
      </c>
      <c r="E2004" s="727">
        <v>42300</v>
      </c>
      <c r="F2004" s="188" t="s">
        <v>1951</v>
      </c>
      <c r="G2004" s="40" t="s">
        <v>1136</v>
      </c>
      <c r="H2004" s="7" t="s">
        <v>957</v>
      </c>
      <c r="I2004" s="255">
        <v>50</v>
      </c>
      <c r="J2004" s="255">
        <v>16500</v>
      </c>
      <c r="K2004" s="593">
        <f>ROUND(I2004*J2004,0)</f>
        <v>825000</v>
      </c>
      <c r="L2004" s="594" t="s">
        <v>259</v>
      </c>
      <c r="M2004" s="594" t="s">
        <v>174</v>
      </c>
      <c r="N2004" s="52" t="str">
        <f>IF(AND('331-CT'!$E$7=TH!H2004,OR(L2004="331",M2004="331")),"331",IF(AND(OR(L2004="131",M2004="131"),H2004='131-CT'!$E$7),"131",""))</f>
        <v/>
      </c>
      <c r="O2004" s="86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799"/>
    </row>
    <row r="2005" spans="1:27" s="210" customFormat="1" ht="15.75" customHeight="1">
      <c r="A2005" s="203" t="str">
        <f>IF(B2005&lt;&gt;"",IF(AND(B2005&gt;=_TM1,B2005&lt;=_TM2,OR(TH!L2005="1111",TH!M2005="1111")),TH!D2005,""),"")</f>
        <v/>
      </c>
      <c r="B2005" s="36">
        <f>IF(C2005&lt;&gt;"",MONTH(C2005),"")</f>
        <v>10</v>
      </c>
      <c r="C2005" s="183">
        <f>E2005</f>
        <v>42300</v>
      </c>
      <c r="D2005" s="183" t="s">
        <v>1551</v>
      </c>
      <c r="E2005" s="190">
        <v>42300</v>
      </c>
      <c r="F2005" s="191" t="s">
        <v>402</v>
      </c>
      <c r="G2005" s="482" t="s">
        <v>1136</v>
      </c>
      <c r="H2005" s="192" t="s">
        <v>957</v>
      </c>
      <c r="I2005" s="255"/>
      <c r="J2005" s="255"/>
      <c r="K2005" s="38">
        <v>332500</v>
      </c>
      <c r="L2005" s="594" t="s">
        <v>259</v>
      </c>
      <c r="M2005" s="594" t="s">
        <v>371</v>
      </c>
      <c r="N2005" s="52" t="str">
        <f>IF(AND('331-CT'!$E$7=TH!H2005,OR(L2005="331",M2005="331")),"331",IF(AND(OR(L2005="131",M2005="131"),H2005='131-CT'!$E$7),"131",""))</f>
        <v/>
      </c>
      <c r="O2005" s="86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99"/>
    </row>
    <row r="2006" spans="1:27" s="210" customFormat="1" ht="15.75" customHeight="1">
      <c r="A2006" s="203" t="str">
        <f>IF(B2006&lt;&gt;"",IF(AND(B2006&gt;=_TM1,B2006&lt;=_TM2,OR(TH!L2006="1111",TH!M2006="1111")),TH!D2006,""),"")</f>
        <v/>
      </c>
      <c r="B2006" s="36">
        <f>IF(C2006&lt;&gt;"",MONTH(C2006),"")</f>
        <v>10</v>
      </c>
      <c r="C2006" s="183">
        <f>E2006</f>
        <v>42300</v>
      </c>
      <c r="D2006" s="183" t="s">
        <v>1552</v>
      </c>
      <c r="E2006" s="190">
        <v>42300</v>
      </c>
      <c r="F2006" s="191" t="s">
        <v>1137</v>
      </c>
      <c r="G2006" s="482" t="s">
        <v>1138</v>
      </c>
      <c r="H2006" s="192" t="s">
        <v>1093</v>
      </c>
      <c r="I2006" s="255">
        <v>1418</v>
      </c>
      <c r="J2006" s="255">
        <v>10603</v>
      </c>
      <c r="K2006" s="593">
        <f>ROUND(I2006*J2006,0)</f>
        <v>15035054</v>
      </c>
      <c r="L2006" s="594" t="s">
        <v>259</v>
      </c>
      <c r="M2006" s="594" t="s">
        <v>174</v>
      </c>
      <c r="N2006" s="52" t="str">
        <f>IF(AND('331-CT'!$E$7=TH!H2006,OR(L2006="331",M2006="331")),"331",IF(AND(OR(L2006="131",M2006="131"),H2006='131-CT'!$E$7),"131",""))</f>
        <v/>
      </c>
      <c r="O2006" s="86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99"/>
    </row>
    <row r="2007" spans="1:27" s="210" customFormat="1" ht="15.75" customHeight="1">
      <c r="A2007" s="203" t="str">
        <f>IF(B2007&lt;&gt;"",IF(AND(B2007&gt;=_TM1,B2007&lt;=_TM2,OR(TH!L2007="1111",TH!M2007="1111")),TH!D2007,""),"")</f>
        <v/>
      </c>
      <c r="B2007" s="36">
        <f>IF(C2007&lt;&gt;"",MONTH(C2007),"")</f>
        <v>10</v>
      </c>
      <c r="C2007" s="183">
        <f>E2007</f>
        <v>42300</v>
      </c>
      <c r="D2007" s="183" t="s">
        <v>1552</v>
      </c>
      <c r="E2007" s="727">
        <v>42300</v>
      </c>
      <c r="F2007" s="40" t="s">
        <v>402</v>
      </c>
      <c r="G2007" s="40" t="s">
        <v>1138</v>
      </c>
      <c r="H2007" s="7" t="s">
        <v>1093</v>
      </c>
      <c r="I2007" s="255"/>
      <c r="J2007" s="255"/>
      <c r="K2007" s="593">
        <v>1503505</v>
      </c>
      <c r="L2007" s="594" t="s">
        <v>259</v>
      </c>
      <c r="M2007" s="594" t="s">
        <v>371</v>
      </c>
      <c r="N2007" s="52" t="str">
        <f>IF(AND('331-CT'!$E$7=TH!H2007,OR(L2007="331",M2007="331")),"331",IF(AND(OR(L2007="131",M2007="131"),H2007='131-CT'!$E$7),"131",""))</f>
        <v/>
      </c>
      <c r="O2007" s="86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99"/>
    </row>
    <row r="2008" spans="1:27" s="210" customFormat="1" ht="15.75" customHeight="1">
      <c r="A2008" s="203" t="str">
        <f>IF(B2008&lt;&gt;"",IF(AND(B2008&gt;=_TM1,B2008&lt;=_TM2,OR(TH!L2008="1111",TH!M2008="1111")),TH!D2008,""),"")</f>
        <v/>
      </c>
      <c r="B2008" s="36">
        <f>IF(C2008&lt;&gt;"",MONTH(C2008),"")</f>
        <v>10</v>
      </c>
      <c r="C2008" s="183">
        <f>E2008</f>
        <v>42300</v>
      </c>
      <c r="D2008" s="183" t="s">
        <v>1319</v>
      </c>
      <c r="E2008" s="190">
        <v>42300</v>
      </c>
      <c r="F2008" s="188" t="s">
        <v>1320</v>
      </c>
      <c r="G2008" s="482" t="s">
        <v>332</v>
      </c>
      <c r="H2008" s="7" t="s">
        <v>957</v>
      </c>
      <c r="I2008" s="255"/>
      <c r="J2008" s="255"/>
      <c r="K2008" s="593">
        <v>31016260</v>
      </c>
      <c r="L2008" s="594" t="s">
        <v>24</v>
      </c>
      <c r="M2008" s="594" t="s">
        <v>259</v>
      </c>
      <c r="N2008" s="52" t="str">
        <f>IF(AND('331-CT'!$E$7=TH!H2008,OR(L2008="331",M2008="331")),"331",IF(AND(OR(L2008="131",M2008="131"),H2008='131-CT'!$E$7),"131",""))</f>
        <v/>
      </c>
      <c r="O2008" s="86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99"/>
    </row>
    <row r="2009" spans="1:27" s="210" customFormat="1" ht="15.75" customHeight="1">
      <c r="A2009" s="203" t="str">
        <f>IF(B2009&lt;&gt;"",IF(AND(B2009&gt;=_TM1,B2009&lt;=_TM2,OR(TH!L2009="1111",TH!M2009="1111")),TH!D2009,""),"")</f>
        <v/>
      </c>
      <c r="B2009" s="36">
        <f>IF(C2009&lt;&gt;"",MONTH(C2009),"")</f>
        <v>10</v>
      </c>
      <c r="C2009" s="183">
        <f>E2009</f>
        <v>42300</v>
      </c>
      <c r="D2009" s="190" t="s">
        <v>2020</v>
      </c>
      <c r="E2009" s="727">
        <v>42300</v>
      </c>
      <c r="F2009" s="296" t="s">
        <v>1380</v>
      </c>
      <c r="G2009" s="482" t="s">
        <v>1481</v>
      </c>
      <c r="H2009" s="7" t="s">
        <v>1472</v>
      </c>
      <c r="I2009" s="255">
        <f>8425+677</f>
        <v>9102</v>
      </c>
      <c r="J2009" s="255">
        <v>8800</v>
      </c>
      <c r="K2009" s="593">
        <f>ROUND(I2009*J2009,0)</f>
        <v>80097600</v>
      </c>
      <c r="L2009" s="594" t="s">
        <v>159</v>
      </c>
      <c r="M2009" s="594" t="s">
        <v>8</v>
      </c>
      <c r="N2009" s="52" t="str">
        <f>IF(AND('331-CT'!$E$7=TH!H2009,OR(L2009="331",M2009="331")),"331",IF(AND(OR(L2009="131",M2009="131"),H2009='131-CT'!$E$7),"131",""))</f>
        <v/>
      </c>
      <c r="O2009" s="86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>x</v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99"/>
    </row>
    <row r="2010" spans="1:27" s="210" customFormat="1" ht="15.75" customHeight="1">
      <c r="A2010" s="203" t="str">
        <f>IF(B2010&lt;&gt;"",IF(AND(B2010&gt;=_TM1,B2010&lt;=_TM2,OR(TH!L2010="1111",TH!M2010="1111")),TH!D2010,""),"")</f>
        <v/>
      </c>
      <c r="B2010" s="36">
        <f>IF(C2010&lt;&gt;"",MONTH(C2010),"")</f>
        <v>10</v>
      </c>
      <c r="C2010" s="183">
        <f>E2010</f>
        <v>42300</v>
      </c>
      <c r="D2010" s="190" t="s">
        <v>2020</v>
      </c>
      <c r="E2010" s="727">
        <v>42300</v>
      </c>
      <c r="F2010" s="296" t="s">
        <v>1380</v>
      </c>
      <c r="G2010" s="482" t="s">
        <v>1481</v>
      </c>
      <c r="H2010" s="7" t="s">
        <v>1472</v>
      </c>
      <c r="I2010" s="255">
        <v>1323</v>
      </c>
      <c r="J2010" s="255">
        <v>8600</v>
      </c>
      <c r="K2010" s="593">
        <f>ROUND(I2010*J2010,0)</f>
        <v>11377800</v>
      </c>
      <c r="L2010" s="594" t="s">
        <v>159</v>
      </c>
      <c r="M2010" s="594" t="s">
        <v>8</v>
      </c>
      <c r="N2010" s="52" t="str">
        <f>IF(AND('331-CT'!$E$7=TH!H2010,OR(L2010="331",M2010="331")),"331",IF(AND(OR(L2010="131",M2010="131"),H2010='131-CT'!$E$7),"131",""))</f>
        <v/>
      </c>
      <c r="O2010" s="86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>x</v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99"/>
    </row>
    <row r="2011" spans="1:27" s="210" customFormat="1" ht="15.75" customHeight="1">
      <c r="A2011" s="203" t="str">
        <f>IF(B2011&lt;&gt;"",IF(AND(B2011&gt;=_TM1,B2011&lt;=_TM2,OR(TH!L2011="1111",TH!M2011="1111")),TH!D2011,""),"")</f>
        <v/>
      </c>
      <c r="B2011" s="36">
        <f>IF(C2011&lt;&gt;"",MONTH(C2011),"")</f>
        <v>10</v>
      </c>
      <c r="C2011" s="183">
        <f>E2011</f>
        <v>42300</v>
      </c>
      <c r="D2011" s="190" t="s">
        <v>2020</v>
      </c>
      <c r="E2011" s="727">
        <v>42300</v>
      </c>
      <c r="F2011" s="296" t="s">
        <v>1381</v>
      </c>
      <c r="G2011" s="482" t="s">
        <v>1481</v>
      </c>
      <c r="H2011" s="7" t="s">
        <v>1472</v>
      </c>
      <c r="I2011" s="255"/>
      <c r="J2011" s="255"/>
      <c r="K2011" s="593">
        <v>9147540</v>
      </c>
      <c r="L2011" s="594" t="s">
        <v>9</v>
      </c>
      <c r="M2011" s="594" t="s">
        <v>8</v>
      </c>
      <c r="N2011" s="52" t="str">
        <f>IF(AND('331-CT'!$E$7=TH!H2011,OR(L2011="331",M2011="331")),"331",IF(AND(OR(L2011="131",M2011="131"),H2011='131-CT'!$E$7),"131",""))</f>
        <v/>
      </c>
      <c r="O2011" s="86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99"/>
    </row>
    <row r="2012" spans="1:27" s="210" customFormat="1" ht="15.75" customHeight="1">
      <c r="A2012" s="203" t="str">
        <f>IF(B2012&lt;&gt;"",IF(AND(B2012&gt;=_TM1,B2012&lt;=_TM2,OR(TH!L2012="1111",TH!M2012="1111")),TH!D2012,""),"")</f>
        <v/>
      </c>
      <c r="B2012" s="36">
        <f>IF(C2012&lt;&gt;"",MONTH(C2012),"")</f>
        <v>10</v>
      </c>
      <c r="C2012" s="183">
        <f>E2012</f>
        <v>42301</v>
      </c>
      <c r="D2012" s="183" t="s">
        <v>1319</v>
      </c>
      <c r="E2012" s="190">
        <v>42301</v>
      </c>
      <c r="F2012" s="188" t="s">
        <v>1321</v>
      </c>
      <c r="G2012" s="482" t="s">
        <v>332</v>
      </c>
      <c r="H2012" s="7"/>
      <c r="I2012" s="255"/>
      <c r="J2012" s="255"/>
      <c r="K2012" s="593">
        <v>4428</v>
      </c>
      <c r="L2012" s="594" t="s">
        <v>24</v>
      </c>
      <c r="M2012" s="594" t="s">
        <v>40</v>
      </c>
      <c r="N2012" s="52" t="str">
        <f>IF(AND('331-CT'!$E$7=TH!H2012,OR(L2012="331",M2012="331")),"331",IF(AND(OR(L2012="131",M2012="131"),H2012='131-CT'!$E$7),"131",""))</f>
        <v/>
      </c>
      <c r="O2012" s="86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99"/>
    </row>
    <row r="2013" spans="1:27" s="210" customFormat="1" ht="15.75" customHeight="1">
      <c r="A2013" s="203" t="str">
        <f>IF(B2013&lt;&gt;"",IF(AND(B2013&gt;=_TM1,B2013&lt;=_TM2,OR(TH!L2013="1111",TH!M2013="1111")),TH!D2013,""),"")</f>
        <v/>
      </c>
      <c r="B2013" s="36">
        <f>IF(C2013&lt;&gt;"",MONTH(C2013),"")</f>
        <v>10</v>
      </c>
      <c r="C2013" s="183">
        <f>E2013</f>
        <v>42303</v>
      </c>
      <c r="D2013" s="183" t="s">
        <v>1553</v>
      </c>
      <c r="E2013" s="727">
        <v>42303</v>
      </c>
      <c r="F2013" s="188" t="s">
        <v>413</v>
      </c>
      <c r="G2013" s="40" t="s">
        <v>1139</v>
      </c>
      <c r="H2013" s="7" t="s">
        <v>412</v>
      </c>
      <c r="I2013" s="255">
        <v>430</v>
      </c>
      <c r="J2013" s="255">
        <v>10500</v>
      </c>
      <c r="K2013" s="593">
        <f>ROUND(I2013*J2013,0)</f>
        <v>4515000</v>
      </c>
      <c r="L2013" s="594" t="s">
        <v>259</v>
      </c>
      <c r="M2013" s="594" t="s">
        <v>174</v>
      </c>
      <c r="N2013" s="52" t="str">
        <f>IF(AND('331-CT'!$E$7=TH!H2013,OR(L2013="331",M2013="331")),"331",IF(AND(OR(L2013="131",M2013="131"),H2013='131-CT'!$E$7),"131",""))</f>
        <v/>
      </c>
      <c r="O2013" s="86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99"/>
    </row>
    <row r="2014" spans="1:27" s="210" customFormat="1" ht="15.75" customHeight="1">
      <c r="A2014" s="203" t="str">
        <f>IF(B2014&lt;&gt;"",IF(AND(B2014&gt;=_TM1,B2014&lt;=_TM2,OR(TH!L2014="1111",TH!M2014="1111")),TH!D2014,""),"")</f>
        <v/>
      </c>
      <c r="B2014" s="36">
        <f>IF(C2014&lt;&gt;"",MONTH(C2014),"")</f>
        <v>10</v>
      </c>
      <c r="C2014" s="183">
        <f>E2014</f>
        <v>42303</v>
      </c>
      <c r="D2014" s="183" t="s">
        <v>1553</v>
      </c>
      <c r="E2014" s="727">
        <v>42303</v>
      </c>
      <c r="F2014" s="188" t="s">
        <v>413</v>
      </c>
      <c r="G2014" s="40" t="s">
        <v>1139</v>
      </c>
      <c r="H2014" s="7" t="s">
        <v>412</v>
      </c>
      <c r="I2014" s="255">
        <v>409</v>
      </c>
      <c r="J2014" s="255">
        <v>10500</v>
      </c>
      <c r="K2014" s="593">
        <f>ROUND(I2014*J2014,0)</f>
        <v>4294500</v>
      </c>
      <c r="L2014" s="594" t="s">
        <v>259</v>
      </c>
      <c r="M2014" s="594" t="s">
        <v>174</v>
      </c>
      <c r="N2014" s="52" t="str">
        <f>IF(AND('331-CT'!$E$7=TH!H2014,OR(L2014="331",M2014="331")),"331",IF(AND(OR(L2014="131",M2014="131"),H2014='131-CT'!$E$7),"131",""))</f>
        <v/>
      </c>
      <c r="O2014" s="86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799"/>
    </row>
    <row r="2015" spans="1:27" s="210" customFormat="1" ht="15.75" customHeight="1">
      <c r="A2015" s="203" t="str">
        <f>IF(B2015&lt;&gt;"",IF(AND(B2015&gt;=_TM1,B2015&lt;=_TM2,OR(TH!L2015="1111",TH!M2015="1111")),TH!D2015,""),"")</f>
        <v/>
      </c>
      <c r="B2015" s="36">
        <f>IF(C2015&lt;&gt;"",MONTH(C2015),"")</f>
        <v>10</v>
      </c>
      <c r="C2015" s="183">
        <f>E2015</f>
        <v>42303</v>
      </c>
      <c r="D2015" s="183" t="s">
        <v>1553</v>
      </c>
      <c r="E2015" s="727">
        <v>42303</v>
      </c>
      <c r="F2015" s="188" t="s">
        <v>402</v>
      </c>
      <c r="G2015" s="40" t="s">
        <v>1139</v>
      </c>
      <c r="H2015" s="7" t="s">
        <v>412</v>
      </c>
      <c r="I2015" s="255"/>
      <c r="J2015" s="255"/>
      <c r="K2015" s="593">
        <v>880950</v>
      </c>
      <c r="L2015" s="594" t="s">
        <v>259</v>
      </c>
      <c r="M2015" s="594" t="s">
        <v>371</v>
      </c>
      <c r="N2015" s="52" t="str">
        <f>IF(AND('331-CT'!$E$7=TH!H2015,OR(L2015="331",M2015="331")),"331",IF(AND(OR(L2015="131",M2015="131"),H2015='131-CT'!$E$7),"131",""))</f>
        <v/>
      </c>
      <c r="O2015" s="86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799"/>
    </row>
    <row r="2016" spans="1:27" s="210" customFormat="1" ht="15.75" customHeight="1">
      <c r="A2016" s="203" t="str">
        <f>IF(B2016&lt;&gt;"",IF(AND(B2016&gt;=_TM1,B2016&lt;=_TM2,OR(TH!L2016="1111",TH!M2016="1111")),TH!D2016,""),"")</f>
        <v/>
      </c>
      <c r="B2016" s="36">
        <f>IF(C2016&lt;&gt;"",MONTH(C2016),"")</f>
        <v>10</v>
      </c>
      <c r="C2016" s="183">
        <f>E2016</f>
        <v>42303</v>
      </c>
      <c r="D2016" s="183" t="s">
        <v>1319</v>
      </c>
      <c r="E2016" s="190">
        <v>42303</v>
      </c>
      <c r="F2016" s="188" t="s">
        <v>1320</v>
      </c>
      <c r="G2016" s="482" t="s">
        <v>332</v>
      </c>
      <c r="H2016" s="7" t="s">
        <v>799</v>
      </c>
      <c r="I2016" s="255"/>
      <c r="J2016" s="255"/>
      <c r="K2016" s="593">
        <v>6257460</v>
      </c>
      <c r="L2016" s="594" t="s">
        <v>24</v>
      </c>
      <c r="M2016" s="594" t="s">
        <v>259</v>
      </c>
      <c r="N2016" s="52" t="str">
        <f>IF(AND('331-CT'!$E$7=TH!H2016,OR(L2016="331",M2016="331")),"331",IF(AND(OR(L2016="131",M2016="131"),H2016='131-CT'!$E$7),"131",""))</f>
        <v/>
      </c>
      <c r="O2016" s="86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799"/>
    </row>
    <row r="2017" spans="1:27" s="210" customFormat="1" ht="15.75" customHeight="1">
      <c r="A2017" s="203" t="str">
        <f>IF(B2017&lt;&gt;"",IF(AND(B2017&gt;=_TM1,B2017&lt;=_TM2,OR(TH!L2017="1111",TH!M2017="1111")),TH!D2017,""),"")</f>
        <v/>
      </c>
      <c r="B2017" s="36">
        <f>IF(C2017&lt;&gt;"",MONTH(C2017),"")</f>
        <v>10</v>
      </c>
      <c r="C2017" s="183">
        <f>E2017</f>
        <v>42303</v>
      </c>
      <c r="D2017" s="190" t="s">
        <v>2020</v>
      </c>
      <c r="E2017" s="727">
        <v>42303</v>
      </c>
      <c r="F2017" s="296" t="s">
        <v>1380</v>
      </c>
      <c r="G2017" s="482" t="s">
        <v>1477</v>
      </c>
      <c r="H2017" s="7" t="s">
        <v>1472</v>
      </c>
      <c r="I2017" s="255">
        <v>4052</v>
      </c>
      <c r="J2017" s="255">
        <v>8800</v>
      </c>
      <c r="K2017" s="593">
        <f>ROUND(I2017*J2017,0)</f>
        <v>35657600</v>
      </c>
      <c r="L2017" s="594" t="s">
        <v>159</v>
      </c>
      <c r="M2017" s="594" t="s">
        <v>8</v>
      </c>
      <c r="N2017" s="52" t="str">
        <f>IF(AND('331-CT'!$E$7=TH!H2017,OR(L2017="331",M2017="331")),"331",IF(AND(OR(L2017="131",M2017="131"),H2017='131-CT'!$E$7),"131",""))</f>
        <v/>
      </c>
      <c r="O2017" s="86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>x</v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99"/>
    </row>
    <row r="2018" spans="1:27" s="210" customFormat="1" ht="15.75" customHeight="1">
      <c r="A2018" s="203" t="str">
        <f>IF(B2018&lt;&gt;"",IF(AND(B2018&gt;=_TM1,B2018&lt;=_TM2,OR(TH!L2018="1111",TH!M2018="1111")),TH!D2018,""),"")</f>
        <v/>
      </c>
      <c r="B2018" s="36">
        <f>IF(C2018&lt;&gt;"",MONTH(C2018),"")</f>
        <v>10</v>
      </c>
      <c r="C2018" s="183">
        <f>E2018</f>
        <v>42303</v>
      </c>
      <c r="D2018" s="190" t="s">
        <v>2020</v>
      </c>
      <c r="E2018" s="727">
        <v>42303</v>
      </c>
      <c r="F2018" s="296" t="s">
        <v>1381</v>
      </c>
      <c r="G2018" s="482" t="s">
        <v>1477</v>
      </c>
      <c r="H2018" s="7" t="s">
        <v>1472</v>
      </c>
      <c r="I2018" s="255"/>
      <c r="J2018" s="255"/>
      <c r="K2018" s="593">
        <v>3565760</v>
      </c>
      <c r="L2018" s="594" t="s">
        <v>9</v>
      </c>
      <c r="M2018" s="594" t="s">
        <v>8</v>
      </c>
      <c r="N2018" s="52" t="str">
        <f>IF(AND('331-CT'!$E$7=TH!H2018,OR(L2018="331",M2018="331")),"331",IF(AND(OR(L2018="131",M2018="131"),H2018='131-CT'!$E$7),"131",""))</f>
        <v/>
      </c>
      <c r="O2018" s="86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99"/>
    </row>
    <row r="2019" spans="1:27" s="210" customFormat="1" ht="15.75" customHeight="1">
      <c r="A2019" s="203" t="str">
        <f>IF(B2019&lt;&gt;"",IF(AND(B2019&gt;=_TM1,B2019&lt;=_TM2,OR(TH!L2019="1111",TH!M2019="1111")),TH!D2019,""),"")</f>
        <v/>
      </c>
      <c r="B2019" s="36">
        <f>IF(C2019&lt;&gt;"",MONTH(C2019),"")</f>
        <v>10</v>
      </c>
      <c r="C2019" s="183">
        <f>E2019</f>
        <v>42304</v>
      </c>
      <c r="D2019" s="183" t="s">
        <v>1554</v>
      </c>
      <c r="E2019" s="727">
        <v>42304</v>
      </c>
      <c r="F2019" s="188" t="s">
        <v>1140</v>
      </c>
      <c r="G2019" s="40" t="s">
        <v>1141</v>
      </c>
      <c r="H2019" s="7" t="s">
        <v>473</v>
      </c>
      <c r="I2019" s="255">
        <v>726</v>
      </c>
      <c r="J2019" s="255">
        <v>13800</v>
      </c>
      <c r="K2019" s="593">
        <f>ROUND(I2019*J2019,0)</f>
        <v>10018800</v>
      </c>
      <c r="L2019" s="594" t="s">
        <v>259</v>
      </c>
      <c r="M2019" s="594" t="s">
        <v>174</v>
      </c>
      <c r="N2019" s="52" t="str">
        <f>IF(AND('331-CT'!$E$7=TH!H2019,OR(L2019="331",M2019="331")),"331",IF(AND(OR(L2019="131",M2019="131"),H2019='131-CT'!$E$7),"131",""))</f>
        <v/>
      </c>
      <c r="O2019" s="86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99"/>
    </row>
    <row r="2020" spans="1:27" s="210" customFormat="1" ht="15.75" customHeight="1">
      <c r="A2020" s="203" t="str">
        <f>IF(B2020&lt;&gt;"",IF(AND(B2020&gt;=_TM1,B2020&lt;=_TM2,OR(TH!L2020="1111",TH!M2020="1111")),TH!D2020,""),"")</f>
        <v/>
      </c>
      <c r="B2020" s="36">
        <f>IF(C2020&lt;&gt;"",MONTH(C2020),"")</f>
        <v>10</v>
      </c>
      <c r="C2020" s="183">
        <f>E2020</f>
        <v>42304</v>
      </c>
      <c r="D2020" s="183" t="s">
        <v>1554</v>
      </c>
      <c r="E2020" s="727">
        <v>42304</v>
      </c>
      <c r="F2020" s="188" t="s">
        <v>1140</v>
      </c>
      <c r="G2020" s="40" t="s">
        <v>1141</v>
      </c>
      <c r="H2020" s="7" t="s">
        <v>473</v>
      </c>
      <c r="I2020" s="255">
        <v>100</v>
      </c>
      <c r="J2020" s="255">
        <v>12182</v>
      </c>
      <c r="K2020" s="593">
        <f>ROUND(I2020*J2020,0)</f>
        <v>1218200</v>
      </c>
      <c r="L2020" s="594" t="s">
        <v>259</v>
      </c>
      <c r="M2020" s="594" t="s">
        <v>174</v>
      </c>
      <c r="N2020" s="52" t="str">
        <f>IF(AND('331-CT'!$E$7=TH!H2020,OR(L2020="331",M2020="331")),"331",IF(AND(OR(L2020="131",M2020="131"),H2020='131-CT'!$E$7),"131",""))</f>
        <v/>
      </c>
      <c r="O2020" s="86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99"/>
    </row>
    <row r="2021" spans="1:27" s="210" customFormat="1" ht="15.75" customHeight="1">
      <c r="A2021" s="203" t="str">
        <f>IF(B2021&lt;&gt;"",IF(AND(B2021&gt;=_TM1,B2021&lt;=_TM2,OR(TH!L2021="1111",TH!M2021="1111")),TH!D2021,""),"")</f>
        <v/>
      </c>
      <c r="B2021" s="36">
        <f>IF(C2021&lt;&gt;"",MONTH(C2021),"")</f>
        <v>10</v>
      </c>
      <c r="C2021" s="183">
        <f>E2021</f>
        <v>42304</v>
      </c>
      <c r="D2021" s="183" t="s">
        <v>1554</v>
      </c>
      <c r="E2021" s="727">
        <v>42304</v>
      </c>
      <c r="F2021" s="188" t="s">
        <v>1677</v>
      </c>
      <c r="G2021" s="40" t="s">
        <v>1141</v>
      </c>
      <c r="H2021" s="7" t="s">
        <v>473</v>
      </c>
      <c r="I2021" s="255">
        <v>1652</v>
      </c>
      <c r="J2021" s="255">
        <v>1182</v>
      </c>
      <c r="K2021" s="593">
        <f>ROUND(I2021*J2021,0)</f>
        <v>1952664</v>
      </c>
      <c r="L2021" s="594" t="s">
        <v>259</v>
      </c>
      <c r="M2021" s="594" t="s">
        <v>174</v>
      </c>
      <c r="N2021" s="52" t="str">
        <f>IF(AND('331-CT'!$E$7=TH!H2021,OR(L2021="331",M2021="331")),"331",IF(AND(OR(L2021="131",M2021="131"),H2021='131-CT'!$E$7),"131",""))</f>
        <v/>
      </c>
      <c r="O2021" s="86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99"/>
    </row>
    <row r="2022" spans="1:27" s="210" customFormat="1" ht="15.75" customHeight="1">
      <c r="A2022" s="203" t="str">
        <f>IF(B2022&lt;&gt;"",IF(AND(B2022&gt;=_TM1,B2022&lt;=_TM2,OR(TH!L2022="1111",TH!M2022="1111")),TH!D2022,""),"")</f>
        <v/>
      </c>
      <c r="B2022" s="36">
        <f>IF(C2022&lt;&gt;"",MONTH(C2022),"")</f>
        <v>10</v>
      </c>
      <c r="C2022" s="183">
        <f>E2022</f>
        <v>42304</v>
      </c>
      <c r="D2022" s="183" t="s">
        <v>1554</v>
      </c>
      <c r="E2022" s="727">
        <v>42304</v>
      </c>
      <c r="F2022" s="188" t="s">
        <v>402</v>
      </c>
      <c r="G2022" s="40" t="s">
        <v>1141</v>
      </c>
      <c r="H2022" s="7" t="s">
        <v>473</v>
      </c>
      <c r="I2022" s="750"/>
      <c r="J2022" s="255"/>
      <c r="K2022" s="593">
        <v>1318935</v>
      </c>
      <c r="L2022" s="594" t="s">
        <v>259</v>
      </c>
      <c r="M2022" s="594" t="s">
        <v>371</v>
      </c>
      <c r="N2022" s="52" t="str">
        <f>IF(AND('331-CT'!$E$7=TH!H2022,OR(L2022="331",M2022="331")),"331",IF(AND(OR(L2022="131",M2022="131"),H2022='131-CT'!$E$7),"131",""))</f>
        <v/>
      </c>
      <c r="O2022" s="86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99"/>
    </row>
    <row r="2023" spans="1:27" s="210" customFormat="1" ht="15.75" customHeight="1">
      <c r="A2023" s="203" t="str">
        <f>IF(B2023&lt;&gt;"",IF(AND(B2023&gt;=_TM1,B2023&lt;=_TM2,OR(TH!L2023="1111",TH!M2023="1111")),TH!D2023,""),"")</f>
        <v>GBC</v>
      </c>
      <c r="B2023" s="36">
        <f>IF(C2023&lt;&gt;"",MONTH(C2023),"")</f>
        <v>10</v>
      </c>
      <c r="C2023" s="183">
        <f>E2023</f>
        <v>42304</v>
      </c>
      <c r="D2023" s="183" t="s">
        <v>1319</v>
      </c>
      <c r="E2023" s="190">
        <v>42304</v>
      </c>
      <c r="F2023" s="188" t="s">
        <v>1325</v>
      </c>
      <c r="G2023" s="482" t="s">
        <v>332</v>
      </c>
      <c r="H2023" s="7" t="s">
        <v>1333</v>
      </c>
      <c r="I2023" s="255"/>
      <c r="J2023" s="255"/>
      <c r="K2023" s="593">
        <v>6900000</v>
      </c>
      <c r="L2023" s="594" t="s">
        <v>47</v>
      </c>
      <c r="M2023" s="594" t="s">
        <v>24</v>
      </c>
      <c r="N2023" s="52" t="str">
        <f>IF(AND('331-CT'!$E$7=TH!H2023,OR(L2023="331",M2023="331")),"331",IF(AND(OR(L2023="131",M2023="131"),H2023='131-CT'!$E$7),"131",""))</f>
        <v/>
      </c>
      <c r="O2023" s="86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99"/>
    </row>
    <row r="2024" spans="1:27" s="210" customFormat="1" ht="15.75" customHeight="1">
      <c r="A2024" s="203" t="str">
        <f>IF(B2024&lt;&gt;"",IF(AND(B2024&gt;=_TM1,B2024&lt;=_TM2,OR(TH!L2024="1111",TH!M2024="1111")),TH!D2024,""),"")</f>
        <v/>
      </c>
      <c r="B2024" s="36">
        <f>IF(C2024&lt;&gt;"",MONTH(C2024),"")</f>
        <v>10</v>
      </c>
      <c r="C2024" s="183">
        <f>E2024</f>
        <v>42304</v>
      </c>
      <c r="D2024" s="183" t="s">
        <v>1319</v>
      </c>
      <c r="E2024" s="190">
        <v>42304</v>
      </c>
      <c r="F2024" s="296" t="s">
        <v>1326</v>
      </c>
      <c r="G2024" s="482" t="s">
        <v>332</v>
      </c>
      <c r="H2024" s="7" t="s">
        <v>1491</v>
      </c>
      <c r="I2024" s="255"/>
      <c r="J2024" s="255"/>
      <c r="K2024" s="593">
        <v>23000000</v>
      </c>
      <c r="L2024" s="594" t="s">
        <v>8</v>
      </c>
      <c r="M2024" s="594" t="s">
        <v>24</v>
      </c>
      <c r="N2024" s="52" t="str">
        <f>IF(AND('331-CT'!$E$7=TH!H2024,OR(L2024="331",M2024="331")),"331",IF(AND(OR(L2024="131",M2024="131"),H2024='131-CT'!$E$7),"131",""))</f>
        <v/>
      </c>
      <c r="O2024" s="86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99"/>
    </row>
    <row r="2025" spans="1:27" s="210" customFormat="1" ht="15.75" customHeight="1">
      <c r="A2025" s="203" t="str">
        <f>IF(B2025&lt;&gt;"",IF(AND(B2025&gt;=_TM1,B2025&lt;=_TM2,OR(TH!L2025="1111",TH!M2025="1111")),TH!D2025,""),"")</f>
        <v/>
      </c>
      <c r="B2025" s="36">
        <f>IF(C2025&lt;&gt;"",MONTH(C2025),"")</f>
        <v>10</v>
      </c>
      <c r="C2025" s="183">
        <f>E2025</f>
        <v>42304</v>
      </c>
      <c r="D2025" s="183" t="s">
        <v>1319</v>
      </c>
      <c r="E2025" s="190">
        <v>42304</v>
      </c>
      <c r="F2025" s="296" t="s">
        <v>1326</v>
      </c>
      <c r="G2025" s="482" t="s">
        <v>332</v>
      </c>
      <c r="H2025" s="7" t="s">
        <v>1928</v>
      </c>
      <c r="I2025" s="255"/>
      <c r="J2025" s="255"/>
      <c r="K2025" s="593">
        <v>10000000</v>
      </c>
      <c r="L2025" s="594" t="s">
        <v>8</v>
      </c>
      <c r="M2025" s="594" t="s">
        <v>24</v>
      </c>
      <c r="N2025" s="52" t="str">
        <f>IF(AND('331-CT'!$E$7=TH!H2025,OR(L2025="331",M2025="331")),"331",IF(AND(OR(L2025="131",M2025="131"),H2025='131-CT'!$E$7),"131",""))</f>
        <v/>
      </c>
      <c r="O2025" s="86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99"/>
    </row>
    <row r="2026" spans="1:27" s="210" customFormat="1" ht="15.75" customHeight="1">
      <c r="A2026" s="203" t="str">
        <f>IF(B2026&lt;&gt;"",IF(AND(B2026&gt;=_TM1,B2026&lt;=_TM2,OR(TH!L2026="1111",TH!M2026="1111")),TH!D2026,""),"")</f>
        <v/>
      </c>
      <c r="B2026" s="36">
        <f>IF(C2026&lt;&gt;"",MONTH(C2026),"")</f>
        <v>10</v>
      </c>
      <c r="C2026" s="183">
        <f>E2026</f>
        <v>42304</v>
      </c>
      <c r="D2026" s="183" t="s">
        <v>1319</v>
      </c>
      <c r="E2026" s="190">
        <v>42304</v>
      </c>
      <c r="F2026" s="188" t="s">
        <v>1327</v>
      </c>
      <c r="G2026" s="482" t="s">
        <v>332</v>
      </c>
      <c r="H2026" s="7"/>
      <c r="I2026" s="255"/>
      <c r="J2026" s="255"/>
      <c r="K2026" s="593">
        <v>15000</v>
      </c>
      <c r="L2026" s="594" t="s">
        <v>83</v>
      </c>
      <c r="M2026" s="594" t="s">
        <v>24</v>
      </c>
      <c r="N2026" s="52" t="str">
        <f>IF(AND('331-CT'!$E$7=TH!H2026,OR(L2026="331",M2026="331")),"331",IF(AND(OR(L2026="131",M2026="131"),H2026='131-CT'!$E$7),"131",""))</f>
        <v/>
      </c>
      <c r="O2026" s="86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>x</v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99"/>
    </row>
    <row r="2027" spans="1:27" s="210" customFormat="1" ht="15.75" customHeight="1">
      <c r="A2027" s="203" t="str">
        <f>IF(B2027&lt;&gt;"",IF(AND(B2027&gt;=_TM1,B2027&lt;=_TM2,OR(TH!L2027="1111",TH!M2027="1111")),TH!D2027,""),"")</f>
        <v/>
      </c>
      <c r="B2027" s="36">
        <f>IF(C2027&lt;&gt;"",MONTH(C2027),"")</f>
        <v>10</v>
      </c>
      <c r="C2027" s="183">
        <f>E2027</f>
        <v>42304</v>
      </c>
      <c r="D2027" s="183" t="s">
        <v>1319</v>
      </c>
      <c r="E2027" s="190">
        <v>42304</v>
      </c>
      <c r="F2027" s="188" t="s">
        <v>1327</v>
      </c>
      <c r="G2027" s="482" t="s">
        <v>332</v>
      </c>
      <c r="H2027" s="7"/>
      <c r="I2027" s="255"/>
      <c r="J2027" s="255"/>
      <c r="K2027" s="593">
        <v>15000</v>
      </c>
      <c r="L2027" s="594" t="s">
        <v>83</v>
      </c>
      <c r="M2027" s="594" t="s">
        <v>24</v>
      </c>
      <c r="N2027" s="52" t="str">
        <f>IF(AND('331-CT'!$E$7=TH!H2027,OR(L2027="331",M2027="331")),"331",IF(AND(OR(L2027="131",M2027="131"),H2027='131-CT'!$E$7),"131",""))</f>
        <v/>
      </c>
      <c r="O2027" s="86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>x</v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99"/>
    </row>
    <row r="2028" spans="1:27" s="210" customFormat="1" ht="15.75" customHeight="1">
      <c r="A2028" s="203" t="str">
        <f>IF(B2028&lt;&gt;"",IF(AND(B2028&gt;=_TM1,B2028&lt;=_TM2,OR(TH!L2028="1111",TH!M2028="1111")),TH!D2028,""),"")</f>
        <v/>
      </c>
      <c r="B2028" s="36">
        <f>IF(C2028&lt;&gt;"",MONTH(C2028),"")</f>
        <v>10</v>
      </c>
      <c r="C2028" s="183">
        <f>E2028</f>
        <v>42305</v>
      </c>
      <c r="D2028" s="183" t="s">
        <v>1555</v>
      </c>
      <c r="E2028" s="190">
        <v>42305</v>
      </c>
      <c r="F2028" s="191" t="s">
        <v>1122</v>
      </c>
      <c r="G2028" s="482" t="s">
        <v>1142</v>
      </c>
      <c r="H2028" s="192" t="s">
        <v>453</v>
      </c>
      <c r="I2028" s="255">
        <v>103</v>
      </c>
      <c r="J2028" s="255">
        <v>11250</v>
      </c>
      <c r="K2028" s="593">
        <f>ROUND(I2028*J2028,0)</f>
        <v>1158750</v>
      </c>
      <c r="L2028" s="594" t="s">
        <v>259</v>
      </c>
      <c r="M2028" s="594" t="s">
        <v>174</v>
      </c>
      <c r="N2028" s="52" t="str">
        <f>IF(AND('331-CT'!$E$7=TH!H2028,OR(L2028="331",M2028="331")),"331",IF(AND(OR(L2028="131",M2028="131"),H2028='131-CT'!$E$7),"131",""))</f>
        <v/>
      </c>
      <c r="O2028" s="86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99"/>
    </row>
    <row r="2029" spans="1:27" s="210" customFormat="1" ht="15.75" customHeight="1">
      <c r="A2029" s="203" t="str">
        <f>IF(B2029&lt;&gt;"",IF(AND(B2029&gt;=_TM1,B2029&lt;=_TM2,OR(TH!L2029="1111",TH!M2029="1111")),TH!D2029,""),"")</f>
        <v/>
      </c>
      <c r="B2029" s="36">
        <f>IF(C2029&lt;&gt;"",MONTH(C2029),"")</f>
        <v>10</v>
      </c>
      <c r="C2029" s="183">
        <f>E2029</f>
        <v>42305</v>
      </c>
      <c r="D2029" s="183" t="s">
        <v>1555</v>
      </c>
      <c r="E2029" s="190">
        <v>42305</v>
      </c>
      <c r="F2029" s="191" t="s">
        <v>402</v>
      </c>
      <c r="G2029" s="482" t="s">
        <v>1142</v>
      </c>
      <c r="H2029" s="192" t="s">
        <v>453</v>
      </c>
      <c r="I2029" s="255"/>
      <c r="J2029" s="255"/>
      <c r="K2029" s="593">
        <v>115875</v>
      </c>
      <c r="L2029" s="594" t="s">
        <v>259</v>
      </c>
      <c r="M2029" s="594" t="s">
        <v>371</v>
      </c>
      <c r="N2029" s="52" t="str">
        <f>IF(AND('331-CT'!$E$7=TH!H2029,OR(L2029="331",M2029="331")),"331",IF(AND(OR(L2029="131",M2029="131"),H2029='131-CT'!$E$7),"131",""))</f>
        <v/>
      </c>
      <c r="O2029" s="86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799"/>
    </row>
    <row r="2030" spans="1:27" s="210" customFormat="1" ht="15.75" customHeight="1">
      <c r="A2030" s="203" t="str">
        <f>IF(B2030&lt;&gt;"",IF(AND(B2030&gt;=_TM1,B2030&lt;=_TM2,OR(TH!L2030="1111",TH!M2030="1111")),TH!D2030,""),"")</f>
        <v/>
      </c>
      <c r="B2030" s="36">
        <f>IF(C2030&lt;&gt;"",MONTH(C2030),"")</f>
        <v>10</v>
      </c>
      <c r="C2030" s="183">
        <f>E2030</f>
        <v>42306</v>
      </c>
      <c r="D2030" s="183" t="s">
        <v>1556</v>
      </c>
      <c r="E2030" s="190">
        <v>42306</v>
      </c>
      <c r="F2030" s="191" t="s">
        <v>431</v>
      </c>
      <c r="G2030" s="482" t="s">
        <v>1143</v>
      </c>
      <c r="H2030" s="192" t="s">
        <v>950</v>
      </c>
      <c r="I2030" s="255">
        <v>110</v>
      </c>
      <c r="J2030" s="255">
        <v>7600</v>
      </c>
      <c r="K2030" s="593">
        <f>ROUND(I2030*J2030,0)</f>
        <v>836000</v>
      </c>
      <c r="L2030" s="594" t="s">
        <v>259</v>
      </c>
      <c r="M2030" s="594" t="s">
        <v>174</v>
      </c>
      <c r="N2030" s="52" t="str">
        <f>IF(AND('331-CT'!$E$7=TH!H2030,OR(L2030="331",M2030="331")),"331",IF(AND(OR(L2030="131",M2030="131"),H2030='131-CT'!$E$7),"131",""))</f>
        <v/>
      </c>
      <c r="O2030" s="86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99"/>
    </row>
    <row r="2031" spans="1:27" s="210" customFormat="1" ht="15.75" customHeight="1">
      <c r="A2031" s="203" t="str">
        <f>IF(B2031&lt;&gt;"",IF(AND(B2031&gt;=_TM1,B2031&lt;=_TM2,OR(TH!L2031="1111",TH!M2031="1111")),TH!D2031,""),"")</f>
        <v/>
      </c>
      <c r="B2031" s="36">
        <f>IF(C2031&lt;&gt;"",MONTH(C2031),"")</f>
        <v>10</v>
      </c>
      <c r="C2031" s="183">
        <f>E2031</f>
        <v>42306</v>
      </c>
      <c r="D2031" s="183" t="s">
        <v>1556</v>
      </c>
      <c r="E2031" s="37">
        <v>42306</v>
      </c>
      <c r="F2031" s="40" t="s">
        <v>1144</v>
      </c>
      <c r="G2031" s="40" t="s">
        <v>1143</v>
      </c>
      <c r="H2031" s="7" t="s">
        <v>950</v>
      </c>
      <c r="I2031" s="255">
        <v>52</v>
      </c>
      <c r="J2031" s="255">
        <v>8800</v>
      </c>
      <c r="K2031" s="593">
        <f>ROUND(I2031*J2031,0)</f>
        <v>457600</v>
      </c>
      <c r="L2031" s="594" t="s">
        <v>259</v>
      </c>
      <c r="M2031" s="594" t="s">
        <v>174</v>
      </c>
      <c r="N2031" s="52" t="str">
        <f>IF(AND('331-CT'!$E$7=TH!H2031,OR(L2031="331",M2031="331")),"331",IF(AND(OR(L2031="131",M2031="131"),H2031='131-CT'!$E$7),"131",""))</f>
        <v/>
      </c>
      <c r="O2031" s="86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99"/>
    </row>
    <row r="2032" spans="1:27" s="210" customFormat="1" ht="15.75" customHeight="1">
      <c r="A2032" s="203" t="str">
        <f>IF(B2032&lt;&gt;"",IF(AND(B2032&gt;=_TM1,B2032&lt;=_TM2,OR(TH!L2032="1111",TH!M2032="1111")),TH!D2032,""),"")</f>
        <v/>
      </c>
      <c r="B2032" s="36">
        <f>IF(C2032&lt;&gt;"",MONTH(C2032),"")</f>
        <v>10</v>
      </c>
      <c r="C2032" s="183">
        <f>E2032</f>
        <v>42306</v>
      </c>
      <c r="D2032" s="183" t="s">
        <v>1556</v>
      </c>
      <c r="E2032" s="37">
        <v>42306</v>
      </c>
      <c r="F2032" s="40" t="s">
        <v>602</v>
      </c>
      <c r="G2032" s="40" t="s">
        <v>1143</v>
      </c>
      <c r="H2032" s="7" t="s">
        <v>950</v>
      </c>
      <c r="I2032" s="255">
        <v>204</v>
      </c>
      <c r="J2032" s="255">
        <v>8950</v>
      </c>
      <c r="K2032" s="593">
        <f>ROUND(I2032*J2032,0)</f>
        <v>1825800</v>
      </c>
      <c r="L2032" s="594" t="s">
        <v>259</v>
      </c>
      <c r="M2032" s="594" t="s">
        <v>174</v>
      </c>
      <c r="N2032" s="52" t="str">
        <f>IF(AND('331-CT'!$E$7=TH!H2032,OR(L2032="331",M2032="331")),"331",IF(AND(OR(L2032="131",M2032="131"),H2032='131-CT'!$E$7),"131",""))</f>
        <v/>
      </c>
      <c r="O2032" s="86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99"/>
    </row>
    <row r="2033" spans="1:27" s="210" customFormat="1" ht="15.75" customHeight="1">
      <c r="A2033" s="203" t="str">
        <f>IF(B2033&lt;&gt;"",IF(AND(B2033&gt;=_TM1,B2033&lt;=_TM2,OR(TH!L2033="1111",TH!M2033="1111")),TH!D2033,""),"")</f>
        <v/>
      </c>
      <c r="B2033" s="36">
        <f>IF(C2033&lt;&gt;"",MONTH(C2033),"")</f>
        <v>10</v>
      </c>
      <c r="C2033" s="183">
        <f>E2033</f>
        <v>42306</v>
      </c>
      <c r="D2033" s="183" t="s">
        <v>1556</v>
      </c>
      <c r="E2033" s="183">
        <v>42306</v>
      </c>
      <c r="F2033" s="188" t="s">
        <v>430</v>
      </c>
      <c r="G2033" s="595" t="s">
        <v>1143</v>
      </c>
      <c r="H2033" s="7" t="s">
        <v>950</v>
      </c>
      <c r="I2033" s="255">
        <v>52</v>
      </c>
      <c r="J2033" s="255">
        <v>9100</v>
      </c>
      <c r="K2033" s="593">
        <f>ROUND(I2033*J2033,0)</f>
        <v>473200</v>
      </c>
      <c r="L2033" s="594" t="s">
        <v>259</v>
      </c>
      <c r="M2033" s="594" t="s">
        <v>174</v>
      </c>
      <c r="N2033" s="52" t="str">
        <f>IF(AND('331-CT'!$E$7=TH!H2033,OR(L2033="331",M2033="331")),"331",IF(AND(OR(L2033="131",M2033="131"),H2033='131-CT'!$E$7),"131",""))</f>
        <v/>
      </c>
      <c r="O2033" s="86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99"/>
    </row>
    <row r="2034" spans="1:27" s="210" customFormat="1" ht="15.75" customHeight="1">
      <c r="A2034" s="203" t="str">
        <f>IF(B2034&lt;&gt;"",IF(AND(B2034&gt;=_TM1,B2034&lt;=_TM2,OR(TH!L2034="1111",TH!M2034="1111")),TH!D2034,""),"")</f>
        <v/>
      </c>
      <c r="B2034" s="36">
        <f>IF(C2034&lt;&gt;"",MONTH(C2034),"")</f>
        <v>10</v>
      </c>
      <c r="C2034" s="183">
        <f>E2034</f>
        <v>42306</v>
      </c>
      <c r="D2034" s="183" t="s">
        <v>1556</v>
      </c>
      <c r="E2034" s="183">
        <v>42306</v>
      </c>
      <c r="F2034" s="188" t="s">
        <v>523</v>
      </c>
      <c r="G2034" s="595" t="s">
        <v>1143</v>
      </c>
      <c r="H2034" s="7" t="s">
        <v>950</v>
      </c>
      <c r="I2034" s="255">
        <v>110</v>
      </c>
      <c r="J2034" s="255">
        <v>9500</v>
      </c>
      <c r="K2034" s="593">
        <f>ROUND(I2034*J2034,0)</f>
        <v>1045000</v>
      </c>
      <c r="L2034" s="594" t="s">
        <v>259</v>
      </c>
      <c r="M2034" s="594" t="s">
        <v>174</v>
      </c>
      <c r="N2034" s="52" t="str">
        <f>IF(AND('331-CT'!$E$7=TH!H2034,OR(L2034="331",M2034="331")),"331",IF(AND(OR(L2034="131",M2034="131"),H2034='131-CT'!$E$7),"131",""))</f>
        <v/>
      </c>
      <c r="O2034" s="86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99"/>
    </row>
    <row r="2035" spans="1:27" s="210" customFormat="1" ht="15.75" customHeight="1">
      <c r="A2035" s="203" t="str">
        <f>IF(B2035&lt;&gt;"",IF(AND(B2035&gt;=_TM1,B2035&lt;=_TM2,OR(TH!L2035="1111",TH!M2035="1111")),TH!D2035,""),"")</f>
        <v/>
      </c>
      <c r="B2035" s="36">
        <f>IF(C2035&lt;&gt;"",MONTH(C2035),"")</f>
        <v>10</v>
      </c>
      <c r="C2035" s="183">
        <f>E2035</f>
        <v>42306</v>
      </c>
      <c r="D2035" s="183" t="s">
        <v>1556</v>
      </c>
      <c r="E2035" s="183">
        <v>42306</v>
      </c>
      <c r="F2035" s="188" t="s">
        <v>1145</v>
      </c>
      <c r="G2035" s="595" t="s">
        <v>1143</v>
      </c>
      <c r="H2035" s="7" t="s">
        <v>950</v>
      </c>
      <c r="I2035" s="255">
        <v>52</v>
      </c>
      <c r="J2035" s="255">
        <v>11500</v>
      </c>
      <c r="K2035" s="593">
        <f>ROUND(I2035*J2035,0)</f>
        <v>598000</v>
      </c>
      <c r="L2035" s="594" t="s">
        <v>259</v>
      </c>
      <c r="M2035" s="594" t="s">
        <v>174</v>
      </c>
      <c r="N2035" s="52" t="str">
        <f>IF(AND('331-CT'!$E$7=TH!H2035,OR(L2035="331",M2035="331")),"331",IF(AND(OR(L2035="131",M2035="131"),H2035='131-CT'!$E$7),"131",""))</f>
        <v/>
      </c>
      <c r="O2035" s="86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99"/>
    </row>
    <row r="2036" spans="1:27" s="210" customFormat="1" ht="15.75" customHeight="1">
      <c r="A2036" s="203" t="str">
        <f>IF(B2036&lt;&gt;"",IF(AND(B2036&gt;=_TM1,B2036&lt;=_TM2,OR(TH!L2036="1111",TH!M2036="1111")),TH!D2036,""),"")</f>
        <v/>
      </c>
      <c r="B2036" s="36">
        <f>IF(C2036&lt;&gt;"",MONTH(C2036),"")</f>
        <v>10</v>
      </c>
      <c r="C2036" s="183">
        <f>E2036</f>
        <v>42306</v>
      </c>
      <c r="D2036" s="183" t="s">
        <v>1556</v>
      </c>
      <c r="E2036" s="183">
        <v>42306</v>
      </c>
      <c r="F2036" s="188" t="s">
        <v>1146</v>
      </c>
      <c r="G2036" s="595" t="s">
        <v>1143</v>
      </c>
      <c r="H2036" s="7" t="s">
        <v>950</v>
      </c>
      <c r="I2036" s="255">
        <v>52</v>
      </c>
      <c r="J2036" s="255">
        <v>11800</v>
      </c>
      <c r="K2036" s="593">
        <f>ROUND(I2036*J2036,0)</f>
        <v>613600</v>
      </c>
      <c r="L2036" s="594" t="s">
        <v>259</v>
      </c>
      <c r="M2036" s="594" t="s">
        <v>174</v>
      </c>
      <c r="N2036" s="52" t="str">
        <f>IF(AND('331-CT'!$E$7=TH!H2036,OR(L2036="331",M2036="331")),"331",IF(AND(OR(L2036="131",M2036="131"),H2036='131-CT'!$E$7),"131",""))</f>
        <v/>
      </c>
      <c r="O2036" s="86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99"/>
    </row>
    <row r="2037" spans="1:27" s="210" customFormat="1" ht="15.75" customHeight="1">
      <c r="A2037" s="203" t="str">
        <f>IF(B2037&lt;&gt;"",IF(AND(B2037&gt;=_TM1,B2037&lt;=_TM2,OR(TH!L2037="1111",TH!M2037="1111")),TH!D2037,""),"")</f>
        <v/>
      </c>
      <c r="B2037" s="36">
        <f>IF(C2037&lt;&gt;"",MONTH(C2037),"")</f>
        <v>10</v>
      </c>
      <c r="C2037" s="183">
        <f>E2037</f>
        <v>42306</v>
      </c>
      <c r="D2037" s="183" t="s">
        <v>1556</v>
      </c>
      <c r="E2037" s="183">
        <v>42306</v>
      </c>
      <c r="F2037" s="188" t="s">
        <v>432</v>
      </c>
      <c r="G2037" s="595" t="s">
        <v>1143</v>
      </c>
      <c r="H2037" s="192" t="s">
        <v>950</v>
      </c>
      <c r="I2037" s="255">
        <v>131</v>
      </c>
      <c r="J2037" s="255">
        <v>13000</v>
      </c>
      <c r="K2037" s="593">
        <f>ROUND(I2037*J2037,0)</f>
        <v>1703000</v>
      </c>
      <c r="L2037" s="594" t="s">
        <v>259</v>
      </c>
      <c r="M2037" s="594" t="s">
        <v>174</v>
      </c>
      <c r="N2037" s="52" t="str">
        <f>IF(AND('331-CT'!$E$7=TH!H2037,OR(L2037="331",M2037="331")),"331",IF(AND(OR(L2037="131",M2037="131"),H2037='131-CT'!$E$7),"131",""))</f>
        <v/>
      </c>
      <c r="O2037" s="86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99"/>
    </row>
    <row r="2038" spans="1:27" s="210" customFormat="1" ht="15.75" customHeight="1">
      <c r="A2038" s="203" t="str">
        <f>IF(B2038&lt;&gt;"",IF(AND(B2038&gt;=_TM1,B2038&lt;=_TM2,OR(TH!L2038="1111",TH!M2038="1111")),TH!D2038,""),"")</f>
        <v/>
      </c>
      <c r="B2038" s="36">
        <f>IF(C2038&lt;&gt;"",MONTH(C2038),"")</f>
        <v>10</v>
      </c>
      <c r="C2038" s="183">
        <f>E2038</f>
        <v>42306</v>
      </c>
      <c r="D2038" s="183" t="s">
        <v>1556</v>
      </c>
      <c r="E2038" s="727">
        <v>42306</v>
      </c>
      <c r="F2038" s="188" t="s">
        <v>523</v>
      </c>
      <c r="G2038" s="40" t="s">
        <v>1143</v>
      </c>
      <c r="H2038" s="7" t="s">
        <v>950</v>
      </c>
      <c r="I2038" s="255">
        <v>104</v>
      </c>
      <c r="J2038" s="255">
        <v>13300</v>
      </c>
      <c r="K2038" s="593">
        <f>ROUND(I2038*J2038,0)</f>
        <v>1383200</v>
      </c>
      <c r="L2038" s="594" t="s">
        <v>259</v>
      </c>
      <c r="M2038" s="594" t="s">
        <v>174</v>
      </c>
      <c r="N2038" s="52" t="str">
        <f>IF(AND('331-CT'!$E$7=TH!H2038,OR(L2038="331",M2038="331")),"331",IF(AND(OR(L2038="131",M2038="131"),H2038='131-CT'!$E$7),"131",""))</f>
        <v/>
      </c>
      <c r="O2038" s="86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99"/>
    </row>
    <row r="2039" spans="1:27" s="210" customFormat="1" ht="15.75" customHeight="1">
      <c r="A2039" s="203" t="str">
        <f>IF(B2039&lt;&gt;"",IF(AND(B2039&gt;=_TM1,B2039&lt;=_TM2,OR(TH!L2039="1111",TH!M2039="1111")),TH!D2039,""),"")</f>
        <v/>
      </c>
      <c r="B2039" s="36">
        <f>IF(C2039&lt;&gt;"",MONTH(C2039),"")</f>
        <v>10</v>
      </c>
      <c r="C2039" s="183">
        <f>E2039</f>
        <v>42306</v>
      </c>
      <c r="D2039" s="183" t="s">
        <v>1556</v>
      </c>
      <c r="E2039" s="727">
        <v>42306</v>
      </c>
      <c r="F2039" s="188" t="s">
        <v>402</v>
      </c>
      <c r="G2039" s="40" t="s">
        <v>1143</v>
      </c>
      <c r="H2039" s="7" t="s">
        <v>950</v>
      </c>
      <c r="I2039" s="255"/>
      <c r="J2039" s="255"/>
      <c r="K2039" s="593">
        <v>893540</v>
      </c>
      <c r="L2039" s="594" t="s">
        <v>259</v>
      </c>
      <c r="M2039" s="594" t="s">
        <v>371</v>
      </c>
      <c r="N2039" s="52" t="str">
        <f>IF(AND('331-CT'!$E$7=TH!H2039,OR(L2039="331",M2039="331")),"331",IF(AND(OR(L2039="131",M2039="131"),H2039='131-CT'!$E$7),"131",""))</f>
        <v/>
      </c>
      <c r="O2039" s="86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99"/>
    </row>
    <row r="2040" spans="1:27" s="210" customFormat="1" ht="15.75" customHeight="1">
      <c r="A2040" s="203" t="str">
        <f>IF(B2040&lt;&gt;"",IF(AND(B2040&gt;=_TM1,B2040&lt;=_TM2,OR(TH!L2040="1111",TH!M2040="1111")),TH!D2040,""),"")</f>
        <v/>
      </c>
      <c r="B2040" s="36">
        <f>IF(C2040&lt;&gt;"",MONTH(C2040),"")</f>
        <v>10</v>
      </c>
      <c r="C2040" s="183">
        <f>E2040</f>
        <v>42306</v>
      </c>
      <c r="D2040" s="183" t="s">
        <v>1557</v>
      </c>
      <c r="E2040" s="727">
        <v>42306</v>
      </c>
      <c r="F2040" s="40" t="s">
        <v>1740</v>
      </c>
      <c r="G2040" s="40" t="s">
        <v>1147</v>
      </c>
      <c r="H2040" s="192" t="s">
        <v>1096</v>
      </c>
      <c r="I2040" s="255">
        <v>1490</v>
      </c>
      <c r="J2040" s="255">
        <v>10300</v>
      </c>
      <c r="K2040" s="593">
        <f>ROUND(I2040*J2040,0)</f>
        <v>15347000</v>
      </c>
      <c r="L2040" s="594" t="s">
        <v>259</v>
      </c>
      <c r="M2040" s="594" t="s">
        <v>174</v>
      </c>
      <c r="N2040" s="52" t="str">
        <f>IF(AND('331-CT'!$E$7=TH!H2040,OR(L2040="331",M2040="331")),"331",IF(AND(OR(L2040="131",M2040="131"),H2040='131-CT'!$E$7),"131",""))</f>
        <v/>
      </c>
      <c r="O2040" s="86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99"/>
    </row>
    <row r="2041" spans="1:27" s="210" customFormat="1" ht="15.75" customHeight="1">
      <c r="A2041" s="203" t="str">
        <f>IF(B2041&lt;&gt;"",IF(AND(B2041&gt;=_TM1,B2041&lt;=_TM2,OR(TH!L2041="1111",TH!M2041="1111")),TH!D2041,""),"")</f>
        <v/>
      </c>
      <c r="B2041" s="36">
        <f>IF(C2041&lt;&gt;"",MONTH(C2041),"")</f>
        <v>10</v>
      </c>
      <c r="C2041" s="183">
        <f>E2041</f>
        <v>42306</v>
      </c>
      <c r="D2041" s="183" t="s">
        <v>1557</v>
      </c>
      <c r="E2041" s="727">
        <v>42306</v>
      </c>
      <c r="F2041" s="188" t="s">
        <v>731</v>
      </c>
      <c r="G2041" s="40" t="s">
        <v>1147</v>
      </c>
      <c r="H2041" s="192" t="s">
        <v>1096</v>
      </c>
      <c r="I2041" s="750"/>
      <c r="J2041" s="255"/>
      <c r="K2041" s="593">
        <v>1534700</v>
      </c>
      <c r="L2041" s="594" t="s">
        <v>259</v>
      </c>
      <c r="M2041" s="594" t="s">
        <v>371</v>
      </c>
      <c r="N2041" s="52" t="str">
        <f>IF(AND('331-CT'!$E$7=TH!H2041,OR(L2041="331",M2041="331")),"331",IF(AND(OR(L2041="131",M2041="131"),H2041='131-CT'!$E$7),"131",""))</f>
        <v/>
      </c>
      <c r="O2041" s="86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99"/>
    </row>
    <row r="2042" spans="1:27" s="210" customFormat="1" ht="15.75" customHeight="1">
      <c r="A2042" s="203" t="str">
        <f>IF(B2042&lt;&gt;"",IF(AND(B2042&gt;=_TM1,B2042&lt;=_TM2,OR(TH!L2042="1111",TH!M2042="1111")),TH!D2042,""),"")</f>
        <v/>
      </c>
      <c r="B2042" s="36">
        <f>IF(C2042&lt;&gt;"",MONTH(C2042),"")</f>
        <v>10</v>
      </c>
      <c r="C2042" s="183">
        <f>E2042</f>
        <v>42306</v>
      </c>
      <c r="D2042" s="183" t="s">
        <v>1319</v>
      </c>
      <c r="E2042" s="190">
        <v>42306</v>
      </c>
      <c r="F2042" s="188" t="s">
        <v>1320</v>
      </c>
      <c r="G2042" s="482" t="s">
        <v>332</v>
      </c>
      <c r="H2042" s="7" t="s">
        <v>976</v>
      </c>
      <c r="I2042" s="255"/>
      <c r="J2042" s="255"/>
      <c r="K2042" s="593">
        <v>6388800</v>
      </c>
      <c r="L2042" s="594" t="s">
        <v>24</v>
      </c>
      <c r="M2042" s="594" t="s">
        <v>259</v>
      </c>
      <c r="N2042" s="52" t="str">
        <f>IF(AND('331-CT'!$E$7=TH!H2042,OR(L2042="331",M2042="331")),"331",IF(AND(OR(L2042="131",M2042="131"),H2042='131-CT'!$E$7),"131",""))</f>
        <v/>
      </c>
      <c r="O2042" s="86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99"/>
    </row>
    <row r="2043" spans="1:27" s="210" customFormat="1" ht="15.75" customHeight="1">
      <c r="A2043" s="203" t="str">
        <f>IF(B2043&lt;&gt;"",IF(AND(B2043&gt;=_TM1,B2043&lt;=_TM2,OR(TH!L2043="1111",TH!M2043="1111")),TH!D2043,""),"")</f>
        <v/>
      </c>
      <c r="B2043" s="36">
        <f>IF(C2043&lt;&gt;"",MONTH(C2043),"")</f>
        <v>10</v>
      </c>
      <c r="C2043" s="183">
        <f>E2043</f>
        <v>42306</v>
      </c>
      <c r="D2043" s="190" t="s">
        <v>2020</v>
      </c>
      <c r="E2043" s="727">
        <v>42306</v>
      </c>
      <c r="F2043" s="296" t="s">
        <v>1380</v>
      </c>
      <c r="G2043" s="482" t="s">
        <v>1476</v>
      </c>
      <c r="H2043" s="7" t="s">
        <v>1472</v>
      </c>
      <c r="I2043" s="255">
        <v>2820</v>
      </c>
      <c r="J2043" s="255">
        <v>8800</v>
      </c>
      <c r="K2043" s="593">
        <f>ROUND(I2043*J2043,0)</f>
        <v>24816000</v>
      </c>
      <c r="L2043" s="594" t="s">
        <v>159</v>
      </c>
      <c r="M2043" s="594" t="s">
        <v>8</v>
      </c>
      <c r="N2043" s="52" t="str">
        <f>IF(AND('331-CT'!$E$7=TH!H2043,OR(L2043="331",M2043="331")),"331",IF(AND(OR(L2043="131",M2043="131"),H2043='131-CT'!$E$7),"131",""))</f>
        <v/>
      </c>
      <c r="O2043" s="86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99"/>
    </row>
    <row r="2044" spans="1:27" s="210" customFormat="1" ht="15.75" customHeight="1">
      <c r="A2044" s="203" t="str">
        <f>IF(B2044&lt;&gt;"",IF(AND(B2044&gt;=_TM1,B2044&lt;=_TM2,OR(TH!L2044="1111",TH!M2044="1111")),TH!D2044,""),"")</f>
        <v/>
      </c>
      <c r="B2044" s="36">
        <f>IF(C2044&lt;&gt;"",MONTH(C2044),"")</f>
        <v>10</v>
      </c>
      <c r="C2044" s="183">
        <f>E2044</f>
        <v>42306</v>
      </c>
      <c r="D2044" s="190" t="s">
        <v>2020</v>
      </c>
      <c r="E2044" s="727">
        <v>42306</v>
      </c>
      <c r="F2044" s="296" t="s">
        <v>1381</v>
      </c>
      <c r="G2044" s="482" t="s">
        <v>1476</v>
      </c>
      <c r="H2044" s="7" t="s">
        <v>1472</v>
      </c>
      <c r="I2044" s="255"/>
      <c r="J2044" s="255"/>
      <c r="K2044" s="593">
        <v>2481600</v>
      </c>
      <c r="L2044" s="594" t="s">
        <v>9</v>
      </c>
      <c r="M2044" s="594" t="s">
        <v>8</v>
      </c>
      <c r="N2044" s="52" t="str">
        <f>IF(AND('331-CT'!$E$7=TH!H2044,OR(L2044="331",M2044="331")),"331",IF(AND(OR(L2044="131",M2044="131"),H2044='131-CT'!$E$7),"131",""))</f>
        <v/>
      </c>
      <c r="O2044" s="86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99"/>
    </row>
    <row r="2045" spans="1:27" s="210" customFormat="1" ht="15.75" customHeight="1">
      <c r="A2045" s="203" t="str">
        <f>IF(B2045&lt;&gt;"",IF(AND(B2045&gt;=_TM1,B2045&lt;=_TM2,OR(TH!L2045="1111",TH!M2045="1111")),TH!D2045,""),"")</f>
        <v/>
      </c>
      <c r="B2045" s="36">
        <f>IF(C2045&lt;&gt;"",MONTH(C2045),"")</f>
        <v>10</v>
      </c>
      <c r="C2045" s="183">
        <f>E2045</f>
        <v>42307</v>
      </c>
      <c r="D2045" s="183" t="s">
        <v>1319</v>
      </c>
      <c r="E2045" s="190">
        <v>42307</v>
      </c>
      <c r="F2045" s="188" t="s">
        <v>1320</v>
      </c>
      <c r="G2045" s="482" t="s">
        <v>332</v>
      </c>
      <c r="H2045" s="7" t="s">
        <v>762</v>
      </c>
      <c r="I2045" s="255"/>
      <c r="J2045" s="255"/>
      <c r="K2045" s="593">
        <v>3491840</v>
      </c>
      <c r="L2045" s="594" t="s">
        <v>24</v>
      </c>
      <c r="M2045" s="594" t="s">
        <v>259</v>
      </c>
      <c r="N2045" s="52" t="str">
        <f>IF(AND('331-CT'!$E$7=TH!H2045,OR(L2045="331",M2045="331")),"331",IF(AND(OR(L2045="131",M2045="131"),H2045='131-CT'!$E$7),"131",""))</f>
        <v/>
      </c>
      <c r="O2045" s="86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99"/>
    </row>
    <row r="2046" spans="1:27" s="210" customFormat="1" ht="15.75" customHeight="1">
      <c r="A2046" s="203" t="str">
        <f>IF(B2046&lt;&gt;"",IF(AND(B2046&gt;=_TM1,B2046&lt;=_TM2,OR(TH!L2046="1111",TH!M2046="1111")),TH!D2046,""),"")</f>
        <v/>
      </c>
      <c r="B2046" s="36">
        <f>IF(C2046&lt;&gt;"",MONTH(C2046),"")</f>
        <v>10</v>
      </c>
      <c r="C2046" s="183">
        <f>E2046</f>
        <v>42307</v>
      </c>
      <c r="D2046" s="183" t="s">
        <v>1319</v>
      </c>
      <c r="E2046" s="190">
        <v>42307</v>
      </c>
      <c r="F2046" s="188" t="s">
        <v>1320</v>
      </c>
      <c r="G2046" s="482" t="s">
        <v>332</v>
      </c>
      <c r="H2046" s="7" t="s">
        <v>957</v>
      </c>
      <c r="I2046" s="255"/>
      <c r="J2046" s="255"/>
      <c r="K2046" s="593">
        <v>4902700</v>
      </c>
      <c r="L2046" s="594" t="s">
        <v>24</v>
      </c>
      <c r="M2046" s="594" t="s">
        <v>259</v>
      </c>
      <c r="N2046" s="52" t="str">
        <f>IF(AND('331-CT'!$E$7=TH!H2046,OR(L2046="331",M2046="331")),"331",IF(AND(OR(L2046="131",M2046="131"),H2046='131-CT'!$E$7),"131",""))</f>
        <v/>
      </c>
      <c r="O2046" s="86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>x</v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99"/>
    </row>
    <row r="2047" spans="1:27" s="210" customFormat="1" ht="15.75" customHeight="1">
      <c r="A2047" s="203" t="str">
        <f>IF(B2047&lt;&gt;"",IF(AND(B2047&gt;=_TM1,B2047&lt;=_TM2,OR(TH!L2047="1111",TH!M2047="1111")),TH!D2047,""),"")</f>
        <v/>
      </c>
      <c r="B2047" s="36">
        <f>IF(C2047&lt;&gt;"",MONTH(C2047),"")</f>
        <v>10</v>
      </c>
      <c r="C2047" s="183">
        <f>E2047</f>
        <v>42307</v>
      </c>
      <c r="D2047" s="183" t="s">
        <v>1319</v>
      </c>
      <c r="E2047" s="190">
        <v>42307</v>
      </c>
      <c r="F2047" s="188" t="s">
        <v>1320</v>
      </c>
      <c r="G2047" s="482" t="s">
        <v>332</v>
      </c>
      <c r="H2047" s="7" t="s">
        <v>400</v>
      </c>
      <c r="I2047" s="255"/>
      <c r="J2047" s="255"/>
      <c r="K2047" s="593">
        <v>10487235</v>
      </c>
      <c r="L2047" s="594" t="s">
        <v>24</v>
      </c>
      <c r="M2047" s="594" t="s">
        <v>259</v>
      </c>
      <c r="N2047" s="52" t="str">
        <f>IF(AND('331-CT'!$E$7=TH!H2047,OR(L2047="331",M2047="331")),"331",IF(AND(OR(L2047="131",M2047="131"),H2047='131-CT'!$E$7),"131",""))</f>
        <v/>
      </c>
      <c r="O2047" s="86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>x</v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99"/>
    </row>
    <row r="2048" spans="1:27" s="210" customFormat="1" ht="15.75" customHeight="1">
      <c r="A2048" s="203" t="str">
        <f>IF(B2048&lt;&gt;"",IF(AND(B2048&gt;=_TM1,B2048&lt;=_TM2,OR(TH!L2048="1111",TH!M2048="1111")),TH!D2048,""),"")</f>
        <v>GBN</v>
      </c>
      <c r="B2048" s="36">
        <f>IF(C2048&lt;&gt;"",MONTH(C2048),"")</f>
        <v>10</v>
      </c>
      <c r="C2048" s="183">
        <f>E2048</f>
        <v>42307</v>
      </c>
      <c r="D2048" s="183" t="s">
        <v>1324</v>
      </c>
      <c r="E2048" s="190">
        <v>42307</v>
      </c>
      <c r="F2048" s="188" t="s">
        <v>1325</v>
      </c>
      <c r="G2048" s="482" t="s">
        <v>332</v>
      </c>
      <c r="H2048" s="7" t="s">
        <v>1340</v>
      </c>
      <c r="I2048" s="255"/>
      <c r="J2048" s="255"/>
      <c r="K2048" s="593">
        <v>25000000</v>
      </c>
      <c r="L2048" s="594" t="s">
        <v>47</v>
      </c>
      <c r="M2048" s="594" t="s">
        <v>24</v>
      </c>
      <c r="N2048" s="52" t="str">
        <f>IF(AND('331-CT'!$E$7=TH!H2048,OR(L2048="331",M2048="331")),"331",IF(AND(OR(L2048="131",M2048="131"),H2048='131-CT'!$E$7),"131",""))</f>
        <v/>
      </c>
      <c r="O2048" s="86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>x</v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99"/>
    </row>
    <row r="2049" spans="1:28" s="210" customFormat="1" ht="15.75" customHeight="1">
      <c r="A2049" s="203" t="str">
        <f>IF(B2049&lt;&gt;"",IF(AND(B2049&gt;=_TM1,B2049&lt;=_TM2,OR(TH!L2049="1111",TH!M2049="1111")),TH!D2049,""),"")</f>
        <v/>
      </c>
      <c r="B2049" s="36">
        <f>IF(C2049&lt;&gt;"",MONTH(C2049),"")</f>
        <v>10</v>
      </c>
      <c r="C2049" s="888">
        <f>E2049</f>
        <v>42308</v>
      </c>
      <c r="D2049" s="888" t="s">
        <v>334</v>
      </c>
      <c r="E2049" s="888">
        <v>42308</v>
      </c>
      <c r="F2049" s="889" t="s">
        <v>1939</v>
      </c>
      <c r="G2049" s="890"/>
      <c r="H2049" s="891"/>
      <c r="I2049" s="892"/>
      <c r="J2049" s="892"/>
      <c r="K2049" s="893">
        <v>16715000</v>
      </c>
      <c r="L2049" s="894" t="s">
        <v>83</v>
      </c>
      <c r="M2049" s="894" t="s">
        <v>262</v>
      </c>
      <c r="N2049" s="52" t="str">
        <f>IF(AND('331-CT'!$E$7=TH!H2049,OR(L2049="331",M2049="331")),"331",IF(AND(OR(L2049="131",M2049="131"),H2049='131-CT'!$E$7),"131",""))</f>
        <v/>
      </c>
      <c r="O2049" s="86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>x</v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197"/>
      <c r="AB2049" s="197"/>
    </row>
    <row r="2050" spans="1:28" s="210" customFormat="1" ht="15.75" customHeight="1">
      <c r="A2050" s="203" t="str">
        <f>IF(B2050&lt;&gt;"",IF(AND(B2050&gt;=_TM1,B2050&lt;=_TM2,OR(TH!L2050="1111",TH!M2050="1111")),TH!D2050,""),"")</f>
        <v/>
      </c>
      <c r="B2050" s="36">
        <f>IF(C2050&lt;&gt;"",MONTH(C2050),"")</f>
        <v>10</v>
      </c>
      <c r="C2050" s="888">
        <f>E2050</f>
        <v>42308</v>
      </c>
      <c r="D2050" s="888" t="s">
        <v>334</v>
      </c>
      <c r="E2050" s="888">
        <v>42308</v>
      </c>
      <c r="F2050" s="889" t="s">
        <v>1940</v>
      </c>
      <c r="G2050" s="890"/>
      <c r="H2050" s="891"/>
      <c r="I2050" s="892"/>
      <c r="J2050" s="892"/>
      <c r="K2050" s="893">
        <v>34635000</v>
      </c>
      <c r="L2050" s="894" t="s">
        <v>165</v>
      </c>
      <c r="M2050" s="894" t="s">
        <v>262</v>
      </c>
      <c r="N2050" s="52" t="str">
        <f>IF(AND('331-CT'!$E$7=TH!H2050,OR(L2050="331",M2050="331")),"331",IF(AND(OR(L2050="131",M2050="131"),H2050='131-CT'!$E$7),"131",""))</f>
        <v/>
      </c>
      <c r="O2050" s="86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197"/>
      <c r="AB2050" s="197"/>
    </row>
    <row r="2051" spans="1:28" s="210" customFormat="1" ht="15.75" customHeight="1">
      <c r="A2051" s="203" t="str">
        <f>IF(B2051&lt;&gt;"",IF(AND(B2051&gt;=_TM1,B2051&lt;=_TM2,OR(TH!L2051="1111",TH!M2051="1111")),TH!D2051,""),"")</f>
        <v>CTGS</v>
      </c>
      <c r="B2051" s="36">
        <f>IF(C2051&lt;&gt;"",MONTH(C2051),"")</f>
        <v>10</v>
      </c>
      <c r="C2051" s="888">
        <f>E2051</f>
        <v>42308</v>
      </c>
      <c r="D2051" s="888" t="s">
        <v>334</v>
      </c>
      <c r="E2051" s="888">
        <v>42308</v>
      </c>
      <c r="F2051" s="889" t="str">
        <f>"Thanh toán tiền lương tháng "&amp;MONTH(E2051)&amp;"/"&amp;YEAR(E2051)</f>
        <v>Thanh toán tiền lương tháng 10/2015</v>
      </c>
      <c r="G2051" s="890"/>
      <c r="H2051" s="891"/>
      <c r="I2051" s="892"/>
      <c r="J2051" s="892"/>
      <c r="K2051" s="893">
        <f>K2049+K2050</f>
        <v>51350000</v>
      </c>
      <c r="L2051" s="894" t="s">
        <v>262</v>
      </c>
      <c r="M2051" s="894" t="s">
        <v>47</v>
      </c>
      <c r="N2051" s="52" t="str">
        <f>IF(AND('331-CT'!$E$7=TH!H2051,OR(L2051="331",M2051="331")),"331",IF(AND(OR(L2051="131",M2051="131"),H2051='131-CT'!$E$7),"131",""))</f>
        <v/>
      </c>
      <c r="O2051" s="86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197"/>
      <c r="AB2051" s="197"/>
    </row>
    <row r="2052" spans="1:28" s="210" customFormat="1" ht="15.75" customHeight="1">
      <c r="A2052" s="203" t="str">
        <f>IF(B2052&lt;&gt;"",IF(AND(B2052&gt;=_TM1,B2052&lt;=_TM2,OR(TH!L2052="1111",TH!M2052="1111")),TH!D2052,""),"")</f>
        <v/>
      </c>
      <c r="B2052" s="36">
        <f>IF(C2052&lt;&gt;"",MONTH(C2052),"")</f>
        <v>10</v>
      </c>
      <c r="C2052" s="183">
        <f>E2052</f>
        <v>42308</v>
      </c>
      <c r="D2052" s="183" t="s">
        <v>1558</v>
      </c>
      <c r="E2052" s="727">
        <v>42308</v>
      </c>
      <c r="F2052" s="188" t="s">
        <v>1120</v>
      </c>
      <c r="G2052" s="40" t="s">
        <v>1148</v>
      </c>
      <c r="H2052" s="7" t="s">
        <v>1013</v>
      </c>
      <c r="I2052" s="750">
        <v>1000</v>
      </c>
      <c r="J2052" s="255">
        <v>13300</v>
      </c>
      <c r="K2052" s="593">
        <f>ROUND(I2052*J2052,0)</f>
        <v>13300000</v>
      </c>
      <c r="L2052" s="594" t="s">
        <v>259</v>
      </c>
      <c r="M2052" s="594" t="s">
        <v>174</v>
      </c>
      <c r="N2052" s="52" t="str">
        <f>IF(AND('331-CT'!$E$7=TH!H2052,OR(L2052="331",M2052="331")),"331",IF(AND(OR(L2052="131",M2052="131"),H2052='131-CT'!$E$7),"131",""))</f>
        <v/>
      </c>
      <c r="O2052" s="86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99"/>
    </row>
    <row r="2053" spans="1:28" s="210" customFormat="1" ht="15.75" customHeight="1">
      <c r="A2053" s="203" t="str">
        <f>IF(B2053&lt;&gt;"",IF(AND(B2053&gt;=_TM1,B2053&lt;=_TM2,OR(TH!L2053="1111",TH!M2053="1111")),TH!D2053,""),"")</f>
        <v/>
      </c>
      <c r="B2053" s="36">
        <f>IF(C2053&lt;&gt;"",MONTH(C2053),"")</f>
        <v>10</v>
      </c>
      <c r="C2053" s="183">
        <f>E2053</f>
        <v>42308</v>
      </c>
      <c r="D2053" s="183" t="s">
        <v>1558</v>
      </c>
      <c r="E2053" s="727">
        <v>42308</v>
      </c>
      <c r="F2053" s="188" t="s">
        <v>402</v>
      </c>
      <c r="G2053" s="40" t="s">
        <v>1148</v>
      </c>
      <c r="H2053" s="7" t="s">
        <v>1013</v>
      </c>
      <c r="I2053" s="255"/>
      <c r="J2053" s="255"/>
      <c r="K2053" s="593">
        <v>1330000</v>
      </c>
      <c r="L2053" s="594" t="s">
        <v>259</v>
      </c>
      <c r="M2053" s="594" t="s">
        <v>371</v>
      </c>
      <c r="N2053" s="52" t="str">
        <f>IF(AND('331-CT'!$E$7=TH!H2053,OR(L2053="331",M2053="331")),"331",IF(AND(OR(L2053="131",M2053="131"),H2053='131-CT'!$E$7),"131",""))</f>
        <v/>
      </c>
      <c r="O2053" s="86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799"/>
    </row>
    <row r="2054" spans="1:28" s="210" customFormat="1" ht="15.75" customHeight="1">
      <c r="A2054" s="203" t="str">
        <f>IF(B2054&lt;&gt;"",IF(AND(B2054&gt;=_TM1,B2054&lt;=_TM2,OR(TH!L2054="1111",TH!M2054="1111")),TH!D2054,""),"")</f>
        <v/>
      </c>
      <c r="B2054" s="36">
        <f>IF(C2054&lt;&gt;"",MONTH(C2054),"")</f>
        <v>10</v>
      </c>
      <c r="C2054" s="183">
        <f>E2054</f>
        <v>42308</v>
      </c>
      <c r="D2054" s="183" t="s">
        <v>1559</v>
      </c>
      <c r="E2054" s="727">
        <v>42308</v>
      </c>
      <c r="F2054" s="188" t="s">
        <v>1948</v>
      </c>
      <c r="G2054" s="40" t="s">
        <v>1149</v>
      </c>
      <c r="H2054" s="7" t="s">
        <v>957</v>
      </c>
      <c r="I2054" s="255">
        <v>1667</v>
      </c>
      <c r="J2054" s="255">
        <v>11800</v>
      </c>
      <c r="K2054" s="593">
        <f>ROUND(I2054*J2054,0)</f>
        <v>19670600</v>
      </c>
      <c r="L2054" s="594" t="s">
        <v>259</v>
      </c>
      <c r="M2054" s="594" t="s">
        <v>174</v>
      </c>
      <c r="N2054" s="52" t="str">
        <f>IF(AND('331-CT'!$E$7=TH!H2054,OR(L2054="331",M2054="331")),"331",IF(AND(OR(L2054="131",M2054="131"),H2054='131-CT'!$E$7),"131",""))</f>
        <v/>
      </c>
      <c r="O2054" s="86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799"/>
    </row>
    <row r="2055" spans="1:28" s="210" customFormat="1" ht="15.75" customHeight="1">
      <c r="A2055" s="203" t="str">
        <f>IF(B2055&lt;&gt;"",IF(AND(B2055&gt;=_TM1,B2055&lt;=_TM2,OR(TH!L2055="1111",TH!M2055="1111")),TH!D2055,""),"")</f>
        <v/>
      </c>
      <c r="B2055" s="36">
        <f>IF(C2055&lt;&gt;"",MONTH(C2055),"")</f>
        <v>10</v>
      </c>
      <c r="C2055" s="183">
        <f>E2055</f>
        <v>42308</v>
      </c>
      <c r="D2055" s="183" t="s">
        <v>1559</v>
      </c>
      <c r="E2055" s="727">
        <v>42308</v>
      </c>
      <c r="F2055" s="296" t="s">
        <v>402</v>
      </c>
      <c r="G2055" s="40" t="s">
        <v>1149</v>
      </c>
      <c r="H2055" s="7" t="s">
        <v>957</v>
      </c>
      <c r="I2055" s="255"/>
      <c r="J2055" s="255"/>
      <c r="K2055" s="593">
        <v>1967060</v>
      </c>
      <c r="L2055" s="594" t="s">
        <v>259</v>
      </c>
      <c r="M2055" s="594" t="s">
        <v>371</v>
      </c>
      <c r="N2055" s="52" t="str">
        <f>IF(AND('331-CT'!$E$7=TH!H2055,OR(L2055="331",M2055="331")),"331",IF(AND(OR(L2055="131",M2055="131"),H2055='131-CT'!$E$7),"131",""))</f>
        <v/>
      </c>
      <c r="O2055" s="86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799"/>
    </row>
    <row r="2056" spans="1:28" s="210" customFormat="1" ht="15.75" customHeight="1">
      <c r="A2056" s="203" t="str">
        <f>IF(B2056&lt;&gt;"",IF(AND(B2056&gt;=_TM1,B2056&lt;=_TM2,OR(TH!L2056="1111",TH!M2056="1111")),TH!D2056,""),"")</f>
        <v/>
      </c>
      <c r="B2056" s="36">
        <f>IF(C2056&lt;&gt;"",MONTH(C2056),"")</f>
        <v>10</v>
      </c>
      <c r="C2056" s="183">
        <f>E2056</f>
        <v>42308</v>
      </c>
      <c r="D2056" s="183" t="s">
        <v>1560</v>
      </c>
      <c r="E2056" s="727">
        <v>42308</v>
      </c>
      <c r="F2056" s="40" t="s">
        <v>454</v>
      </c>
      <c r="G2056" s="40" t="s">
        <v>1150</v>
      </c>
      <c r="H2056" s="7" t="s">
        <v>733</v>
      </c>
      <c r="I2056" s="255">
        <v>300</v>
      </c>
      <c r="J2056" s="255">
        <v>47449</v>
      </c>
      <c r="K2056" s="593">
        <f>ROUND(I2056*J2056,0)</f>
        <v>14234700</v>
      </c>
      <c r="L2056" s="594" t="s">
        <v>259</v>
      </c>
      <c r="M2056" s="594" t="s">
        <v>174</v>
      </c>
      <c r="N2056" s="52" t="str">
        <f>IF(AND('331-CT'!$E$7=TH!H2056,OR(L2056="331",M2056="331")),"331",IF(AND(OR(L2056="131",M2056="131"),H2056='131-CT'!$E$7),"131",""))</f>
        <v/>
      </c>
      <c r="O2056" s="86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799"/>
    </row>
    <row r="2057" spans="1:28" s="210" customFormat="1" ht="15.75" customHeight="1">
      <c r="A2057" s="203" t="str">
        <f>IF(B2057&lt;&gt;"",IF(AND(B2057&gt;=_TM1,B2057&lt;=_TM2,OR(TH!L2057="1111",TH!M2057="1111")),TH!D2057,""),"")</f>
        <v/>
      </c>
      <c r="B2057" s="36">
        <f>IF(C2057&lt;&gt;"",MONTH(C2057),"")</f>
        <v>10</v>
      </c>
      <c r="C2057" s="183">
        <f>E2057</f>
        <v>42308</v>
      </c>
      <c r="D2057" s="183" t="s">
        <v>1560</v>
      </c>
      <c r="E2057" s="727">
        <v>42308</v>
      </c>
      <c r="F2057" s="188" t="s">
        <v>402</v>
      </c>
      <c r="G2057" s="40" t="s">
        <v>1150</v>
      </c>
      <c r="H2057" s="7" t="s">
        <v>733</v>
      </c>
      <c r="I2057" s="255"/>
      <c r="J2057" s="255"/>
      <c r="K2057" s="593">
        <v>1423470</v>
      </c>
      <c r="L2057" s="594" t="s">
        <v>259</v>
      </c>
      <c r="M2057" s="594" t="s">
        <v>371</v>
      </c>
      <c r="N2057" s="52" t="str">
        <f>IF(AND('331-CT'!$E$7=TH!H2057,OR(L2057="331",M2057="331")),"331",IF(AND(OR(L2057="131",M2057="131"),H2057='131-CT'!$E$7),"131",""))</f>
        <v/>
      </c>
      <c r="O2057" s="86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99"/>
    </row>
    <row r="2058" spans="1:28" s="210" customFormat="1" ht="15.75" customHeight="1">
      <c r="A2058" s="203" t="str">
        <f>IF(B2058&lt;&gt;"",IF(AND(B2058&gt;=_TM1,B2058&lt;=_TM2,OR(TH!L2058="1111",TH!M2058="1111")),TH!D2058,""),"")</f>
        <v/>
      </c>
      <c r="B2058" s="36">
        <f>IF(C2058&lt;&gt;"",MONTH(C2058),"")</f>
        <v>11</v>
      </c>
      <c r="C2058" s="183">
        <f>E2058</f>
        <v>42310</v>
      </c>
      <c r="D2058" s="183" t="s">
        <v>1324</v>
      </c>
      <c r="E2058" s="190">
        <v>42310</v>
      </c>
      <c r="F2058" s="188" t="s">
        <v>1320</v>
      </c>
      <c r="G2058" s="482" t="s">
        <v>332</v>
      </c>
      <c r="H2058" s="7" t="s">
        <v>1013</v>
      </c>
      <c r="I2058" s="255"/>
      <c r="J2058" s="255"/>
      <c r="K2058" s="593">
        <v>14630000</v>
      </c>
      <c r="L2058" s="594" t="s">
        <v>24</v>
      </c>
      <c r="M2058" s="594" t="s">
        <v>259</v>
      </c>
      <c r="N2058" s="52" t="str">
        <f>IF(AND('331-CT'!$E$7=TH!H2058,OR(L2058="331",M2058="331")),"331",IF(AND(OR(L2058="131",M2058="131"),H2058='131-CT'!$E$7),"131",""))</f>
        <v/>
      </c>
      <c r="O2058" s="86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>x</v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99"/>
    </row>
    <row r="2059" spans="1:28" s="210" customFormat="1" ht="15.75" customHeight="1">
      <c r="A2059" s="203" t="str">
        <f>IF(B2059&lt;&gt;"",IF(AND(B2059&gt;=_TM1,B2059&lt;=_TM2,OR(TH!L2059="1111",TH!M2059="1111")),TH!D2059,""),"")</f>
        <v>GBN</v>
      </c>
      <c r="B2059" s="36">
        <f>IF(C2059&lt;&gt;"",MONTH(C2059),"")</f>
        <v>11</v>
      </c>
      <c r="C2059" s="183">
        <f>E2059</f>
        <v>42310</v>
      </c>
      <c r="D2059" s="183" t="s">
        <v>1324</v>
      </c>
      <c r="E2059" s="190">
        <v>42310</v>
      </c>
      <c r="F2059" s="188" t="s">
        <v>1325</v>
      </c>
      <c r="G2059" s="482" t="s">
        <v>332</v>
      </c>
      <c r="H2059" s="7" t="s">
        <v>1337</v>
      </c>
      <c r="I2059" s="255"/>
      <c r="J2059" s="255"/>
      <c r="K2059" s="593">
        <v>14900000</v>
      </c>
      <c r="L2059" s="594" t="s">
        <v>47</v>
      </c>
      <c r="M2059" s="594" t="s">
        <v>24</v>
      </c>
      <c r="N2059" s="52" t="str">
        <f>IF(AND('331-CT'!$E$7=TH!H2059,OR(L2059="331",M2059="331")),"331",IF(AND(OR(L2059="131",M2059="131"),H2059='131-CT'!$E$7),"131",""))</f>
        <v/>
      </c>
      <c r="O2059" s="86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>x</v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99"/>
    </row>
    <row r="2060" spans="1:28" s="210" customFormat="1" ht="15.75" customHeight="1">
      <c r="A2060" s="203" t="str">
        <f>IF(B2060&lt;&gt;"",IF(AND(B2060&gt;=_TM1,B2060&lt;=_TM2,OR(TH!L2060="1111",TH!M2060="1111")),TH!D2060,""),"")</f>
        <v/>
      </c>
      <c r="B2060" s="36">
        <f>IF(C2060&lt;&gt;"",MONTH(C2060),"")</f>
        <v>11</v>
      </c>
      <c r="C2060" s="183">
        <f>E2060</f>
        <v>42311</v>
      </c>
      <c r="D2060" s="183" t="s">
        <v>1561</v>
      </c>
      <c r="E2060" s="727">
        <v>42311</v>
      </c>
      <c r="F2060" s="188" t="s">
        <v>454</v>
      </c>
      <c r="G2060" s="40" t="s">
        <v>1151</v>
      </c>
      <c r="H2060" s="7" t="s">
        <v>733</v>
      </c>
      <c r="I2060" s="255">
        <v>248</v>
      </c>
      <c r="J2060" s="255">
        <v>47449</v>
      </c>
      <c r="K2060" s="593">
        <f>ROUND(I2060*J2060,0)</f>
        <v>11767352</v>
      </c>
      <c r="L2060" s="594" t="s">
        <v>259</v>
      </c>
      <c r="M2060" s="594" t="s">
        <v>174</v>
      </c>
      <c r="N2060" s="52" t="str">
        <f>IF(AND('331-CT'!$E$7=TH!H2060,OR(L2060="331",M2060="331")),"331",IF(AND(OR(L2060="131",M2060="131"),H2060='131-CT'!$E$7),"131",""))</f>
        <v/>
      </c>
      <c r="O2060" s="86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99"/>
    </row>
    <row r="2061" spans="1:28" s="210" customFormat="1" ht="15.75" customHeight="1">
      <c r="A2061" s="203" t="str">
        <f>IF(B2061&lt;&gt;"",IF(AND(B2061&gt;=_TM1,B2061&lt;=_TM2,OR(TH!L2061="1111",TH!M2061="1111")),TH!D2061,""),"")</f>
        <v/>
      </c>
      <c r="B2061" s="36">
        <f>IF(C2061&lt;&gt;"",MONTH(C2061),"")</f>
        <v>11</v>
      </c>
      <c r="C2061" s="183">
        <f>E2061</f>
        <v>42311</v>
      </c>
      <c r="D2061" s="183" t="s">
        <v>1561</v>
      </c>
      <c r="E2061" s="727">
        <v>42311</v>
      </c>
      <c r="F2061" s="188" t="s">
        <v>402</v>
      </c>
      <c r="G2061" s="40" t="s">
        <v>1151</v>
      </c>
      <c r="H2061" s="7" t="s">
        <v>733</v>
      </c>
      <c r="I2061" s="255"/>
      <c r="J2061" s="255"/>
      <c r="K2061" s="593">
        <v>1176735</v>
      </c>
      <c r="L2061" s="594" t="s">
        <v>259</v>
      </c>
      <c r="M2061" s="594" t="s">
        <v>371</v>
      </c>
      <c r="N2061" s="52" t="str">
        <f>IF(AND('331-CT'!$E$7=TH!H2061,OR(L2061="331",M2061="331")),"331",IF(AND(OR(L2061="131",M2061="131"),H2061='131-CT'!$E$7),"131",""))</f>
        <v/>
      </c>
      <c r="O2061" s="86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99"/>
    </row>
    <row r="2062" spans="1:28" s="210" customFormat="1" ht="15.75" customHeight="1">
      <c r="A2062" s="203" t="str">
        <f>IF(B2062&lt;&gt;"",IF(AND(B2062&gt;=_TM1,B2062&lt;=_TM2,OR(TH!L2062="1111",TH!M2062="1111")),TH!D2062,""),"")</f>
        <v/>
      </c>
      <c r="B2062" s="36">
        <f>IF(C2062&lt;&gt;"",MONTH(C2062),"")</f>
        <v>11</v>
      </c>
      <c r="C2062" s="183">
        <f>E2062</f>
        <v>42311</v>
      </c>
      <c r="D2062" s="183" t="s">
        <v>1562</v>
      </c>
      <c r="E2062" s="727">
        <v>42311</v>
      </c>
      <c r="F2062" s="188" t="s">
        <v>518</v>
      </c>
      <c r="G2062" s="40" t="s">
        <v>1152</v>
      </c>
      <c r="H2062" s="192" t="s">
        <v>793</v>
      </c>
      <c r="I2062" s="255">
        <v>511</v>
      </c>
      <c r="J2062" s="255">
        <v>8600</v>
      </c>
      <c r="K2062" s="593">
        <f>ROUND(I2062*J2062,0)</f>
        <v>4394600</v>
      </c>
      <c r="L2062" s="594" t="s">
        <v>259</v>
      </c>
      <c r="M2062" s="594" t="s">
        <v>174</v>
      </c>
      <c r="N2062" s="52" t="str">
        <f>IF(AND('331-CT'!$E$7=TH!H2062,OR(L2062="331",M2062="331")),"331",IF(AND(OR(L2062="131",M2062="131"),H2062='131-CT'!$E$7),"131",""))</f>
        <v/>
      </c>
      <c r="O2062" s="86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99"/>
    </row>
    <row r="2063" spans="1:28" s="210" customFormat="1" ht="15.75" customHeight="1">
      <c r="A2063" s="203" t="str">
        <f>IF(B2063&lt;&gt;"",IF(AND(B2063&gt;=_TM1,B2063&lt;=_TM2,OR(TH!L2063="1111",TH!M2063="1111")),TH!D2063,""),"")</f>
        <v/>
      </c>
      <c r="B2063" s="36">
        <f>IF(C2063&lt;&gt;"",MONTH(C2063),"")</f>
        <v>11</v>
      </c>
      <c r="C2063" s="183">
        <f>E2063</f>
        <v>42311</v>
      </c>
      <c r="D2063" s="183" t="s">
        <v>1562</v>
      </c>
      <c r="E2063" s="727">
        <v>42311</v>
      </c>
      <c r="F2063" s="40" t="s">
        <v>1676</v>
      </c>
      <c r="G2063" s="40" t="s">
        <v>1152</v>
      </c>
      <c r="H2063" s="192" t="s">
        <v>793</v>
      </c>
      <c r="I2063" s="255">
        <v>511</v>
      </c>
      <c r="J2063" s="255">
        <v>1020</v>
      </c>
      <c r="K2063" s="593">
        <f>ROUND(I2063*J2063,0)</f>
        <v>521220</v>
      </c>
      <c r="L2063" s="594" t="s">
        <v>259</v>
      </c>
      <c r="M2063" s="594" t="s">
        <v>174</v>
      </c>
      <c r="N2063" s="52" t="str">
        <f>IF(AND('331-CT'!$E$7=TH!H2063,OR(L2063="331",M2063="331")),"331",IF(AND(OR(L2063="131",M2063="131"),H2063='131-CT'!$E$7),"131",""))</f>
        <v/>
      </c>
      <c r="O2063" s="86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99"/>
    </row>
    <row r="2064" spans="1:28" s="210" customFormat="1" ht="15.75" customHeight="1">
      <c r="A2064" s="203" t="str">
        <f>IF(B2064&lt;&gt;"",IF(AND(B2064&gt;=_TM1,B2064&lt;=_TM2,OR(TH!L2064="1111",TH!M2064="1111")),TH!D2064,""),"")</f>
        <v/>
      </c>
      <c r="B2064" s="36">
        <f>IF(C2064&lt;&gt;"",MONTH(C2064),"")</f>
        <v>11</v>
      </c>
      <c r="C2064" s="183">
        <f>E2064</f>
        <v>42311</v>
      </c>
      <c r="D2064" s="183" t="s">
        <v>1562</v>
      </c>
      <c r="E2064" s="727">
        <v>42311</v>
      </c>
      <c r="F2064" s="40" t="s">
        <v>402</v>
      </c>
      <c r="G2064" s="40" t="s">
        <v>1152</v>
      </c>
      <c r="H2064" s="192" t="s">
        <v>793</v>
      </c>
      <c r="I2064" s="255"/>
      <c r="J2064" s="255"/>
      <c r="K2064" s="593">
        <v>491582</v>
      </c>
      <c r="L2064" s="594" t="s">
        <v>259</v>
      </c>
      <c r="M2064" s="594" t="s">
        <v>371</v>
      </c>
      <c r="N2064" s="52" t="str">
        <f>IF(AND('331-CT'!$E$7=TH!H2064,OR(L2064="331",M2064="331")),"331",IF(AND(OR(L2064="131",M2064="131"),H2064='131-CT'!$E$7),"131",""))</f>
        <v/>
      </c>
      <c r="O2064" s="86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99"/>
    </row>
    <row r="2065" spans="1:27" s="210" customFormat="1" ht="15.75" customHeight="1">
      <c r="A2065" s="203" t="str">
        <f>IF(B2065&lt;&gt;"",IF(AND(B2065&gt;=_TM1,B2065&lt;=_TM2,OR(TH!L2065="1111",TH!M2065="1111")),TH!D2065,""),"")</f>
        <v/>
      </c>
      <c r="B2065" s="36">
        <f>IF(C2065&lt;&gt;"",MONTH(C2065),"")</f>
        <v>11</v>
      </c>
      <c r="C2065" s="183">
        <f>E2065</f>
        <v>42311</v>
      </c>
      <c r="D2065" s="183" t="s">
        <v>1563</v>
      </c>
      <c r="E2065" s="727">
        <v>42311</v>
      </c>
      <c r="F2065" s="188" t="s">
        <v>398</v>
      </c>
      <c r="G2065" s="40" t="s">
        <v>1153</v>
      </c>
      <c r="H2065" s="7" t="s">
        <v>400</v>
      </c>
      <c r="I2065" s="255">
        <v>643</v>
      </c>
      <c r="J2065" s="255">
        <v>5000</v>
      </c>
      <c r="K2065" s="593">
        <f>ROUND(I2065*J2065,0)</f>
        <v>3215000</v>
      </c>
      <c r="L2065" s="594" t="s">
        <v>259</v>
      </c>
      <c r="M2065" s="594" t="s">
        <v>174</v>
      </c>
      <c r="N2065" s="52" t="str">
        <f>IF(AND('331-CT'!$E$7=TH!H2065,OR(L2065="331",M2065="331")),"331",IF(AND(OR(L2065="131",M2065="131"),H2065='131-CT'!$E$7),"131",""))</f>
        <v/>
      </c>
      <c r="O2065" s="86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99"/>
    </row>
    <row r="2066" spans="1:27" s="210" customFormat="1" ht="15.75" customHeight="1">
      <c r="A2066" s="203" t="str">
        <f>IF(B2066&lt;&gt;"",IF(AND(B2066&gt;=_TM1,B2066&lt;=_TM2,OR(TH!L2066="1111",TH!M2066="1111")),TH!D2066,""),"")</f>
        <v/>
      </c>
      <c r="B2066" s="36">
        <f>IF(C2066&lt;&gt;"",MONTH(C2066),"")</f>
        <v>11</v>
      </c>
      <c r="C2066" s="183">
        <f>E2066</f>
        <v>42311</v>
      </c>
      <c r="D2066" s="183" t="s">
        <v>1563</v>
      </c>
      <c r="E2066" s="190">
        <v>42311</v>
      </c>
      <c r="F2066" s="191" t="s">
        <v>501</v>
      </c>
      <c r="G2066" s="482" t="s">
        <v>1153</v>
      </c>
      <c r="H2066" s="7" t="s">
        <v>400</v>
      </c>
      <c r="I2066" s="255">
        <v>601</v>
      </c>
      <c r="J2066" s="255">
        <v>9700</v>
      </c>
      <c r="K2066" s="593">
        <f>ROUND(I2066*J2066,0)</f>
        <v>5829700</v>
      </c>
      <c r="L2066" s="594" t="s">
        <v>259</v>
      </c>
      <c r="M2066" s="594" t="s">
        <v>174</v>
      </c>
      <c r="N2066" s="52" t="str">
        <f>IF(AND('331-CT'!$E$7=TH!H2066,OR(L2066="331",M2066="331")),"331",IF(AND(OR(L2066="131",M2066="131"),H2066='131-CT'!$E$7),"131",""))</f>
        <v/>
      </c>
      <c r="O2066" s="86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99"/>
    </row>
    <row r="2067" spans="1:27" s="210" customFormat="1" ht="15.75" customHeight="1">
      <c r="A2067" s="203" t="str">
        <f>IF(B2067&lt;&gt;"",IF(AND(B2067&gt;=_TM1,B2067&lt;=_TM2,OR(TH!L2067="1111",TH!M2067="1111")),TH!D2067,""),"")</f>
        <v/>
      </c>
      <c r="B2067" s="36">
        <f>IF(C2067&lt;&gt;"",MONTH(C2067),"")</f>
        <v>11</v>
      </c>
      <c r="C2067" s="183">
        <f>E2067</f>
        <v>42311</v>
      </c>
      <c r="D2067" s="183" t="s">
        <v>1563</v>
      </c>
      <c r="E2067" s="190">
        <v>42311</v>
      </c>
      <c r="F2067" s="191" t="s">
        <v>994</v>
      </c>
      <c r="G2067" s="482" t="s">
        <v>1153</v>
      </c>
      <c r="H2067" s="7" t="s">
        <v>400</v>
      </c>
      <c r="I2067" s="255">
        <v>610</v>
      </c>
      <c r="J2067" s="255">
        <v>8000</v>
      </c>
      <c r="K2067" s="593">
        <f>ROUND(I2067*J2067,0)</f>
        <v>4880000</v>
      </c>
      <c r="L2067" s="594" t="s">
        <v>259</v>
      </c>
      <c r="M2067" s="594" t="s">
        <v>174</v>
      </c>
      <c r="N2067" s="52" t="str">
        <f>IF(AND('331-CT'!$E$7=TH!H2067,OR(L2067="331",M2067="331")),"331",IF(AND(OR(L2067="131",M2067="131"),H2067='131-CT'!$E$7),"131",""))</f>
        <v/>
      </c>
      <c r="O2067" s="86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99"/>
    </row>
    <row r="2068" spans="1:27" s="210" customFormat="1" ht="15.75" customHeight="1">
      <c r="A2068" s="203" t="str">
        <f>IF(B2068&lt;&gt;"",IF(AND(B2068&gt;=_TM1,B2068&lt;=_TM2,OR(TH!L2068="1111",TH!M2068="1111")),TH!D2068,""),"")</f>
        <v/>
      </c>
      <c r="B2068" s="36">
        <f>IF(C2068&lt;&gt;"",MONTH(C2068),"")</f>
        <v>11</v>
      </c>
      <c r="C2068" s="183">
        <f>E2068</f>
        <v>42311</v>
      </c>
      <c r="D2068" s="183" t="s">
        <v>1563</v>
      </c>
      <c r="E2068" s="183">
        <v>42311</v>
      </c>
      <c r="F2068" s="188" t="s">
        <v>402</v>
      </c>
      <c r="G2068" s="595" t="s">
        <v>1153</v>
      </c>
      <c r="H2068" s="192" t="s">
        <v>400</v>
      </c>
      <c r="I2068" s="255"/>
      <c r="J2068" s="255"/>
      <c r="K2068" s="593">
        <v>1392470</v>
      </c>
      <c r="L2068" s="594" t="s">
        <v>259</v>
      </c>
      <c r="M2068" s="594" t="s">
        <v>371</v>
      </c>
      <c r="N2068" s="52" t="str">
        <f>IF(AND('331-CT'!$E$7=TH!H2068,OR(L2068="331",M2068="331")),"331",IF(AND(OR(L2068="131",M2068="131"),H2068='131-CT'!$E$7),"131",""))</f>
        <v/>
      </c>
      <c r="O2068" s="86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99"/>
    </row>
    <row r="2069" spans="1:27" s="210" customFormat="1" ht="15.75" customHeight="1">
      <c r="A2069" s="203" t="str">
        <f>IF(B2069&lt;&gt;"",IF(AND(B2069&gt;=_TM1,B2069&lt;=_TM2,OR(TH!L2069="1111",TH!M2069="1111")),TH!D2069,""),"")</f>
        <v/>
      </c>
      <c r="B2069" s="36">
        <f>IF(C2069&lt;&gt;"",MONTH(C2069),"")</f>
        <v>11</v>
      </c>
      <c r="C2069" s="183">
        <f>E2069</f>
        <v>42311</v>
      </c>
      <c r="D2069" s="183" t="s">
        <v>1564</v>
      </c>
      <c r="E2069" s="190">
        <v>42311</v>
      </c>
      <c r="F2069" s="191" t="s">
        <v>1808</v>
      </c>
      <c r="G2069" s="482" t="s">
        <v>1154</v>
      </c>
      <c r="H2069" s="7" t="s">
        <v>1934</v>
      </c>
      <c r="I2069" s="255">
        <v>86</v>
      </c>
      <c r="J2069" s="255">
        <v>3074</v>
      </c>
      <c r="K2069" s="593">
        <f>ROUND(I2069*J2069,0)</f>
        <v>264364</v>
      </c>
      <c r="L2069" s="594" t="s">
        <v>259</v>
      </c>
      <c r="M2069" s="594" t="s">
        <v>174</v>
      </c>
      <c r="N2069" s="52" t="str">
        <f>IF(AND('331-CT'!$E$7=TH!H2069,OR(L2069="331",M2069="331")),"331",IF(AND(OR(L2069="131",M2069="131"),H2069='131-CT'!$E$7),"131",""))</f>
        <v/>
      </c>
      <c r="O2069" s="86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99"/>
    </row>
    <row r="2070" spans="1:27" s="210" customFormat="1" ht="15.75" customHeight="1">
      <c r="A2070" s="203" t="str">
        <f>IF(B2070&lt;&gt;"",IF(AND(B2070&gt;=_TM1,B2070&lt;=_TM2,OR(TH!L2070="1111",TH!M2070="1111")),TH!D2070,""),"")</f>
        <v/>
      </c>
      <c r="B2070" s="36">
        <f>IF(C2070&lt;&gt;"",MONTH(C2070),"")</f>
        <v>11</v>
      </c>
      <c r="C2070" s="183">
        <f>E2070</f>
        <v>42311</v>
      </c>
      <c r="D2070" s="183" t="s">
        <v>1564</v>
      </c>
      <c r="E2070" s="190">
        <v>42311</v>
      </c>
      <c r="F2070" s="191" t="s">
        <v>1809</v>
      </c>
      <c r="G2070" s="482" t="s">
        <v>1154</v>
      </c>
      <c r="H2070" s="7" t="s">
        <v>1934</v>
      </c>
      <c r="I2070" s="255">
        <v>250</v>
      </c>
      <c r="J2070" s="255">
        <v>4996</v>
      </c>
      <c r="K2070" s="593">
        <f>ROUND(I2070*J2070,0)</f>
        <v>1249000</v>
      </c>
      <c r="L2070" s="594" t="s">
        <v>259</v>
      </c>
      <c r="M2070" s="594" t="s">
        <v>174</v>
      </c>
      <c r="N2070" s="52" t="str">
        <f>IF(AND('331-CT'!$E$7=TH!H2070,OR(L2070="331",M2070="331")),"331",IF(AND(OR(L2070="131",M2070="131"),H2070='131-CT'!$E$7),"131",""))</f>
        <v/>
      </c>
      <c r="O2070" s="86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99"/>
    </row>
    <row r="2071" spans="1:27" s="210" customFormat="1" ht="15.75" customHeight="1">
      <c r="A2071" s="203" t="str">
        <f>IF(B2071&lt;&gt;"",IF(AND(B2071&gt;=_TM1,B2071&lt;=_TM2,OR(TH!L2071="1111",TH!M2071="1111")),TH!D2071,""),"")</f>
        <v/>
      </c>
      <c r="B2071" s="36">
        <f>IF(C2071&lt;&gt;"",MONTH(C2071),"")</f>
        <v>11</v>
      </c>
      <c r="C2071" s="183">
        <f>E2071</f>
        <v>42311</v>
      </c>
      <c r="D2071" s="183" t="s">
        <v>1564</v>
      </c>
      <c r="E2071" s="190">
        <v>42311</v>
      </c>
      <c r="F2071" s="191" t="s">
        <v>1810</v>
      </c>
      <c r="G2071" s="482" t="s">
        <v>1154</v>
      </c>
      <c r="H2071" s="7" t="s">
        <v>1934</v>
      </c>
      <c r="I2071" s="255">
        <v>313</v>
      </c>
      <c r="J2071" s="255">
        <v>5100</v>
      </c>
      <c r="K2071" s="593">
        <f>ROUND(I2071*J2071,0)</f>
        <v>1596300</v>
      </c>
      <c r="L2071" s="594" t="s">
        <v>259</v>
      </c>
      <c r="M2071" s="594" t="s">
        <v>174</v>
      </c>
      <c r="N2071" s="52" t="str">
        <f>IF(AND('331-CT'!$E$7=TH!H2071,OR(L2071="331",M2071="331")),"331",IF(AND(OR(L2071="131",M2071="131"),H2071='131-CT'!$E$7),"131",""))</f>
        <v/>
      </c>
      <c r="O2071" s="86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99"/>
    </row>
    <row r="2072" spans="1:27" s="210" customFormat="1" ht="15.75" customHeight="1">
      <c r="A2072" s="203" t="str">
        <f>IF(B2072&lt;&gt;"",IF(AND(B2072&gt;=_TM1,B2072&lt;=_TM2,OR(TH!L2072="1111",TH!M2072="1111")),TH!D2072,""),"")</f>
        <v/>
      </c>
      <c r="B2072" s="36">
        <f>IF(C2072&lt;&gt;"",MONTH(C2072),"")</f>
        <v>11</v>
      </c>
      <c r="C2072" s="183">
        <f>E2072</f>
        <v>42311</v>
      </c>
      <c r="D2072" s="183" t="s">
        <v>1564</v>
      </c>
      <c r="E2072" s="190">
        <v>42311</v>
      </c>
      <c r="F2072" s="191" t="s">
        <v>1811</v>
      </c>
      <c r="G2072" s="482" t="s">
        <v>1154</v>
      </c>
      <c r="H2072" s="7" t="s">
        <v>1934</v>
      </c>
      <c r="I2072" s="255">
        <v>100</v>
      </c>
      <c r="J2072" s="255">
        <v>12804</v>
      </c>
      <c r="K2072" s="593">
        <f>ROUND(I2072*J2072,0)</f>
        <v>1280400</v>
      </c>
      <c r="L2072" s="594" t="s">
        <v>259</v>
      </c>
      <c r="M2072" s="594" t="s">
        <v>174</v>
      </c>
      <c r="N2072" s="52" t="str">
        <f>IF(AND('331-CT'!$E$7=TH!H2072,OR(L2072="331",M2072="331")),"331",IF(AND(OR(L2072="131",M2072="131"),H2072='131-CT'!$E$7),"131",""))</f>
        <v/>
      </c>
      <c r="O2072" s="86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99"/>
    </row>
    <row r="2073" spans="1:27" s="210" customFormat="1" ht="15.75" customHeight="1">
      <c r="A2073" s="203" t="str">
        <f>IF(B2073&lt;&gt;"",IF(AND(B2073&gt;=_TM1,B2073&lt;=_TM2,OR(TH!L2073="1111",TH!M2073="1111")),TH!D2073,""),"")</f>
        <v/>
      </c>
      <c r="B2073" s="36">
        <f>IF(C2073&lt;&gt;"",MONTH(C2073),"")</f>
        <v>11</v>
      </c>
      <c r="C2073" s="183">
        <f>E2073</f>
        <v>42311</v>
      </c>
      <c r="D2073" s="183" t="s">
        <v>1564</v>
      </c>
      <c r="E2073" s="190">
        <v>42311</v>
      </c>
      <c r="F2073" s="191" t="s">
        <v>1728</v>
      </c>
      <c r="G2073" s="482" t="s">
        <v>1154</v>
      </c>
      <c r="H2073" s="7" t="s">
        <v>1934</v>
      </c>
      <c r="I2073" s="255">
        <v>10</v>
      </c>
      <c r="J2073" s="255">
        <v>15616</v>
      </c>
      <c r="K2073" s="593">
        <f>ROUND(I2073*J2073,0)</f>
        <v>156160</v>
      </c>
      <c r="L2073" s="594" t="s">
        <v>259</v>
      </c>
      <c r="M2073" s="594" t="s">
        <v>174</v>
      </c>
      <c r="N2073" s="52" t="str">
        <f>IF(AND('331-CT'!$E$7=TH!H2073,OR(L2073="331",M2073="331")),"331",IF(AND(OR(L2073="131",M2073="131"),H2073='131-CT'!$E$7),"131",""))</f>
        <v/>
      </c>
      <c r="O2073" s="86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99"/>
    </row>
    <row r="2074" spans="1:27" s="210" customFormat="1" ht="15.75" customHeight="1">
      <c r="A2074" s="203" t="str">
        <f>IF(B2074&lt;&gt;"",IF(AND(B2074&gt;=_TM1,B2074&lt;=_TM2,OR(TH!L2074="1111",TH!M2074="1111")),TH!D2074,""),"")</f>
        <v/>
      </c>
      <c r="B2074" s="36">
        <f>IF(C2074&lt;&gt;"",MONTH(C2074),"")</f>
        <v>11</v>
      </c>
      <c r="C2074" s="183">
        <f>E2074</f>
        <v>42311</v>
      </c>
      <c r="D2074" s="183" t="s">
        <v>1564</v>
      </c>
      <c r="E2074" s="190">
        <v>42311</v>
      </c>
      <c r="F2074" s="191" t="s">
        <v>1736</v>
      </c>
      <c r="G2074" s="482" t="s">
        <v>1154</v>
      </c>
      <c r="H2074" s="7" t="s">
        <v>1934</v>
      </c>
      <c r="I2074" s="255">
        <v>10</v>
      </c>
      <c r="J2074" s="255">
        <v>16380</v>
      </c>
      <c r="K2074" s="593">
        <f>ROUND(I2074*J2074,0)</f>
        <v>163800</v>
      </c>
      <c r="L2074" s="594" t="s">
        <v>259</v>
      </c>
      <c r="M2074" s="594" t="s">
        <v>174</v>
      </c>
      <c r="N2074" s="52" t="str">
        <f>IF(AND('331-CT'!$E$7=TH!H2074,OR(L2074="331",M2074="331")),"331",IF(AND(OR(L2074="131",M2074="131"),H2074='131-CT'!$E$7),"131",""))</f>
        <v/>
      </c>
      <c r="O2074" s="86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99"/>
    </row>
    <row r="2075" spans="1:27" s="210" customFormat="1" ht="15.75" customHeight="1">
      <c r="A2075" s="203" t="str">
        <f>IF(B2075&lt;&gt;"",IF(AND(B2075&gt;=_TM1,B2075&lt;=_TM2,OR(TH!L2075="1111",TH!M2075="1111")),TH!D2075,""),"")</f>
        <v/>
      </c>
      <c r="B2075" s="36">
        <f>IF(C2075&lt;&gt;"",MONTH(C2075),"")</f>
        <v>11</v>
      </c>
      <c r="C2075" s="183">
        <f>E2075</f>
        <v>42311</v>
      </c>
      <c r="D2075" s="183" t="s">
        <v>1564</v>
      </c>
      <c r="E2075" s="190">
        <v>42311</v>
      </c>
      <c r="F2075" s="191" t="s">
        <v>692</v>
      </c>
      <c r="G2075" s="482" t="s">
        <v>1154</v>
      </c>
      <c r="H2075" s="7" t="s">
        <v>1934</v>
      </c>
      <c r="I2075" s="255">
        <v>40</v>
      </c>
      <c r="J2075" s="255">
        <v>16244</v>
      </c>
      <c r="K2075" s="593">
        <f>ROUND(I2075*J2075,0)</f>
        <v>649760</v>
      </c>
      <c r="L2075" s="594" t="s">
        <v>259</v>
      </c>
      <c r="M2075" s="594" t="s">
        <v>174</v>
      </c>
      <c r="N2075" s="52" t="str">
        <f>IF(AND('331-CT'!$E$7=TH!H2075,OR(L2075="331",M2075="331")),"331",IF(AND(OR(L2075="131",M2075="131"),H2075='131-CT'!$E$7),"131",""))</f>
        <v/>
      </c>
      <c r="O2075" s="86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99"/>
    </row>
    <row r="2076" spans="1:27" s="210" customFormat="1" ht="15.75" customHeight="1">
      <c r="A2076" s="203" t="str">
        <f>IF(B2076&lt;&gt;"",IF(AND(B2076&gt;=_TM1,B2076&lt;=_TM2,OR(TH!L2076="1111",TH!M2076="1111")),TH!D2076,""),"")</f>
        <v/>
      </c>
      <c r="B2076" s="36">
        <f>IF(C2076&lt;&gt;"",MONTH(C2076),"")</f>
        <v>11</v>
      </c>
      <c r="C2076" s="183">
        <f>E2076</f>
        <v>42311</v>
      </c>
      <c r="D2076" s="183" t="s">
        <v>1564</v>
      </c>
      <c r="E2076" s="190">
        <v>42311</v>
      </c>
      <c r="F2076" s="191" t="s">
        <v>1752</v>
      </c>
      <c r="G2076" s="482" t="s">
        <v>1154</v>
      </c>
      <c r="H2076" s="7" t="s">
        <v>1934</v>
      </c>
      <c r="I2076" s="256">
        <v>25</v>
      </c>
      <c r="J2076" s="256">
        <v>14414</v>
      </c>
      <c r="K2076" s="593">
        <f>ROUND(I2076*J2076,0)</f>
        <v>360350</v>
      </c>
      <c r="L2076" s="594" t="s">
        <v>259</v>
      </c>
      <c r="M2076" s="594" t="s">
        <v>174</v>
      </c>
      <c r="N2076" s="52" t="str">
        <f>IF(AND('331-CT'!$E$7=TH!H2076,OR(L2076="331",M2076="331")),"331",IF(AND(OR(L2076="131",M2076="131"),H2076='131-CT'!$E$7),"131",""))</f>
        <v/>
      </c>
      <c r="O2076" s="86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99"/>
    </row>
    <row r="2077" spans="1:27" s="210" customFormat="1" ht="15.75" customHeight="1">
      <c r="A2077" s="203" t="str">
        <f>IF(B2077&lt;&gt;"",IF(AND(B2077&gt;=_TM1,B2077&lt;=_TM2,OR(TH!L2077="1111",TH!M2077="1111")),TH!D2077,""),"")</f>
        <v/>
      </c>
      <c r="B2077" s="36">
        <f>IF(C2077&lt;&gt;"",MONTH(C2077),"")</f>
        <v>11</v>
      </c>
      <c r="C2077" s="183">
        <f>E2077</f>
        <v>42311</v>
      </c>
      <c r="D2077" s="183" t="s">
        <v>1564</v>
      </c>
      <c r="E2077" s="190">
        <v>42311</v>
      </c>
      <c r="F2077" s="191" t="s">
        <v>1769</v>
      </c>
      <c r="G2077" s="482" t="s">
        <v>1154</v>
      </c>
      <c r="H2077" s="7" t="s">
        <v>1934</v>
      </c>
      <c r="I2077" s="255">
        <v>25</v>
      </c>
      <c r="J2077" s="255">
        <v>14196</v>
      </c>
      <c r="K2077" s="593">
        <f>ROUND(I2077*J2077,0)</f>
        <v>354900</v>
      </c>
      <c r="L2077" s="594" t="s">
        <v>259</v>
      </c>
      <c r="M2077" s="594" t="s">
        <v>174</v>
      </c>
      <c r="N2077" s="52" t="str">
        <f>IF(AND('331-CT'!$E$7=TH!H2077,OR(L2077="331",M2077="331")),"331",IF(AND(OR(L2077="131",M2077="131"),H2077='131-CT'!$E$7),"131",""))</f>
        <v/>
      </c>
      <c r="O2077" s="86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99"/>
    </row>
    <row r="2078" spans="1:27" s="210" customFormat="1" ht="15.75" customHeight="1">
      <c r="A2078" s="203" t="str">
        <f>IF(B2078&lt;&gt;"",IF(AND(B2078&gt;=_TM1,B2078&lt;=_TM2,OR(TH!L2078="1111",TH!M2078="1111")),TH!D2078,""),"")</f>
        <v/>
      </c>
      <c r="B2078" s="36">
        <f>IF(C2078&lt;&gt;"",MONTH(C2078),"")</f>
        <v>11</v>
      </c>
      <c r="C2078" s="183">
        <f>E2078</f>
        <v>42311</v>
      </c>
      <c r="D2078" s="183" t="s">
        <v>1564</v>
      </c>
      <c r="E2078" s="190">
        <v>42311</v>
      </c>
      <c r="F2078" s="191" t="s">
        <v>1812</v>
      </c>
      <c r="G2078" s="482" t="s">
        <v>1154</v>
      </c>
      <c r="H2078" s="7" t="s">
        <v>1934</v>
      </c>
      <c r="I2078" s="255">
        <v>400</v>
      </c>
      <c r="J2078" s="255">
        <v>5712</v>
      </c>
      <c r="K2078" s="593">
        <f>ROUND(I2078*J2078,0)</f>
        <v>2284800</v>
      </c>
      <c r="L2078" s="594" t="s">
        <v>259</v>
      </c>
      <c r="M2078" s="594" t="s">
        <v>174</v>
      </c>
      <c r="N2078" s="52" t="str">
        <f>IF(AND('331-CT'!$E$7=TH!H2078,OR(L2078="331",M2078="331")),"331",IF(AND(OR(L2078="131",M2078="131"),H2078='131-CT'!$E$7),"131",""))</f>
        <v/>
      </c>
      <c r="O2078" s="86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99"/>
    </row>
    <row r="2079" spans="1:27" s="210" customFormat="1" ht="15.75" customHeight="1">
      <c r="A2079" s="203" t="str">
        <f>IF(B2079&lt;&gt;"",IF(AND(B2079&gt;=_TM1,B2079&lt;=_TM2,OR(TH!L2079="1111",TH!M2079="1111")),TH!D2079,""),"")</f>
        <v/>
      </c>
      <c r="B2079" s="36">
        <f>IF(C2079&lt;&gt;"",MONTH(C2079),"")</f>
        <v>11</v>
      </c>
      <c r="C2079" s="183">
        <f>E2079</f>
        <v>42311</v>
      </c>
      <c r="D2079" s="183" t="s">
        <v>1564</v>
      </c>
      <c r="E2079" s="190">
        <v>42311</v>
      </c>
      <c r="F2079" s="191" t="s">
        <v>731</v>
      </c>
      <c r="G2079" s="482" t="s">
        <v>1154</v>
      </c>
      <c r="H2079" s="7" t="s">
        <v>1934</v>
      </c>
      <c r="I2079" s="255"/>
      <c r="J2079" s="255"/>
      <c r="K2079" s="593">
        <v>835983</v>
      </c>
      <c r="L2079" s="594" t="s">
        <v>259</v>
      </c>
      <c r="M2079" s="594" t="s">
        <v>371</v>
      </c>
      <c r="N2079" s="52" t="str">
        <f>IF(AND('331-CT'!$E$7=TH!H2079,OR(L2079="331",M2079="331")),"331",IF(AND(OR(L2079="131",M2079="131"),H2079='131-CT'!$E$7),"131",""))</f>
        <v/>
      </c>
      <c r="O2079" s="86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99"/>
    </row>
    <row r="2080" spans="1:27" s="210" customFormat="1" ht="15.75" customHeight="1">
      <c r="A2080" s="203" t="str">
        <f>IF(B2080&lt;&gt;"",IF(AND(B2080&gt;=_TM1,B2080&lt;=_TM2,OR(TH!L2080="1111",TH!M2080="1111")),TH!D2080,""),"")</f>
        <v/>
      </c>
      <c r="B2080" s="36">
        <f>IF(C2080&lt;&gt;"",MONTH(C2080),"")</f>
        <v>11</v>
      </c>
      <c r="C2080" s="183">
        <f>E2080</f>
        <v>42311</v>
      </c>
      <c r="D2080" s="183" t="s">
        <v>1324</v>
      </c>
      <c r="E2080" s="190">
        <v>42311</v>
      </c>
      <c r="F2080" s="188" t="s">
        <v>1320</v>
      </c>
      <c r="G2080" s="482" t="s">
        <v>332</v>
      </c>
      <c r="H2080" s="7" t="s">
        <v>473</v>
      </c>
      <c r="I2080" s="255"/>
      <c r="J2080" s="255"/>
      <c r="K2080" s="593">
        <v>14508280</v>
      </c>
      <c r="L2080" s="594" t="s">
        <v>24</v>
      </c>
      <c r="M2080" s="594" t="s">
        <v>259</v>
      </c>
      <c r="N2080" s="52" t="str">
        <f>IF(AND('331-CT'!$E$7=TH!H2080,OR(L2080="331",M2080="331")),"331",IF(AND(OR(L2080="131",M2080="131"),H2080='131-CT'!$E$7),"131",""))</f>
        <v/>
      </c>
      <c r="O2080" s="86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>x</v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99"/>
    </row>
    <row r="2081" spans="1:27" s="210" customFormat="1" ht="15.75" customHeight="1">
      <c r="A2081" s="203" t="str">
        <f>IF(B2081&lt;&gt;"",IF(AND(B2081&gt;=_TM1,B2081&lt;=_TM2,OR(TH!L2081="1111",TH!M2081="1111")),TH!D2081,""),"")</f>
        <v/>
      </c>
      <c r="B2081" s="36">
        <f>IF(C2081&lt;&gt;"",MONTH(C2081),"")</f>
        <v>11</v>
      </c>
      <c r="C2081" s="183">
        <f>E2081</f>
        <v>42312</v>
      </c>
      <c r="D2081" s="183" t="s">
        <v>1565</v>
      </c>
      <c r="E2081" s="190">
        <v>42312</v>
      </c>
      <c r="F2081" s="191" t="s">
        <v>1155</v>
      </c>
      <c r="G2081" s="482" t="s">
        <v>1156</v>
      </c>
      <c r="H2081" s="7" t="s">
        <v>645</v>
      </c>
      <c r="I2081" s="255">
        <v>497</v>
      </c>
      <c r="J2081" s="255">
        <v>6950</v>
      </c>
      <c r="K2081" s="593">
        <f>ROUND(I2081*J2081,0)</f>
        <v>3454150</v>
      </c>
      <c r="L2081" s="594" t="s">
        <v>259</v>
      </c>
      <c r="M2081" s="594" t="s">
        <v>174</v>
      </c>
      <c r="N2081" s="52" t="str">
        <f>IF(AND('331-CT'!$E$7=TH!H2081,OR(L2081="331",M2081="331")),"331",IF(AND(OR(L2081="131",M2081="131"),H2081='131-CT'!$E$7),"131",""))</f>
        <v/>
      </c>
      <c r="O2081" s="86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99"/>
    </row>
    <row r="2082" spans="1:27" s="210" customFormat="1" ht="15.75" customHeight="1">
      <c r="A2082" s="203" t="str">
        <f>IF(B2082&lt;&gt;"",IF(AND(B2082&gt;=_TM1,B2082&lt;=_TM2,OR(TH!L2082="1111",TH!M2082="1111")),TH!D2082,""),"")</f>
        <v/>
      </c>
      <c r="B2082" s="36">
        <f>IF(C2082&lt;&gt;"",MONTH(C2082),"")</f>
        <v>11</v>
      </c>
      <c r="C2082" s="183">
        <f>E2082</f>
        <v>42312</v>
      </c>
      <c r="D2082" s="183" t="s">
        <v>1565</v>
      </c>
      <c r="E2082" s="37">
        <v>42312</v>
      </c>
      <c r="F2082" s="40" t="s">
        <v>402</v>
      </c>
      <c r="G2082" s="40" t="s">
        <v>1156</v>
      </c>
      <c r="H2082" s="7" t="s">
        <v>645</v>
      </c>
      <c r="I2082" s="255"/>
      <c r="J2082" s="255"/>
      <c r="K2082" s="593">
        <v>345415</v>
      </c>
      <c r="L2082" s="594" t="s">
        <v>259</v>
      </c>
      <c r="M2082" s="594" t="s">
        <v>371</v>
      </c>
      <c r="N2082" s="52" t="str">
        <f>IF(AND('331-CT'!$E$7=TH!H2082,OR(L2082="331",M2082="331")),"331",IF(AND(OR(L2082="131",M2082="131"),H2082='131-CT'!$E$7),"131",""))</f>
        <v/>
      </c>
      <c r="O2082" s="86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99"/>
    </row>
    <row r="2083" spans="1:27" s="210" customFormat="1" ht="15.75" customHeight="1">
      <c r="A2083" s="203" t="str">
        <f>IF(B2083&lt;&gt;"",IF(AND(B2083&gt;=_TM1,B2083&lt;=_TM2,OR(TH!L2083="1111",TH!M2083="1111")),TH!D2083,""),"")</f>
        <v/>
      </c>
      <c r="B2083" s="36">
        <f>IF(C2083&lt;&gt;"",MONTH(C2083),"")</f>
        <v>11</v>
      </c>
      <c r="C2083" s="183">
        <f>E2083</f>
        <v>42312</v>
      </c>
      <c r="D2083" s="183" t="s">
        <v>1566</v>
      </c>
      <c r="E2083" s="37">
        <v>42312</v>
      </c>
      <c r="F2083" s="40" t="s">
        <v>1157</v>
      </c>
      <c r="G2083" s="40" t="s">
        <v>1158</v>
      </c>
      <c r="H2083" s="7" t="s">
        <v>851</v>
      </c>
      <c r="I2083" s="255">
        <v>122</v>
      </c>
      <c r="J2083" s="255">
        <v>17693</v>
      </c>
      <c r="K2083" s="593">
        <f>ROUND(I2083*J2083,0)</f>
        <v>2158546</v>
      </c>
      <c r="L2083" s="594" t="s">
        <v>259</v>
      </c>
      <c r="M2083" s="594" t="s">
        <v>174</v>
      </c>
      <c r="N2083" s="52" t="str">
        <f>IF(AND('331-CT'!$E$7=TH!H2083,OR(L2083="331",M2083="331")),"331",IF(AND(OR(L2083="131",M2083="131"),H2083='131-CT'!$E$7),"131",""))</f>
        <v/>
      </c>
      <c r="O2083" s="86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99"/>
    </row>
    <row r="2084" spans="1:27" s="210" customFormat="1" ht="15.75" customHeight="1">
      <c r="A2084" s="203" t="str">
        <f>IF(B2084&lt;&gt;"",IF(AND(B2084&gt;=_TM1,B2084&lt;=_TM2,OR(TH!L2084="1111",TH!M2084="1111")),TH!D2084,""),"")</f>
        <v/>
      </c>
      <c r="B2084" s="36">
        <f>IF(C2084&lt;&gt;"",MONTH(C2084),"")</f>
        <v>11</v>
      </c>
      <c r="C2084" s="183">
        <f>E2084</f>
        <v>42312</v>
      </c>
      <c r="D2084" s="183" t="s">
        <v>1566</v>
      </c>
      <c r="E2084" s="37">
        <v>42312</v>
      </c>
      <c r="F2084" s="40" t="s">
        <v>1159</v>
      </c>
      <c r="G2084" s="40" t="s">
        <v>1158</v>
      </c>
      <c r="H2084" s="7" t="s">
        <v>851</v>
      </c>
      <c r="I2084" s="255">
        <v>201</v>
      </c>
      <c r="J2084" s="255">
        <v>20027</v>
      </c>
      <c r="K2084" s="593">
        <f>ROUND(I2084*J2084,0)</f>
        <v>4025427</v>
      </c>
      <c r="L2084" s="594" t="s">
        <v>259</v>
      </c>
      <c r="M2084" s="594" t="s">
        <v>174</v>
      </c>
      <c r="N2084" s="52" t="str">
        <f>IF(AND('331-CT'!$E$7=TH!H2084,OR(L2084="331",M2084="331")),"331",IF(AND(OR(L2084="131",M2084="131"),H2084='131-CT'!$E$7),"131",""))</f>
        <v/>
      </c>
      <c r="O2084" s="86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99"/>
    </row>
    <row r="2085" spans="1:27" s="210" customFormat="1" ht="15.75" customHeight="1">
      <c r="A2085" s="203" t="str">
        <f>IF(B2085&lt;&gt;"",IF(AND(B2085&gt;=_TM1,B2085&lt;=_TM2,OR(TH!L2085="1111",TH!M2085="1111")),TH!D2085,""),"")</f>
        <v/>
      </c>
      <c r="B2085" s="36">
        <f>IF(C2085&lt;&gt;"",MONTH(C2085),"")</f>
        <v>11</v>
      </c>
      <c r="C2085" s="183">
        <f>E2085</f>
        <v>42312</v>
      </c>
      <c r="D2085" s="183" t="s">
        <v>1566</v>
      </c>
      <c r="E2085" s="37">
        <v>42312</v>
      </c>
      <c r="F2085" s="40" t="s">
        <v>402</v>
      </c>
      <c r="G2085" s="40" t="s">
        <v>1158</v>
      </c>
      <c r="H2085" s="7" t="s">
        <v>851</v>
      </c>
      <c r="I2085" s="255"/>
      <c r="J2085" s="255"/>
      <c r="K2085" s="593">
        <v>618397</v>
      </c>
      <c r="L2085" s="594" t="s">
        <v>259</v>
      </c>
      <c r="M2085" s="594" t="s">
        <v>371</v>
      </c>
      <c r="N2085" s="52" t="str">
        <f>IF(AND('331-CT'!$E$7=TH!H2085,OR(L2085="331",M2085="331")),"331",IF(AND(OR(L2085="131",M2085="131"),H2085='131-CT'!$E$7),"131",""))</f>
        <v/>
      </c>
      <c r="O2085" s="86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799"/>
    </row>
    <row r="2086" spans="1:27" s="210" customFormat="1" ht="15.75" customHeight="1">
      <c r="A2086" s="203" t="str">
        <f>IF(B2086&lt;&gt;"",IF(AND(B2086&gt;=_TM1,B2086&lt;=_TM2,OR(TH!L2086="1111",TH!M2086="1111")),TH!D2086,""),"")</f>
        <v/>
      </c>
      <c r="B2086" s="36">
        <f>IF(C2086&lt;&gt;"",MONTH(C2086),"")</f>
        <v>11</v>
      </c>
      <c r="C2086" s="183">
        <f>E2086</f>
        <v>42312</v>
      </c>
      <c r="D2086" s="183" t="s">
        <v>1567</v>
      </c>
      <c r="E2086" s="37">
        <v>42312</v>
      </c>
      <c r="F2086" s="40" t="s">
        <v>1813</v>
      </c>
      <c r="G2086" s="40" t="s">
        <v>1160</v>
      </c>
      <c r="H2086" s="7" t="s">
        <v>1934</v>
      </c>
      <c r="I2086" s="255">
        <v>510</v>
      </c>
      <c r="J2086" s="255">
        <v>5737</v>
      </c>
      <c r="K2086" s="593">
        <f>ROUND(I2086*J2086,0)</f>
        <v>2925870</v>
      </c>
      <c r="L2086" s="594" t="s">
        <v>259</v>
      </c>
      <c r="M2086" s="594" t="s">
        <v>174</v>
      </c>
      <c r="N2086" s="52" t="str">
        <f>IF(AND('331-CT'!$E$7=TH!H2086,OR(L2086="331",M2086="331")),"331",IF(AND(OR(L2086="131",M2086="131"),H2086='131-CT'!$E$7),"131",""))</f>
        <v/>
      </c>
      <c r="O2086" s="86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799"/>
    </row>
    <row r="2087" spans="1:27" s="210" customFormat="1" ht="15.75" customHeight="1">
      <c r="A2087" s="203" t="str">
        <f>IF(B2087&lt;&gt;"",IF(AND(B2087&gt;=_TM1,B2087&lt;=_TM2,OR(TH!L2087="1111",TH!M2087="1111")),TH!D2087,""),"")</f>
        <v/>
      </c>
      <c r="B2087" s="36">
        <f>IF(C2087&lt;&gt;"",MONTH(C2087),"")</f>
        <v>11</v>
      </c>
      <c r="C2087" s="183">
        <f>E2087</f>
        <v>42312</v>
      </c>
      <c r="D2087" s="183" t="s">
        <v>1567</v>
      </c>
      <c r="E2087" s="37">
        <v>42312</v>
      </c>
      <c r="F2087" s="40" t="s">
        <v>1814</v>
      </c>
      <c r="G2087" s="40" t="s">
        <v>1160</v>
      </c>
      <c r="H2087" s="7" t="s">
        <v>1934</v>
      </c>
      <c r="I2087" s="255">
        <v>350</v>
      </c>
      <c r="J2087" s="255">
        <v>5603</v>
      </c>
      <c r="K2087" s="593">
        <f>ROUND(I2087*J2087,0)</f>
        <v>1961050</v>
      </c>
      <c r="L2087" s="594" t="s">
        <v>259</v>
      </c>
      <c r="M2087" s="594" t="s">
        <v>174</v>
      </c>
      <c r="N2087" s="52" t="str">
        <f>IF(AND('331-CT'!$E$7=TH!H2087,OR(L2087="331",M2087="331")),"331",IF(AND(OR(L2087="131",M2087="131"),H2087='131-CT'!$E$7),"131",""))</f>
        <v/>
      </c>
      <c r="O2087" s="86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799"/>
    </row>
    <row r="2088" spans="1:27" s="210" customFormat="1" ht="15.75" customHeight="1">
      <c r="A2088" s="203" t="str">
        <f>IF(B2088&lt;&gt;"",IF(AND(B2088&gt;=_TM1,B2088&lt;=_TM2,OR(TH!L2088="1111",TH!M2088="1111")),TH!D2088,""),"")</f>
        <v/>
      </c>
      <c r="B2088" s="36">
        <f>IF(C2088&lt;&gt;"",MONTH(C2088),"")</f>
        <v>11</v>
      </c>
      <c r="C2088" s="183">
        <f>E2088</f>
        <v>42312</v>
      </c>
      <c r="D2088" s="183" t="s">
        <v>1567</v>
      </c>
      <c r="E2088" s="37">
        <v>42312</v>
      </c>
      <c r="F2088" s="40" t="s">
        <v>1815</v>
      </c>
      <c r="G2088" s="40" t="s">
        <v>1160</v>
      </c>
      <c r="H2088" s="7" t="s">
        <v>1934</v>
      </c>
      <c r="I2088" s="255">
        <v>340</v>
      </c>
      <c r="J2088" s="255">
        <v>14014</v>
      </c>
      <c r="K2088" s="593">
        <f>ROUND(I2088*J2088,0)</f>
        <v>4764760</v>
      </c>
      <c r="L2088" s="594" t="s">
        <v>259</v>
      </c>
      <c r="M2088" s="594" t="s">
        <v>174</v>
      </c>
      <c r="N2088" s="52" t="str">
        <f>IF(AND('331-CT'!$E$7=TH!H2088,OR(L2088="331",M2088="331")),"331",IF(AND(OR(L2088="131",M2088="131"),H2088='131-CT'!$E$7),"131",""))</f>
        <v/>
      </c>
      <c r="O2088" s="86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99"/>
    </row>
    <row r="2089" spans="1:27" s="210" customFormat="1" ht="15.75" customHeight="1">
      <c r="A2089" s="203" t="str">
        <f>IF(B2089&lt;&gt;"",IF(AND(B2089&gt;=_TM1,B2089&lt;=_TM2,OR(TH!L2089="1111",TH!M2089="1111")),TH!D2089,""),"")</f>
        <v/>
      </c>
      <c r="B2089" s="36">
        <f>IF(C2089&lt;&gt;"",MONTH(C2089),"")</f>
        <v>11</v>
      </c>
      <c r="C2089" s="183">
        <f>E2089</f>
        <v>42312</v>
      </c>
      <c r="D2089" s="183" t="s">
        <v>1567</v>
      </c>
      <c r="E2089" s="37">
        <v>42312</v>
      </c>
      <c r="F2089" s="40" t="s">
        <v>1751</v>
      </c>
      <c r="G2089" s="40" t="s">
        <v>1160</v>
      </c>
      <c r="H2089" s="7" t="s">
        <v>1934</v>
      </c>
      <c r="I2089" s="255">
        <v>40</v>
      </c>
      <c r="J2089" s="255">
        <v>14646</v>
      </c>
      <c r="K2089" s="593">
        <f>ROUND(I2089*J2089,0)</f>
        <v>585840</v>
      </c>
      <c r="L2089" s="594" t="s">
        <v>259</v>
      </c>
      <c r="M2089" s="594" t="s">
        <v>174</v>
      </c>
      <c r="N2089" s="52" t="str">
        <f>IF(AND('331-CT'!$E$7=TH!H2089,OR(L2089="331",M2089="331")),"331",IF(AND(OR(L2089="131",M2089="131"),H2089='131-CT'!$E$7),"131",""))</f>
        <v/>
      </c>
      <c r="O2089" s="86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99"/>
    </row>
    <row r="2090" spans="1:27" s="210" customFormat="1" ht="15.75" customHeight="1">
      <c r="A2090" s="203" t="str">
        <f>IF(B2090&lt;&gt;"",IF(AND(B2090&gt;=_TM1,B2090&lt;=_TM2,OR(TH!L2090="1111",TH!M2090="1111")),TH!D2090,""),"")</f>
        <v/>
      </c>
      <c r="B2090" s="36">
        <f>IF(C2090&lt;&gt;"",MONTH(C2090),"")</f>
        <v>11</v>
      </c>
      <c r="C2090" s="183">
        <f>E2090</f>
        <v>42312</v>
      </c>
      <c r="D2090" s="183" t="s">
        <v>1567</v>
      </c>
      <c r="E2090" s="37">
        <v>42312</v>
      </c>
      <c r="F2090" s="40" t="s">
        <v>1816</v>
      </c>
      <c r="G2090" s="40" t="s">
        <v>1160</v>
      </c>
      <c r="H2090" s="7" t="s">
        <v>1934</v>
      </c>
      <c r="I2090" s="255">
        <v>2104</v>
      </c>
      <c r="J2090" s="255">
        <v>300</v>
      </c>
      <c r="K2090" s="593">
        <f>ROUND(I2090*J2090,0)</f>
        <v>631200</v>
      </c>
      <c r="L2090" s="594" t="s">
        <v>259</v>
      </c>
      <c r="M2090" s="594" t="s">
        <v>174</v>
      </c>
      <c r="N2090" s="52" t="str">
        <f>IF(AND('331-CT'!$E$7=TH!H2090,OR(L2090="331",M2090="331")),"331",IF(AND(OR(L2090="131",M2090="131"),H2090='131-CT'!$E$7),"131",""))</f>
        <v/>
      </c>
      <c r="O2090" s="86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99"/>
    </row>
    <row r="2091" spans="1:27" s="210" customFormat="1" ht="15.75" customHeight="1">
      <c r="A2091" s="203" t="str">
        <f>IF(B2091&lt;&gt;"",IF(AND(B2091&gt;=_TM1,B2091&lt;=_TM2,OR(TH!L2091="1111",TH!M2091="1111")),TH!D2091,""),"")</f>
        <v/>
      </c>
      <c r="B2091" s="36">
        <f>IF(C2091&lt;&gt;"",MONTH(C2091),"")</f>
        <v>11</v>
      </c>
      <c r="C2091" s="183">
        <f>E2091</f>
        <v>42312</v>
      </c>
      <c r="D2091" s="183" t="s">
        <v>1567</v>
      </c>
      <c r="E2091" s="37">
        <v>42312</v>
      </c>
      <c r="F2091" s="40" t="s">
        <v>1817</v>
      </c>
      <c r="G2091" s="40" t="s">
        <v>1160</v>
      </c>
      <c r="H2091" s="7" t="s">
        <v>1934</v>
      </c>
      <c r="I2091" s="255">
        <v>34</v>
      </c>
      <c r="J2091" s="255">
        <v>7726</v>
      </c>
      <c r="K2091" s="593">
        <f>ROUND(I2091*J2091,0)</f>
        <v>262684</v>
      </c>
      <c r="L2091" s="594" t="s">
        <v>259</v>
      </c>
      <c r="M2091" s="594" t="s">
        <v>174</v>
      </c>
      <c r="N2091" s="52" t="str">
        <f>IF(AND('331-CT'!$E$7=TH!H2091,OR(L2091="331",M2091="331")),"331",IF(AND(OR(L2091="131",M2091="131"),H2091='131-CT'!$E$7),"131",""))</f>
        <v/>
      </c>
      <c r="O2091" s="86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99"/>
    </row>
    <row r="2092" spans="1:27" s="210" customFormat="1" ht="15.75" customHeight="1">
      <c r="A2092" s="203" t="str">
        <f>IF(B2092&lt;&gt;"",IF(AND(B2092&gt;=_TM1,B2092&lt;=_TM2,OR(TH!L2092="1111",TH!M2092="1111")),TH!D2092,""),"")</f>
        <v/>
      </c>
      <c r="B2092" s="36">
        <f>IF(C2092&lt;&gt;"",MONTH(C2092),"")</f>
        <v>11</v>
      </c>
      <c r="C2092" s="183">
        <f>E2092</f>
        <v>42312</v>
      </c>
      <c r="D2092" s="183" t="s">
        <v>1567</v>
      </c>
      <c r="E2092" s="37">
        <v>42312</v>
      </c>
      <c r="F2092" s="40" t="s">
        <v>1818</v>
      </c>
      <c r="G2092" s="40" t="s">
        <v>1160</v>
      </c>
      <c r="H2092" s="7" t="s">
        <v>1934</v>
      </c>
      <c r="I2092" s="255">
        <v>125</v>
      </c>
      <c r="J2092" s="255">
        <v>11974</v>
      </c>
      <c r="K2092" s="593">
        <f>ROUND(I2092*J2092,0)</f>
        <v>1496750</v>
      </c>
      <c r="L2092" s="594" t="s">
        <v>259</v>
      </c>
      <c r="M2092" s="594" t="s">
        <v>174</v>
      </c>
      <c r="N2092" s="52" t="str">
        <f>IF(AND('331-CT'!$E$7=TH!H2092,OR(L2092="331",M2092="331")),"331",IF(AND(OR(L2092="131",M2092="131"),H2092='131-CT'!$E$7),"131",""))</f>
        <v/>
      </c>
      <c r="O2092" s="86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99"/>
    </row>
    <row r="2093" spans="1:27" s="210" customFormat="1" ht="15.75" customHeight="1">
      <c r="A2093" s="203" t="str">
        <f>IF(B2093&lt;&gt;"",IF(AND(B2093&gt;=_TM1,B2093&lt;=_TM2,OR(TH!L2093="1111",TH!M2093="1111")),TH!D2093,""),"")</f>
        <v/>
      </c>
      <c r="B2093" s="36">
        <f>IF(C2093&lt;&gt;"",MONTH(C2093),"")</f>
        <v>11</v>
      </c>
      <c r="C2093" s="183">
        <f>E2093</f>
        <v>42312</v>
      </c>
      <c r="D2093" s="183" t="s">
        <v>1567</v>
      </c>
      <c r="E2093" s="37">
        <v>42312</v>
      </c>
      <c r="F2093" s="40" t="s">
        <v>694</v>
      </c>
      <c r="G2093" s="40" t="s">
        <v>1160</v>
      </c>
      <c r="H2093" s="7" t="s">
        <v>1934</v>
      </c>
      <c r="I2093" s="255">
        <v>35</v>
      </c>
      <c r="J2093" s="255">
        <v>13377</v>
      </c>
      <c r="K2093" s="593">
        <f>ROUND(I2093*J2093,0)</f>
        <v>468195</v>
      </c>
      <c r="L2093" s="594" t="s">
        <v>259</v>
      </c>
      <c r="M2093" s="594" t="s">
        <v>174</v>
      </c>
      <c r="N2093" s="52" t="str">
        <f>IF(AND('331-CT'!$E$7=TH!H2093,OR(L2093="331",M2093="331")),"331",IF(AND(OR(L2093="131",M2093="131"),H2093='131-CT'!$E$7),"131",""))</f>
        <v/>
      </c>
      <c r="O2093" s="86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99"/>
    </row>
    <row r="2094" spans="1:27" s="210" customFormat="1" ht="15.75" customHeight="1">
      <c r="A2094" s="203" t="str">
        <f>IF(B2094&lt;&gt;"",IF(AND(B2094&gt;=_TM1,B2094&lt;=_TM2,OR(TH!L2094="1111",TH!M2094="1111")),TH!D2094,""),"")</f>
        <v/>
      </c>
      <c r="B2094" s="36">
        <f>IF(C2094&lt;&gt;"",MONTH(C2094),"")</f>
        <v>11</v>
      </c>
      <c r="C2094" s="183">
        <f>E2094</f>
        <v>42312</v>
      </c>
      <c r="D2094" s="183" t="s">
        <v>1567</v>
      </c>
      <c r="E2094" s="37">
        <v>42312</v>
      </c>
      <c r="F2094" s="40" t="s">
        <v>1741</v>
      </c>
      <c r="G2094" s="40" t="s">
        <v>1160</v>
      </c>
      <c r="H2094" s="7" t="s">
        <v>1934</v>
      </c>
      <c r="I2094" s="255">
        <v>40</v>
      </c>
      <c r="J2094" s="255">
        <v>10056</v>
      </c>
      <c r="K2094" s="593">
        <f>ROUND(I2094*J2094,0)</f>
        <v>402240</v>
      </c>
      <c r="L2094" s="594" t="s">
        <v>259</v>
      </c>
      <c r="M2094" s="594" t="s">
        <v>174</v>
      </c>
      <c r="N2094" s="52" t="str">
        <f>IF(AND('331-CT'!$E$7=TH!H2094,OR(L2094="331",M2094="331")),"331",IF(AND(OR(L2094="131",M2094="131"),H2094='131-CT'!$E$7),"131",""))</f>
        <v/>
      </c>
      <c r="O2094" s="86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99"/>
    </row>
    <row r="2095" spans="1:27" s="210" customFormat="1" ht="15.75" customHeight="1">
      <c r="A2095" s="203" t="str">
        <f>IF(B2095&lt;&gt;"",IF(AND(B2095&gt;=_TM1,B2095&lt;=_TM2,OR(TH!L2095="1111",TH!M2095="1111")),TH!D2095,""),"")</f>
        <v/>
      </c>
      <c r="B2095" s="36">
        <f>IF(C2095&lt;&gt;"",MONTH(C2095),"")</f>
        <v>11</v>
      </c>
      <c r="C2095" s="183">
        <f>E2095</f>
        <v>42312</v>
      </c>
      <c r="D2095" s="183" t="s">
        <v>1567</v>
      </c>
      <c r="E2095" s="37">
        <v>42312</v>
      </c>
      <c r="F2095" s="40" t="s">
        <v>731</v>
      </c>
      <c r="G2095" s="40" t="s">
        <v>1160</v>
      </c>
      <c r="H2095" s="7" t="s">
        <v>1934</v>
      </c>
      <c r="I2095" s="255"/>
      <c r="J2095" s="255"/>
      <c r="K2095" s="593">
        <v>1349859</v>
      </c>
      <c r="L2095" s="594" t="s">
        <v>259</v>
      </c>
      <c r="M2095" s="594" t="s">
        <v>371</v>
      </c>
      <c r="N2095" s="52" t="str">
        <f>IF(AND('331-CT'!$E$7=TH!H2095,OR(L2095="331",M2095="331")),"331",IF(AND(OR(L2095="131",M2095="131"),H2095='131-CT'!$E$7),"131",""))</f>
        <v/>
      </c>
      <c r="O2095" s="86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99"/>
    </row>
    <row r="2096" spans="1:27" s="210" customFormat="1" ht="15.75" customHeight="1">
      <c r="A2096" s="203" t="str">
        <f>IF(B2096&lt;&gt;"",IF(AND(B2096&gt;=_TM1,B2096&lt;=_TM2,OR(TH!L2096="1111",TH!M2096="1111")),TH!D2096,""),"")</f>
        <v>GBN</v>
      </c>
      <c r="B2096" s="36">
        <f>IF(C2096&lt;&gt;"",MONTH(C2096),"")</f>
        <v>11</v>
      </c>
      <c r="C2096" s="183">
        <f>E2096</f>
        <v>42312</v>
      </c>
      <c r="D2096" s="183" t="s">
        <v>1324</v>
      </c>
      <c r="E2096" s="190">
        <v>42312</v>
      </c>
      <c r="F2096" s="188" t="s">
        <v>1325</v>
      </c>
      <c r="G2096" s="482" t="s">
        <v>332</v>
      </c>
      <c r="H2096" s="7" t="s">
        <v>1337</v>
      </c>
      <c r="I2096" s="255"/>
      <c r="J2096" s="255"/>
      <c r="K2096" s="593">
        <v>14500000</v>
      </c>
      <c r="L2096" s="594" t="s">
        <v>47</v>
      </c>
      <c r="M2096" s="594" t="s">
        <v>24</v>
      </c>
      <c r="N2096" s="52" t="str">
        <f>IF(AND('331-CT'!$E$7=TH!H2096,OR(L2096="331",M2096="331")),"331",IF(AND(OR(L2096="131",M2096="131"),H2096='131-CT'!$E$7),"131",""))</f>
        <v/>
      </c>
      <c r="O2096" s="86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>x</v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99"/>
    </row>
    <row r="2097" spans="1:27" s="210" customFormat="1" ht="15.75" customHeight="1">
      <c r="A2097" s="203" t="str">
        <f>IF(B2097&lt;&gt;"",IF(AND(B2097&gt;=_TM1,B2097&lt;=_TM2,OR(TH!L2097="1111",TH!M2097="1111")),TH!D2097,""),"")</f>
        <v/>
      </c>
      <c r="B2097" s="36">
        <f>IF(C2097&lt;&gt;"",MONTH(C2097),"")</f>
        <v>11</v>
      </c>
      <c r="C2097" s="183">
        <f>E2097</f>
        <v>42312</v>
      </c>
      <c r="D2097" s="190" t="s">
        <v>2020</v>
      </c>
      <c r="E2097" s="727">
        <v>42312</v>
      </c>
      <c r="F2097" s="296" t="s">
        <v>1380</v>
      </c>
      <c r="G2097" s="482" t="s">
        <v>1475</v>
      </c>
      <c r="H2097" s="7" t="s">
        <v>1472</v>
      </c>
      <c r="I2097" s="255">
        <v>3414</v>
      </c>
      <c r="J2097" s="255">
        <v>8800</v>
      </c>
      <c r="K2097" s="593">
        <f>ROUND(I2097*J2097,0)</f>
        <v>30043200</v>
      </c>
      <c r="L2097" s="594" t="s">
        <v>159</v>
      </c>
      <c r="M2097" s="594" t="s">
        <v>8</v>
      </c>
      <c r="N2097" s="52" t="str">
        <f>IF(AND('331-CT'!$E$7=TH!H2097,OR(L2097="331",M2097="331")),"331",IF(AND(OR(L2097="131",M2097="131"),H2097='131-CT'!$E$7),"131",""))</f>
        <v/>
      </c>
      <c r="O2097" s="86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>x</v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99"/>
    </row>
    <row r="2098" spans="1:27" s="210" customFormat="1" ht="15.75" customHeight="1">
      <c r="A2098" s="203" t="str">
        <f>IF(B2098&lt;&gt;"",IF(AND(B2098&gt;=_TM1,B2098&lt;=_TM2,OR(TH!L2098="1111",TH!M2098="1111")),TH!D2098,""),"")</f>
        <v/>
      </c>
      <c r="B2098" s="36">
        <f>IF(C2098&lt;&gt;"",MONTH(C2098),"")</f>
        <v>11</v>
      </c>
      <c r="C2098" s="183">
        <f>E2098</f>
        <v>42312</v>
      </c>
      <c r="D2098" s="190" t="s">
        <v>2020</v>
      </c>
      <c r="E2098" s="727">
        <v>42312</v>
      </c>
      <c r="F2098" s="296" t="s">
        <v>1381</v>
      </c>
      <c r="G2098" s="482" t="s">
        <v>1475</v>
      </c>
      <c r="H2098" s="7" t="s">
        <v>1472</v>
      </c>
      <c r="I2098" s="255"/>
      <c r="J2098" s="255"/>
      <c r="K2098" s="593">
        <v>3004320</v>
      </c>
      <c r="L2098" s="594" t="s">
        <v>9</v>
      </c>
      <c r="M2098" s="594" t="s">
        <v>8</v>
      </c>
      <c r="N2098" s="52" t="str">
        <f>IF(AND('331-CT'!$E$7=TH!H2098,OR(L2098="331",M2098="331")),"331",IF(AND(OR(L2098="131",M2098="131"),H2098='131-CT'!$E$7),"131",""))</f>
        <v/>
      </c>
      <c r="O2098" s="86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99"/>
    </row>
    <row r="2099" spans="1:27" s="210" customFormat="1" ht="15.75" customHeight="1">
      <c r="A2099" s="203" t="str">
        <f>IF(B2099&lt;&gt;"",IF(AND(B2099&gt;=_TM1,B2099&lt;=_TM2,OR(TH!L2099="1111",TH!M2099="1111")),TH!D2099,""),"")</f>
        <v/>
      </c>
      <c r="B2099" s="36">
        <f>IF(C2099&lt;&gt;"",MONTH(C2099),"")</f>
        <v>11</v>
      </c>
      <c r="C2099" s="183">
        <f>E2099</f>
        <v>42313</v>
      </c>
      <c r="D2099" s="183" t="s">
        <v>1568</v>
      </c>
      <c r="E2099" s="37">
        <v>42313</v>
      </c>
      <c r="F2099" s="40" t="s">
        <v>1161</v>
      </c>
      <c r="G2099" s="40" t="s">
        <v>1162</v>
      </c>
      <c r="H2099" s="7" t="s">
        <v>950</v>
      </c>
      <c r="I2099" s="255">
        <v>650</v>
      </c>
      <c r="J2099" s="255">
        <v>5900</v>
      </c>
      <c r="K2099" s="593">
        <f>ROUND(I2099*J2099,0)</f>
        <v>3835000</v>
      </c>
      <c r="L2099" s="594" t="s">
        <v>259</v>
      </c>
      <c r="M2099" s="594" t="s">
        <v>174</v>
      </c>
      <c r="N2099" s="52" t="str">
        <f>IF(AND('331-CT'!$E$7=TH!H2099,OR(L2099="331",M2099="331")),"331",IF(AND(OR(L2099="131",M2099="131"),H2099='131-CT'!$E$7),"131",""))</f>
        <v/>
      </c>
      <c r="O2099" s="86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99"/>
    </row>
    <row r="2100" spans="1:27" s="210" customFormat="1" ht="15.75" customHeight="1">
      <c r="A2100" s="203" t="str">
        <f>IF(B2100&lt;&gt;"",IF(AND(B2100&gt;=_TM1,B2100&lt;=_TM2,OR(TH!L2100="1111",TH!M2100="1111")),TH!D2100,""),"")</f>
        <v/>
      </c>
      <c r="B2100" s="36">
        <f>IF(C2100&lt;&gt;"",MONTH(C2100),"")</f>
        <v>11</v>
      </c>
      <c r="C2100" s="183">
        <f>E2100</f>
        <v>42313</v>
      </c>
      <c r="D2100" s="183" t="s">
        <v>1568</v>
      </c>
      <c r="E2100" s="37">
        <v>42313</v>
      </c>
      <c r="F2100" s="40" t="s">
        <v>602</v>
      </c>
      <c r="G2100" s="40" t="s">
        <v>1162</v>
      </c>
      <c r="H2100" s="7" t="s">
        <v>950</v>
      </c>
      <c r="I2100" s="255">
        <v>357</v>
      </c>
      <c r="J2100" s="255">
        <v>8950</v>
      </c>
      <c r="K2100" s="593">
        <f>ROUND(I2100*J2100,0)</f>
        <v>3195150</v>
      </c>
      <c r="L2100" s="594" t="s">
        <v>259</v>
      </c>
      <c r="M2100" s="594" t="s">
        <v>174</v>
      </c>
      <c r="N2100" s="52" t="str">
        <f>IF(AND('331-CT'!$E$7=TH!H2100,OR(L2100="331",M2100="331")),"331",IF(AND(OR(L2100="131",M2100="131"),H2100='131-CT'!$E$7),"131",""))</f>
        <v/>
      </c>
      <c r="O2100" s="86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99"/>
    </row>
    <row r="2101" spans="1:27" s="210" customFormat="1" ht="15.75" customHeight="1">
      <c r="A2101" s="203" t="str">
        <f>IF(B2101&lt;&gt;"",IF(AND(B2101&gt;=_TM1,B2101&lt;=_TM2,OR(TH!L2101="1111",TH!M2101="1111")),TH!D2101,""),"")</f>
        <v/>
      </c>
      <c r="B2101" s="36">
        <f>IF(C2101&lt;&gt;"",MONTH(C2101),"")</f>
        <v>11</v>
      </c>
      <c r="C2101" s="183">
        <f>E2101</f>
        <v>42313</v>
      </c>
      <c r="D2101" s="183" t="s">
        <v>1568</v>
      </c>
      <c r="E2101" s="37">
        <v>42313</v>
      </c>
      <c r="F2101" s="40" t="s">
        <v>658</v>
      </c>
      <c r="G2101" s="40" t="s">
        <v>1162</v>
      </c>
      <c r="H2101" s="7" t="s">
        <v>950</v>
      </c>
      <c r="I2101" s="255">
        <v>90</v>
      </c>
      <c r="J2101" s="255">
        <v>7300</v>
      </c>
      <c r="K2101" s="593">
        <f>ROUND(I2101*J2101,0)</f>
        <v>657000</v>
      </c>
      <c r="L2101" s="594" t="s">
        <v>259</v>
      </c>
      <c r="M2101" s="594" t="s">
        <v>174</v>
      </c>
      <c r="N2101" s="52" t="str">
        <f>IF(AND('331-CT'!$E$7=TH!H2101,OR(L2101="331",M2101="331")),"331",IF(AND(OR(L2101="131",M2101="131"),H2101='131-CT'!$E$7),"131",""))</f>
        <v/>
      </c>
      <c r="O2101" s="86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99"/>
    </row>
    <row r="2102" spans="1:27" s="210" customFormat="1" ht="15.75" customHeight="1">
      <c r="A2102" s="203" t="str">
        <f>IF(B2102&lt;&gt;"",IF(AND(B2102&gt;=_TM1,B2102&lt;=_TM2,OR(TH!L2102="1111",TH!M2102="1111")),TH!D2102,""),"")</f>
        <v/>
      </c>
      <c r="B2102" s="36">
        <f>IF(C2102&lt;&gt;"",MONTH(C2102),"")</f>
        <v>11</v>
      </c>
      <c r="C2102" s="183">
        <f>E2102</f>
        <v>42313</v>
      </c>
      <c r="D2102" s="183" t="s">
        <v>1568</v>
      </c>
      <c r="E2102" s="37">
        <v>42313</v>
      </c>
      <c r="F2102" s="40" t="s">
        <v>1163</v>
      </c>
      <c r="G2102" s="40" t="s">
        <v>1162</v>
      </c>
      <c r="H2102" s="7" t="s">
        <v>950</v>
      </c>
      <c r="I2102" s="255">
        <v>23</v>
      </c>
      <c r="J2102" s="255">
        <v>7300</v>
      </c>
      <c r="K2102" s="593">
        <f>ROUND(I2102*J2102,0)</f>
        <v>167900</v>
      </c>
      <c r="L2102" s="594" t="s">
        <v>259</v>
      </c>
      <c r="M2102" s="594" t="s">
        <v>174</v>
      </c>
      <c r="N2102" s="52" t="str">
        <f>IF(AND('331-CT'!$E$7=TH!H2102,OR(L2102="331",M2102="331")),"331",IF(AND(OR(L2102="131",M2102="131"),H2102='131-CT'!$E$7),"131",""))</f>
        <v/>
      </c>
      <c r="O2102" s="86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99"/>
    </row>
    <row r="2103" spans="1:27" s="210" customFormat="1" ht="15.75" customHeight="1">
      <c r="A2103" s="203" t="str">
        <f>IF(B2103&lt;&gt;"",IF(AND(B2103&gt;=_TM1,B2103&lt;=_TM2,OR(TH!L2103="1111",TH!M2103="1111")),TH!D2103,""),"")</f>
        <v/>
      </c>
      <c r="B2103" s="36">
        <f>IF(C2103&lt;&gt;"",MONTH(C2103),"")</f>
        <v>11</v>
      </c>
      <c r="C2103" s="183">
        <f>E2103</f>
        <v>42313</v>
      </c>
      <c r="D2103" s="183" t="s">
        <v>1568</v>
      </c>
      <c r="E2103" s="190">
        <v>42313</v>
      </c>
      <c r="F2103" s="191" t="s">
        <v>1164</v>
      </c>
      <c r="G2103" s="482" t="s">
        <v>1162</v>
      </c>
      <c r="H2103" s="7" t="s">
        <v>950</v>
      </c>
      <c r="I2103" s="255">
        <v>23</v>
      </c>
      <c r="J2103" s="255">
        <v>6200</v>
      </c>
      <c r="K2103" s="593">
        <f>ROUND(I2103*J2103,0)</f>
        <v>142600</v>
      </c>
      <c r="L2103" s="594" t="s">
        <v>259</v>
      </c>
      <c r="M2103" s="594" t="s">
        <v>174</v>
      </c>
      <c r="N2103" s="52" t="str">
        <f>IF(AND('331-CT'!$E$7=TH!H2103,OR(L2103="331",M2103="331")),"331",IF(AND(OR(L2103="131",M2103="131"),H2103='131-CT'!$E$7),"131",""))</f>
        <v/>
      </c>
      <c r="O2103" s="86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99"/>
    </row>
    <row r="2104" spans="1:27" s="210" customFormat="1" ht="15.75" customHeight="1">
      <c r="A2104" s="203" t="str">
        <f>IF(B2104&lt;&gt;"",IF(AND(B2104&gt;=_TM1,B2104&lt;=_TM2,OR(TH!L2104="1111",TH!M2104="1111")),TH!D2104,""),"")</f>
        <v/>
      </c>
      <c r="B2104" s="36">
        <f>IF(C2104&lt;&gt;"",MONTH(C2104),"")</f>
        <v>11</v>
      </c>
      <c r="C2104" s="183">
        <f>E2104</f>
        <v>42313</v>
      </c>
      <c r="D2104" s="183" t="s">
        <v>1568</v>
      </c>
      <c r="E2104" s="190">
        <v>42313</v>
      </c>
      <c r="F2104" s="191" t="s">
        <v>402</v>
      </c>
      <c r="G2104" s="482" t="s">
        <v>1162</v>
      </c>
      <c r="H2104" s="7" t="s">
        <v>950</v>
      </c>
      <c r="I2104" s="255"/>
      <c r="J2104" s="255"/>
      <c r="K2104" s="593">
        <v>799765</v>
      </c>
      <c r="L2104" s="594" t="s">
        <v>259</v>
      </c>
      <c r="M2104" s="594" t="s">
        <v>371</v>
      </c>
      <c r="N2104" s="52" t="str">
        <f>IF(AND('331-CT'!$E$7=TH!H2104,OR(L2104="331",M2104="331")),"331",IF(AND(OR(L2104="131",M2104="131"),H2104='131-CT'!$E$7),"131",""))</f>
        <v/>
      </c>
      <c r="O2104" s="86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99"/>
    </row>
    <row r="2105" spans="1:27" s="210" customFormat="1" ht="15.75" customHeight="1">
      <c r="A2105" s="203" t="str">
        <f>IF(B2105&lt;&gt;"",IF(AND(B2105&gt;=_TM1,B2105&lt;=_TM2,OR(TH!L2105="1111",TH!M2105="1111")),TH!D2105,""),"")</f>
        <v/>
      </c>
      <c r="B2105" s="36">
        <f>IF(C2105&lt;&gt;"",MONTH(C2105),"")</f>
        <v>11</v>
      </c>
      <c r="C2105" s="183">
        <f>E2105</f>
        <v>42313</v>
      </c>
      <c r="D2105" s="183" t="s">
        <v>1569</v>
      </c>
      <c r="E2105" s="190">
        <v>42313</v>
      </c>
      <c r="F2105" s="191" t="s">
        <v>1165</v>
      </c>
      <c r="G2105" s="482" t="s">
        <v>1166</v>
      </c>
      <c r="H2105" s="7" t="s">
        <v>851</v>
      </c>
      <c r="I2105" s="255">
        <v>70</v>
      </c>
      <c r="J2105" s="255">
        <v>22253</v>
      </c>
      <c r="K2105" s="593">
        <f>ROUND(I2105*J2105,0)</f>
        <v>1557710</v>
      </c>
      <c r="L2105" s="594" t="s">
        <v>259</v>
      </c>
      <c r="M2105" s="594" t="s">
        <v>174</v>
      </c>
      <c r="N2105" s="52" t="str">
        <f>IF(AND('331-CT'!$E$7=TH!H2105,OR(L2105="331",M2105="331")),"331",IF(AND(OR(L2105="131",M2105="131"),H2105='131-CT'!$E$7),"131",""))</f>
        <v/>
      </c>
      <c r="O2105" s="86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99"/>
    </row>
    <row r="2106" spans="1:27" s="210" customFormat="1" ht="15.75" customHeight="1">
      <c r="A2106" s="203" t="str">
        <f>IF(B2106&lt;&gt;"",IF(AND(B2106&gt;=_TM1,B2106&lt;=_TM2,OR(TH!L2106="1111",TH!M2106="1111")),TH!D2106,""),"")</f>
        <v/>
      </c>
      <c r="B2106" s="36">
        <f>IF(C2106&lt;&gt;"",MONTH(C2106),"")</f>
        <v>11</v>
      </c>
      <c r="C2106" s="183">
        <f>E2106</f>
        <v>42313</v>
      </c>
      <c r="D2106" s="183" t="s">
        <v>1569</v>
      </c>
      <c r="E2106" s="190">
        <v>42313</v>
      </c>
      <c r="F2106" s="191" t="s">
        <v>402</v>
      </c>
      <c r="G2106" s="482" t="s">
        <v>1166</v>
      </c>
      <c r="H2106" s="7" t="s">
        <v>851</v>
      </c>
      <c r="I2106" s="255"/>
      <c r="J2106" s="255"/>
      <c r="K2106" s="593">
        <v>155771</v>
      </c>
      <c r="L2106" s="594" t="s">
        <v>259</v>
      </c>
      <c r="M2106" s="594" t="s">
        <v>371</v>
      </c>
      <c r="N2106" s="52" t="str">
        <f>IF(AND('331-CT'!$E$7=TH!H2106,OR(L2106="331",M2106="331")),"331",IF(AND(OR(L2106="131",M2106="131"),H2106='131-CT'!$E$7),"131",""))</f>
        <v/>
      </c>
      <c r="O2106" s="86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99"/>
    </row>
    <row r="2107" spans="1:27" s="210" customFormat="1" ht="15.75" customHeight="1">
      <c r="A2107" s="203" t="str">
        <f>IF(B2107&lt;&gt;"",IF(AND(B2107&gt;=_TM1,B2107&lt;=_TM2,OR(TH!L2107="1111",TH!M2107="1111")),TH!D2107,""),"")</f>
        <v/>
      </c>
      <c r="B2107" s="36">
        <f>IF(C2107&lt;&gt;"",MONTH(C2107),"")</f>
        <v>11</v>
      </c>
      <c r="C2107" s="183">
        <f>E2107</f>
        <v>42315</v>
      </c>
      <c r="D2107" s="183" t="s">
        <v>1570</v>
      </c>
      <c r="E2107" s="190">
        <v>42315</v>
      </c>
      <c r="F2107" s="191" t="s">
        <v>2008</v>
      </c>
      <c r="G2107" s="482" t="s">
        <v>1167</v>
      </c>
      <c r="H2107" s="7" t="s">
        <v>957</v>
      </c>
      <c r="I2107" s="255">
        <v>150</v>
      </c>
      <c r="J2107" s="255">
        <v>3550</v>
      </c>
      <c r="K2107" s="593">
        <f>ROUND(I2107*J2107,0)</f>
        <v>532500</v>
      </c>
      <c r="L2107" s="594" t="s">
        <v>259</v>
      </c>
      <c r="M2107" s="594" t="s">
        <v>174</v>
      </c>
      <c r="N2107" s="52" t="str">
        <f>IF(AND('331-CT'!$E$7=TH!H2107,OR(L2107="331",M2107="331")),"331",IF(AND(OR(L2107="131",M2107="131"),H2107='131-CT'!$E$7),"131",""))</f>
        <v/>
      </c>
      <c r="O2107" s="86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99"/>
    </row>
    <row r="2108" spans="1:27" s="210" customFormat="1" ht="15.75" customHeight="1">
      <c r="A2108" s="203" t="str">
        <f>IF(B2108&lt;&gt;"",IF(AND(B2108&gt;=_TM1,B2108&lt;=_TM2,OR(TH!L2108="1111",TH!M2108="1111")),TH!D2108,""),"")</f>
        <v/>
      </c>
      <c r="B2108" s="36">
        <f>IF(C2108&lt;&gt;"",MONTH(C2108),"")</f>
        <v>11</v>
      </c>
      <c r="C2108" s="183">
        <f>E2108</f>
        <v>42315</v>
      </c>
      <c r="D2108" s="183" t="s">
        <v>1570</v>
      </c>
      <c r="E2108" s="190">
        <v>42315</v>
      </c>
      <c r="F2108" s="191" t="s">
        <v>402</v>
      </c>
      <c r="G2108" s="482" t="s">
        <v>1167</v>
      </c>
      <c r="H2108" s="7" t="s">
        <v>957</v>
      </c>
      <c r="I2108" s="255"/>
      <c r="J2108" s="255"/>
      <c r="K2108" s="593">
        <v>53250</v>
      </c>
      <c r="L2108" s="594" t="s">
        <v>259</v>
      </c>
      <c r="M2108" s="594" t="s">
        <v>371</v>
      </c>
      <c r="N2108" s="52" t="str">
        <f>IF(AND('331-CT'!$E$7=TH!H2108,OR(L2108="331",M2108="331")),"331",IF(AND(OR(L2108="131",M2108="131"),H2108='131-CT'!$E$7),"131",""))</f>
        <v/>
      </c>
      <c r="O2108" s="86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99"/>
    </row>
    <row r="2109" spans="1:27" s="210" customFormat="1" ht="15.75" customHeight="1">
      <c r="A2109" s="203" t="str">
        <f>IF(B2109&lt;&gt;"",IF(AND(B2109&gt;=_TM1,B2109&lt;=_TM2,OR(TH!L2109="1111",TH!M2109="1111")),TH!D2109,""),"")</f>
        <v/>
      </c>
      <c r="B2109" s="36">
        <f>IF(C2109&lt;&gt;"",MONTH(C2109),"")</f>
        <v>11</v>
      </c>
      <c r="C2109" s="183">
        <f>E2109</f>
        <v>42315</v>
      </c>
      <c r="D2109" s="183" t="s">
        <v>1571</v>
      </c>
      <c r="E2109" s="190">
        <v>42315</v>
      </c>
      <c r="F2109" s="191" t="s">
        <v>398</v>
      </c>
      <c r="G2109" s="482" t="s">
        <v>1168</v>
      </c>
      <c r="H2109" s="7" t="s">
        <v>400</v>
      </c>
      <c r="I2109" s="255">
        <v>1188</v>
      </c>
      <c r="J2109" s="255">
        <v>5000</v>
      </c>
      <c r="K2109" s="593">
        <f>ROUND(I2109*J2109,0)</f>
        <v>5940000</v>
      </c>
      <c r="L2109" s="594" t="s">
        <v>259</v>
      </c>
      <c r="M2109" s="594" t="s">
        <v>174</v>
      </c>
      <c r="N2109" s="52" t="str">
        <f>IF(AND('331-CT'!$E$7=TH!H2109,OR(L2109="331",M2109="331")),"331",IF(AND(OR(L2109="131",M2109="131"),H2109='131-CT'!$E$7),"131",""))</f>
        <v/>
      </c>
      <c r="O2109" s="86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99"/>
    </row>
    <row r="2110" spans="1:27" s="210" customFormat="1" ht="15.75" customHeight="1">
      <c r="A2110" s="203" t="str">
        <f>IF(B2110&lt;&gt;"",IF(AND(B2110&gt;=_TM1,B2110&lt;=_TM2,OR(TH!L2110="1111",TH!M2110="1111")),TH!D2110,""),"")</f>
        <v/>
      </c>
      <c r="B2110" s="36">
        <f>IF(C2110&lt;&gt;"",MONTH(C2110),"")</f>
        <v>11</v>
      </c>
      <c r="C2110" s="183">
        <f>E2110</f>
        <v>42315</v>
      </c>
      <c r="D2110" s="183" t="s">
        <v>1571</v>
      </c>
      <c r="E2110" s="190">
        <v>42315</v>
      </c>
      <c r="F2110" s="188" t="s">
        <v>1169</v>
      </c>
      <c r="G2110" s="482" t="s">
        <v>1168</v>
      </c>
      <c r="H2110" s="7" t="s">
        <v>400</v>
      </c>
      <c r="I2110" s="255">
        <v>304</v>
      </c>
      <c r="J2110" s="255">
        <v>5800</v>
      </c>
      <c r="K2110" s="593">
        <f>ROUND(I2110*J2110,0)</f>
        <v>1763200</v>
      </c>
      <c r="L2110" s="594" t="s">
        <v>259</v>
      </c>
      <c r="M2110" s="594" t="s">
        <v>174</v>
      </c>
      <c r="N2110" s="52" t="str">
        <f>IF(AND('331-CT'!$E$7=TH!H2110,OR(L2110="331",M2110="331")),"331",IF(AND(OR(L2110="131",M2110="131"),H2110='131-CT'!$E$7),"131",""))</f>
        <v/>
      </c>
      <c r="O2110" s="86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99"/>
    </row>
    <row r="2111" spans="1:27" s="210" customFormat="1" ht="15.75" customHeight="1">
      <c r="A2111" s="203" t="str">
        <f>IF(B2111&lt;&gt;"",IF(AND(B2111&gt;=_TM1,B2111&lt;=_TM2,OR(TH!L2111="1111",TH!M2111="1111")),TH!D2111,""),"")</f>
        <v/>
      </c>
      <c r="B2111" s="36">
        <f>IF(C2111&lt;&gt;"",MONTH(C2111),"")</f>
        <v>11</v>
      </c>
      <c r="C2111" s="183">
        <f>E2111</f>
        <v>42315</v>
      </c>
      <c r="D2111" s="183" t="s">
        <v>1571</v>
      </c>
      <c r="E2111" s="190">
        <v>42315</v>
      </c>
      <c r="F2111" s="191" t="s">
        <v>402</v>
      </c>
      <c r="G2111" s="482" t="s">
        <v>1168</v>
      </c>
      <c r="H2111" s="7" t="s">
        <v>400</v>
      </c>
      <c r="I2111" s="255"/>
      <c r="J2111" s="255"/>
      <c r="K2111" s="38">
        <v>770320</v>
      </c>
      <c r="L2111" s="594" t="s">
        <v>259</v>
      </c>
      <c r="M2111" s="594" t="s">
        <v>371</v>
      </c>
      <c r="N2111" s="52" t="str">
        <f>IF(AND('331-CT'!$E$7=TH!H2111,OR(L2111="331",M2111="331")),"331",IF(AND(OR(L2111="131",M2111="131"),H2111='131-CT'!$E$7),"131",""))</f>
        <v/>
      </c>
      <c r="O2111" s="86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99"/>
    </row>
    <row r="2112" spans="1:27" s="210" customFormat="1" ht="15.75" customHeight="1">
      <c r="A2112" s="203" t="str">
        <f>IF(B2112&lt;&gt;"",IF(AND(B2112&gt;=_TM1,B2112&lt;=_TM2,OR(TH!L2112="1111",TH!M2112="1111")),TH!D2112,""),"")</f>
        <v/>
      </c>
      <c r="B2112" s="36">
        <f>IF(C2112&lt;&gt;"",MONTH(C2112),"")</f>
        <v>11</v>
      </c>
      <c r="C2112" s="183">
        <f>E2112</f>
        <v>42317</v>
      </c>
      <c r="D2112" s="183" t="s">
        <v>1572</v>
      </c>
      <c r="E2112" s="37">
        <v>42317</v>
      </c>
      <c r="F2112" s="40" t="s">
        <v>760</v>
      </c>
      <c r="G2112" s="40" t="s">
        <v>1170</v>
      </c>
      <c r="H2112" s="7" t="s">
        <v>762</v>
      </c>
      <c r="I2112" s="255">
        <v>519</v>
      </c>
      <c r="J2112" s="255">
        <v>6400</v>
      </c>
      <c r="K2112" s="593">
        <f>ROUND(I2112*J2112,0)</f>
        <v>3321600</v>
      </c>
      <c r="L2112" s="594" t="s">
        <v>259</v>
      </c>
      <c r="M2112" s="594" t="s">
        <v>174</v>
      </c>
      <c r="N2112" s="52" t="str">
        <f>IF(AND('331-CT'!$E$7=TH!H2112,OR(L2112="331",M2112="331")),"331",IF(AND(OR(L2112="131",M2112="131"),H2112='131-CT'!$E$7),"131",""))</f>
        <v/>
      </c>
      <c r="O2112" s="86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99"/>
    </row>
    <row r="2113" spans="1:27" s="210" customFormat="1" ht="15.75" customHeight="1">
      <c r="A2113" s="203" t="str">
        <f>IF(B2113&lt;&gt;"",IF(AND(B2113&gt;=_TM1,B2113&lt;=_TM2,OR(TH!L2113="1111",TH!M2113="1111")),TH!D2113,""),"")</f>
        <v/>
      </c>
      <c r="B2113" s="36">
        <f>IF(C2113&lt;&gt;"",MONTH(C2113),"")</f>
        <v>11</v>
      </c>
      <c r="C2113" s="183">
        <f>E2113</f>
        <v>42317</v>
      </c>
      <c r="D2113" s="183" t="s">
        <v>1572</v>
      </c>
      <c r="E2113" s="37">
        <v>42317</v>
      </c>
      <c r="F2113" s="40" t="s">
        <v>402</v>
      </c>
      <c r="G2113" s="40" t="s">
        <v>1170</v>
      </c>
      <c r="H2113" s="7" t="s">
        <v>762</v>
      </c>
      <c r="I2113" s="255"/>
      <c r="J2113" s="255"/>
      <c r="K2113" s="593">
        <v>332160</v>
      </c>
      <c r="L2113" s="594" t="s">
        <v>259</v>
      </c>
      <c r="M2113" s="594" t="s">
        <v>371</v>
      </c>
      <c r="N2113" s="52" t="str">
        <f>IF(AND('331-CT'!$E$7=TH!H2113,OR(L2113="331",M2113="331")),"331",IF(AND(OR(L2113="131",M2113="131"),H2113='131-CT'!$E$7),"131",""))</f>
        <v/>
      </c>
      <c r="O2113" s="86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99"/>
    </row>
    <row r="2114" spans="1:27" s="210" customFormat="1" ht="15.75" customHeight="1">
      <c r="A2114" s="203" t="str">
        <f>IF(B2114&lt;&gt;"",IF(AND(B2114&gt;=_TM1,B2114&lt;=_TM2,OR(TH!L2114="1111",TH!M2114="1111")),TH!D2114,""),"")</f>
        <v/>
      </c>
      <c r="B2114" s="36">
        <f>IF(C2114&lt;&gt;"",MONTH(C2114),"")</f>
        <v>11</v>
      </c>
      <c r="C2114" s="183">
        <f>E2114</f>
        <v>42317</v>
      </c>
      <c r="D2114" s="183" t="s">
        <v>1573</v>
      </c>
      <c r="E2114" s="37">
        <v>42317</v>
      </c>
      <c r="F2114" s="191" t="s">
        <v>451</v>
      </c>
      <c r="G2114" s="40" t="s">
        <v>1171</v>
      </c>
      <c r="H2114" s="7" t="s">
        <v>1172</v>
      </c>
      <c r="I2114" s="255">
        <v>100</v>
      </c>
      <c r="J2114" s="255">
        <v>12970</v>
      </c>
      <c r="K2114" s="593">
        <f>ROUND(I2114*J2114,0)</f>
        <v>1297000</v>
      </c>
      <c r="L2114" s="594" t="s">
        <v>259</v>
      </c>
      <c r="M2114" s="594" t="s">
        <v>174</v>
      </c>
      <c r="N2114" s="52" t="str">
        <f>IF(AND('331-CT'!$E$7=TH!H2114,OR(L2114="331",M2114="331")),"331",IF(AND(OR(L2114="131",M2114="131"),H2114='131-CT'!$E$7),"131",""))</f>
        <v/>
      </c>
      <c r="O2114" s="86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99"/>
    </row>
    <row r="2115" spans="1:27" s="210" customFormat="1" ht="15.75" customHeight="1">
      <c r="A2115" s="203" t="str">
        <f>IF(B2115&lt;&gt;"",IF(AND(B2115&gt;=_TM1,B2115&lt;=_TM2,OR(TH!L2115="1111",TH!M2115="1111")),TH!D2115,""),"")</f>
        <v/>
      </c>
      <c r="B2115" s="36">
        <f>IF(C2115&lt;&gt;"",MONTH(C2115),"")</f>
        <v>11</v>
      </c>
      <c r="C2115" s="183">
        <f>E2115</f>
        <v>42317</v>
      </c>
      <c r="D2115" s="183" t="s">
        <v>1573</v>
      </c>
      <c r="E2115" s="37">
        <v>42317</v>
      </c>
      <c r="F2115" s="40" t="s">
        <v>402</v>
      </c>
      <c r="G2115" s="40" t="s">
        <v>1171</v>
      </c>
      <c r="H2115" s="7" t="s">
        <v>1172</v>
      </c>
      <c r="I2115" s="255"/>
      <c r="J2115" s="255"/>
      <c r="K2115" s="593">
        <v>129700</v>
      </c>
      <c r="L2115" s="594" t="s">
        <v>259</v>
      </c>
      <c r="M2115" s="594" t="s">
        <v>371</v>
      </c>
      <c r="N2115" s="52" t="str">
        <f>IF(AND('331-CT'!$E$7=TH!H2115,OR(L2115="331",M2115="331")),"331",IF(AND(OR(L2115="131",M2115="131"),H2115='131-CT'!$E$7),"131",""))</f>
        <v/>
      </c>
      <c r="O2115" s="86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99"/>
    </row>
    <row r="2116" spans="1:27" s="210" customFormat="1" ht="15.75" customHeight="1">
      <c r="A2116" s="203" t="str">
        <f>IF(B2116&lt;&gt;"",IF(AND(B2116&gt;=_TM1,B2116&lt;=_TM2,OR(TH!L2116="1111",TH!M2116="1111")),TH!D2116,""),"")</f>
        <v/>
      </c>
      <c r="B2116" s="36">
        <f>IF(C2116&lt;&gt;"",MONTH(C2116),"")</f>
        <v>11</v>
      </c>
      <c r="C2116" s="183">
        <f>E2116</f>
        <v>42317</v>
      </c>
      <c r="D2116" s="183" t="s">
        <v>1574</v>
      </c>
      <c r="E2116" s="37">
        <v>42317</v>
      </c>
      <c r="F2116" s="40" t="s">
        <v>1173</v>
      </c>
      <c r="G2116" s="40" t="s">
        <v>1174</v>
      </c>
      <c r="H2116" s="7" t="s">
        <v>1175</v>
      </c>
      <c r="I2116" s="255">
        <v>400</v>
      </c>
      <c r="J2116" s="255">
        <v>12200</v>
      </c>
      <c r="K2116" s="593">
        <f>ROUND(I2116*J2116,0)</f>
        <v>4880000</v>
      </c>
      <c r="L2116" s="594" t="s">
        <v>259</v>
      </c>
      <c r="M2116" s="594" t="s">
        <v>174</v>
      </c>
      <c r="N2116" s="52" t="str">
        <f>IF(AND('331-CT'!$E$7=TH!H2116,OR(L2116="331",M2116="331")),"331",IF(AND(OR(L2116="131",M2116="131"),H2116='131-CT'!$E$7),"131",""))</f>
        <v/>
      </c>
      <c r="O2116" s="86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99"/>
    </row>
    <row r="2117" spans="1:27" s="210" customFormat="1" ht="15.75" customHeight="1">
      <c r="A2117" s="203" t="str">
        <f>IF(B2117&lt;&gt;"",IF(AND(B2117&gt;=_TM1,B2117&lt;=_TM2,OR(TH!L2117="1111",TH!M2117="1111")),TH!D2117,""),"")</f>
        <v/>
      </c>
      <c r="B2117" s="36">
        <f>IF(C2117&lt;&gt;"",MONTH(C2117),"")</f>
        <v>11</v>
      </c>
      <c r="C2117" s="183">
        <f>E2117</f>
        <v>42317</v>
      </c>
      <c r="D2117" s="183" t="s">
        <v>1574</v>
      </c>
      <c r="E2117" s="37">
        <v>42317</v>
      </c>
      <c r="F2117" s="40" t="s">
        <v>402</v>
      </c>
      <c r="G2117" s="40" t="s">
        <v>1174</v>
      </c>
      <c r="H2117" s="7" t="s">
        <v>1175</v>
      </c>
      <c r="I2117" s="255"/>
      <c r="J2117" s="255"/>
      <c r="K2117" s="593">
        <v>488000</v>
      </c>
      <c r="L2117" s="594" t="s">
        <v>259</v>
      </c>
      <c r="M2117" s="594" t="s">
        <v>371</v>
      </c>
      <c r="N2117" s="52" t="str">
        <f>IF(AND('331-CT'!$E$7=TH!H2117,OR(L2117="331",M2117="331")),"331",IF(AND(OR(L2117="131",M2117="131"),H2117='131-CT'!$E$7),"131",""))</f>
        <v/>
      </c>
      <c r="O2117" s="86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99"/>
    </row>
    <row r="2118" spans="1:27" s="210" customFormat="1" ht="15.75" customHeight="1">
      <c r="A2118" s="203" t="str">
        <f>IF(B2118&lt;&gt;"",IF(AND(B2118&gt;=_TM1,B2118&lt;=_TM2,OR(TH!L2118="1111",TH!M2118="1111")),TH!D2118,""),"")</f>
        <v/>
      </c>
      <c r="B2118" s="36">
        <f>IF(C2118&lt;&gt;"",MONTH(C2118),"")</f>
        <v>11</v>
      </c>
      <c r="C2118" s="183">
        <f>E2118</f>
        <v>42317</v>
      </c>
      <c r="D2118" s="183" t="s">
        <v>1575</v>
      </c>
      <c r="E2118" s="37">
        <v>42317</v>
      </c>
      <c r="F2118" s="40" t="s">
        <v>1819</v>
      </c>
      <c r="G2118" s="40" t="s">
        <v>1176</v>
      </c>
      <c r="H2118" s="7" t="s">
        <v>1934</v>
      </c>
      <c r="I2118" s="255">
        <v>500</v>
      </c>
      <c r="J2118" s="255">
        <v>10708</v>
      </c>
      <c r="K2118" s="593">
        <f>ROUND(I2118*J2118,0)</f>
        <v>5354000</v>
      </c>
      <c r="L2118" s="594" t="s">
        <v>259</v>
      </c>
      <c r="M2118" s="594" t="s">
        <v>174</v>
      </c>
      <c r="N2118" s="52" t="str">
        <f>IF(AND('331-CT'!$E$7=TH!H2118,OR(L2118="331",M2118="331")),"331",IF(AND(OR(L2118="131",M2118="131"),H2118='131-CT'!$E$7),"131",""))</f>
        <v/>
      </c>
      <c r="O2118" s="86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99"/>
    </row>
    <row r="2119" spans="1:27" s="210" customFormat="1" ht="15.75" customHeight="1">
      <c r="A2119" s="203" t="str">
        <f>IF(B2119&lt;&gt;"",IF(AND(B2119&gt;=_TM1,B2119&lt;=_TM2,OR(TH!L2119="1111",TH!M2119="1111")),TH!D2119,""),"")</f>
        <v/>
      </c>
      <c r="B2119" s="36">
        <f>IF(C2119&lt;&gt;"",MONTH(C2119),"")</f>
        <v>11</v>
      </c>
      <c r="C2119" s="183">
        <f>E2119</f>
        <v>42317</v>
      </c>
      <c r="D2119" s="183" t="s">
        <v>1575</v>
      </c>
      <c r="E2119" s="37">
        <v>42317</v>
      </c>
      <c r="F2119" s="191" t="s">
        <v>1751</v>
      </c>
      <c r="G2119" s="40" t="s">
        <v>1176</v>
      </c>
      <c r="H2119" s="7" t="s">
        <v>1934</v>
      </c>
      <c r="I2119" s="255">
        <v>340</v>
      </c>
      <c r="J2119" s="255">
        <v>14646</v>
      </c>
      <c r="K2119" s="593">
        <f>ROUND(I2119*J2119,0)</f>
        <v>4979640</v>
      </c>
      <c r="L2119" s="594" t="s">
        <v>259</v>
      </c>
      <c r="M2119" s="594" t="s">
        <v>174</v>
      </c>
      <c r="N2119" s="52" t="str">
        <f>IF(AND('331-CT'!$E$7=TH!H2119,OR(L2119="331",M2119="331")),"331",IF(AND(OR(L2119="131",M2119="131"),H2119='131-CT'!$E$7),"131",""))</f>
        <v/>
      </c>
      <c r="O2119" s="86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99"/>
    </row>
    <row r="2120" spans="1:27" s="210" customFormat="1" ht="15.75" customHeight="1">
      <c r="A2120" s="203" t="str">
        <f>IF(B2120&lt;&gt;"",IF(AND(B2120&gt;=_TM1,B2120&lt;=_TM2,OR(TH!L2120="1111",TH!M2120="1111")),TH!D2120,""),"")</f>
        <v/>
      </c>
      <c r="B2120" s="36">
        <f>IF(C2120&lt;&gt;"",MONTH(C2120),"")</f>
        <v>11</v>
      </c>
      <c r="C2120" s="183">
        <f>E2120</f>
        <v>42317</v>
      </c>
      <c r="D2120" s="183" t="s">
        <v>1575</v>
      </c>
      <c r="E2120" s="37">
        <v>42317</v>
      </c>
      <c r="F2120" s="40" t="s">
        <v>1820</v>
      </c>
      <c r="G2120" s="40" t="s">
        <v>1176</v>
      </c>
      <c r="H2120" s="7" t="s">
        <v>1934</v>
      </c>
      <c r="I2120" s="255">
        <v>422</v>
      </c>
      <c r="J2120" s="255">
        <v>15461</v>
      </c>
      <c r="K2120" s="593">
        <f>ROUND(I2120*J2120,0)</f>
        <v>6524542</v>
      </c>
      <c r="L2120" s="594" t="s">
        <v>259</v>
      </c>
      <c r="M2120" s="594" t="s">
        <v>174</v>
      </c>
      <c r="N2120" s="52" t="str">
        <f>IF(AND('331-CT'!$E$7=TH!H2120,OR(L2120="331",M2120="331")),"331",IF(AND(OR(L2120="131",M2120="131"),H2120='131-CT'!$E$7),"131",""))</f>
        <v/>
      </c>
      <c r="O2120" s="86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99"/>
    </row>
    <row r="2121" spans="1:27" s="210" customFormat="1" ht="15.75" customHeight="1">
      <c r="A2121" s="203" t="str">
        <f>IF(B2121&lt;&gt;"",IF(AND(B2121&gt;=_TM1,B2121&lt;=_TM2,OR(TH!L2121="1111",TH!M2121="1111")),TH!D2121,""),"")</f>
        <v/>
      </c>
      <c r="B2121" s="36">
        <f>IF(C2121&lt;&gt;"",MONTH(C2121),"")</f>
        <v>11</v>
      </c>
      <c r="C2121" s="183">
        <f>E2121</f>
        <v>42317</v>
      </c>
      <c r="D2121" s="183" t="s">
        <v>1575</v>
      </c>
      <c r="E2121" s="37">
        <v>42317</v>
      </c>
      <c r="F2121" s="40" t="s">
        <v>731</v>
      </c>
      <c r="G2121" s="40" t="s">
        <v>1176</v>
      </c>
      <c r="H2121" s="7" t="s">
        <v>1934</v>
      </c>
      <c r="I2121" s="255"/>
      <c r="J2121" s="255"/>
      <c r="K2121" s="593">
        <v>1685818</v>
      </c>
      <c r="L2121" s="594" t="s">
        <v>259</v>
      </c>
      <c r="M2121" s="594" t="s">
        <v>371</v>
      </c>
      <c r="N2121" s="52" t="str">
        <f>IF(AND('331-CT'!$E$7=TH!H2121,OR(L2121="331",M2121="331")),"331",IF(AND(OR(L2121="131",M2121="131"),H2121='131-CT'!$E$7),"131",""))</f>
        <v/>
      </c>
      <c r="O2121" s="86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99"/>
    </row>
    <row r="2122" spans="1:27" s="210" customFormat="1" ht="15.75" customHeight="1">
      <c r="A2122" s="203" t="str">
        <f>IF(B2122&lt;&gt;"",IF(AND(B2122&gt;=_TM1,B2122&lt;=_TM2,OR(TH!L2122="1111",TH!M2122="1111")),TH!D2122,""),"")</f>
        <v/>
      </c>
      <c r="B2122" s="36">
        <f>IF(C2122&lt;&gt;"",MONTH(C2122),"")</f>
        <v>11</v>
      </c>
      <c r="C2122" s="183">
        <f>E2122</f>
        <v>42318</v>
      </c>
      <c r="D2122" s="183" t="s">
        <v>1324</v>
      </c>
      <c r="E2122" s="190">
        <v>42318</v>
      </c>
      <c r="F2122" s="188" t="s">
        <v>1320</v>
      </c>
      <c r="G2122" s="482" t="s">
        <v>332</v>
      </c>
      <c r="H2122" s="7" t="s">
        <v>957</v>
      </c>
      <c r="I2122" s="255"/>
      <c r="J2122" s="255"/>
      <c r="K2122" s="593">
        <v>25880910</v>
      </c>
      <c r="L2122" s="594" t="s">
        <v>24</v>
      </c>
      <c r="M2122" s="594" t="s">
        <v>259</v>
      </c>
      <c r="N2122" s="52" t="str">
        <f>IF(AND('331-CT'!$E$7=TH!H2122,OR(L2122="331",M2122="331")),"331",IF(AND(OR(L2122="131",M2122="131"),H2122='131-CT'!$E$7),"131",""))</f>
        <v/>
      </c>
      <c r="O2122" s="86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>x</v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99"/>
    </row>
    <row r="2123" spans="1:27" s="210" customFormat="1" ht="15.75" customHeight="1">
      <c r="A2123" s="203" t="str">
        <f>IF(B2123&lt;&gt;"",IF(AND(B2123&gt;=_TM1,B2123&lt;=_TM2,OR(TH!L2123="1111",TH!M2123="1111")),TH!D2123,""),"")</f>
        <v>GBN</v>
      </c>
      <c r="B2123" s="36">
        <f>IF(C2123&lt;&gt;"",MONTH(C2123),"")</f>
        <v>11</v>
      </c>
      <c r="C2123" s="183">
        <f>E2123</f>
        <v>42318</v>
      </c>
      <c r="D2123" s="183" t="s">
        <v>1324</v>
      </c>
      <c r="E2123" s="190">
        <v>42318</v>
      </c>
      <c r="F2123" s="188" t="s">
        <v>1325</v>
      </c>
      <c r="G2123" s="482" t="s">
        <v>332</v>
      </c>
      <c r="H2123" s="7" t="s">
        <v>1337</v>
      </c>
      <c r="I2123" s="255"/>
      <c r="J2123" s="255"/>
      <c r="K2123" s="593">
        <v>25800000</v>
      </c>
      <c r="L2123" s="594" t="s">
        <v>47</v>
      </c>
      <c r="M2123" s="594" t="s">
        <v>24</v>
      </c>
      <c r="N2123" s="52" t="str">
        <f>IF(AND('331-CT'!$E$7=TH!H2123,OR(L2123="331",M2123="331")),"331",IF(AND(OR(L2123="131",M2123="131"),H2123='131-CT'!$E$7),"131",""))</f>
        <v/>
      </c>
      <c r="O2123" s="86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>x</v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99"/>
    </row>
    <row r="2124" spans="1:27" s="210" customFormat="1" ht="15.75" customHeight="1">
      <c r="A2124" s="203" t="str">
        <f>IF(B2124&lt;&gt;"",IF(AND(B2124&gt;=_TM1,B2124&lt;=_TM2,OR(TH!L2124="1111",TH!M2124="1111")),TH!D2124,""),"")</f>
        <v/>
      </c>
      <c r="B2124" s="36">
        <f>IF(C2124&lt;&gt;"",MONTH(C2124),"")</f>
        <v>11</v>
      </c>
      <c r="C2124" s="183">
        <f>E2124</f>
        <v>42319</v>
      </c>
      <c r="D2124" s="183" t="s">
        <v>1576</v>
      </c>
      <c r="E2124" s="37">
        <v>42319</v>
      </c>
      <c r="F2124" s="40" t="s">
        <v>474</v>
      </c>
      <c r="G2124" s="40" t="s">
        <v>1177</v>
      </c>
      <c r="H2124" s="7" t="s">
        <v>1178</v>
      </c>
      <c r="I2124" s="255">
        <v>154</v>
      </c>
      <c r="J2124" s="255">
        <v>14000</v>
      </c>
      <c r="K2124" s="593">
        <f>ROUND(I2124*J2124,0)</f>
        <v>2156000</v>
      </c>
      <c r="L2124" s="594" t="s">
        <v>259</v>
      </c>
      <c r="M2124" s="594" t="s">
        <v>174</v>
      </c>
      <c r="N2124" s="52" t="str">
        <f>IF(AND('331-CT'!$E$7=TH!H2124,OR(L2124="331",M2124="331")),"331",IF(AND(OR(L2124="131",M2124="131"),H2124='131-CT'!$E$7),"131",""))</f>
        <v/>
      </c>
      <c r="O2124" s="86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99"/>
    </row>
    <row r="2125" spans="1:27" s="210" customFormat="1" ht="15.75" customHeight="1">
      <c r="A2125" s="203" t="str">
        <f>IF(B2125&lt;&gt;"",IF(AND(B2125&gt;=_TM1,B2125&lt;=_TM2,OR(TH!L2125="1111",TH!M2125="1111")),TH!D2125,""),"")</f>
        <v/>
      </c>
      <c r="B2125" s="36">
        <f>IF(C2125&lt;&gt;"",MONTH(C2125),"")</f>
        <v>11</v>
      </c>
      <c r="C2125" s="183">
        <f>E2125</f>
        <v>42319</v>
      </c>
      <c r="D2125" s="183" t="s">
        <v>1576</v>
      </c>
      <c r="E2125" s="37">
        <v>42319</v>
      </c>
      <c r="F2125" s="40" t="s">
        <v>402</v>
      </c>
      <c r="G2125" s="40" t="s">
        <v>1177</v>
      </c>
      <c r="H2125" s="7" t="s">
        <v>1178</v>
      </c>
      <c r="I2125" s="255"/>
      <c r="J2125" s="255"/>
      <c r="K2125" s="593">
        <v>215600</v>
      </c>
      <c r="L2125" s="594" t="s">
        <v>259</v>
      </c>
      <c r="M2125" s="594" t="s">
        <v>371</v>
      </c>
      <c r="N2125" s="52" t="str">
        <f>IF(AND('331-CT'!$E$7=TH!H2125,OR(L2125="331",M2125="331")),"331",IF(AND(OR(L2125="131",M2125="131"),H2125='131-CT'!$E$7),"131",""))</f>
        <v/>
      </c>
      <c r="O2125" s="86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99"/>
    </row>
    <row r="2126" spans="1:27" s="210" customFormat="1" ht="15.75" customHeight="1">
      <c r="A2126" s="203" t="str">
        <f>IF(B2126&lt;&gt;"",IF(AND(B2126&gt;=_TM1,B2126&lt;=_TM2,OR(TH!L2126="1111",TH!M2126="1111")),TH!D2126,""),"")</f>
        <v/>
      </c>
      <c r="B2126" s="36">
        <f>IF(C2126&lt;&gt;"",MONTH(C2126),"")</f>
        <v>11</v>
      </c>
      <c r="C2126" s="183">
        <f>E2126</f>
        <v>42320</v>
      </c>
      <c r="D2126" s="183" t="s">
        <v>1324</v>
      </c>
      <c r="E2126" s="190">
        <v>42320</v>
      </c>
      <c r="F2126" s="188" t="s">
        <v>1320</v>
      </c>
      <c r="G2126" s="482" t="s">
        <v>332</v>
      </c>
      <c r="H2126" s="45" t="s">
        <v>416</v>
      </c>
      <c r="I2126" s="255"/>
      <c r="J2126" s="255"/>
      <c r="K2126" s="593">
        <v>27207557</v>
      </c>
      <c r="L2126" s="594" t="s">
        <v>24</v>
      </c>
      <c r="M2126" s="594" t="s">
        <v>259</v>
      </c>
      <c r="N2126" s="52" t="str">
        <f>IF(AND('331-CT'!$E$7=TH!H2126,OR(L2126="331",M2126="331")),"331",IF(AND(OR(L2126="131",M2126="131"),H2126='131-CT'!$E$7),"131",""))</f>
        <v/>
      </c>
      <c r="O2126" s="86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>x</v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99"/>
    </row>
    <row r="2127" spans="1:27" s="210" customFormat="1" ht="15.75" customHeight="1">
      <c r="A2127" s="203" t="str">
        <f>IF(B2127&lt;&gt;"",IF(AND(B2127&gt;=_TM1,B2127&lt;=_TM2,OR(TH!L2127="1111",TH!M2127="1111")),TH!D2127,""),"")</f>
        <v/>
      </c>
      <c r="B2127" s="36">
        <f>IF(C2127&lt;&gt;"",MONTH(C2127),"")</f>
        <v>11</v>
      </c>
      <c r="C2127" s="183">
        <f>E2127</f>
        <v>42321</v>
      </c>
      <c r="D2127" s="183" t="s">
        <v>1577</v>
      </c>
      <c r="E2127" s="37">
        <v>42321</v>
      </c>
      <c r="F2127" s="40" t="s">
        <v>1030</v>
      </c>
      <c r="G2127" s="40" t="s">
        <v>1179</v>
      </c>
      <c r="H2127" s="7" t="s">
        <v>832</v>
      </c>
      <c r="I2127" s="255">
        <v>104</v>
      </c>
      <c r="J2127" s="255">
        <v>15500</v>
      </c>
      <c r="K2127" s="593">
        <f>ROUND(I2127*J2127,0)</f>
        <v>1612000</v>
      </c>
      <c r="L2127" s="594" t="s">
        <v>259</v>
      </c>
      <c r="M2127" s="594" t="s">
        <v>174</v>
      </c>
      <c r="N2127" s="52" t="str">
        <f>IF(AND('331-CT'!$E$7=TH!H2127,OR(L2127="331",M2127="331")),"331",IF(AND(OR(L2127="131",M2127="131"),H2127='131-CT'!$E$7),"131",""))</f>
        <v/>
      </c>
      <c r="O2127" s="86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99"/>
    </row>
    <row r="2128" spans="1:27" s="210" customFormat="1" ht="15.75" customHeight="1">
      <c r="A2128" s="203" t="str">
        <f>IF(B2128&lt;&gt;"",IF(AND(B2128&gt;=_TM1,B2128&lt;=_TM2,OR(TH!L2128="1111",TH!M2128="1111")),TH!D2128,""),"")</f>
        <v/>
      </c>
      <c r="B2128" s="36">
        <f>IF(C2128&lt;&gt;"",MONTH(C2128),"")</f>
        <v>11</v>
      </c>
      <c r="C2128" s="183">
        <f>E2128</f>
        <v>42321</v>
      </c>
      <c r="D2128" s="183" t="s">
        <v>1577</v>
      </c>
      <c r="E2128" s="37">
        <v>42321</v>
      </c>
      <c r="F2128" s="40" t="s">
        <v>402</v>
      </c>
      <c r="G2128" s="40" t="s">
        <v>1179</v>
      </c>
      <c r="H2128" s="7" t="s">
        <v>832</v>
      </c>
      <c r="I2128" s="255"/>
      <c r="J2128" s="255"/>
      <c r="K2128" s="593">
        <v>161200</v>
      </c>
      <c r="L2128" s="594" t="s">
        <v>259</v>
      </c>
      <c r="M2128" s="594" t="s">
        <v>371</v>
      </c>
      <c r="N2128" s="52" t="str">
        <f>IF(AND('331-CT'!$E$7=TH!H2128,OR(L2128="331",M2128="331")),"331",IF(AND(OR(L2128="131",M2128="131"),H2128='131-CT'!$E$7),"131",""))</f>
        <v/>
      </c>
      <c r="O2128" s="86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99"/>
    </row>
    <row r="2129" spans="1:27" s="210" customFormat="1" ht="15.75" customHeight="1">
      <c r="A2129" s="203" t="str">
        <f>IF(B2129&lt;&gt;"",IF(AND(B2129&gt;=_TM1,B2129&lt;=_TM2,OR(TH!L2129="1111",TH!M2129="1111")),TH!D2129,""),"")</f>
        <v/>
      </c>
      <c r="B2129" s="36">
        <f>IF(C2129&lt;&gt;"",MONTH(C2129),"")</f>
        <v>11</v>
      </c>
      <c r="C2129" s="183">
        <f>E2129</f>
        <v>42321</v>
      </c>
      <c r="D2129" s="183" t="s">
        <v>1578</v>
      </c>
      <c r="E2129" s="37">
        <v>42321</v>
      </c>
      <c r="F2129" s="191" t="s">
        <v>494</v>
      </c>
      <c r="G2129" s="40" t="s">
        <v>1180</v>
      </c>
      <c r="H2129" s="7" t="s">
        <v>834</v>
      </c>
      <c r="I2129" s="255">
        <v>736</v>
      </c>
      <c r="J2129" s="255">
        <v>5900</v>
      </c>
      <c r="K2129" s="593">
        <f>ROUND(I2129*J2129,0)</f>
        <v>4342400</v>
      </c>
      <c r="L2129" s="594" t="s">
        <v>259</v>
      </c>
      <c r="M2129" s="594" t="s">
        <v>174</v>
      </c>
      <c r="N2129" s="52" t="str">
        <f>IF(AND('331-CT'!$E$7=TH!H2129,OR(L2129="331",M2129="331")),"331",IF(AND(OR(L2129="131",M2129="131"),H2129='131-CT'!$E$7),"131",""))</f>
        <v/>
      </c>
      <c r="O2129" s="86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99"/>
    </row>
    <row r="2130" spans="1:27" s="210" customFormat="1" ht="15.75" customHeight="1">
      <c r="A2130" s="203" t="str">
        <f>IF(B2130&lt;&gt;"",IF(AND(B2130&gt;=_TM1,B2130&lt;=_TM2,OR(TH!L2130="1111",TH!M2130="1111")),TH!D2130,""),"")</f>
        <v/>
      </c>
      <c r="B2130" s="36">
        <f>IF(C2130&lt;&gt;"",MONTH(C2130),"")</f>
        <v>11</v>
      </c>
      <c r="C2130" s="183">
        <f>E2130</f>
        <v>42321</v>
      </c>
      <c r="D2130" s="183" t="s">
        <v>1578</v>
      </c>
      <c r="E2130" s="190">
        <v>42321</v>
      </c>
      <c r="F2130" s="191" t="s">
        <v>402</v>
      </c>
      <c r="G2130" s="482" t="s">
        <v>1180</v>
      </c>
      <c r="H2130" s="7" t="s">
        <v>834</v>
      </c>
      <c r="I2130" s="255"/>
      <c r="J2130" s="255"/>
      <c r="K2130" s="593">
        <v>434240</v>
      </c>
      <c r="L2130" s="594" t="s">
        <v>259</v>
      </c>
      <c r="M2130" s="594" t="s">
        <v>371</v>
      </c>
      <c r="N2130" s="52" t="str">
        <f>IF(AND('331-CT'!$E$7=TH!H2130,OR(L2130="331",M2130="331")),"331",IF(AND(OR(L2130="131",M2130="131"),H2130='131-CT'!$E$7),"131",""))</f>
        <v/>
      </c>
      <c r="O2130" s="86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99"/>
    </row>
    <row r="2131" spans="1:27" s="210" customFormat="1" ht="15.75" customHeight="1">
      <c r="A2131" s="203" t="str">
        <f>IF(B2131&lt;&gt;"",IF(AND(B2131&gt;=_TM1,B2131&lt;=_TM2,OR(TH!L2131="1111",TH!M2131="1111")),TH!D2131,""),"")</f>
        <v/>
      </c>
      <c r="B2131" s="36">
        <f>IF(C2131&lt;&gt;"",MONTH(C2131),"")</f>
        <v>11</v>
      </c>
      <c r="C2131" s="183">
        <f>E2131</f>
        <v>42321</v>
      </c>
      <c r="D2131" s="183" t="s">
        <v>1579</v>
      </c>
      <c r="E2131" s="190">
        <v>42321</v>
      </c>
      <c r="F2131" s="188" t="s">
        <v>1948</v>
      </c>
      <c r="G2131" s="482" t="s">
        <v>1181</v>
      </c>
      <c r="H2131" s="45" t="s">
        <v>957</v>
      </c>
      <c r="I2131" s="255">
        <v>2667</v>
      </c>
      <c r="J2131" s="255">
        <v>11800</v>
      </c>
      <c r="K2131" s="593">
        <f>ROUND(I2131*J2131,0)</f>
        <v>31470600</v>
      </c>
      <c r="L2131" s="594" t="s">
        <v>259</v>
      </c>
      <c r="M2131" s="594" t="s">
        <v>174</v>
      </c>
      <c r="N2131" s="52" t="str">
        <f>IF(AND('331-CT'!$E$7=TH!H2131,OR(L2131="331",M2131="331")),"331",IF(AND(OR(L2131="131",M2131="131"),H2131='131-CT'!$E$7),"131",""))</f>
        <v/>
      </c>
      <c r="O2131" s="86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99"/>
    </row>
    <row r="2132" spans="1:27" s="210" customFormat="1" ht="15.75" customHeight="1">
      <c r="A2132" s="203" t="str">
        <f>IF(B2132&lt;&gt;"",IF(AND(B2132&gt;=_TM1,B2132&lt;=_TM2,OR(TH!L2132="1111",TH!M2132="1111")),TH!D2132,""),"")</f>
        <v/>
      </c>
      <c r="B2132" s="36">
        <f>IF(C2132&lt;&gt;"",MONTH(C2132),"")</f>
        <v>11</v>
      </c>
      <c r="C2132" s="183">
        <f>E2132</f>
        <v>42321</v>
      </c>
      <c r="D2132" s="183" t="s">
        <v>1579</v>
      </c>
      <c r="E2132" s="190">
        <v>42321</v>
      </c>
      <c r="F2132" s="191" t="s">
        <v>402</v>
      </c>
      <c r="G2132" s="479" t="s">
        <v>1181</v>
      </c>
      <c r="H2132" s="45" t="s">
        <v>957</v>
      </c>
      <c r="I2132" s="710"/>
      <c r="J2132" s="704"/>
      <c r="K2132" s="38">
        <v>3147060</v>
      </c>
      <c r="L2132" s="594" t="s">
        <v>259</v>
      </c>
      <c r="M2132" s="594" t="s">
        <v>371</v>
      </c>
      <c r="N2132" s="52" t="str">
        <f>IF(AND('331-CT'!$E$7=TH!H2132,OR(L2132="331",M2132="331")),"331",IF(AND(OR(L2132="131",M2132="131"),H2132='131-CT'!$E$7),"131",""))</f>
        <v/>
      </c>
      <c r="O2132" s="86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99"/>
    </row>
    <row r="2133" spans="1:27" s="210" customFormat="1" ht="15.75" customHeight="1">
      <c r="A2133" s="203" t="str">
        <f>IF(B2133&lt;&gt;"",IF(AND(B2133&gt;=_TM1,B2133&lt;=_TM2,OR(TH!L2133="1111",TH!M2133="1111")),TH!D2133,""),"")</f>
        <v/>
      </c>
      <c r="B2133" s="36">
        <f>IF(C2133&lt;&gt;"",MONTH(C2133),"")</f>
        <v>11</v>
      </c>
      <c r="C2133" s="183">
        <f>E2133</f>
        <v>42321</v>
      </c>
      <c r="D2133" s="183" t="s">
        <v>1580</v>
      </c>
      <c r="E2133" s="190">
        <v>42321</v>
      </c>
      <c r="F2133" s="188" t="s">
        <v>441</v>
      </c>
      <c r="G2133" s="479" t="s">
        <v>1182</v>
      </c>
      <c r="H2133" s="45" t="s">
        <v>438</v>
      </c>
      <c r="I2133" s="256">
        <v>1010</v>
      </c>
      <c r="J2133" s="255">
        <v>4400</v>
      </c>
      <c r="K2133" s="593">
        <f>ROUND(I2133*J2133,0)</f>
        <v>4444000</v>
      </c>
      <c r="L2133" s="594" t="s">
        <v>259</v>
      </c>
      <c r="M2133" s="594" t="s">
        <v>174</v>
      </c>
      <c r="N2133" s="52" t="str">
        <f>IF(AND('331-CT'!$E$7=TH!H2133,OR(L2133="331",M2133="331")),"331",IF(AND(OR(L2133="131",M2133="131"),H2133='131-CT'!$E$7),"131",""))</f>
        <v/>
      </c>
      <c r="O2133" s="86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99"/>
    </row>
    <row r="2134" spans="1:27" s="210" customFormat="1" ht="15.75" customHeight="1">
      <c r="A2134" s="203" t="str">
        <f>IF(B2134&lt;&gt;"",IF(AND(B2134&gt;=_TM1,B2134&lt;=_TM2,OR(TH!L2134="1111",TH!M2134="1111")),TH!D2134,""),"")</f>
        <v/>
      </c>
      <c r="B2134" s="36">
        <f>IF(C2134&lt;&gt;"",MONTH(C2134),"")</f>
        <v>11</v>
      </c>
      <c r="C2134" s="183">
        <f>E2134</f>
        <v>42321</v>
      </c>
      <c r="D2134" s="183" t="s">
        <v>1580</v>
      </c>
      <c r="E2134" s="727">
        <v>42321</v>
      </c>
      <c r="F2134" s="40" t="s">
        <v>402</v>
      </c>
      <c r="G2134" s="40" t="s">
        <v>1182</v>
      </c>
      <c r="H2134" s="7" t="s">
        <v>438</v>
      </c>
      <c r="I2134" s="255"/>
      <c r="J2134" s="255"/>
      <c r="K2134" s="593">
        <v>444400</v>
      </c>
      <c r="L2134" s="594" t="s">
        <v>259</v>
      </c>
      <c r="M2134" s="594" t="s">
        <v>371</v>
      </c>
      <c r="N2134" s="52" t="str">
        <f>IF(AND('331-CT'!$E$7=TH!H2134,OR(L2134="331",M2134="331")),"331",IF(AND(OR(L2134="131",M2134="131"),H2134='131-CT'!$E$7),"131",""))</f>
        <v/>
      </c>
      <c r="O2134" s="86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99"/>
    </row>
    <row r="2135" spans="1:27" s="210" customFormat="1" ht="15.75" customHeight="1">
      <c r="A2135" s="203" t="str">
        <f>IF(B2135&lt;&gt;"",IF(AND(B2135&gt;=_TM1,B2135&lt;=_TM2,OR(TH!L2135="1111",TH!M2135="1111")),TH!D2135,""),"")</f>
        <v/>
      </c>
      <c r="B2135" s="36">
        <f>IF(C2135&lt;&gt;"",MONTH(C2135),"")</f>
        <v>11</v>
      </c>
      <c r="C2135" s="183">
        <f>E2135</f>
        <v>42321</v>
      </c>
      <c r="D2135" s="183" t="s">
        <v>1324</v>
      </c>
      <c r="E2135" s="190">
        <v>42321</v>
      </c>
      <c r="F2135" s="188" t="s">
        <v>1320</v>
      </c>
      <c r="G2135" s="482" t="s">
        <v>332</v>
      </c>
      <c r="H2135" s="192" t="s">
        <v>1093</v>
      </c>
      <c r="I2135" s="255"/>
      <c r="J2135" s="255"/>
      <c r="K2135" s="593">
        <v>50000559</v>
      </c>
      <c r="L2135" s="594" t="s">
        <v>24</v>
      </c>
      <c r="M2135" s="594" t="s">
        <v>259</v>
      </c>
      <c r="N2135" s="52" t="str">
        <f>IF(AND('331-CT'!$E$7=TH!H2135,OR(L2135="331",M2135="331")),"331",IF(AND(OR(L2135="131",M2135="131"),H2135='131-CT'!$E$7),"131",""))</f>
        <v/>
      </c>
      <c r="O2135" s="86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>x</v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99"/>
    </row>
    <row r="2136" spans="1:27" s="210" customFormat="1" ht="15.75" customHeight="1">
      <c r="A2136" s="203" t="str">
        <f>IF(B2136&lt;&gt;"",IF(AND(B2136&gt;=_TM1,B2136&lt;=_TM2,OR(TH!L2136="1111",TH!M2136="1111")),TH!D2136,""),"")</f>
        <v>GBN</v>
      </c>
      <c r="B2136" s="36">
        <f>IF(C2136&lt;&gt;"",MONTH(C2136),"")</f>
        <v>11</v>
      </c>
      <c r="C2136" s="183">
        <f>E2136</f>
        <v>42321</v>
      </c>
      <c r="D2136" s="183" t="s">
        <v>1324</v>
      </c>
      <c r="E2136" s="190">
        <v>42321</v>
      </c>
      <c r="F2136" s="188" t="s">
        <v>1325</v>
      </c>
      <c r="G2136" s="482" t="s">
        <v>332</v>
      </c>
      <c r="H2136" s="7" t="s">
        <v>1337</v>
      </c>
      <c r="I2136" s="255"/>
      <c r="J2136" s="255"/>
      <c r="K2136" s="593">
        <v>57000000</v>
      </c>
      <c r="L2136" s="594" t="s">
        <v>47</v>
      </c>
      <c r="M2136" s="594" t="s">
        <v>24</v>
      </c>
      <c r="N2136" s="52" t="str">
        <f>IF(AND('331-CT'!$E$7=TH!H2136,OR(L2136="331",M2136="331")),"331",IF(AND(OR(L2136="131",M2136="131"),H2136='131-CT'!$E$7),"131",""))</f>
        <v/>
      </c>
      <c r="O2136" s="86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>x</v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99"/>
    </row>
    <row r="2137" spans="1:27" s="210" customFormat="1" ht="15.75" customHeight="1">
      <c r="A2137" s="203" t="str">
        <f>IF(B2137&lt;&gt;"",IF(AND(B2137&gt;=_TM1,B2137&lt;=_TM2,OR(TH!L2137="1111",TH!M2137="1111")),TH!D2137,""),"")</f>
        <v/>
      </c>
      <c r="B2137" s="36">
        <f>IF(C2137&lt;&gt;"",MONTH(C2137),"")</f>
        <v>11</v>
      </c>
      <c r="C2137" s="183">
        <f>E2137</f>
        <v>42322</v>
      </c>
      <c r="D2137" s="190" t="s">
        <v>2020</v>
      </c>
      <c r="E2137" s="727">
        <v>42322</v>
      </c>
      <c r="F2137" s="188" t="s">
        <v>337</v>
      </c>
      <c r="G2137" s="482" t="s">
        <v>1470</v>
      </c>
      <c r="H2137" s="7" t="s">
        <v>357</v>
      </c>
      <c r="I2137" s="255">
        <v>24</v>
      </c>
      <c r="J2137" s="255">
        <v>43000</v>
      </c>
      <c r="K2137" s="593">
        <f>ROUND(I2137*J2137,0)</f>
        <v>1032000</v>
      </c>
      <c r="L2137" s="193" t="s">
        <v>161</v>
      </c>
      <c r="M2137" s="193" t="s">
        <v>8</v>
      </c>
      <c r="N2137" s="52" t="str">
        <f>IF(AND('331-CT'!$E$7=TH!H2137,OR(L2137="331",M2137="331")),"331",IF(AND(OR(L2137="131",M2137="131"),H2137='131-CT'!$E$7),"131",""))</f>
        <v/>
      </c>
      <c r="O2137" s="86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99"/>
    </row>
    <row r="2138" spans="1:27" s="210" customFormat="1" ht="15.75" customHeight="1">
      <c r="A2138" s="203" t="str">
        <f>IF(B2138&lt;&gt;"",IF(AND(B2138&gt;=_TM1,B2138&lt;=_TM2,OR(TH!L2138="1111",TH!M2138="1111")),TH!D2138,""),"")</f>
        <v/>
      </c>
      <c r="B2138" s="36">
        <f>IF(C2138&lt;&gt;"",MONTH(C2138),"")</f>
        <v>11</v>
      </c>
      <c r="C2138" s="183">
        <f>E2138</f>
        <v>42322</v>
      </c>
      <c r="D2138" s="190" t="s">
        <v>2020</v>
      </c>
      <c r="E2138" s="727">
        <v>42322</v>
      </c>
      <c r="F2138" s="188" t="s">
        <v>1366</v>
      </c>
      <c r="G2138" s="482" t="s">
        <v>1470</v>
      </c>
      <c r="H2138" s="7" t="s">
        <v>357</v>
      </c>
      <c r="I2138" s="255"/>
      <c r="J2138" s="255"/>
      <c r="K2138" s="593">
        <v>103200</v>
      </c>
      <c r="L2138" s="193" t="s">
        <v>9</v>
      </c>
      <c r="M2138" s="193" t="s">
        <v>8</v>
      </c>
      <c r="N2138" s="52" t="str">
        <f>IF(AND('331-CT'!$E$7=TH!H2138,OR(L2138="331",M2138="331")),"331",IF(AND(OR(L2138="131",M2138="131"),H2138='131-CT'!$E$7),"131",""))</f>
        <v/>
      </c>
      <c r="O2138" s="86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99"/>
    </row>
    <row r="2139" spans="1:27" s="210" customFormat="1" ht="15.75" customHeight="1">
      <c r="A2139" s="203" t="str">
        <f>IF(B2139&lt;&gt;"",IF(AND(B2139&gt;=_TM1,B2139&lt;=_TM2,OR(TH!L2139="1111",TH!M2139="1111")),TH!D2139,""),"")</f>
        <v>NL/N</v>
      </c>
      <c r="B2139" s="36">
        <f>IF(C2139&lt;&gt;"",MONTH(C2139),"")</f>
        <v>11</v>
      </c>
      <c r="C2139" s="183">
        <f>E2139</f>
        <v>42322</v>
      </c>
      <c r="D2139" s="190" t="s">
        <v>2020</v>
      </c>
      <c r="E2139" s="727">
        <v>42322</v>
      </c>
      <c r="F2139" s="296" t="s">
        <v>1326</v>
      </c>
      <c r="G2139" s="482" t="s">
        <v>1470</v>
      </c>
      <c r="H2139" s="7" t="s">
        <v>357</v>
      </c>
      <c r="I2139" s="255"/>
      <c r="J2139" s="255"/>
      <c r="K2139" s="593">
        <v>1135200</v>
      </c>
      <c r="L2139" s="193" t="s">
        <v>8</v>
      </c>
      <c r="M2139" s="193" t="s">
        <v>47</v>
      </c>
      <c r="N2139" s="52" t="str">
        <f>IF(AND('331-CT'!$E$7=TH!H2139,OR(L2139="331",M2139="331")),"331",IF(AND(OR(L2139="131",M2139="131"),H2139='131-CT'!$E$7),"131",""))</f>
        <v/>
      </c>
      <c r="O2139" s="86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99"/>
    </row>
    <row r="2140" spans="1:27" s="210" customFormat="1" ht="15.75" customHeight="1">
      <c r="A2140" s="203" t="str">
        <f>IF(B2140&lt;&gt;"",IF(AND(B2140&gt;=_TM1,B2140&lt;=_TM2,OR(TH!L2140="1111",TH!M2140="1111")),TH!D2140,""),"")</f>
        <v/>
      </c>
      <c r="B2140" s="36">
        <f>IF(C2140&lt;&gt;"",MONTH(C2140),"")</f>
        <v>11</v>
      </c>
      <c r="C2140" s="183">
        <f>E2140</f>
        <v>42324</v>
      </c>
      <c r="D2140" s="183" t="s">
        <v>1581</v>
      </c>
      <c r="E2140" s="727">
        <v>42324</v>
      </c>
      <c r="F2140" s="188" t="s">
        <v>1183</v>
      </c>
      <c r="G2140" s="40" t="s">
        <v>1184</v>
      </c>
      <c r="H2140" s="7" t="s">
        <v>799</v>
      </c>
      <c r="I2140" s="704">
        <v>103</v>
      </c>
      <c r="J2140" s="704">
        <v>8900</v>
      </c>
      <c r="K2140" s="593">
        <f>ROUND(I2140*J2140,0)</f>
        <v>916700</v>
      </c>
      <c r="L2140" s="594" t="s">
        <v>259</v>
      </c>
      <c r="M2140" s="594" t="s">
        <v>174</v>
      </c>
      <c r="N2140" s="52" t="str">
        <f>IF(AND('331-CT'!$E$7=TH!H2140,OR(L2140="331",M2140="331")),"331",IF(AND(OR(L2140="131",M2140="131"),H2140='131-CT'!$E$7),"131",""))</f>
        <v/>
      </c>
      <c r="O2140" s="86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99"/>
    </row>
    <row r="2141" spans="1:27" s="210" customFormat="1" ht="15.75" customHeight="1">
      <c r="A2141" s="203" t="str">
        <f>IF(B2141&lt;&gt;"",IF(AND(B2141&gt;=_TM1,B2141&lt;=_TM2,OR(TH!L2141="1111",TH!M2141="1111")),TH!D2141,""),"")</f>
        <v/>
      </c>
      <c r="B2141" s="36">
        <f>IF(C2141&lt;&gt;"",MONTH(C2141),"")</f>
        <v>11</v>
      </c>
      <c r="C2141" s="183">
        <f>E2141</f>
        <v>42324</v>
      </c>
      <c r="D2141" s="183" t="s">
        <v>1581</v>
      </c>
      <c r="E2141" s="727">
        <v>42324</v>
      </c>
      <c r="F2141" s="188" t="s">
        <v>1185</v>
      </c>
      <c r="G2141" s="40" t="s">
        <v>1184</v>
      </c>
      <c r="H2141" s="7" t="s">
        <v>799</v>
      </c>
      <c r="I2141" s="255">
        <v>104</v>
      </c>
      <c r="J2141" s="255">
        <v>11500</v>
      </c>
      <c r="K2141" s="593">
        <f>ROUND(I2141*J2141,0)</f>
        <v>1196000</v>
      </c>
      <c r="L2141" s="594" t="s">
        <v>259</v>
      </c>
      <c r="M2141" s="594" t="s">
        <v>174</v>
      </c>
      <c r="N2141" s="52" t="str">
        <f>IF(AND('331-CT'!$E$7=TH!H2141,OR(L2141="331",M2141="331")),"331",IF(AND(OR(L2141="131",M2141="131"),H2141='131-CT'!$E$7),"131",""))</f>
        <v/>
      </c>
      <c r="O2141" s="86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99"/>
    </row>
    <row r="2142" spans="1:27" s="210" customFormat="1" ht="15.75" customHeight="1">
      <c r="A2142" s="203" t="str">
        <f>IF(B2142&lt;&gt;"",IF(AND(B2142&gt;=_TM1,B2142&lt;=_TM2,OR(TH!L2142="1111",TH!M2142="1111")),TH!D2142,""),"")</f>
        <v/>
      </c>
      <c r="B2142" s="36">
        <f>IF(C2142&lt;&gt;"",MONTH(C2142),"")</f>
        <v>11</v>
      </c>
      <c r="C2142" s="183">
        <f>E2142</f>
        <v>42324</v>
      </c>
      <c r="D2142" s="183" t="s">
        <v>1581</v>
      </c>
      <c r="E2142" s="727">
        <v>42324</v>
      </c>
      <c r="F2142" s="188" t="s">
        <v>402</v>
      </c>
      <c r="G2142" s="40" t="s">
        <v>1184</v>
      </c>
      <c r="H2142" s="7" t="s">
        <v>799</v>
      </c>
      <c r="I2142" s="255"/>
      <c r="J2142" s="255"/>
      <c r="K2142" s="593">
        <v>211270</v>
      </c>
      <c r="L2142" s="594" t="s">
        <v>259</v>
      </c>
      <c r="M2142" s="594" t="s">
        <v>371</v>
      </c>
      <c r="N2142" s="52" t="str">
        <f>IF(AND('331-CT'!$E$7=TH!H2142,OR(L2142="331",M2142="331")),"331",IF(AND(OR(L2142="131",M2142="131"),H2142='131-CT'!$E$7),"131",""))</f>
        <v/>
      </c>
      <c r="O2142" s="86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99"/>
    </row>
    <row r="2143" spans="1:27" s="210" customFormat="1" ht="15.75" customHeight="1">
      <c r="A2143" s="203" t="str">
        <f>IF(B2143&lt;&gt;"",IF(AND(B2143&gt;=_TM1,B2143&lt;=_TM2,OR(TH!L2143="1111",TH!M2143="1111")),TH!D2143,""),"")</f>
        <v/>
      </c>
      <c r="B2143" s="36">
        <f>IF(C2143&lt;&gt;"",MONTH(C2143),"")</f>
        <v>11</v>
      </c>
      <c r="C2143" s="183">
        <f>E2143</f>
        <v>42324</v>
      </c>
      <c r="D2143" s="183" t="s">
        <v>1582</v>
      </c>
      <c r="E2143" s="727">
        <v>42324</v>
      </c>
      <c r="F2143" s="188" t="s">
        <v>1949</v>
      </c>
      <c r="G2143" s="40" t="s">
        <v>1186</v>
      </c>
      <c r="H2143" s="7" t="s">
        <v>957</v>
      </c>
      <c r="I2143" s="750">
        <v>100</v>
      </c>
      <c r="J2143" s="255">
        <v>19940</v>
      </c>
      <c r="K2143" s="593">
        <f>ROUND(I2143*J2143,0)</f>
        <v>1994000</v>
      </c>
      <c r="L2143" s="594" t="s">
        <v>259</v>
      </c>
      <c r="M2143" s="594" t="s">
        <v>174</v>
      </c>
      <c r="N2143" s="52" t="str">
        <f>IF(AND('331-CT'!$E$7=TH!H2143,OR(L2143="331",M2143="331")),"331",IF(AND(OR(L2143="131",M2143="131"),H2143='131-CT'!$E$7),"131",""))</f>
        <v/>
      </c>
      <c r="O2143" s="86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99"/>
    </row>
    <row r="2144" spans="1:27" s="210" customFormat="1" ht="15.75" customHeight="1">
      <c r="A2144" s="203" t="str">
        <f>IF(B2144&lt;&gt;"",IF(AND(B2144&gt;=_TM1,B2144&lt;=_TM2,OR(TH!L2144="1111",TH!M2144="1111")),TH!D2144,""),"")</f>
        <v/>
      </c>
      <c r="B2144" s="36">
        <f>IF(C2144&lt;&gt;"",MONTH(C2144),"")</f>
        <v>11</v>
      </c>
      <c r="C2144" s="183">
        <f>E2144</f>
        <v>42324</v>
      </c>
      <c r="D2144" s="183" t="s">
        <v>1582</v>
      </c>
      <c r="E2144" s="727">
        <v>42324</v>
      </c>
      <c r="F2144" s="296" t="s">
        <v>402</v>
      </c>
      <c r="G2144" s="40" t="s">
        <v>1186</v>
      </c>
      <c r="H2144" s="7" t="s">
        <v>957</v>
      </c>
      <c r="I2144" s="255"/>
      <c r="J2144" s="255"/>
      <c r="K2144" s="593">
        <v>199400</v>
      </c>
      <c r="L2144" s="594" t="s">
        <v>259</v>
      </c>
      <c r="M2144" s="594" t="s">
        <v>371</v>
      </c>
      <c r="N2144" s="52" t="str">
        <f>IF(AND('331-CT'!$E$7=TH!H2144,OR(L2144="331",M2144="331")),"331",IF(AND(OR(L2144="131",M2144="131"),H2144='131-CT'!$E$7),"131",""))</f>
        <v/>
      </c>
      <c r="O2144" s="86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99"/>
    </row>
    <row r="2145" spans="1:27" s="210" customFormat="1" ht="15.75" customHeight="1">
      <c r="A2145" s="203" t="str">
        <f>IF(B2145&lt;&gt;"",IF(AND(B2145&gt;=_TM1,B2145&lt;=_TM2,OR(TH!L2145="1111",TH!M2145="1111")),TH!D2145,""),"")</f>
        <v>GBN</v>
      </c>
      <c r="B2145" s="36">
        <f>IF(C2145&lt;&gt;"",MONTH(C2145),"")</f>
        <v>11</v>
      </c>
      <c r="C2145" s="183">
        <f>E2145</f>
        <v>42324</v>
      </c>
      <c r="D2145" s="183" t="s">
        <v>1324</v>
      </c>
      <c r="E2145" s="190">
        <v>42324</v>
      </c>
      <c r="F2145" s="188" t="s">
        <v>1325</v>
      </c>
      <c r="G2145" s="482" t="s">
        <v>332</v>
      </c>
      <c r="H2145" s="7" t="s">
        <v>1337</v>
      </c>
      <c r="I2145" s="255"/>
      <c r="J2145" s="255"/>
      <c r="K2145" s="593">
        <v>20000000</v>
      </c>
      <c r="L2145" s="594" t="s">
        <v>47</v>
      </c>
      <c r="M2145" s="594" t="s">
        <v>24</v>
      </c>
      <c r="N2145" s="52" t="str">
        <f>IF(AND('331-CT'!$E$7=TH!H2145,OR(L2145="331",M2145="331")),"331",IF(AND(OR(L2145="131",M2145="131"),H2145='131-CT'!$E$7),"131",""))</f>
        <v/>
      </c>
      <c r="O2145" s="86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>x</v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99"/>
    </row>
    <row r="2146" spans="1:27" s="210" customFormat="1" ht="15.75" customHeight="1">
      <c r="A2146" s="203" t="str">
        <f>IF(B2146&lt;&gt;"",IF(AND(B2146&gt;=_TM1,B2146&lt;=_TM2,OR(TH!L2146="1111",TH!M2146="1111")),TH!D2146,""),"")</f>
        <v/>
      </c>
      <c r="B2146" s="36">
        <f>IF(C2146&lt;&gt;"",MONTH(C2146),"")</f>
        <v>11</v>
      </c>
      <c r="C2146" s="183">
        <f>E2146</f>
        <v>42324</v>
      </c>
      <c r="D2146" s="190" t="s">
        <v>2020</v>
      </c>
      <c r="E2146" s="727">
        <v>42324</v>
      </c>
      <c r="F2146" s="296" t="s">
        <v>1380</v>
      </c>
      <c r="G2146" s="482" t="s">
        <v>1473</v>
      </c>
      <c r="H2146" s="7" t="s">
        <v>1472</v>
      </c>
      <c r="I2146" s="255">
        <v>1534</v>
      </c>
      <c r="J2146" s="255">
        <v>8800</v>
      </c>
      <c r="K2146" s="593">
        <f>ROUND(I2146*J2146,0)</f>
        <v>13499200</v>
      </c>
      <c r="L2146" s="594" t="s">
        <v>159</v>
      </c>
      <c r="M2146" s="594" t="s">
        <v>8</v>
      </c>
      <c r="N2146" s="52" t="str">
        <f>IF(AND('331-CT'!$E$7=TH!H2146,OR(L2146="331",M2146="331")),"331",IF(AND(OR(L2146="131",M2146="131"),H2146='131-CT'!$E$7),"131",""))</f>
        <v/>
      </c>
      <c r="O2146" s="86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>x</v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99"/>
    </row>
    <row r="2147" spans="1:27" s="210" customFormat="1" ht="15.75" customHeight="1">
      <c r="A2147" s="203" t="str">
        <f>IF(B2147&lt;&gt;"",IF(AND(B2147&gt;=_TM1,B2147&lt;=_TM2,OR(TH!L2147="1111",TH!M2147="1111")),TH!D2147,""),"")</f>
        <v/>
      </c>
      <c r="B2147" s="36">
        <f>IF(C2147&lt;&gt;"",MONTH(C2147),"")</f>
        <v>11</v>
      </c>
      <c r="C2147" s="183">
        <f>E2147</f>
        <v>42324</v>
      </c>
      <c r="D2147" s="190" t="s">
        <v>2020</v>
      </c>
      <c r="E2147" s="727">
        <v>42324</v>
      </c>
      <c r="F2147" s="296" t="s">
        <v>1381</v>
      </c>
      <c r="G2147" s="482" t="s">
        <v>1473</v>
      </c>
      <c r="H2147" s="7" t="s">
        <v>1472</v>
      </c>
      <c r="I2147" s="255"/>
      <c r="J2147" s="255"/>
      <c r="K2147" s="593">
        <v>1349920</v>
      </c>
      <c r="L2147" s="594" t="s">
        <v>9</v>
      </c>
      <c r="M2147" s="594" t="s">
        <v>8</v>
      </c>
      <c r="N2147" s="52" t="str">
        <f>IF(AND('331-CT'!$E$7=TH!H2147,OR(L2147="331",M2147="331")),"331",IF(AND(OR(L2147="131",M2147="131"),H2147='131-CT'!$E$7),"131",""))</f>
        <v/>
      </c>
      <c r="O2147" s="86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99"/>
    </row>
    <row r="2148" spans="1:27" s="210" customFormat="1" ht="15.75" customHeight="1">
      <c r="A2148" s="203" t="str">
        <f>IF(B2148&lt;&gt;"",IF(AND(B2148&gt;=_TM1,B2148&lt;=_TM2,OR(TH!L2148="1111",TH!M2148="1111")),TH!D2148,""),"")</f>
        <v>NL/N</v>
      </c>
      <c r="B2148" s="36">
        <f>IF(C2148&lt;&gt;"",MONTH(C2148),"")</f>
        <v>11</v>
      </c>
      <c r="C2148" s="183">
        <f>E2148</f>
        <v>42324</v>
      </c>
      <c r="D2148" s="190" t="s">
        <v>2020</v>
      </c>
      <c r="E2148" s="727">
        <v>42324</v>
      </c>
      <c r="F2148" s="296" t="s">
        <v>1326</v>
      </c>
      <c r="G2148" s="482" t="s">
        <v>1473</v>
      </c>
      <c r="H2148" s="7" t="s">
        <v>1472</v>
      </c>
      <c r="I2148" s="704"/>
      <c r="J2148" s="704"/>
      <c r="K2148" s="593">
        <v>14849120</v>
      </c>
      <c r="L2148" s="594" t="s">
        <v>8</v>
      </c>
      <c r="M2148" s="594" t="s">
        <v>47</v>
      </c>
      <c r="N2148" s="52" t="str">
        <f>IF(AND('331-CT'!$E$7=TH!H2148,OR(L2148="331",M2148="331")),"331",IF(AND(OR(L2148="131",M2148="131"),H2148='131-CT'!$E$7),"131",""))</f>
        <v/>
      </c>
      <c r="O2148" s="86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99"/>
    </row>
    <row r="2149" spans="1:27" s="210" customFormat="1" ht="15.75" customHeight="1">
      <c r="A2149" s="203" t="str">
        <f>IF(B2149&lt;&gt;"",IF(AND(B2149&gt;=_TM1,B2149&lt;=_TM2,OR(TH!L2149="1111",TH!M2149="1111")),TH!D2149,""),"")</f>
        <v/>
      </c>
      <c r="B2149" s="36">
        <f>IF(C2149&lt;&gt;"",MONTH(C2149),"")</f>
        <v>11</v>
      </c>
      <c r="C2149" s="183">
        <f>E2149</f>
        <v>42325</v>
      </c>
      <c r="D2149" s="183" t="s">
        <v>1324</v>
      </c>
      <c r="E2149" s="190">
        <v>42325</v>
      </c>
      <c r="F2149" s="188" t="s">
        <v>1320</v>
      </c>
      <c r="G2149" s="482" t="s">
        <v>332</v>
      </c>
      <c r="H2149" s="7" t="s">
        <v>799</v>
      </c>
      <c r="I2149" s="704"/>
      <c r="J2149" s="704"/>
      <c r="K2149" s="593">
        <v>2323970</v>
      </c>
      <c r="L2149" s="594" t="s">
        <v>24</v>
      </c>
      <c r="M2149" s="594" t="s">
        <v>259</v>
      </c>
      <c r="N2149" s="52" t="str">
        <f>IF(AND('331-CT'!$E$7=TH!H2149,OR(L2149="331",M2149="331")),"331",IF(AND(OR(L2149="131",M2149="131"),H2149='131-CT'!$E$7),"131",""))</f>
        <v/>
      </c>
      <c r="O2149" s="86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>x</v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99"/>
    </row>
    <row r="2150" spans="1:27" s="210" customFormat="1" ht="15.75" customHeight="1">
      <c r="A2150" s="203" t="str">
        <f>IF(B2150&lt;&gt;"",IF(AND(B2150&gt;=_TM1,B2150&lt;=_TM2,OR(TH!L2150="1111",TH!M2150="1111")),TH!D2150,""),"")</f>
        <v/>
      </c>
      <c r="B2150" s="36">
        <f>IF(C2150&lt;&gt;"",MONTH(C2150),"")</f>
        <v>11</v>
      </c>
      <c r="C2150" s="183">
        <f>E2150</f>
        <v>42325</v>
      </c>
      <c r="D2150" s="183" t="s">
        <v>1324</v>
      </c>
      <c r="E2150" s="190">
        <v>42325</v>
      </c>
      <c r="F2150" s="188" t="s">
        <v>1320</v>
      </c>
      <c r="G2150" s="482" t="s">
        <v>332</v>
      </c>
      <c r="H2150" s="7" t="s">
        <v>400</v>
      </c>
      <c r="I2150" s="704"/>
      <c r="J2150" s="704"/>
      <c r="K2150" s="593">
        <v>8473520</v>
      </c>
      <c r="L2150" s="594" t="s">
        <v>24</v>
      </c>
      <c r="M2150" s="594" t="s">
        <v>259</v>
      </c>
      <c r="N2150" s="52" t="str">
        <f>IF(AND('331-CT'!$E$7=TH!H2150,OR(L2150="331",M2150="331")),"331",IF(AND(OR(L2150="131",M2150="131"),H2150='131-CT'!$E$7),"131",""))</f>
        <v/>
      </c>
      <c r="O2150" s="86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>x</v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99"/>
    </row>
    <row r="2151" spans="1:27" s="210" customFormat="1" ht="15.75" customHeight="1">
      <c r="A2151" s="203" t="str">
        <f>IF(B2151&lt;&gt;"",IF(AND(B2151&gt;=_TM1,B2151&lt;=_TM2,OR(TH!L2151="1111",TH!M2151="1111")),TH!D2151,""),"")</f>
        <v/>
      </c>
      <c r="B2151" s="36">
        <f>IF(C2151&lt;&gt;"",MONTH(C2151),"")</f>
        <v>11</v>
      </c>
      <c r="C2151" s="183">
        <f>E2151</f>
        <v>42326</v>
      </c>
      <c r="D2151" s="183" t="s">
        <v>1583</v>
      </c>
      <c r="E2151" s="727">
        <v>42326</v>
      </c>
      <c r="F2151" s="296" t="s">
        <v>1957</v>
      </c>
      <c r="G2151" s="40" t="s">
        <v>1187</v>
      </c>
      <c r="H2151" s="7" t="s">
        <v>1128</v>
      </c>
      <c r="I2151" s="704">
        <v>600</v>
      </c>
      <c r="J2151" s="704">
        <v>17000</v>
      </c>
      <c r="K2151" s="593">
        <f>ROUND(I2151*J2151,0)</f>
        <v>10200000</v>
      </c>
      <c r="L2151" s="594" t="s">
        <v>259</v>
      </c>
      <c r="M2151" s="594" t="s">
        <v>174</v>
      </c>
      <c r="N2151" s="52" t="str">
        <f>IF(AND('331-CT'!$E$7=TH!H2151,OR(L2151="331",M2151="331")),"331",IF(AND(OR(L2151="131",M2151="131"),H2151='131-CT'!$E$7),"131",""))</f>
        <v/>
      </c>
      <c r="O2151" s="86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99"/>
    </row>
    <row r="2152" spans="1:27" s="210" customFormat="1" ht="15.75" customHeight="1">
      <c r="A2152" s="203" t="str">
        <f>IF(B2152&lt;&gt;"",IF(AND(B2152&gt;=_TM1,B2152&lt;=_TM2,OR(TH!L2152="1111",TH!M2152="1111")),TH!D2152,""),"")</f>
        <v/>
      </c>
      <c r="B2152" s="36">
        <f>IF(C2152&lt;&gt;"",MONTH(C2152),"")</f>
        <v>11</v>
      </c>
      <c r="C2152" s="183">
        <f>E2152</f>
        <v>42326</v>
      </c>
      <c r="D2152" s="183" t="s">
        <v>1583</v>
      </c>
      <c r="E2152" s="183">
        <v>42326</v>
      </c>
      <c r="F2152" s="40" t="s">
        <v>1956</v>
      </c>
      <c r="G2152" s="595" t="s">
        <v>1187</v>
      </c>
      <c r="H2152" s="7" t="s">
        <v>1128</v>
      </c>
      <c r="I2152" s="704">
        <v>1500</v>
      </c>
      <c r="J2152" s="704">
        <v>5200</v>
      </c>
      <c r="K2152" s="593">
        <f>ROUND(I2152*J2152,0)</f>
        <v>7800000</v>
      </c>
      <c r="L2152" s="594" t="s">
        <v>259</v>
      </c>
      <c r="M2152" s="594" t="s">
        <v>174</v>
      </c>
      <c r="N2152" s="52" t="str">
        <f>IF(AND('331-CT'!$E$7=TH!H2152,OR(L2152="331",M2152="331")),"331",IF(AND(OR(L2152="131",M2152="131"),H2152='131-CT'!$E$7),"131",""))</f>
        <v/>
      </c>
      <c r="O2152" s="86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99"/>
    </row>
    <row r="2153" spans="1:27" s="210" customFormat="1" ht="15.75" customHeight="1">
      <c r="A2153" s="203" t="str">
        <f>IF(B2153&lt;&gt;"",IF(AND(B2153&gt;=_TM1,B2153&lt;=_TM2,OR(TH!L2153="1111",TH!M2153="1111")),TH!D2153,""),"")</f>
        <v/>
      </c>
      <c r="B2153" s="36">
        <f>IF(C2153&lt;&gt;"",MONTH(C2153),"")</f>
        <v>11</v>
      </c>
      <c r="C2153" s="183">
        <f>E2153</f>
        <v>42326</v>
      </c>
      <c r="D2153" s="183" t="s">
        <v>1583</v>
      </c>
      <c r="E2153" s="190">
        <v>42326</v>
      </c>
      <c r="F2153" s="191" t="s">
        <v>402</v>
      </c>
      <c r="G2153" s="482" t="s">
        <v>1187</v>
      </c>
      <c r="H2153" s="7" t="s">
        <v>1128</v>
      </c>
      <c r="I2153" s="704"/>
      <c r="J2153" s="704"/>
      <c r="K2153" s="593">
        <v>1800000</v>
      </c>
      <c r="L2153" s="594" t="s">
        <v>259</v>
      </c>
      <c r="M2153" s="594" t="s">
        <v>371</v>
      </c>
      <c r="N2153" s="52" t="str">
        <f>IF(AND('331-CT'!$E$7=TH!H2153,OR(L2153="331",M2153="331")),"331",IF(AND(OR(L2153="131",M2153="131"),H2153='131-CT'!$E$7),"131",""))</f>
        <v/>
      </c>
      <c r="O2153" s="86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99"/>
    </row>
    <row r="2154" spans="1:27" s="210" customFormat="1" ht="15.75" customHeight="1">
      <c r="A2154" s="203" t="str">
        <f>IF(B2154&lt;&gt;"",IF(AND(B2154&gt;=_TM1,B2154&lt;=_TM2,OR(TH!L2154="1111",TH!M2154="1111")),TH!D2154,""),"")</f>
        <v/>
      </c>
      <c r="B2154" s="36">
        <f>IF(C2154&lt;&gt;"",MONTH(C2154),"")</f>
        <v>11</v>
      </c>
      <c r="C2154" s="183">
        <f>E2154</f>
        <v>42326</v>
      </c>
      <c r="D2154" s="183" t="s">
        <v>1584</v>
      </c>
      <c r="E2154" s="190">
        <v>42326</v>
      </c>
      <c r="F2154" s="191" t="s">
        <v>1188</v>
      </c>
      <c r="G2154" s="482" t="s">
        <v>1189</v>
      </c>
      <c r="H2154" s="192" t="s">
        <v>793</v>
      </c>
      <c r="I2154" s="704">
        <v>505</v>
      </c>
      <c r="J2154" s="704">
        <v>8000</v>
      </c>
      <c r="K2154" s="593">
        <f>ROUND(I2154*J2154,0)</f>
        <v>4040000</v>
      </c>
      <c r="L2154" s="594" t="s">
        <v>259</v>
      </c>
      <c r="M2154" s="594" t="s">
        <v>174</v>
      </c>
      <c r="N2154" s="52" t="str">
        <f>IF(AND('331-CT'!$E$7=TH!H2154,OR(L2154="331",M2154="331")),"331",IF(AND(OR(L2154="131",M2154="131"),H2154='131-CT'!$E$7),"131",""))</f>
        <v/>
      </c>
      <c r="O2154" s="86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99"/>
    </row>
    <row r="2155" spans="1:27" s="210" customFormat="1" ht="15.75" customHeight="1">
      <c r="A2155" s="203" t="str">
        <f>IF(B2155&lt;&gt;"",IF(AND(B2155&gt;=_TM1,B2155&lt;=_TM2,OR(TH!L2155="1111",TH!M2155="1111")),TH!D2155,""),"")</f>
        <v/>
      </c>
      <c r="B2155" s="36">
        <f>IF(C2155&lt;&gt;"",MONTH(C2155),"")</f>
        <v>11</v>
      </c>
      <c r="C2155" s="183">
        <f>E2155</f>
        <v>42326</v>
      </c>
      <c r="D2155" s="183" t="s">
        <v>1584</v>
      </c>
      <c r="E2155" s="190">
        <v>42326</v>
      </c>
      <c r="F2155" s="191" t="s">
        <v>1678</v>
      </c>
      <c r="G2155" s="482" t="s">
        <v>1189</v>
      </c>
      <c r="H2155" s="192" t="s">
        <v>793</v>
      </c>
      <c r="I2155" s="710">
        <v>505</v>
      </c>
      <c r="J2155" s="710">
        <v>900</v>
      </c>
      <c r="K2155" s="593">
        <f>ROUND(I2155*J2155,0)</f>
        <v>454500</v>
      </c>
      <c r="L2155" s="594" t="s">
        <v>259</v>
      </c>
      <c r="M2155" s="594" t="s">
        <v>174</v>
      </c>
      <c r="N2155" s="52" t="str">
        <f>IF(AND('331-CT'!$E$7=TH!H2155,OR(L2155="331",M2155="331")),"331",IF(AND(OR(L2155="131",M2155="131"),H2155='131-CT'!$E$7),"131",""))</f>
        <v/>
      </c>
      <c r="O2155" s="86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99"/>
    </row>
    <row r="2156" spans="1:27" s="210" customFormat="1" ht="15.75" customHeight="1">
      <c r="A2156" s="203" t="str">
        <f>IF(B2156&lt;&gt;"",IF(AND(B2156&gt;=_TM1,B2156&lt;=_TM2,OR(TH!L2156="1111",TH!M2156="1111")),TH!D2156,""),"")</f>
        <v/>
      </c>
      <c r="B2156" s="36">
        <f>IF(C2156&lt;&gt;"",MONTH(C2156),"")</f>
        <v>11</v>
      </c>
      <c r="C2156" s="183">
        <f>E2156</f>
        <v>42326</v>
      </c>
      <c r="D2156" s="183" t="s">
        <v>1584</v>
      </c>
      <c r="E2156" s="37">
        <v>42326</v>
      </c>
      <c r="F2156" s="40" t="s">
        <v>518</v>
      </c>
      <c r="G2156" s="40" t="s">
        <v>1189</v>
      </c>
      <c r="H2156" s="192" t="s">
        <v>793</v>
      </c>
      <c r="I2156" s="704">
        <v>1002</v>
      </c>
      <c r="J2156" s="704">
        <v>8500</v>
      </c>
      <c r="K2156" s="593">
        <f>ROUND(I2156*J2156,0)</f>
        <v>8517000</v>
      </c>
      <c r="L2156" s="594" t="s">
        <v>259</v>
      </c>
      <c r="M2156" s="594" t="s">
        <v>174</v>
      </c>
      <c r="N2156" s="52" t="str">
        <f>IF(AND('331-CT'!$E$7=TH!H2156,OR(L2156="331",M2156="331")),"331",IF(AND(OR(L2156="131",M2156="131"),H2156='131-CT'!$E$7),"131",""))</f>
        <v/>
      </c>
      <c r="O2156" s="86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99"/>
    </row>
    <row r="2157" spans="1:27" s="210" customFormat="1" ht="15.75" customHeight="1">
      <c r="A2157" s="203" t="str">
        <f>IF(B2157&lt;&gt;"",IF(AND(B2157&gt;=_TM1,B2157&lt;=_TM2,OR(TH!L2157="1111",TH!M2157="1111")),TH!D2157,""),"")</f>
        <v/>
      </c>
      <c r="B2157" s="36">
        <f>IF(C2157&lt;&gt;"",MONTH(C2157),"")</f>
        <v>11</v>
      </c>
      <c r="C2157" s="183">
        <f>E2157</f>
        <v>42326</v>
      </c>
      <c r="D2157" s="183" t="s">
        <v>1584</v>
      </c>
      <c r="E2157" s="37">
        <v>42326</v>
      </c>
      <c r="F2157" s="40" t="s">
        <v>1676</v>
      </c>
      <c r="G2157" s="40" t="s">
        <v>1189</v>
      </c>
      <c r="H2157" s="192" t="s">
        <v>793</v>
      </c>
      <c r="I2157" s="255">
        <v>1002</v>
      </c>
      <c r="J2157" s="255">
        <v>1020</v>
      </c>
      <c r="K2157" s="593">
        <f>ROUND(I2157*J2157,0)</f>
        <v>1022040</v>
      </c>
      <c r="L2157" s="594" t="s">
        <v>259</v>
      </c>
      <c r="M2157" s="594" t="s">
        <v>174</v>
      </c>
      <c r="N2157" s="52" t="str">
        <f>IF(AND('331-CT'!$E$7=TH!H2157,OR(L2157="331",M2157="331")),"331",IF(AND(OR(L2157="131",M2157="131"),H2157='131-CT'!$E$7),"131",""))</f>
        <v/>
      </c>
      <c r="O2157" s="86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99"/>
    </row>
    <row r="2158" spans="1:27" s="210" customFormat="1" ht="15.75" customHeight="1">
      <c r="A2158" s="203" t="str">
        <f>IF(B2158&lt;&gt;"",IF(AND(B2158&gt;=_TM1,B2158&lt;=_TM2,OR(TH!L2158="1111",TH!M2158="1111")),TH!D2158,""),"")</f>
        <v/>
      </c>
      <c r="B2158" s="36">
        <f>IF(C2158&lt;&gt;"",MONTH(C2158),"")</f>
        <v>11</v>
      </c>
      <c r="C2158" s="183">
        <f>E2158</f>
        <v>42326</v>
      </c>
      <c r="D2158" s="183" t="s">
        <v>1584</v>
      </c>
      <c r="E2158" s="190">
        <v>42326</v>
      </c>
      <c r="F2158" s="191" t="s">
        <v>402</v>
      </c>
      <c r="G2158" s="482" t="s">
        <v>1189</v>
      </c>
      <c r="H2158" s="192" t="s">
        <v>793</v>
      </c>
      <c r="I2158" s="255"/>
      <c r="J2158" s="255"/>
      <c r="K2158" s="593">
        <v>1403354</v>
      </c>
      <c r="L2158" s="594" t="s">
        <v>259</v>
      </c>
      <c r="M2158" s="594" t="s">
        <v>371</v>
      </c>
      <c r="N2158" s="52" t="str">
        <f>IF(AND('331-CT'!$E$7=TH!H2158,OR(L2158="331",M2158="331")),"331",IF(AND(OR(L2158="131",M2158="131"),H2158='131-CT'!$E$7),"131",""))</f>
        <v/>
      </c>
      <c r="O2158" s="86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99"/>
    </row>
    <row r="2159" spans="1:27" s="210" customFormat="1" ht="15.75" customHeight="1">
      <c r="A2159" s="203" t="str">
        <f>IF(B2159&lt;&gt;"",IF(AND(B2159&gt;=_TM1,B2159&lt;=_TM2,OR(TH!L2159="1111",TH!M2159="1111")),TH!D2159,""),"")</f>
        <v/>
      </c>
      <c r="B2159" s="36">
        <f>IF(C2159&lt;&gt;"",MONTH(C2159),"")</f>
        <v>11</v>
      </c>
      <c r="C2159" s="183">
        <f>E2159</f>
        <v>42326</v>
      </c>
      <c r="D2159" s="183" t="s">
        <v>1585</v>
      </c>
      <c r="E2159" s="190">
        <v>42326</v>
      </c>
      <c r="F2159" s="191" t="s">
        <v>1190</v>
      </c>
      <c r="G2159" s="482" t="s">
        <v>1191</v>
      </c>
      <c r="H2159" s="7" t="s">
        <v>967</v>
      </c>
      <c r="I2159" s="704">
        <v>195</v>
      </c>
      <c r="J2159" s="704">
        <v>10590</v>
      </c>
      <c r="K2159" s="593">
        <f>ROUND(I2159*J2159,0)</f>
        <v>2065050</v>
      </c>
      <c r="L2159" s="594" t="s">
        <v>259</v>
      </c>
      <c r="M2159" s="594" t="s">
        <v>174</v>
      </c>
      <c r="N2159" s="52" t="str">
        <f>IF(AND('331-CT'!$E$7=TH!H2159,OR(L2159="331",M2159="331")),"331",IF(AND(OR(L2159="131",M2159="131"),H2159='131-CT'!$E$7),"131",""))</f>
        <v/>
      </c>
      <c r="O2159" s="86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99"/>
    </row>
    <row r="2160" spans="1:27" s="210" customFormat="1" ht="15.75" customHeight="1">
      <c r="A2160" s="203" t="str">
        <f>IF(B2160&lt;&gt;"",IF(AND(B2160&gt;=_TM1,B2160&lt;=_TM2,OR(TH!L2160="1111",TH!M2160="1111")),TH!D2160,""),"")</f>
        <v/>
      </c>
      <c r="B2160" s="36">
        <f>IF(C2160&lt;&gt;"",MONTH(C2160),"")</f>
        <v>11</v>
      </c>
      <c r="C2160" s="183">
        <f>E2160</f>
        <v>42326</v>
      </c>
      <c r="D2160" s="183" t="s">
        <v>1585</v>
      </c>
      <c r="E2160" s="190">
        <v>42326</v>
      </c>
      <c r="F2160" s="191" t="s">
        <v>1192</v>
      </c>
      <c r="G2160" s="482" t="s">
        <v>1191</v>
      </c>
      <c r="H2160" s="7" t="s">
        <v>967</v>
      </c>
      <c r="I2160" s="255">
        <v>102</v>
      </c>
      <c r="J2160" s="255">
        <v>13954</v>
      </c>
      <c r="K2160" s="593">
        <f>ROUND(I2160*J2160,0)</f>
        <v>1423308</v>
      </c>
      <c r="L2160" s="594" t="s">
        <v>259</v>
      </c>
      <c r="M2160" s="594" t="s">
        <v>174</v>
      </c>
      <c r="N2160" s="52" t="str">
        <f>IF(AND('331-CT'!$E$7=TH!H2160,OR(L2160="331",M2160="331")),"331",IF(AND(OR(L2160="131",M2160="131"),H2160='131-CT'!$E$7),"131",""))</f>
        <v/>
      </c>
      <c r="O2160" s="86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99"/>
    </row>
    <row r="2161" spans="1:27" s="210" customFormat="1" ht="15.75" customHeight="1">
      <c r="A2161" s="203" t="str">
        <f>IF(B2161&lt;&gt;"",IF(AND(B2161&gt;=_TM1,B2161&lt;=_TM2,OR(TH!L2161="1111",TH!M2161="1111")),TH!D2161,""),"")</f>
        <v/>
      </c>
      <c r="B2161" s="36">
        <f>IF(C2161&lt;&gt;"",MONTH(C2161),"")</f>
        <v>11</v>
      </c>
      <c r="C2161" s="183">
        <f>E2161</f>
        <v>42326</v>
      </c>
      <c r="D2161" s="183" t="s">
        <v>1585</v>
      </c>
      <c r="E2161" s="190">
        <v>42326</v>
      </c>
      <c r="F2161" s="191" t="s">
        <v>402</v>
      </c>
      <c r="G2161" s="482" t="s">
        <v>1191</v>
      </c>
      <c r="H2161" s="7" t="s">
        <v>967</v>
      </c>
      <c r="I2161" s="255"/>
      <c r="J2161" s="255"/>
      <c r="K2161" s="593">
        <v>348836</v>
      </c>
      <c r="L2161" s="594" t="s">
        <v>259</v>
      </c>
      <c r="M2161" s="594" t="s">
        <v>371</v>
      </c>
      <c r="N2161" s="52" t="str">
        <f>IF(AND('331-CT'!$E$7=TH!H2161,OR(L2161="331",M2161="331")),"331",IF(AND(OR(L2161="131",M2161="131"),H2161='131-CT'!$E$7),"131",""))</f>
        <v/>
      </c>
      <c r="O2161" s="86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99"/>
    </row>
    <row r="2162" spans="1:27" s="210" customFormat="1" ht="15.75" customHeight="1">
      <c r="A2162" s="203" t="str">
        <f>IF(B2162&lt;&gt;"",IF(AND(B2162&gt;=_TM1,B2162&lt;=_TM2,OR(TH!L2162="1111",TH!M2162="1111")),TH!D2162,""),"")</f>
        <v/>
      </c>
      <c r="B2162" s="36">
        <f>IF(C2162&lt;&gt;"",MONTH(C2162),"")</f>
        <v>11</v>
      </c>
      <c r="C2162" s="183">
        <f>E2162</f>
        <v>42326</v>
      </c>
      <c r="D2162" s="183" t="s">
        <v>1324</v>
      </c>
      <c r="E2162" s="190">
        <v>42326</v>
      </c>
      <c r="F2162" s="188" t="s">
        <v>1320</v>
      </c>
      <c r="G2162" s="482" t="s">
        <v>332</v>
      </c>
      <c r="H2162" s="7" t="s">
        <v>950</v>
      </c>
      <c r="I2162" s="255"/>
      <c r="J2162" s="255"/>
      <c r="K2162" s="593">
        <v>10400434</v>
      </c>
      <c r="L2162" s="594" t="s">
        <v>24</v>
      </c>
      <c r="M2162" s="594" t="s">
        <v>259</v>
      </c>
      <c r="N2162" s="52" t="str">
        <f>IF(AND('331-CT'!$E$7=TH!H2162,OR(L2162="331",M2162="331")),"331",IF(AND(OR(L2162="131",M2162="131"),H2162='131-CT'!$E$7),"131",""))</f>
        <v/>
      </c>
      <c r="O2162" s="86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>x</v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99"/>
    </row>
    <row r="2163" spans="1:27" s="210" customFormat="1" ht="15.75" customHeight="1">
      <c r="A2163" s="203" t="str">
        <f>IF(B2163&lt;&gt;"",IF(AND(B2163&gt;=_TM1,B2163&lt;=_TM2,OR(TH!L2163="1111",TH!M2163="1111")),TH!D2163,""),"")</f>
        <v/>
      </c>
      <c r="B2163" s="36">
        <f>IF(C2163&lt;&gt;"",MONTH(C2163),"")</f>
        <v>11</v>
      </c>
      <c r="C2163" s="183">
        <f>E2163</f>
        <v>42326</v>
      </c>
      <c r="D2163" s="183" t="s">
        <v>1324</v>
      </c>
      <c r="E2163" s="190">
        <v>42326</v>
      </c>
      <c r="F2163" s="188" t="s">
        <v>1320</v>
      </c>
      <c r="G2163" s="482" t="s">
        <v>332</v>
      </c>
      <c r="H2163" s="7" t="s">
        <v>453</v>
      </c>
      <c r="I2163" s="255"/>
      <c r="J2163" s="255"/>
      <c r="K2163" s="593">
        <v>17529490</v>
      </c>
      <c r="L2163" s="594" t="s">
        <v>24</v>
      </c>
      <c r="M2163" s="594" t="s">
        <v>259</v>
      </c>
      <c r="N2163" s="52" t="str">
        <f>IF(AND('331-CT'!$E$7=TH!H2163,OR(L2163="331",M2163="331")),"331",IF(AND(OR(L2163="131",M2163="131"),H2163='131-CT'!$E$7),"131",""))</f>
        <v/>
      </c>
      <c r="O2163" s="86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>x</v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99"/>
    </row>
    <row r="2164" spans="1:27" s="210" customFormat="1" ht="15.75" customHeight="1">
      <c r="A2164" s="203" t="str">
        <f>IF(B2164&lt;&gt;"",IF(AND(B2164&gt;=_TM1,B2164&lt;=_TM2,OR(TH!L2164="1111",TH!M2164="1111")),TH!D2164,""),"")</f>
        <v/>
      </c>
      <c r="B2164" s="36">
        <f>IF(C2164&lt;&gt;"",MONTH(C2164),"")</f>
        <v>11</v>
      </c>
      <c r="C2164" s="183">
        <f>E2164</f>
        <v>42326</v>
      </c>
      <c r="D2164" s="183" t="s">
        <v>1324</v>
      </c>
      <c r="E2164" s="190">
        <v>42326</v>
      </c>
      <c r="F2164" s="188" t="s">
        <v>1320</v>
      </c>
      <c r="G2164" s="482" t="s">
        <v>332</v>
      </c>
      <c r="H2164" s="7" t="s">
        <v>1013</v>
      </c>
      <c r="I2164" s="255"/>
      <c r="J2164" s="255"/>
      <c r="K2164" s="593">
        <v>14630000</v>
      </c>
      <c r="L2164" s="594" t="s">
        <v>24</v>
      </c>
      <c r="M2164" s="594" t="s">
        <v>259</v>
      </c>
      <c r="N2164" s="52" t="str">
        <f>IF(AND('331-CT'!$E$7=TH!H2164,OR(L2164="331",M2164="331")),"331",IF(AND(OR(L2164="131",M2164="131"),H2164='131-CT'!$E$7),"131",""))</f>
        <v/>
      </c>
      <c r="O2164" s="86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>x</v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99"/>
    </row>
    <row r="2165" spans="1:27" s="210" customFormat="1" ht="15.75" customHeight="1">
      <c r="A2165" s="203" t="str">
        <f>IF(B2165&lt;&gt;"",IF(AND(B2165&gt;=_TM1,B2165&lt;=_TM2,OR(TH!L2165="1111",TH!M2165="1111")),TH!D2165,""),"")</f>
        <v/>
      </c>
      <c r="B2165" s="36">
        <f>IF(C2165&lt;&gt;"",MONTH(C2165),"")</f>
        <v>11</v>
      </c>
      <c r="C2165" s="183">
        <f>E2165</f>
        <v>42327</v>
      </c>
      <c r="D2165" s="183" t="s">
        <v>1586</v>
      </c>
      <c r="E2165" s="190">
        <v>42327</v>
      </c>
      <c r="F2165" s="191" t="s">
        <v>1193</v>
      </c>
      <c r="G2165" s="482" t="s">
        <v>1194</v>
      </c>
      <c r="H2165" s="7" t="s">
        <v>762</v>
      </c>
      <c r="I2165" s="255">
        <v>305</v>
      </c>
      <c r="J2165" s="255">
        <v>5800</v>
      </c>
      <c r="K2165" s="593">
        <f>ROUND(I2165*J2165,0)</f>
        <v>1769000</v>
      </c>
      <c r="L2165" s="594" t="s">
        <v>259</v>
      </c>
      <c r="M2165" s="594" t="s">
        <v>174</v>
      </c>
      <c r="N2165" s="52" t="str">
        <f>IF(AND('331-CT'!$E$7=TH!H2165,OR(L2165="331",M2165="331")),"331",IF(AND(OR(L2165="131",M2165="131"),H2165='131-CT'!$E$7),"131",""))</f>
        <v/>
      </c>
      <c r="O2165" s="86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99"/>
    </row>
    <row r="2166" spans="1:27" s="210" customFormat="1" ht="15.75" customHeight="1">
      <c r="A2166" s="203" t="str">
        <f>IF(B2166&lt;&gt;"",IF(AND(B2166&gt;=_TM1,B2166&lt;=_TM2,OR(TH!L2166="1111",TH!M2166="1111")),TH!D2166,""),"")</f>
        <v/>
      </c>
      <c r="B2166" s="36">
        <f>IF(C2166&lt;&gt;"",MONTH(C2166),"")</f>
        <v>11</v>
      </c>
      <c r="C2166" s="183">
        <f>E2166</f>
        <v>42327</v>
      </c>
      <c r="D2166" s="183" t="s">
        <v>1586</v>
      </c>
      <c r="E2166" s="190">
        <v>42327</v>
      </c>
      <c r="F2166" s="191" t="s">
        <v>402</v>
      </c>
      <c r="G2166" s="482" t="s">
        <v>1194</v>
      </c>
      <c r="H2166" s="7" t="s">
        <v>762</v>
      </c>
      <c r="I2166" s="255"/>
      <c r="J2166" s="255"/>
      <c r="K2166" s="593">
        <v>176900</v>
      </c>
      <c r="L2166" s="594" t="s">
        <v>259</v>
      </c>
      <c r="M2166" s="594" t="s">
        <v>371</v>
      </c>
      <c r="N2166" s="52" t="str">
        <f>IF(AND('331-CT'!$E$7=TH!H2166,OR(L2166="331",M2166="331")),"331",IF(AND(OR(L2166="131",M2166="131"),H2166='131-CT'!$E$7),"131",""))</f>
        <v/>
      </c>
      <c r="O2166" s="86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99"/>
    </row>
    <row r="2167" spans="1:27" s="210" customFormat="1" ht="15.75" customHeight="1">
      <c r="A2167" s="203" t="str">
        <f>IF(B2167&lt;&gt;"",IF(AND(B2167&gt;=_TM1,B2167&lt;=_TM2,OR(TH!L2167="1111",TH!M2167="1111")),TH!D2167,""),"")</f>
        <v/>
      </c>
      <c r="B2167" s="36">
        <f>IF(C2167&lt;&gt;"",MONTH(C2167),"")</f>
        <v>11</v>
      </c>
      <c r="C2167" s="183">
        <f>E2167</f>
        <v>42327</v>
      </c>
      <c r="D2167" s="183" t="s">
        <v>1587</v>
      </c>
      <c r="E2167" s="190">
        <v>42327</v>
      </c>
      <c r="F2167" s="188" t="s">
        <v>413</v>
      </c>
      <c r="G2167" s="482" t="s">
        <v>1195</v>
      </c>
      <c r="H2167" s="7" t="s">
        <v>412</v>
      </c>
      <c r="I2167" s="255">
        <v>486</v>
      </c>
      <c r="J2167" s="255">
        <v>10500</v>
      </c>
      <c r="K2167" s="593">
        <f>ROUND(I2167*J2167,0)</f>
        <v>5103000</v>
      </c>
      <c r="L2167" s="594" t="s">
        <v>259</v>
      </c>
      <c r="M2167" s="594" t="s">
        <v>174</v>
      </c>
      <c r="N2167" s="52" t="str">
        <f>IF(AND('331-CT'!$E$7=TH!H2167,OR(L2167="331",M2167="331")),"331",IF(AND(OR(L2167="131",M2167="131"),H2167='131-CT'!$E$7),"131",""))</f>
        <v/>
      </c>
      <c r="O2167" s="86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99"/>
    </row>
    <row r="2168" spans="1:27" s="210" customFormat="1" ht="15.75" customHeight="1">
      <c r="A2168" s="203" t="str">
        <f>IF(B2168&lt;&gt;"",IF(AND(B2168&gt;=_TM1,B2168&lt;=_TM2,OR(TH!L2168="1111",TH!M2168="1111")),TH!D2168,""),"")</f>
        <v/>
      </c>
      <c r="B2168" s="36">
        <f>IF(C2168&lt;&gt;"",MONTH(C2168),"")</f>
        <v>11</v>
      </c>
      <c r="C2168" s="183">
        <f>E2168</f>
        <v>42327</v>
      </c>
      <c r="D2168" s="183" t="s">
        <v>1587</v>
      </c>
      <c r="E2168" s="190">
        <v>42327</v>
      </c>
      <c r="F2168" s="188" t="s">
        <v>413</v>
      </c>
      <c r="G2168" s="482" t="s">
        <v>1195</v>
      </c>
      <c r="H2168" s="7" t="s">
        <v>412</v>
      </c>
      <c r="I2168" s="704">
        <v>200</v>
      </c>
      <c r="J2168" s="704">
        <v>10500</v>
      </c>
      <c r="K2168" s="593">
        <f>ROUND(I2168*J2168,0)</f>
        <v>2100000</v>
      </c>
      <c r="L2168" s="594" t="s">
        <v>259</v>
      </c>
      <c r="M2168" s="594" t="s">
        <v>174</v>
      </c>
      <c r="N2168" s="52" t="str">
        <f>IF(AND('331-CT'!$E$7=TH!H2168,OR(L2168="331",M2168="331")),"331",IF(AND(OR(L2168="131",M2168="131"),H2168='131-CT'!$E$7),"131",""))</f>
        <v/>
      </c>
      <c r="O2168" s="86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99"/>
    </row>
    <row r="2169" spans="1:27" s="210" customFormat="1" ht="15.75" customHeight="1">
      <c r="A2169" s="203" t="str">
        <f>IF(B2169&lt;&gt;"",IF(AND(B2169&gt;=_TM1,B2169&lt;=_TM2,OR(TH!L2169="1111",TH!M2169="1111")),TH!D2169,""),"")</f>
        <v/>
      </c>
      <c r="B2169" s="36">
        <f>IF(C2169&lt;&gt;"",MONTH(C2169),"")</f>
        <v>11</v>
      </c>
      <c r="C2169" s="183">
        <f>E2169</f>
        <v>42327</v>
      </c>
      <c r="D2169" s="183" t="s">
        <v>1587</v>
      </c>
      <c r="E2169" s="190">
        <v>42327</v>
      </c>
      <c r="F2169" s="188" t="s">
        <v>413</v>
      </c>
      <c r="G2169" s="482" t="s">
        <v>1195</v>
      </c>
      <c r="H2169" s="7" t="s">
        <v>412</v>
      </c>
      <c r="I2169" s="704">
        <v>100</v>
      </c>
      <c r="J2169" s="704">
        <v>10500</v>
      </c>
      <c r="K2169" s="593">
        <f>ROUND(I2169*J2169,0)</f>
        <v>1050000</v>
      </c>
      <c r="L2169" s="594" t="s">
        <v>259</v>
      </c>
      <c r="M2169" s="594" t="s">
        <v>174</v>
      </c>
      <c r="N2169" s="52" t="str">
        <f>IF(AND('331-CT'!$E$7=TH!H2169,OR(L2169="331",M2169="331")),"331",IF(AND(OR(L2169="131",M2169="131"),H2169='131-CT'!$E$7),"131",""))</f>
        <v/>
      </c>
      <c r="O2169" s="86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99"/>
    </row>
    <row r="2170" spans="1:27" s="210" customFormat="1" ht="15.75" customHeight="1">
      <c r="A2170" s="203" t="str">
        <f>IF(B2170&lt;&gt;"",IF(AND(B2170&gt;=_TM1,B2170&lt;=_TM2,OR(TH!L2170="1111",TH!M2170="1111")),TH!D2170,""),"")</f>
        <v/>
      </c>
      <c r="B2170" s="36">
        <f>IF(C2170&lt;&gt;"",MONTH(C2170),"")</f>
        <v>11</v>
      </c>
      <c r="C2170" s="183">
        <f>E2170</f>
        <v>42327</v>
      </c>
      <c r="D2170" s="183" t="s">
        <v>1587</v>
      </c>
      <c r="E2170" s="190">
        <v>42327</v>
      </c>
      <c r="F2170" s="188" t="s">
        <v>413</v>
      </c>
      <c r="G2170" s="482" t="s">
        <v>1195</v>
      </c>
      <c r="H2170" s="7" t="s">
        <v>412</v>
      </c>
      <c r="I2170" s="255">
        <v>102</v>
      </c>
      <c r="J2170" s="255">
        <v>10500</v>
      </c>
      <c r="K2170" s="593">
        <f>ROUND(I2170*J2170,0)</f>
        <v>1071000</v>
      </c>
      <c r="L2170" s="594" t="s">
        <v>259</v>
      </c>
      <c r="M2170" s="594" t="s">
        <v>174</v>
      </c>
      <c r="N2170" s="52" t="str">
        <f>IF(AND('331-CT'!$E$7=TH!H2170,OR(L2170="331",M2170="331")),"331",IF(AND(OR(L2170="131",M2170="131"),H2170='131-CT'!$E$7),"131",""))</f>
        <v/>
      </c>
      <c r="O2170" s="86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99"/>
    </row>
    <row r="2171" spans="1:27" s="210" customFormat="1" ht="15.75" customHeight="1">
      <c r="A2171" s="203" t="str">
        <f>IF(B2171&lt;&gt;"",IF(AND(B2171&gt;=_TM1,B2171&lt;=_TM2,OR(TH!L2171="1111",TH!M2171="1111")),TH!D2171,""),"")</f>
        <v/>
      </c>
      <c r="B2171" s="36">
        <f>IF(C2171&lt;&gt;"",MONTH(C2171),"")</f>
        <v>11</v>
      </c>
      <c r="C2171" s="183">
        <f>E2171</f>
        <v>42327</v>
      </c>
      <c r="D2171" s="183" t="s">
        <v>1587</v>
      </c>
      <c r="E2171" s="190">
        <v>42327</v>
      </c>
      <c r="F2171" s="191" t="s">
        <v>402</v>
      </c>
      <c r="G2171" s="482" t="s">
        <v>1195</v>
      </c>
      <c r="H2171" s="7" t="s">
        <v>412</v>
      </c>
      <c r="I2171" s="256"/>
      <c r="J2171" s="256"/>
      <c r="K2171" s="593">
        <v>932400</v>
      </c>
      <c r="L2171" s="594" t="s">
        <v>259</v>
      </c>
      <c r="M2171" s="594" t="s">
        <v>371</v>
      </c>
      <c r="N2171" s="52" t="str">
        <f>IF(AND('331-CT'!$E$7=TH!H2171,OR(L2171="331",M2171="331")),"331",IF(AND(OR(L2171="131",M2171="131"),H2171='131-CT'!$E$7),"131",""))</f>
        <v/>
      </c>
      <c r="O2171" s="86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99"/>
    </row>
    <row r="2172" spans="1:27" s="210" customFormat="1" ht="15.75" customHeight="1">
      <c r="A2172" s="203" t="str">
        <f>IF(B2172&lt;&gt;"",IF(AND(B2172&gt;=_TM1,B2172&lt;=_TM2,OR(TH!L2172="1111",TH!M2172="1111")),TH!D2172,""),"")</f>
        <v/>
      </c>
      <c r="B2172" s="36">
        <f>IF(C2172&lt;&gt;"",MONTH(C2172),"")</f>
        <v>11</v>
      </c>
      <c r="C2172" s="183">
        <f>E2172</f>
        <v>42327</v>
      </c>
      <c r="D2172" s="183" t="s">
        <v>1324</v>
      </c>
      <c r="E2172" s="190">
        <v>42327</v>
      </c>
      <c r="F2172" s="188" t="s">
        <v>1339</v>
      </c>
      <c r="G2172" s="482" t="s">
        <v>1926</v>
      </c>
      <c r="H2172" s="7"/>
      <c r="I2172" s="255"/>
      <c r="J2172" s="255"/>
      <c r="K2172" s="593">
        <v>14700000</v>
      </c>
      <c r="L2172" s="594" t="s">
        <v>24</v>
      </c>
      <c r="M2172" s="594" t="s">
        <v>24</v>
      </c>
      <c r="N2172" s="52" t="str">
        <f>IF(AND('331-CT'!$E$7=TH!H2172,OR(L2172="331",M2172="331")),"331",IF(AND(OR(L2172="131",M2172="131"),H2172='131-CT'!$E$7),"131",""))</f>
        <v/>
      </c>
      <c r="O2172" s="86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>x</v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99"/>
    </row>
    <row r="2173" spans="1:27" s="210" customFormat="1" ht="15.75" customHeight="1">
      <c r="A2173" s="203" t="str">
        <f>IF(B2173&lt;&gt;"",IF(AND(B2173&gt;=_TM1,B2173&lt;=_TM2,OR(TH!L2173="1111",TH!M2173="1111")),TH!D2173,""),"")</f>
        <v/>
      </c>
      <c r="B2173" s="36">
        <f>IF(C2173&lt;&gt;"",MONTH(C2173),"")</f>
        <v>11</v>
      </c>
      <c r="C2173" s="183">
        <f>E2173</f>
        <v>42327</v>
      </c>
      <c r="D2173" s="183" t="s">
        <v>1324</v>
      </c>
      <c r="E2173" s="190">
        <v>42327</v>
      </c>
      <c r="F2173" s="188" t="s">
        <v>1327</v>
      </c>
      <c r="G2173" s="482" t="s">
        <v>332</v>
      </c>
      <c r="H2173" s="7"/>
      <c r="I2173" s="255"/>
      <c r="J2173" s="255"/>
      <c r="K2173" s="593">
        <v>15000</v>
      </c>
      <c r="L2173" s="594" t="s">
        <v>83</v>
      </c>
      <c r="M2173" s="594" t="s">
        <v>24</v>
      </c>
      <c r="N2173" s="52" t="str">
        <f>IF(AND('331-CT'!$E$7=TH!H2173,OR(L2173="331",M2173="331")),"331",IF(AND(OR(L2173="131",M2173="131"),H2173='131-CT'!$E$7),"131",""))</f>
        <v/>
      </c>
      <c r="O2173" s="86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>x</v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>x</v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99"/>
    </row>
    <row r="2174" spans="1:27" s="210" customFormat="1" ht="15.75" customHeight="1">
      <c r="A2174" s="203" t="str">
        <f>IF(B2174&lt;&gt;"",IF(AND(B2174&gt;=_TM1,B2174&lt;=_TM2,OR(TH!L2174="1111",TH!M2174="1111")),TH!D2174,""),"")</f>
        <v/>
      </c>
      <c r="B2174" s="36">
        <f>IF(C2174&lt;&gt;"",MONTH(C2174),"")</f>
        <v>11</v>
      </c>
      <c r="C2174" s="183">
        <f>E2174</f>
        <v>42327</v>
      </c>
      <c r="D2174" s="190" t="s">
        <v>1324</v>
      </c>
      <c r="E2174" s="190">
        <v>42327</v>
      </c>
      <c r="F2174" s="191" t="s">
        <v>1924</v>
      </c>
      <c r="G2174" s="482" t="s">
        <v>1907</v>
      </c>
      <c r="H2174" s="192" t="s">
        <v>1920</v>
      </c>
      <c r="I2174" s="255"/>
      <c r="J2174" s="255"/>
      <c r="K2174" s="593">
        <v>2474582</v>
      </c>
      <c r="L2174" s="594" t="s">
        <v>81</v>
      </c>
      <c r="M2174" s="594" t="s">
        <v>24</v>
      </c>
      <c r="N2174" s="52" t="str">
        <f>IF(AND('331-CT'!$E$7=TH!H2174,OR(L2174="331",M2174="331")),"331",IF(AND(OR(L2174="131",M2174="131"),H2174='131-CT'!$E$7),"131",""))</f>
        <v/>
      </c>
      <c r="O2174" s="86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99"/>
    </row>
    <row r="2175" spans="1:27" s="210" customFormat="1" ht="15.75" customHeight="1">
      <c r="A2175" s="203" t="str">
        <f>IF(B2175&lt;&gt;"",IF(AND(B2175&gt;=_TM1,B2175&lt;=_TM2,OR(TH!L2175="1111",TH!M2175="1111")),TH!D2175,""),"")</f>
        <v/>
      </c>
      <c r="B2175" s="36">
        <f>IF(C2175&lt;&gt;"",MONTH(C2175),"")</f>
        <v>11</v>
      </c>
      <c r="C2175" s="183">
        <f>E2175</f>
        <v>42327</v>
      </c>
      <c r="D2175" s="190" t="s">
        <v>1324</v>
      </c>
      <c r="E2175" s="190">
        <v>42327</v>
      </c>
      <c r="F2175" s="191" t="s">
        <v>1924</v>
      </c>
      <c r="G2175" s="482" t="s">
        <v>1907</v>
      </c>
      <c r="H2175" s="192" t="s">
        <v>1909</v>
      </c>
      <c r="I2175" s="255"/>
      <c r="J2175" s="255"/>
      <c r="K2175" s="593">
        <v>12296805</v>
      </c>
      <c r="L2175" s="594" t="s">
        <v>81</v>
      </c>
      <c r="M2175" s="594" t="s">
        <v>24</v>
      </c>
      <c r="N2175" s="52" t="str">
        <f>IF(AND('331-CT'!$E$7=TH!H2175,OR(L2175="331",M2175="331")),"331",IF(AND(OR(L2175="131",M2175="131"),H2175='131-CT'!$E$7),"131",""))</f>
        <v/>
      </c>
      <c r="O2175" s="86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99"/>
    </row>
    <row r="2176" spans="1:27" s="210" customFormat="1" ht="15.75" customHeight="1">
      <c r="A2176" s="203" t="str">
        <f>IF(B2176&lt;&gt;"",IF(AND(B2176&gt;=_TM1,B2176&lt;=_TM2,OR(TH!L2176="1111",TH!M2176="1111")),TH!D2176,""),"")</f>
        <v/>
      </c>
      <c r="B2176" s="36">
        <f>IF(C2176&lt;&gt;"",MONTH(C2176),"")</f>
        <v>11</v>
      </c>
      <c r="C2176" s="183">
        <f>E2176</f>
        <v>42328</v>
      </c>
      <c r="D2176" s="183" t="s">
        <v>1324</v>
      </c>
      <c r="E2176" s="190">
        <v>42328</v>
      </c>
      <c r="F2176" s="188" t="s">
        <v>1320</v>
      </c>
      <c r="G2176" s="482" t="s">
        <v>332</v>
      </c>
      <c r="H2176" s="7" t="s">
        <v>957</v>
      </c>
      <c r="I2176" s="255"/>
      <c r="J2176" s="255"/>
      <c r="K2176" s="593">
        <v>34617660</v>
      </c>
      <c r="L2176" s="594" t="s">
        <v>24</v>
      </c>
      <c r="M2176" s="594" t="s">
        <v>259</v>
      </c>
      <c r="N2176" s="52" t="str">
        <f>IF(AND('331-CT'!$E$7=TH!H2176,OR(L2176="331",M2176="331")),"331",IF(AND(OR(L2176="131",M2176="131"),H2176='131-CT'!$E$7),"131",""))</f>
        <v/>
      </c>
      <c r="O2176" s="86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>x</v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99"/>
    </row>
    <row r="2177" spans="1:27" s="210" customFormat="1" ht="15.75" customHeight="1">
      <c r="A2177" s="203" t="str">
        <f>IF(B2177&lt;&gt;"",IF(AND(B2177&gt;=_TM1,B2177&lt;=_TM2,OR(TH!L2177="1111",TH!M2177="1111")),TH!D2177,""),"")</f>
        <v/>
      </c>
      <c r="B2177" s="36">
        <f>IF(C2177&lt;&gt;"",MONTH(C2177),"")</f>
        <v>11</v>
      </c>
      <c r="C2177" s="183">
        <f>E2177</f>
        <v>42328</v>
      </c>
      <c r="D2177" s="183" t="s">
        <v>1324</v>
      </c>
      <c r="E2177" s="190">
        <v>42328</v>
      </c>
      <c r="F2177" s="188" t="s">
        <v>1320</v>
      </c>
      <c r="G2177" s="482" t="s">
        <v>332</v>
      </c>
      <c r="H2177" s="7" t="s">
        <v>400</v>
      </c>
      <c r="I2177" s="255"/>
      <c r="J2177" s="255"/>
      <c r="K2177" s="593">
        <v>15317170</v>
      </c>
      <c r="L2177" s="594" t="s">
        <v>24</v>
      </c>
      <c r="M2177" s="594" t="s">
        <v>259</v>
      </c>
      <c r="N2177" s="52" t="str">
        <f>IF(AND('331-CT'!$E$7=TH!H2177,OR(L2177="331",M2177="331")),"331",IF(AND(OR(L2177="131",M2177="131"),H2177='131-CT'!$E$7),"131",""))</f>
        <v/>
      </c>
      <c r="O2177" s="86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>x</v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99"/>
    </row>
    <row r="2178" spans="1:27" s="210" customFormat="1" ht="15.75" customHeight="1">
      <c r="A2178" s="203" t="str">
        <f>IF(B2178&lt;&gt;"",IF(AND(B2178&gt;=_TM1,B2178&lt;=_TM2,OR(TH!L2178="1111",TH!M2178="1111")),TH!D2178,""),"")</f>
        <v/>
      </c>
      <c r="B2178" s="36">
        <f>IF(C2178&lt;&gt;"",MONTH(C2178),"")</f>
        <v>11</v>
      </c>
      <c r="C2178" s="183">
        <f>E2178</f>
        <v>42329</v>
      </c>
      <c r="D2178" s="183" t="s">
        <v>1588</v>
      </c>
      <c r="E2178" s="190">
        <v>42329</v>
      </c>
      <c r="F2178" s="191" t="s">
        <v>1196</v>
      </c>
      <c r="G2178" s="482" t="s">
        <v>1197</v>
      </c>
      <c r="H2178" s="7" t="s">
        <v>400</v>
      </c>
      <c r="I2178" s="255">
        <v>1200</v>
      </c>
      <c r="J2178" s="255">
        <v>5000</v>
      </c>
      <c r="K2178" s="593">
        <f>ROUND(I2178*J2178,0)</f>
        <v>6000000</v>
      </c>
      <c r="L2178" s="594" t="s">
        <v>259</v>
      </c>
      <c r="M2178" s="594" t="s">
        <v>174</v>
      </c>
      <c r="N2178" s="52" t="str">
        <f>IF(AND('331-CT'!$E$7=TH!H2178,OR(L2178="331",M2178="331")),"331",IF(AND(OR(L2178="131",M2178="131"),H2178='131-CT'!$E$7),"131",""))</f>
        <v/>
      </c>
      <c r="O2178" s="86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99"/>
    </row>
    <row r="2179" spans="1:27" s="210" customFormat="1" ht="15.75" customHeight="1">
      <c r="A2179" s="203" t="str">
        <f>IF(B2179&lt;&gt;"",IF(AND(B2179&gt;=_TM1,B2179&lt;=_TM2,OR(TH!L2179="1111",TH!M2179="1111")),TH!D2179,""),"")</f>
        <v/>
      </c>
      <c r="B2179" s="36">
        <f>IF(C2179&lt;&gt;"",MONTH(C2179),"")</f>
        <v>11</v>
      </c>
      <c r="C2179" s="183">
        <f>E2179</f>
        <v>42329</v>
      </c>
      <c r="D2179" s="183" t="s">
        <v>1588</v>
      </c>
      <c r="E2179" s="190">
        <v>42329</v>
      </c>
      <c r="F2179" s="191" t="s">
        <v>446</v>
      </c>
      <c r="G2179" s="482" t="s">
        <v>1197</v>
      </c>
      <c r="H2179" s="7" t="s">
        <v>400</v>
      </c>
      <c r="I2179" s="255">
        <v>634</v>
      </c>
      <c r="J2179" s="255">
        <v>5550</v>
      </c>
      <c r="K2179" s="593">
        <f>ROUND(I2179*J2179,0)</f>
        <v>3518700</v>
      </c>
      <c r="L2179" s="594" t="s">
        <v>259</v>
      </c>
      <c r="M2179" s="594" t="s">
        <v>174</v>
      </c>
      <c r="N2179" s="52" t="str">
        <f>IF(AND('331-CT'!$E$7=TH!H2179,OR(L2179="331",M2179="331")),"331",IF(AND(OR(L2179="131",M2179="131"),H2179='131-CT'!$E$7),"131",""))</f>
        <v/>
      </c>
      <c r="O2179" s="86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99"/>
    </row>
    <row r="2180" spans="1:27" s="210" customFormat="1" ht="15.75" customHeight="1">
      <c r="A2180" s="203" t="str">
        <f>IF(B2180&lt;&gt;"",IF(AND(B2180&gt;=_TM1,B2180&lt;=_TM2,OR(TH!L2180="1111",TH!M2180="1111")),TH!D2180,""),"")</f>
        <v/>
      </c>
      <c r="B2180" s="36">
        <f>IF(C2180&lt;&gt;"",MONTH(C2180),"")</f>
        <v>11</v>
      </c>
      <c r="C2180" s="183">
        <f>E2180</f>
        <v>42329</v>
      </c>
      <c r="D2180" s="183" t="s">
        <v>1588</v>
      </c>
      <c r="E2180" s="190">
        <v>42329</v>
      </c>
      <c r="F2180" s="191" t="s">
        <v>402</v>
      </c>
      <c r="G2180" s="482" t="s">
        <v>1197</v>
      </c>
      <c r="H2180" s="7" t="s">
        <v>400</v>
      </c>
      <c r="I2180" s="256"/>
      <c r="J2180" s="256"/>
      <c r="K2180" s="593">
        <v>951870</v>
      </c>
      <c r="L2180" s="594" t="s">
        <v>259</v>
      </c>
      <c r="M2180" s="594" t="s">
        <v>371</v>
      </c>
      <c r="N2180" s="52" t="str">
        <f>IF(AND('331-CT'!$E$7=TH!H2180,OR(L2180="331",M2180="331")),"331",IF(AND(OR(L2180="131",M2180="131"),H2180='131-CT'!$E$7),"131",""))</f>
        <v/>
      </c>
      <c r="O2180" s="86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99"/>
    </row>
    <row r="2181" spans="1:27" s="210" customFormat="1" ht="15.75" customHeight="1">
      <c r="A2181" s="203" t="str">
        <f>IF(B2181&lt;&gt;"",IF(AND(B2181&gt;=_TM1,B2181&lt;=_TM2,OR(TH!L2181="1111",TH!M2181="1111")),TH!D2181,""),"")</f>
        <v/>
      </c>
      <c r="B2181" s="36">
        <f>IF(C2181&lt;&gt;"",MONTH(C2181),"")</f>
        <v>11</v>
      </c>
      <c r="C2181" s="183">
        <f>E2181</f>
        <v>42329</v>
      </c>
      <c r="D2181" s="183" t="s">
        <v>1589</v>
      </c>
      <c r="E2181" s="190">
        <v>42329</v>
      </c>
      <c r="F2181" s="191" t="s">
        <v>595</v>
      </c>
      <c r="G2181" s="482" t="s">
        <v>1198</v>
      </c>
      <c r="H2181" s="7" t="s">
        <v>453</v>
      </c>
      <c r="I2181" s="255">
        <v>422</v>
      </c>
      <c r="J2181" s="255">
        <v>6400</v>
      </c>
      <c r="K2181" s="593">
        <f>ROUND(I2181*J2181,0)</f>
        <v>2700800</v>
      </c>
      <c r="L2181" s="594" t="s">
        <v>259</v>
      </c>
      <c r="M2181" s="594" t="s">
        <v>174</v>
      </c>
      <c r="N2181" s="52" t="str">
        <f>IF(AND('331-CT'!$E$7=TH!H2181,OR(L2181="331",M2181="331")),"331",IF(AND(OR(L2181="131",M2181="131"),H2181='131-CT'!$E$7),"131",""))</f>
        <v/>
      </c>
      <c r="O2181" s="86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99"/>
    </row>
    <row r="2182" spans="1:27" s="210" customFormat="1" ht="15.75" customHeight="1">
      <c r="A2182" s="203" t="str">
        <f>IF(B2182&lt;&gt;"",IF(AND(B2182&gt;=_TM1,B2182&lt;=_TM2,OR(TH!L2182="1111",TH!M2182="1111")),TH!D2182,""),"")</f>
        <v/>
      </c>
      <c r="B2182" s="36">
        <f>IF(C2182&lt;&gt;"",MONTH(C2182),"")</f>
        <v>11</v>
      </c>
      <c r="C2182" s="183">
        <f>E2182</f>
        <v>42329</v>
      </c>
      <c r="D2182" s="183" t="s">
        <v>1589</v>
      </c>
      <c r="E2182" s="190">
        <v>42329</v>
      </c>
      <c r="F2182" s="191" t="s">
        <v>539</v>
      </c>
      <c r="G2182" s="482" t="s">
        <v>1198</v>
      </c>
      <c r="H2182" s="7" t="s">
        <v>453</v>
      </c>
      <c r="I2182" s="255">
        <v>204</v>
      </c>
      <c r="J2182" s="255">
        <v>9400</v>
      </c>
      <c r="K2182" s="593">
        <f>ROUND(I2182*J2182,0)</f>
        <v>1917600</v>
      </c>
      <c r="L2182" s="594" t="s">
        <v>259</v>
      </c>
      <c r="M2182" s="594" t="s">
        <v>174</v>
      </c>
      <c r="N2182" s="52" t="str">
        <f>IF(AND('331-CT'!$E$7=TH!H2182,OR(L2182="331",M2182="331")),"331",IF(AND(OR(L2182="131",M2182="131"),H2182='131-CT'!$E$7),"131",""))</f>
        <v/>
      </c>
      <c r="O2182" s="86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99"/>
    </row>
    <row r="2183" spans="1:27" s="210" customFormat="1" ht="15.75" customHeight="1">
      <c r="A2183" s="203" t="str">
        <f>IF(B2183&lt;&gt;"",IF(AND(B2183&gt;=_TM1,B2183&lt;=_TM2,OR(TH!L2183="1111",TH!M2183="1111")),TH!D2183,""),"")</f>
        <v/>
      </c>
      <c r="B2183" s="36">
        <f>IF(C2183&lt;&gt;"",MONTH(C2183),"")</f>
        <v>11</v>
      </c>
      <c r="C2183" s="183">
        <f>E2183</f>
        <v>42329</v>
      </c>
      <c r="D2183" s="183" t="s">
        <v>1589</v>
      </c>
      <c r="E2183" s="190">
        <v>42329</v>
      </c>
      <c r="F2183" s="191" t="s">
        <v>998</v>
      </c>
      <c r="G2183" s="482" t="s">
        <v>1198</v>
      </c>
      <c r="H2183" s="7" t="s">
        <v>453</v>
      </c>
      <c r="I2183" s="255">
        <v>104</v>
      </c>
      <c r="J2183" s="255">
        <v>11600</v>
      </c>
      <c r="K2183" s="593">
        <f>ROUND(I2183*J2183,0)</f>
        <v>1206400</v>
      </c>
      <c r="L2183" s="594" t="s">
        <v>259</v>
      </c>
      <c r="M2183" s="594" t="s">
        <v>174</v>
      </c>
      <c r="N2183" s="52" t="str">
        <f>IF(AND('331-CT'!$E$7=TH!H2183,OR(L2183="331",M2183="331")),"331",IF(AND(OR(L2183="131",M2183="131"),H2183='131-CT'!$E$7),"131",""))</f>
        <v/>
      </c>
      <c r="O2183" s="86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99"/>
    </row>
    <row r="2184" spans="1:27" s="210" customFormat="1" ht="15.75" customHeight="1">
      <c r="A2184" s="203" t="str">
        <f>IF(B2184&lt;&gt;"",IF(AND(B2184&gt;=_TM1,B2184&lt;=_TM2,OR(TH!L2184="1111",TH!M2184="1111")),TH!D2184,""),"")</f>
        <v/>
      </c>
      <c r="B2184" s="36">
        <f>IF(C2184&lt;&gt;"",MONTH(C2184),"")</f>
        <v>11</v>
      </c>
      <c r="C2184" s="183">
        <f>E2184</f>
        <v>42329</v>
      </c>
      <c r="D2184" s="183" t="s">
        <v>1589</v>
      </c>
      <c r="E2184" s="37">
        <v>42329</v>
      </c>
      <c r="F2184" s="40" t="s">
        <v>451</v>
      </c>
      <c r="G2184" s="40" t="s">
        <v>1198</v>
      </c>
      <c r="H2184" s="7" t="s">
        <v>453</v>
      </c>
      <c r="I2184" s="255">
        <v>316</v>
      </c>
      <c r="J2184" s="255">
        <v>12900</v>
      </c>
      <c r="K2184" s="593">
        <f>ROUND(I2184*J2184,0)</f>
        <v>4076400</v>
      </c>
      <c r="L2184" s="594" t="s">
        <v>259</v>
      </c>
      <c r="M2184" s="594" t="s">
        <v>174</v>
      </c>
      <c r="N2184" s="52" t="str">
        <f>IF(AND('331-CT'!$E$7=TH!H2184,OR(L2184="331",M2184="331")),"331",IF(AND(OR(L2184="131",M2184="131"),H2184='131-CT'!$E$7),"131",""))</f>
        <v/>
      </c>
      <c r="O2184" s="86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99"/>
    </row>
    <row r="2185" spans="1:27" s="210" customFormat="1" ht="15.75" customHeight="1">
      <c r="A2185" s="203" t="str">
        <f>IF(B2185&lt;&gt;"",IF(AND(B2185&gt;=_TM1,B2185&lt;=_TM2,OR(TH!L2185="1111",TH!M2185="1111")),TH!D2185,""),"")</f>
        <v/>
      </c>
      <c r="B2185" s="36">
        <f>IF(C2185&lt;&gt;"",MONTH(C2185),"")</f>
        <v>11</v>
      </c>
      <c r="C2185" s="183">
        <f>E2185</f>
        <v>42329</v>
      </c>
      <c r="D2185" s="183" t="s">
        <v>1589</v>
      </c>
      <c r="E2185" s="37">
        <v>42329</v>
      </c>
      <c r="F2185" s="40" t="s">
        <v>402</v>
      </c>
      <c r="G2185" s="40" t="s">
        <v>1198</v>
      </c>
      <c r="H2185" s="7" t="s">
        <v>453</v>
      </c>
      <c r="I2185" s="255"/>
      <c r="J2185" s="255"/>
      <c r="K2185" s="593">
        <v>990120</v>
      </c>
      <c r="L2185" s="594" t="s">
        <v>259</v>
      </c>
      <c r="M2185" s="594" t="s">
        <v>371</v>
      </c>
      <c r="N2185" s="52" t="str">
        <f>IF(AND('331-CT'!$E$7=TH!H2185,OR(L2185="331",M2185="331")),"331",IF(AND(OR(L2185="131",M2185="131"),H2185='131-CT'!$E$7),"131",""))</f>
        <v/>
      </c>
      <c r="O2185" s="86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99"/>
    </row>
    <row r="2186" spans="1:27" s="210" customFormat="1" ht="15.75" customHeight="1">
      <c r="A2186" s="203" t="str">
        <f>IF(B2186&lt;&gt;"",IF(AND(B2186&gt;=_TM1,B2186&lt;=_TM2,OR(TH!L2186="1111",TH!M2186="1111")),TH!D2186,""),"")</f>
        <v/>
      </c>
      <c r="B2186" s="36">
        <f>IF(C2186&lt;&gt;"",MONTH(C2186),"")</f>
        <v>11</v>
      </c>
      <c r="C2186" s="183">
        <f>E2186</f>
        <v>42329</v>
      </c>
      <c r="D2186" s="183" t="s">
        <v>1324</v>
      </c>
      <c r="E2186" s="190">
        <v>42329</v>
      </c>
      <c r="F2186" s="296" t="s">
        <v>1326</v>
      </c>
      <c r="G2186" s="482" t="s">
        <v>332</v>
      </c>
      <c r="H2186" s="7" t="s">
        <v>1929</v>
      </c>
      <c r="I2186" s="255"/>
      <c r="J2186" s="255"/>
      <c r="K2186" s="593">
        <v>5000000</v>
      </c>
      <c r="L2186" s="594" t="s">
        <v>8</v>
      </c>
      <c r="M2186" s="594" t="s">
        <v>24</v>
      </c>
      <c r="N2186" s="52" t="str">
        <f>IF(AND('331-CT'!$E$7=TH!H2186,OR(L2186="331",M2186="331")),"331",IF(AND(OR(L2186="131",M2186="131"),H2186='131-CT'!$E$7),"131",""))</f>
        <v/>
      </c>
      <c r="O2186" s="86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>x</v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99"/>
    </row>
    <row r="2187" spans="1:27" s="210" customFormat="1" ht="15.75" customHeight="1">
      <c r="A2187" s="203" t="str">
        <f>IF(B2187&lt;&gt;"",IF(AND(B2187&gt;=_TM1,B2187&lt;=_TM2,OR(TH!L2187="1111",TH!M2187="1111")),TH!D2187,""),"")</f>
        <v/>
      </c>
      <c r="B2187" s="36">
        <f>IF(C2187&lt;&gt;"",MONTH(C2187),"")</f>
        <v>11</v>
      </c>
      <c r="C2187" s="183">
        <f>E2187</f>
        <v>42329</v>
      </c>
      <c r="D2187" s="183" t="s">
        <v>1324</v>
      </c>
      <c r="E2187" s="190">
        <v>42329</v>
      </c>
      <c r="F2187" s="296" t="s">
        <v>1326</v>
      </c>
      <c r="G2187" s="482" t="s">
        <v>332</v>
      </c>
      <c r="H2187" s="7" t="s">
        <v>1472</v>
      </c>
      <c r="I2187" s="255"/>
      <c r="J2187" s="255"/>
      <c r="K2187" s="593">
        <v>20000000</v>
      </c>
      <c r="L2187" s="594" t="s">
        <v>8</v>
      </c>
      <c r="M2187" s="594" t="s">
        <v>24</v>
      </c>
      <c r="N2187" s="52" t="str">
        <f>IF(AND('331-CT'!$E$7=TH!H2187,OR(L2187="331",M2187="331")),"331",IF(AND(OR(L2187="131",M2187="131"),H2187='131-CT'!$E$7),"131",""))</f>
        <v/>
      </c>
      <c r="O2187" s="86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>x</v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99"/>
    </row>
    <row r="2188" spans="1:27" s="210" customFormat="1" ht="15.75" customHeight="1">
      <c r="A2188" s="203" t="str">
        <f>IF(B2188&lt;&gt;"",IF(AND(B2188&gt;=_TM1,B2188&lt;=_TM2,OR(TH!L2188="1111",TH!M2188="1111")),TH!D2188,""),"")</f>
        <v/>
      </c>
      <c r="B2188" s="36">
        <f>IF(C2188&lt;&gt;"",MONTH(C2188),"")</f>
        <v>11</v>
      </c>
      <c r="C2188" s="183">
        <f>E2188</f>
        <v>42329</v>
      </c>
      <c r="D2188" s="183" t="s">
        <v>1324</v>
      </c>
      <c r="E2188" s="190">
        <v>42329</v>
      </c>
      <c r="F2188" s="296" t="s">
        <v>1326</v>
      </c>
      <c r="G2188" s="482" t="s">
        <v>332</v>
      </c>
      <c r="H2188" s="7" t="s">
        <v>1491</v>
      </c>
      <c r="I2188" s="255"/>
      <c r="J2188" s="255"/>
      <c r="K2188" s="593">
        <v>20000000</v>
      </c>
      <c r="L2188" s="594" t="s">
        <v>8</v>
      </c>
      <c r="M2188" s="594" t="s">
        <v>24</v>
      </c>
      <c r="N2188" s="52" t="str">
        <f>IF(AND('331-CT'!$E$7=TH!H2188,OR(L2188="331",M2188="331")),"331",IF(AND(OR(L2188="131",M2188="131"),H2188='131-CT'!$E$7),"131",""))</f>
        <v/>
      </c>
      <c r="O2188" s="86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>x</v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99"/>
    </row>
    <row r="2189" spans="1:27" s="210" customFormat="1" ht="15.75" customHeight="1">
      <c r="A2189" s="203" t="str">
        <f>IF(B2189&lt;&gt;"",IF(AND(B2189&gt;=_TM1,B2189&lt;=_TM2,OR(TH!L2189="1111",TH!M2189="1111")),TH!D2189,""),"")</f>
        <v/>
      </c>
      <c r="B2189" s="36">
        <f>IF(C2189&lt;&gt;"",MONTH(C2189),"")</f>
        <v>11</v>
      </c>
      <c r="C2189" s="183">
        <f>E2189</f>
        <v>42329</v>
      </c>
      <c r="D2189" s="183" t="s">
        <v>1324</v>
      </c>
      <c r="E2189" s="190">
        <v>42329</v>
      </c>
      <c r="F2189" s="296" t="s">
        <v>1326</v>
      </c>
      <c r="G2189" s="482" t="s">
        <v>332</v>
      </c>
      <c r="H2189" s="7" t="s">
        <v>1504</v>
      </c>
      <c r="I2189" s="255"/>
      <c r="J2189" s="255"/>
      <c r="K2189" s="593">
        <v>20000000</v>
      </c>
      <c r="L2189" s="594" t="s">
        <v>8</v>
      </c>
      <c r="M2189" s="594" t="s">
        <v>24</v>
      </c>
      <c r="N2189" s="52" t="str">
        <f>IF(AND('331-CT'!$E$7=TH!H2189,OR(L2189="331",M2189="331")),"331",IF(AND(OR(L2189="131",M2189="131"),H2189='131-CT'!$E$7),"131",""))</f>
        <v/>
      </c>
      <c r="O2189" s="86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>x</v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99"/>
    </row>
    <row r="2190" spans="1:27" s="210" customFormat="1" ht="15.75" customHeight="1">
      <c r="A2190" s="203" t="str">
        <f>IF(B2190&lt;&gt;"",IF(AND(B2190&gt;=_TM1,B2190&lt;=_TM2,OR(TH!L2190="1111",TH!M2190="1111")),TH!D2190,""),"")</f>
        <v/>
      </c>
      <c r="B2190" s="36">
        <f>IF(C2190&lt;&gt;"",MONTH(C2190),"")</f>
        <v>11</v>
      </c>
      <c r="C2190" s="183">
        <f>E2190</f>
        <v>42329</v>
      </c>
      <c r="D2190" s="183" t="s">
        <v>1324</v>
      </c>
      <c r="E2190" s="190">
        <v>42329</v>
      </c>
      <c r="F2190" s="296" t="s">
        <v>1326</v>
      </c>
      <c r="G2190" s="482" t="s">
        <v>332</v>
      </c>
      <c r="H2190" s="831" t="s">
        <v>1929</v>
      </c>
      <c r="I2190" s="255"/>
      <c r="J2190" s="255"/>
      <c r="K2190" s="593">
        <v>5000000</v>
      </c>
      <c r="L2190" s="594" t="s">
        <v>8</v>
      </c>
      <c r="M2190" s="594" t="s">
        <v>24</v>
      </c>
      <c r="N2190" s="52" t="str">
        <f>IF(AND('331-CT'!$E$7=TH!H2190,OR(L2190="331",M2190="331")),"331",IF(AND(OR(L2190="131",M2190="131"),H2190='131-CT'!$E$7),"131",""))</f>
        <v/>
      </c>
      <c r="O2190" s="86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>x</v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99"/>
    </row>
    <row r="2191" spans="1:27" s="210" customFormat="1" ht="15.75" customHeight="1">
      <c r="A2191" s="203" t="str">
        <f>IF(B2191&lt;&gt;"",IF(AND(B2191&gt;=_TM1,B2191&lt;=_TM2,OR(TH!L2191="1111",TH!M2191="1111")),TH!D2191,""),"")</f>
        <v/>
      </c>
      <c r="B2191" s="36">
        <f>IF(C2191&lt;&gt;"",MONTH(C2191),"")</f>
        <v>11</v>
      </c>
      <c r="C2191" s="183">
        <f>E2191</f>
        <v>42329</v>
      </c>
      <c r="D2191" s="183" t="s">
        <v>1324</v>
      </c>
      <c r="E2191" s="190">
        <v>42329</v>
      </c>
      <c r="F2191" s="188" t="s">
        <v>1327</v>
      </c>
      <c r="G2191" s="482" t="s">
        <v>332</v>
      </c>
      <c r="H2191" s="7"/>
      <c r="I2191" s="255"/>
      <c r="J2191" s="255"/>
      <c r="K2191" s="593">
        <v>20000</v>
      </c>
      <c r="L2191" s="594" t="s">
        <v>83</v>
      </c>
      <c r="M2191" s="594" t="s">
        <v>24</v>
      </c>
      <c r="N2191" s="52" t="str">
        <f>IF(AND('331-CT'!$E$7=TH!H2191,OR(L2191="331",M2191="331")),"331",IF(AND(OR(L2191="131",M2191="131"),H2191='131-CT'!$E$7),"131",""))</f>
        <v/>
      </c>
      <c r="O2191" s="86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>x</v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>x</v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99"/>
    </row>
    <row r="2192" spans="1:27" s="210" customFormat="1" ht="15.75" customHeight="1">
      <c r="A2192" s="203" t="str">
        <f>IF(B2192&lt;&gt;"",IF(AND(B2192&gt;=_TM1,B2192&lt;=_TM2,OR(TH!L2192="1111",TH!M2192="1111")),TH!D2192,""),"")</f>
        <v/>
      </c>
      <c r="B2192" s="36">
        <f>IF(C2192&lt;&gt;"",MONTH(C2192),"")</f>
        <v>11</v>
      </c>
      <c r="C2192" s="183">
        <f>E2192</f>
        <v>42329</v>
      </c>
      <c r="D2192" s="183" t="s">
        <v>1324</v>
      </c>
      <c r="E2192" s="190">
        <v>42329</v>
      </c>
      <c r="F2192" s="188" t="s">
        <v>1327</v>
      </c>
      <c r="G2192" s="482" t="s">
        <v>332</v>
      </c>
      <c r="H2192" s="7"/>
      <c r="I2192" s="255"/>
      <c r="J2192" s="255"/>
      <c r="K2192" s="593">
        <v>15000</v>
      </c>
      <c r="L2192" s="594" t="s">
        <v>83</v>
      </c>
      <c r="M2192" s="594" t="s">
        <v>24</v>
      </c>
      <c r="N2192" s="52" t="str">
        <f>IF(AND('331-CT'!$E$7=TH!H2192,OR(L2192="331",M2192="331")),"331",IF(AND(OR(L2192="131",M2192="131"),H2192='131-CT'!$E$7),"131",""))</f>
        <v/>
      </c>
      <c r="O2192" s="86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>x</v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>x</v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99"/>
    </row>
    <row r="2193" spans="1:28" s="210" customFormat="1" ht="15.75" customHeight="1">
      <c r="A2193" s="203" t="str">
        <f>IF(B2193&lt;&gt;"",IF(AND(B2193&gt;=_TM1,B2193&lt;=_TM2,OR(TH!L2193="1111",TH!M2193="1111")),TH!D2193,""),"")</f>
        <v/>
      </c>
      <c r="B2193" s="36">
        <f>IF(C2193&lt;&gt;"",MONTH(C2193),"")</f>
        <v>11</v>
      </c>
      <c r="C2193" s="183">
        <f>E2193</f>
        <v>42329</v>
      </c>
      <c r="D2193" s="183" t="s">
        <v>1324</v>
      </c>
      <c r="E2193" s="190">
        <v>42329</v>
      </c>
      <c r="F2193" s="188" t="s">
        <v>1327</v>
      </c>
      <c r="G2193" s="482" t="s">
        <v>332</v>
      </c>
      <c r="H2193" s="7"/>
      <c r="I2193" s="255"/>
      <c r="J2193" s="255"/>
      <c r="K2193" s="593">
        <v>10000</v>
      </c>
      <c r="L2193" s="594" t="s">
        <v>83</v>
      </c>
      <c r="M2193" s="594" t="s">
        <v>24</v>
      </c>
      <c r="N2193" s="52" t="str">
        <f>IF(AND('331-CT'!$E$7=TH!H2193,OR(L2193="331",M2193="331")),"331",IF(AND(OR(L2193="131",M2193="131"),H2193='131-CT'!$E$7),"131",""))</f>
        <v/>
      </c>
      <c r="O2193" s="86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>x</v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>x</v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99"/>
    </row>
    <row r="2194" spans="1:28" s="210" customFormat="1" ht="15.75" customHeight="1">
      <c r="A2194" s="203" t="str">
        <f>IF(B2194&lt;&gt;"",IF(AND(B2194&gt;=_TM1,B2194&lt;=_TM2,OR(TH!L2194="1111",TH!M2194="1111")),TH!D2194,""),"")</f>
        <v/>
      </c>
      <c r="B2194" s="36">
        <f>IF(C2194&lt;&gt;"",MONTH(C2194),"")</f>
        <v>11</v>
      </c>
      <c r="C2194" s="183">
        <f>E2194</f>
        <v>42329</v>
      </c>
      <c r="D2194" s="183" t="s">
        <v>1324</v>
      </c>
      <c r="E2194" s="190">
        <v>42329</v>
      </c>
      <c r="F2194" s="188" t="s">
        <v>1327</v>
      </c>
      <c r="G2194" s="482" t="s">
        <v>332</v>
      </c>
      <c r="H2194" s="7"/>
      <c r="I2194" s="255"/>
      <c r="J2194" s="255"/>
      <c r="K2194" s="593">
        <v>15000</v>
      </c>
      <c r="L2194" s="594" t="s">
        <v>83</v>
      </c>
      <c r="M2194" s="594" t="s">
        <v>24</v>
      </c>
      <c r="N2194" s="52" t="str">
        <f>IF(AND('331-CT'!$E$7=TH!H2194,OR(L2194="331",M2194="331")),"331",IF(AND(OR(L2194="131",M2194="131"),H2194='131-CT'!$E$7),"131",""))</f>
        <v/>
      </c>
      <c r="O2194" s="86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>x</v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>x</v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99"/>
    </row>
    <row r="2195" spans="1:28" s="210" customFormat="1" ht="15.75" customHeight="1">
      <c r="A2195" s="203" t="str">
        <f>IF(B2195&lt;&gt;"",IF(AND(B2195&gt;=_TM1,B2195&lt;=_TM2,OR(TH!L2195="1111",TH!M2195="1111")),TH!D2195,""),"")</f>
        <v/>
      </c>
      <c r="B2195" s="36">
        <f>IF(C2195&lt;&gt;"",MONTH(C2195),"")</f>
        <v>11</v>
      </c>
      <c r="C2195" s="183">
        <f>E2195</f>
        <v>42329</v>
      </c>
      <c r="D2195" s="183" t="s">
        <v>1324</v>
      </c>
      <c r="E2195" s="190">
        <v>42329</v>
      </c>
      <c r="F2195" s="188" t="s">
        <v>1327</v>
      </c>
      <c r="G2195" s="482" t="s">
        <v>332</v>
      </c>
      <c r="H2195" s="7"/>
      <c r="I2195" s="255"/>
      <c r="J2195" s="255"/>
      <c r="K2195" s="593">
        <v>15000</v>
      </c>
      <c r="L2195" s="594" t="s">
        <v>83</v>
      </c>
      <c r="M2195" s="594" t="s">
        <v>24</v>
      </c>
      <c r="N2195" s="52" t="str">
        <f>IF(AND('331-CT'!$E$7=TH!H2195,OR(L2195="331",M2195="331")),"331",IF(AND(OR(L2195="131",M2195="131"),H2195='131-CT'!$E$7),"131",""))</f>
        <v/>
      </c>
      <c r="O2195" s="86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>x</v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>x</v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99"/>
    </row>
    <row r="2196" spans="1:28" s="210" customFormat="1" ht="15.75" customHeight="1">
      <c r="A2196" s="203" t="str">
        <f>IF(B2196&lt;&gt;"",IF(AND(B2196&gt;=_TM1,B2196&lt;=_TM2,OR(TH!L2196="1111",TH!M2196="1111")),TH!D2196,""),"")</f>
        <v/>
      </c>
      <c r="B2196" s="36">
        <f>IF(C2196&lt;&gt;"",MONTH(C2196),"")</f>
        <v>11</v>
      </c>
      <c r="C2196" s="183">
        <f>E2196</f>
        <v>42331</v>
      </c>
      <c r="D2196" s="183" t="s">
        <v>1590</v>
      </c>
      <c r="E2196" s="37">
        <v>42331</v>
      </c>
      <c r="F2196" s="40" t="s">
        <v>1199</v>
      </c>
      <c r="G2196" s="40" t="s">
        <v>1200</v>
      </c>
      <c r="H2196" s="7" t="s">
        <v>799</v>
      </c>
      <c r="I2196" s="255">
        <v>212</v>
      </c>
      <c r="J2196" s="255">
        <v>10300</v>
      </c>
      <c r="K2196" s="593">
        <f>ROUND(I2196*J2196,0)</f>
        <v>2183600</v>
      </c>
      <c r="L2196" s="594" t="s">
        <v>259</v>
      </c>
      <c r="M2196" s="594" t="s">
        <v>174</v>
      </c>
      <c r="N2196" s="52" t="str">
        <f>IF(AND('331-CT'!$E$7=TH!H2196,OR(L2196="331",M2196="331")),"331",IF(AND(OR(L2196="131",M2196="131"),H2196='131-CT'!$E$7),"131",""))</f>
        <v/>
      </c>
      <c r="O2196" s="86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99"/>
    </row>
    <row r="2197" spans="1:28" s="210" customFormat="1" ht="15.75" customHeight="1">
      <c r="A2197" s="203" t="str">
        <f>IF(B2197&lt;&gt;"",IF(AND(B2197&gt;=_TM1,B2197&lt;=_TM2,OR(TH!L2197="1111",TH!M2197="1111")),TH!D2197,""),"")</f>
        <v/>
      </c>
      <c r="B2197" s="36">
        <f>IF(C2197&lt;&gt;"",MONTH(C2197),"")</f>
        <v>11</v>
      </c>
      <c r="C2197" s="183">
        <f>E2197</f>
        <v>42331</v>
      </c>
      <c r="D2197" s="183" t="s">
        <v>1590</v>
      </c>
      <c r="E2197" s="37">
        <v>42331</v>
      </c>
      <c r="F2197" s="40" t="s">
        <v>402</v>
      </c>
      <c r="G2197" s="40" t="s">
        <v>1200</v>
      </c>
      <c r="H2197" s="7" t="s">
        <v>799</v>
      </c>
      <c r="I2197" s="255"/>
      <c r="J2197" s="255"/>
      <c r="K2197" s="593">
        <v>218360</v>
      </c>
      <c r="L2197" s="594" t="s">
        <v>259</v>
      </c>
      <c r="M2197" s="594" t="s">
        <v>371</v>
      </c>
      <c r="N2197" s="52" t="str">
        <f>IF(AND('331-CT'!$E$7=TH!H2197,OR(L2197="331",M2197="331")),"331",IF(AND(OR(L2197="131",M2197="131"),H2197='131-CT'!$E$7),"131",""))</f>
        <v/>
      </c>
      <c r="O2197" s="86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99"/>
    </row>
    <row r="2198" spans="1:28" s="210" customFormat="1" ht="15.75" customHeight="1">
      <c r="A2198" s="203" t="str">
        <f>IF(B2198&lt;&gt;"",IF(AND(B2198&gt;=_TM1,B2198&lt;=_TM2,OR(TH!L2198="1111",TH!M2198="1111")),TH!D2198,""),"")</f>
        <v/>
      </c>
      <c r="B2198" s="36">
        <f>IF(C2198&lt;&gt;"",MONTH(C2198),"")</f>
        <v>11</v>
      </c>
      <c r="C2198" s="183">
        <f>E2198</f>
        <v>42331</v>
      </c>
      <c r="D2198" s="190" t="s">
        <v>2020</v>
      </c>
      <c r="E2198" s="727">
        <v>42331</v>
      </c>
      <c r="F2198" s="296" t="s">
        <v>1380</v>
      </c>
      <c r="G2198" s="482" t="s">
        <v>1479</v>
      </c>
      <c r="H2198" s="7" t="s">
        <v>1472</v>
      </c>
      <c r="I2198" s="255">
        <v>5334</v>
      </c>
      <c r="J2198" s="255">
        <v>8800</v>
      </c>
      <c r="K2198" s="593">
        <f>ROUND(I2198*J2198,0)</f>
        <v>46939200</v>
      </c>
      <c r="L2198" s="594" t="s">
        <v>159</v>
      </c>
      <c r="M2198" s="594" t="s">
        <v>8</v>
      </c>
      <c r="N2198" s="52" t="str">
        <f>IF(AND('331-CT'!$E$7=TH!H2198,OR(L2198="331",M2198="331")),"331",IF(AND(OR(L2198="131",M2198="131"),H2198='131-CT'!$E$7),"131",""))</f>
        <v/>
      </c>
      <c r="O2198" s="86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>x</v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99"/>
    </row>
    <row r="2199" spans="1:28" s="210" customFormat="1" ht="15.75" customHeight="1">
      <c r="A2199" s="203" t="str">
        <f>IF(B2199&lt;&gt;"",IF(AND(B2199&gt;=_TM1,B2199&lt;=_TM2,OR(TH!L2199="1111",TH!M2199="1111")),TH!D2199,""),"")</f>
        <v/>
      </c>
      <c r="B2199" s="36">
        <f>IF(C2199&lt;&gt;"",MONTH(C2199),"")</f>
        <v>11</v>
      </c>
      <c r="C2199" s="183">
        <f>E2199</f>
        <v>42331</v>
      </c>
      <c r="D2199" s="190" t="s">
        <v>2020</v>
      </c>
      <c r="E2199" s="727">
        <v>42331</v>
      </c>
      <c r="F2199" s="296" t="s">
        <v>1381</v>
      </c>
      <c r="G2199" s="482" t="s">
        <v>1479</v>
      </c>
      <c r="H2199" s="7" t="s">
        <v>1472</v>
      </c>
      <c r="I2199" s="255"/>
      <c r="J2199" s="255"/>
      <c r="K2199" s="593">
        <v>4693920</v>
      </c>
      <c r="L2199" s="594" t="s">
        <v>9</v>
      </c>
      <c r="M2199" s="594" t="s">
        <v>8</v>
      </c>
      <c r="N2199" s="52" t="str">
        <f>IF(AND('331-CT'!$E$7=TH!H2199,OR(L2199="331",M2199="331")),"331",IF(AND(OR(L2199="131",M2199="131"),H2199='131-CT'!$E$7),"131",""))</f>
        <v/>
      </c>
      <c r="O2199" s="86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99"/>
    </row>
    <row r="2200" spans="1:28" s="210" customFormat="1" ht="15.75" customHeight="1">
      <c r="A2200" s="203" t="str">
        <f>IF(B2200&lt;&gt;"",IF(AND(B2200&gt;=_TM1,B2200&lt;=_TM2,OR(TH!L2200="1111",TH!M2200="1111")),TH!D2200,""),"")</f>
        <v/>
      </c>
      <c r="B2200" s="36">
        <f>IF(C2200&lt;&gt;"",MONTH(C2200),"")</f>
        <v>11</v>
      </c>
      <c r="C2200" s="183">
        <f>E2200</f>
        <v>42331</v>
      </c>
      <c r="D2200" s="190" t="s">
        <v>2020</v>
      </c>
      <c r="E2200" s="727">
        <v>42331</v>
      </c>
      <c r="F2200" s="188" t="s">
        <v>1380</v>
      </c>
      <c r="G2200" s="481" t="s">
        <v>1489</v>
      </c>
      <c r="H2200" s="7" t="s">
        <v>1487</v>
      </c>
      <c r="I2200" s="255">
        <v>6533</v>
      </c>
      <c r="J2200" s="255">
        <v>7600</v>
      </c>
      <c r="K2200" s="593">
        <f>ROUND(I2200*J2200,0)</f>
        <v>49650800</v>
      </c>
      <c r="L2200" s="594" t="s">
        <v>159</v>
      </c>
      <c r="M2200" s="594" t="s">
        <v>8</v>
      </c>
      <c r="N2200" s="52" t="str">
        <f>IF(AND('331-CT'!$E$7=TH!H2200,OR(L2200="331",M2200="331")),"331",IF(AND(OR(L2200="131",M2200="131"),H2200='131-CT'!$E$7),"131",""))</f>
        <v/>
      </c>
      <c r="O2200" s="86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>x</v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99"/>
    </row>
    <row r="2201" spans="1:28" s="210" customFormat="1" ht="15.75" customHeight="1">
      <c r="A2201" s="203" t="str">
        <f>IF(B2201&lt;&gt;"",IF(AND(B2201&gt;=_TM1,B2201&lt;=_TM2,OR(TH!L2201="1111",TH!M2201="1111")),TH!D2201,""),"")</f>
        <v/>
      </c>
      <c r="B2201" s="36">
        <f>IF(C2201&lt;&gt;"",MONTH(C2201),"")</f>
        <v>11</v>
      </c>
      <c r="C2201" s="183">
        <f>E2201</f>
        <v>42331</v>
      </c>
      <c r="D2201" s="190" t="s">
        <v>2020</v>
      </c>
      <c r="E2201" s="727">
        <v>42331</v>
      </c>
      <c r="F2201" s="188" t="s">
        <v>1488</v>
      </c>
      <c r="G2201" s="481" t="s">
        <v>1489</v>
      </c>
      <c r="H2201" s="7" t="s">
        <v>1487</v>
      </c>
      <c r="I2201" s="750">
        <v>1691</v>
      </c>
      <c r="J2201" s="255">
        <v>9000</v>
      </c>
      <c r="K2201" s="593">
        <f>ROUND(I2201*J2201,0)</f>
        <v>15219000</v>
      </c>
      <c r="L2201" s="594" t="s">
        <v>159</v>
      </c>
      <c r="M2201" s="594" t="s">
        <v>8</v>
      </c>
      <c r="N2201" s="52" t="str">
        <f>IF(AND('331-CT'!$E$7=TH!H2201,OR(L2201="331",M2201="331")),"331",IF(AND(OR(L2201="131",M2201="131"),H2201='131-CT'!$E$7),"131",""))</f>
        <v/>
      </c>
      <c r="O2201" s="86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99"/>
    </row>
    <row r="2202" spans="1:28" s="210" customFormat="1" ht="15.75" customHeight="1">
      <c r="A2202" s="203" t="str">
        <f>IF(B2202&lt;&gt;"",IF(AND(B2202&gt;=_TM1,B2202&lt;=_TM2,OR(TH!L2202="1111",TH!M2202="1111")),TH!D2202,""),"")</f>
        <v/>
      </c>
      <c r="B2202" s="36">
        <f>IF(C2202&lt;&gt;"",MONTH(C2202),"")</f>
        <v>11</v>
      </c>
      <c r="C2202" s="183">
        <f>E2202</f>
        <v>42331</v>
      </c>
      <c r="D2202" s="190" t="s">
        <v>2020</v>
      </c>
      <c r="E2202" s="727">
        <v>42331</v>
      </c>
      <c r="F2202" s="188" t="s">
        <v>731</v>
      </c>
      <c r="G2202" s="481" t="s">
        <v>1489</v>
      </c>
      <c r="H2202" s="7" t="s">
        <v>1487</v>
      </c>
      <c r="I2202" s="750"/>
      <c r="J2202" s="255"/>
      <c r="K2202" s="593">
        <v>6486980</v>
      </c>
      <c r="L2202" s="594" t="s">
        <v>9</v>
      </c>
      <c r="M2202" s="594" t="s">
        <v>8</v>
      </c>
      <c r="N2202" s="52" t="str">
        <f>IF(AND('331-CT'!$E$7=TH!H2202,OR(L2202="331",M2202="331")),"331",IF(AND(OR(L2202="131",M2202="131"),H2202='131-CT'!$E$7),"131",""))</f>
        <v/>
      </c>
      <c r="O2202" s="86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99"/>
    </row>
    <row r="2203" spans="1:28" s="210" customFormat="1" ht="15.75" customHeight="1">
      <c r="A2203" s="203" t="str">
        <f>IF(B2203&lt;&gt;"",IF(AND(B2203&gt;=_TM1,B2203&lt;=_TM2,OR(TH!L2203="1111",TH!M2203="1111")),TH!D2203,""),"")</f>
        <v/>
      </c>
      <c r="B2203" s="36">
        <f>IF(C2203&lt;&gt;"",MONTH(C2203),"")</f>
        <v>11</v>
      </c>
      <c r="C2203" s="183">
        <f>E2203</f>
        <v>42332</v>
      </c>
      <c r="D2203" s="183" t="s">
        <v>1591</v>
      </c>
      <c r="E2203" s="37">
        <v>42332</v>
      </c>
      <c r="F2203" s="40" t="s">
        <v>538</v>
      </c>
      <c r="G2203" s="40" t="s">
        <v>1201</v>
      </c>
      <c r="H2203" s="7" t="s">
        <v>453</v>
      </c>
      <c r="I2203" s="255">
        <v>100</v>
      </c>
      <c r="J2203" s="255">
        <v>9300</v>
      </c>
      <c r="K2203" s="593">
        <f>ROUND(I2203*J2203,0)</f>
        <v>930000</v>
      </c>
      <c r="L2203" s="594" t="s">
        <v>259</v>
      </c>
      <c r="M2203" s="594" t="s">
        <v>174</v>
      </c>
      <c r="N2203" s="52" t="str">
        <f>IF(AND('331-CT'!$E$7=TH!H2203,OR(L2203="331",M2203="331")),"331",IF(AND(OR(L2203="131",M2203="131"),H2203='131-CT'!$E$7),"131",""))</f>
        <v/>
      </c>
      <c r="O2203" s="86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99"/>
    </row>
    <row r="2204" spans="1:28" s="836" customFormat="1" ht="15.75" customHeight="1">
      <c r="A2204" s="203" t="str">
        <f>IF(B2204&lt;&gt;"",IF(AND(B2204&gt;=_TM1,B2204&lt;=_TM2,OR(TH!L2204="1111",TH!M2204="1111")),TH!D2204,""),"")</f>
        <v/>
      </c>
      <c r="B2204" s="36">
        <f>IF(C2204&lt;&gt;"",MONTH(C2204),"")</f>
        <v>11</v>
      </c>
      <c r="C2204" s="183">
        <f>E2204</f>
        <v>42332</v>
      </c>
      <c r="D2204" s="183" t="s">
        <v>1591</v>
      </c>
      <c r="E2204" s="37">
        <v>42332</v>
      </c>
      <c r="F2204" s="40" t="s">
        <v>539</v>
      </c>
      <c r="G2204" s="40" t="s">
        <v>1201</v>
      </c>
      <c r="H2204" s="7" t="s">
        <v>453</v>
      </c>
      <c r="I2204" s="255">
        <v>181</v>
      </c>
      <c r="J2204" s="255">
        <v>9400</v>
      </c>
      <c r="K2204" s="593">
        <f>ROUND(I2204*J2204,0)</f>
        <v>1701400</v>
      </c>
      <c r="L2204" s="594" t="s">
        <v>259</v>
      </c>
      <c r="M2204" s="594" t="s">
        <v>174</v>
      </c>
      <c r="N2204" s="52" t="str">
        <f>IF(AND('331-CT'!$E$7=TH!H2204,OR(L2204="331",M2204="331")),"331",IF(AND(OR(L2204="131",M2204="131"),H2204='131-CT'!$E$7),"131",""))</f>
        <v/>
      </c>
      <c r="O2204" s="86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99"/>
      <c r="AB2204" s="210"/>
    </row>
    <row r="2205" spans="1:28" s="836" customFormat="1" ht="15.75" customHeight="1">
      <c r="A2205" s="203" t="str">
        <f>IF(B2205&lt;&gt;"",IF(AND(B2205&gt;=_TM1,B2205&lt;=_TM2,OR(TH!L2205="1111",TH!M2205="1111")),TH!D2205,""),"")</f>
        <v/>
      </c>
      <c r="B2205" s="36">
        <f>IF(C2205&lt;&gt;"",MONTH(C2205),"")</f>
        <v>11</v>
      </c>
      <c r="C2205" s="183">
        <f>E2205</f>
        <v>42332</v>
      </c>
      <c r="D2205" s="183" t="s">
        <v>1591</v>
      </c>
      <c r="E2205" s="37">
        <v>42332</v>
      </c>
      <c r="F2205" s="40" t="s">
        <v>402</v>
      </c>
      <c r="G2205" s="40" t="s">
        <v>1201</v>
      </c>
      <c r="H2205" s="7" t="s">
        <v>453</v>
      </c>
      <c r="I2205" s="255"/>
      <c r="J2205" s="255"/>
      <c r="K2205" s="593">
        <v>263140</v>
      </c>
      <c r="L2205" s="594" t="s">
        <v>259</v>
      </c>
      <c r="M2205" s="594" t="s">
        <v>371</v>
      </c>
      <c r="N2205" s="52" t="str">
        <f>IF(AND('331-CT'!$E$7=TH!H2205,OR(L2205="331",M2205="331")),"331",IF(AND(OR(L2205="131",M2205="131"),H2205='131-CT'!$E$7),"131",""))</f>
        <v/>
      </c>
      <c r="O2205" s="86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99"/>
      <c r="AB2205" s="210"/>
    </row>
    <row r="2206" spans="1:28" s="836" customFormat="1" ht="15.75" customHeight="1">
      <c r="A2206" s="203" t="str">
        <f>IF(B2206&lt;&gt;"",IF(AND(B2206&gt;=_TM1,B2206&lt;=_TM2,OR(TH!L2206="1111",TH!M2206="1111")),TH!D2206,""),"")</f>
        <v/>
      </c>
      <c r="B2206" s="36">
        <f>IF(C2206&lt;&gt;"",MONTH(C2206),"")</f>
        <v>11</v>
      </c>
      <c r="C2206" s="183">
        <f>E2206</f>
        <v>42332</v>
      </c>
      <c r="D2206" s="183" t="s">
        <v>1592</v>
      </c>
      <c r="E2206" s="37">
        <v>42332</v>
      </c>
      <c r="F2206" s="40" t="s">
        <v>2010</v>
      </c>
      <c r="G2206" s="40" t="s">
        <v>1202</v>
      </c>
      <c r="H2206" s="7" t="s">
        <v>957</v>
      </c>
      <c r="I2206" s="255">
        <v>2000</v>
      </c>
      <c r="J2206" s="255">
        <v>11300</v>
      </c>
      <c r="K2206" s="593">
        <f>ROUND(I2206*J2206,0)</f>
        <v>22600000</v>
      </c>
      <c r="L2206" s="594" t="s">
        <v>259</v>
      </c>
      <c r="M2206" s="594" t="s">
        <v>174</v>
      </c>
      <c r="N2206" s="52" t="str">
        <f>IF(AND('331-CT'!$E$7=TH!H2206,OR(L2206="331",M2206="331")),"331",IF(AND(OR(L2206="131",M2206="131"),H2206='131-CT'!$E$7),"131",""))</f>
        <v/>
      </c>
      <c r="O2206" s="86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99"/>
      <c r="AB2206" s="210"/>
    </row>
    <row r="2207" spans="1:28" s="210" customFormat="1" ht="15.75" customHeight="1">
      <c r="A2207" s="203" t="str">
        <f>IF(B2207&lt;&gt;"",IF(AND(B2207&gt;=_TM1,B2207&lt;=_TM2,OR(TH!L2207="1111",TH!M2207="1111")),TH!D2207,""),"")</f>
        <v/>
      </c>
      <c r="B2207" s="36">
        <f>IF(C2207&lt;&gt;"",MONTH(C2207),"")</f>
        <v>11</v>
      </c>
      <c r="C2207" s="183">
        <f>E2207</f>
        <v>42332</v>
      </c>
      <c r="D2207" s="183" t="s">
        <v>1592</v>
      </c>
      <c r="E2207" s="37">
        <v>42332</v>
      </c>
      <c r="F2207" s="40" t="s">
        <v>402</v>
      </c>
      <c r="G2207" s="40" t="s">
        <v>1202</v>
      </c>
      <c r="H2207" s="7" t="s">
        <v>957</v>
      </c>
      <c r="I2207" s="255"/>
      <c r="J2207" s="255"/>
      <c r="K2207" s="593">
        <v>2260000</v>
      </c>
      <c r="L2207" s="594" t="s">
        <v>259</v>
      </c>
      <c r="M2207" s="594" t="s">
        <v>371</v>
      </c>
      <c r="N2207" s="52" t="str">
        <f>IF(AND('331-CT'!$E$7=TH!H2207,OR(L2207="331",M2207="331")),"331",IF(AND(OR(L2207="131",M2207="131"),H2207='131-CT'!$E$7),"131",""))</f>
        <v/>
      </c>
      <c r="O2207" s="86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99"/>
    </row>
    <row r="2208" spans="1:28" s="210" customFormat="1" ht="15.75" customHeight="1">
      <c r="A2208" s="203" t="str">
        <f>IF(B2208&lt;&gt;"",IF(AND(B2208&gt;=_TM1,B2208&lt;=_TM2,OR(TH!L2208="1111",TH!M2208="1111")),TH!D2208,""),"")</f>
        <v/>
      </c>
      <c r="B2208" s="36">
        <f>IF(C2208&lt;&gt;"",MONTH(C2208),"")</f>
        <v>11</v>
      </c>
      <c r="C2208" s="183">
        <f>E2208</f>
        <v>42332</v>
      </c>
      <c r="D2208" s="183" t="s">
        <v>1593</v>
      </c>
      <c r="E2208" s="762">
        <v>42332</v>
      </c>
      <c r="F2208" s="40" t="s">
        <v>781</v>
      </c>
      <c r="G2208" s="40" t="s">
        <v>1203</v>
      </c>
      <c r="H2208" s="7" t="s">
        <v>783</v>
      </c>
      <c r="I2208" s="255">
        <v>800</v>
      </c>
      <c r="J2208" s="255">
        <v>20000</v>
      </c>
      <c r="K2208" s="593">
        <f>ROUND(I2208*J2208,0)</f>
        <v>16000000</v>
      </c>
      <c r="L2208" s="594" t="s">
        <v>259</v>
      </c>
      <c r="M2208" s="594" t="s">
        <v>174</v>
      </c>
      <c r="N2208" s="52" t="str">
        <f>IF(AND('331-CT'!$E$7=TH!H2208,OR(L2208="331",M2208="331")),"331",IF(AND(OR(L2208="131",M2208="131"),H2208='131-CT'!$E$7),"131",""))</f>
        <v/>
      </c>
      <c r="O2208" s="86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99"/>
    </row>
    <row r="2209" spans="1:27" s="210" customFormat="1" ht="15.75" customHeight="1">
      <c r="A2209" s="203" t="str">
        <f>IF(B2209&lt;&gt;"",IF(AND(B2209&gt;=_TM1,B2209&lt;=_TM2,OR(TH!L2209="1111",TH!M2209="1111")),TH!D2209,""),"")</f>
        <v/>
      </c>
      <c r="B2209" s="36">
        <f>IF(C2209&lt;&gt;"",MONTH(C2209),"")</f>
        <v>11</v>
      </c>
      <c r="C2209" s="183">
        <f>E2209</f>
        <v>42332</v>
      </c>
      <c r="D2209" s="183" t="s">
        <v>1593</v>
      </c>
      <c r="E2209" s="762">
        <v>42332</v>
      </c>
      <c r="F2209" s="40" t="s">
        <v>402</v>
      </c>
      <c r="G2209" s="40" t="s">
        <v>1203</v>
      </c>
      <c r="H2209" s="7" t="s">
        <v>783</v>
      </c>
      <c r="I2209" s="255"/>
      <c r="J2209" s="255"/>
      <c r="K2209" s="593">
        <v>1600000</v>
      </c>
      <c r="L2209" s="594" t="s">
        <v>259</v>
      </c>
      <c r="M2209" s="594" t="s">
        <v>371</v>
      </c>
      <c r="N2209" s="52" t="str">
        <f>IF(AND('331-CT'!$E$7=TH!H2209,OR(L2209="331",M2209="331")),"331",IF(AND(OR(L2209="131",M2209="131"),H2209='131-CT'!$E$7),"131",""))</f>
        <v/>
      </c>
      <c r="O2209" s="86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99"/>
    </row>
    <row r="2210" spans="1:27" s="210" customFormat="1" ht="15.75" customHeight="1">
      <c r="A2210" s="203" t="str">
        <f>IF(B2210&lt;&gt;"",IF(AND(B2210&gt;=_TM1,B2210&lt;=_TM2,OR(TH!L2210="1111",TH!M2210="1111")),TH!D2210,""),"")</f>
        <v/>
      </c>
      <c r="B2210" s="36">
        <f>IF(C2210&lt;&gt;"",MONTH(C2210),"")</f>
        <v>11</v>
      </c>
      <c r="C2210" s="183">
        <f>E2210</f>
        <v>42332</v>
      </c>
      <c r="D2210" s="183" t="s">
        <v>1594</v>
      </c>
      <c r="E2210" s="762">
        <v>42332</v>
      </c>
      <c r="F2210" s="40" t="s">
        <v>1821</v>
      </c>
      <c r="G2210" s="40" t="s">
        <v>1204</v>
      </c>
      <c r="H2210" s="7" t="s">
        <v>1934</v>
      </c>
      <c r="I2210" s="255">
        <v>130</v>
      </c>
      <c r="J2210" s="255">
        <v>25202</v>
      </c>
      <c r="K2210" s="593">
        <f>ROUND(I2210*J2210,0)</f>
        <v>3276260</v>
      </c>
      <c r="L2210" s="594" t="s">
        <v>259</v>
      </c>
      <c r="M2210" s="594" t="s">
        <v>174</v>
      </c>
      <c r="N2210" s="52" t="str">
        <f>IF(AND('331-CT'!$E$7=TH!H2210,OR(L2210="331",M2210="331")),"331",IF(AND(OR(L2210="131",M2210="131"),H2210='131-CT'!$E$7),"131",""))</f>
        <v/>
      </c>
      <c r="O2210" s="86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99"/>
    </row>
    <row r="2211" spans="1:27" s="210" customFormat="1" ht="15.75" customHeight="1">
      <c r="A2211" s="203" t="str">
        <f>IF(B2211&lt;&gt;"",IF(AND(B2211&gt;=_TM1,B2211&lt;=_TM2,OR(TH!L2211="1111",TH!M2211="1111")),TH!D2211,""),"")</f>
        <v/>
      </c>
      <c r="B2211" s="36">
        <f>IF(C2211&lt;&gt;"",MONTH(C2211),"")</f>
        <v>11</v>
      </c>
      <c r="C2211" s="183">
        <f>E2211</f>
        <v>42332</v>
      </c>
      <c r="D2211" s="183" t="s">
        <v>1594</v>
      </c>
      <c r="E2211" s="762">
        <v>42332</v>
      </c>
      <c r="F2211" s="40" t="s">
        <v>1822</v>
      </c>
      <c r="G2211" s="40" t="s">
        <v>1204</v>
      </c>
      <c r="H2211" s="7" t="s">
        <v>1934</v>
      </c>
      <c r="I2211" s="255">
        <v>200</v>
      </c>
      <c r="J2211" s="255">
        <v>15379</v>
      </c>
      <c r="K2211" s="593">
        <f>ROUND(I2211*J2211,0)</f>
        <v>3075800</v>
      </c>
      <c r="L2211" s="594" t="s">
        <v>259</v>
      </c>
      <c r="M2211" s="594" t="s">
        <v>174</v>
      </c>
      <c r="N2211" s="52" t="str">
        <f>IF(AND('331-CT'!$E$7=TH!H2211,OR(L2211="331",M2211="331")),"331",IF(AND(OR(L2211="131",M2211="131"),H2211='131-CT'!$E$7),"131",""))</f>
        <v/>
      </c>
      <c r="O2211" s="86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99"/>
    </row>
    <row r="2212" spans="1:27" s="210" customFormat="1" ht="15.75" customHeight="1">
      <c r="A2212" s="203" t="str">
        <f>IF(B2212&lt;&gt;"",IF(AND(B2212&gt;=_TM1,B2212&lt;=_TM2,OR(TH!L2212="1111",TH!M2212="1111")),TH!D2212,""),"")</f>
        <v/>
      </c>
      <c r="B2212" s="36">
        <f>IF(C2212&lt;&gt;"",MONTH(C2212),"")</f>
        <v>11</v>
      </c>
      <c r="C2212" s="183">
        <f>E2212</f>
        <v>42332</v>
      </c>
      <c r="D2212" s="183" t="s">
        <v>1594</v>
      </c>
      <c r="E2212" s="762">
        <v>42332</v>
      </c>
      <c r="F2212" s="40" t="s">
        <v>1823</v>
      </c>
      <c r="G2212" s="40" t="s">
        <v>1204</v>
      </c>
      <c r="H2212" s="7" t="s">
        <v>1934</v>
      </c>
      <c r="I2212" s="255">
        <v>510</v>
      </c>
      <c r="J2212" s="255">
        <v>12583</v>
      </c>
      <c r="K2212" s="593">
        <f>ROUND(I2212*J2212,0)</f>
        <v>6417330</v>
      </c>
      <c r="L2212" s="594" t="s">
        <v>259</v>
      </c>
      <c r="M2212" s="594" t="s">
        <v>174</v>
      </c>
      <c r="N2212" s="52" t="str">
        <f>IF(AND('331-CT'!$E$7=TH!H2212,OR(L2212="331",M2212="331")),"331",IF(AND(OR(L2212="131",M2212="131"),H2212='131-CT'!$E$7),"131",""))</f>
        <v/>
      </c>
      <c r="O2212" s="86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99"/>
    </row>
    <row r="2213" spans="1:27" s="210" customFormat="1" ht="15.75" customHeight="1">
      <c r="A2213" s="203" t="str">
        <f>IF(B2213&lt;&gt;"",IF(AND(B2213&gt;=_TM1,B2213&lt;=_TM2,OR(TH!L2213="1111",TH!M2213="1111")),TH!D2213,""),"")</f>
        <v/>
      </c>
      <c r="B2213" s="36">
        <f>IF(C2213&lt;&gt;"",MONTH(C2213),"")</f>
        <v>11</v>
      </c>
      <c r="C2213" s="183">
        <f>E2213</f>
        <v>42332</v>
      </c>
      <c r="D2213" s="183" t="s">
        <v>1594</v>
      </c>
      <c r="E2213" s="762">
        <v>42332</v>
      </c>
      <c r="F2213" s="40" t="s">
        <v>1824</v>
      </c>
      <c r="G2213" s="40" t="s">
        <v>1204</v>
      </c>
      <c r="H2213" s="7" t="s">
        <v>1934</v>
      </c>
      <c r="I2213" s="255">
        <v>250</v>
      </c>
      <c r="J2213" s="255">
        <v>11816</v>
      </c>
      <c r="K2213" s="593">
        <f>ROUND(I2213*J2213,0)</f>
        <v>2954000</v>
      </c>
      <c r="L2213" s="594" t="s">
        <v>259</v>
      </c>
      <c r="M2213" s="594" t="s">
        <v>174</v>
      </c>
      <c r="N2213" s="52" t="str">
        <f>IF(AND('331-CT'!$E$7=TH!H2213,OR(L2213="331",M2213="331")),"331",IF(AND(OR(L2213="131",M2213="131"),H2213='131-CT'!$E$7),"131",""))</f>
        <v/>
      </c>
      <c r="O2213" s="86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99"/>
    </row>
    <row r="2214" spans="1:27" s="210" customFormat="1" ht="15.75" customHeight="1">
      <c r="A2214" s="203" t="str">
        <f>IF(B2214&lt;&gt;"",IF(AND(B2214&gt;=_TM1,B2214&lt;=_TM2,OR(TH!L2214="1111",TH!M2214="1111")),TH!D2214,""),"")</f>
        <v/>
      </c>
      <c r="B2214" s="36">
        <f>IF(C2214&lt;&gt;"",MONTH(C2214),"")</f>
        <v>11</v>
      </c>
      <c r="C2214" s="183">
        <f>E2214</f>
        <v>42332</v>
      </c>
      <c r="D2214" s="183" t="s">
        <v>1594</v>
      </c>
      <c r="E2214" s="37">
        <v>42332</v>
      </c>
      <c r="F2214" s="40" t="s">
        <v>731</v>
      </c>
      <c r="G2214" s="40" t="s">
        <v>1204</v>
      </c>
      <c r="H2214" s="7" t="s">
        <v>1934</v>
      </c>
      <c r="I2214" s="255"/>
      <c r="J2214" s="255"/>
      <c r="K2214" s="593">
        <v>1572339</v>
      </c>
      <c r="L2214" s="594" t="s">
        <v>259</v>
      </c>
      <c r="M2214" s="594" t="s">
        <v>371</v>
      </c>
      <c r="N2214" s="52" t="str">
        <f>IF(AND('331-CT'!$E$7=TH!H2214,OR(L2214="331",M2214="331")),"331",IF(AND(OR(L2214="131",M2214="131"),H2214='131-CT'!$E$7),"131",""))</f>
        <v/>
      </c>
      <c r="O2214" s="86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99"/>
    </row>
    <row r="2215" spans="1:27" s="210" customFormat="1" ht="15.75" customHeight="1">
      <c r="A2215" s="203" t="str">
        <f>IF(B2215&lt;&gt;"",IF(AND(B2215&gt;=_TM1,B2215&lt;=_TM2,OR(TH!L2215="1111",TH!M2215="1111")),TH!D2215,""),"")</f>
        <v/>
      </c>
      <c r="B2215" s="36">
        <f>IF(C2215&lt;&gt;"",MONTH(C2215),"")</f>
        <v>11</v>
      </c>
      <c r="C2215" s="183">
        <f>E2215</f>
        <v>42332</v>
      </c>
      <c r="D2215" s="183" t="s">
        <v>1324</v>
      </c>
      <c r="E2215" s="190">
        <v>42332</v>
      </c>
      <c r="F2215" s="188" t="s">
        <v>1320</v>
      </c>
      <c r="G2215" s="482" t="s">
        <v>332</v>
      </c>
      <c r="H2215" s="7" t="s">
        <v>438</v>
      </c>
      <c r="I2215" s="255"/>
      <c r="J2215" s="255"/>
      <c r="K2215" s="593">
        <v>6620350</v>
      </c>
      <c r="L2215" s="594" t="s">
        <v>24</v>
      </c>
      <c r="M2215" s="594" t="s">
        <v>259</v>
      </c>
      <c r="N2215" s="52" t="str">
        <f>IF(AND('331-CT'!$E$7=TH!H2215,OR(L2215="331",M2215="331")),"331",IF(AND(OR(L2215="131",M2215="131"),H2215='131-CT'!$E$7),"131",""))</f>
        <v/>
      </c>
      <c r="O2215" s="86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>x</v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99"/>
    </row>
    <row r="2216" spans="1:27" s="210" customFormat="1" ht="15.75" customHeight="1">
      <c r="A2216" s="203" t="str">
        <f>IF(B2216&lt;&gt;"",IF(AND(B2216&gt;=_TM1,B2216&lt;=_TM2,OR(TH!L2216="1111",TH!M2216="1111")),TH!D2216,""),"")</f>
        <v/>
      </c>
      <c r="B2216" s="36">
        <f>IF(C2216&lt;&gt;"",MONTH(C2216),"")</f>
        <v>11</v>
      </c>
      <c r="C2216" s="183">
        <f>E2216</f>
        <v>42332</v>
      </c>
      <c r="D2216" s="183" t="s">
        <v>1324</v>
      </c>
      <c r="E2216" s="190">
        <v>42332</v>
      </c>
      <c r="F2216" s="188" t="s">
        <v>1320</v>
      </c>
      <c r="G2216" s="482" t="s">
        <v>332</v>
      </c>
      <c r="H2216" s="7" t="s">
        <v>799</v>
      </c>
      <c r="I2216" s="255"/>
      <c r="J2216" s="255"/>
      <c r="K2216" s="593">
        <v>2401960</v>
      </c>
      <c r="L2216" s="594" t="s">
        <v>24</v>
      </c>
      <c r="M2216" s="594" t="s">
        <v>259</v>
      </c>
      <c r="N2216" s="52" t="str">
        <f>IF(AND('331-CT'!$E$7=TH!H2216,OR(L2216="331",M2216="331")),"331",IF(AND(OR(L2216="131",M2216="131"),H2216='131-CT'!$E$7),"131",""))</f>
        <v/>
      </c>
      <c r="O2216" s="86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>x</v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99"/>
    </row>
    <row r="2217" spans="1:27" s="210" customFormat="1" ht="15.75" customHeight="1">
      <c r="A2217" s="203" t="str">
        <f>IF(B2217&lt;&gt;"",IF(AND(B2217&gt;=_TM1,B2217&lt;=_TM2,OR(TH!L2217="1111",TH!M2217="1111")),TH!D2217,""),"")</f>
        <v>GBN</v>
      </c>
      <c r="B2217" s="36">
        <f>IF(C2217&lt;&gt;"",MONTH(C2217),"")</f>
        <v>11</v>
      </c>
      <c r="C2217" s="183">
        <f>E2217</f>
        <v>42332</v>
      </c>
      <c r="D2217" s="183" t="s">
        <v>1324</v>
      </c>
      <c r="E2217" s="190">
        <v>42332</v>
      </c>
      <c r="F2217" s="188" t="s">
        <v>1325</v>
      </c>
      <c r="G2217" s="482" t="s">
        <v>332</v>
      </c>
      <c r="H2217" s="7" t="s">
        <v>1337</v>
      </c>
      <c r="I2217" s="704"/>
      <c r="J2217" s="704"/>
      <c r="K2217" s="593">
        <v>15000000</v>
      </c>
      <c r="L2217" s="594" t="s">
        <v>47</v>
      </c>
      <c r="M2217" s="594" t="s">
        <v>24</v>
      </c>
      <c r="N2217" s="52" t="str">
        <f>IF(AND('331-CT'!$E$7=TH!H2217,OR(L2217="331",M2217="331")),"331",IF(AND(OR(L2217="131",M2217="131"),H2217='131-CT'!$E$7),"131",""))</f>
        <v/>
      </c>
      <c r="O2217" s="86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>x</v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99"/>
    </row>
    <row r="2218" spans="1:27" s="210" customFormat="1" ht="15.75" customHeight="1">
      <c r="A2218" s="203" t="str">
        <f>IF(B2218&lt;&gt;"",IF(AND(B2218&gt;=_TM1,B2218&lt;=_TM2,OR(TH!L2218="1111",TH!M2218="1111")),TH!D2218,""),"")</f>
        <v/>
      </c>
      <c r="B2218" s="36">
        <f>IF(C2218&lt;&gt;"",MONTH(C2218),"")</f>
        <v>11</v>
      </c>
      <c r="C2218" s="183">
        <f>E2218</f>
        <v>42332</v>
      </c>
      <c r="D2218" s="190" t="s">
        <v>2020</v>
      </c>
      <c r="E2218" s="727">
        <v>42332</v>
      </c>
      <c r="F2218" s="188" t="s">
        <v>1380</v>
      </c>
      <c r="G2218" s="481" t="s">
        <v>1493</v>
      </c>
      <c r="H2218" s="7" t="s">
        <v>1487</v>
      </c>
      <c r="I2218" s="766">
        <v>7818</v>
      </c>
      <c r="J2218" s="704">
        <v>7600</v>
      </c>
      <c r="K2218" s="593">
        <f>ROUND(I2218*J2218,0)</f>
        <v>59416800</v>
      </c>
      <c r="L2218" s="594" t="s">
        <v>159</v>
      </c>
      <c r="M2218" s="594" t="s">
        <v>8</v>
      </c>
      <c r="N2218" s="52" t="str">
        <f>IF(AND('331-CT'!$E$7=TH!H2218,OR(L2218="331",M2218="331")),"331",IF(AND(OR(L2218="131",M2218="131"),H2218='131-CT'!$E$7),"131",""))</f>
        <v/>
      </c>
      <c r="O2218" s="86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>x</v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99"/>
    </row>
    <row r="2219" spans="1:27" s="210" customFormat="1" ht="15.75" customHeight="1">
      <c r="A2219" s="203" t="str">
        <f>IF(B2219&lt;&gt;"",IF(AND(B2219&gt;=_TM1,B2219&lt;=_TM2,OR(TH!L2219="1111",TH!M2219="1111")),TH!D2219,""),"")</f>
        <v/>
      </c>
      <c r="B2219" s="36">
        <f>IF(C2219&lt;&gt;"",MONTH(C2219),"")</f>
        <v>11</v>
      </c>
      <c r="C2219" s="183">
        <f>E2219</f>
        <v>42332</v>
      </c>
      <c r="D2219" s="190" t="s">
        <v>2020</v>
      </c>
      <c r="E2219" s="727">
        <v>42332</v>
      </c>
      <c r="F2219" s="188" t="s">
        <v>1488</v>
      </c>
      <c r="G2219" s="481" t="s">
        <v>1493</v>
      </c>
      <c r="H2219" s="7" t="s">
        <v>1487</v>
      </c>
      <c r="I2219" s="704">
        <v>957</v>
      </c>
      <c r="J2219" s="704">
        <v>9000</v>
      </c>
      <c r="K2219" s="593">
        <f>ROUND(I2219*J2219,0)</f>
        <v>8613000</v>
      </c>
      <c r="L2219" s="594" t="s">
        <v>159</v>
      </c>
      <c r="M2219" s="594" t="s">
        <v>8</v>
      </c>
      <c r="N2219" s="52" t="str">
        <f>IF(AND('331-CT'!$E$7=TH!H2219,OR(L2219="331",M2219="331")),"331",IF(AND(OR(L2219="131",M2219="131"),H2219='131-CT'!$E$7),"131",""))</f>
        <v/>
      </c>
      <c r="O2219" s="86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99"/>
    </row>
    <row r="2220" spans="1:27" s="210" customFormat="1" ht="15.75" customHeight="1">
      <c r="A2220" s="203" t="str">
        <f>IF(B2220&lt;&gt;"",IF(AND(B2220&gt;=_TM1,B2220&lt;=_TM2,OR(TH!L2220="1111",TH!M2220="1111")),TH!D2220,""),"")</f>
        <v/>
      </c>
      <c r="B2220" s="36">
        <f>IF(C2220&lt;&gt;"",MONTH(C2220),"")</f>
        <v>11</v>
      </c>
      <c r="C2220" s="183">
        <f>E2220</f>
        <v>42332</v>
      </c>
      <c r="D2220" s="190" t="s">
        <v>2020</v>
      </c>
      <c r="E2220" s="727">
        <v>42332</v>
      </c>
      <c r="F2220" s="188" t="s">
        <v>731</v>
      </c>
      <c r="G2220" s="481" t="s">
        <v>1493</v>
      </c>
      <c r="H2220" s="7" t="s">
        <v>1487</v>
      </c>
      <c r="I2220" s="255"/>
      <c r="J2220" s="255"/>
      <c r="K2220" s="593">
        <v>6802980</v>
      </c>
      <c r="L2220" s="594" t="s">
        <v>9</v>
      </c>
      <c r="M2220" s="594" t="s">
        <v>8</v>
      </c>
      <c r="N2220" s="52" t="str">
        <f>IF(AND('331-CT'!$E$7=TH!H2220,OR(L2220="331",M2220="331")),"331",IF(AND(OR(L2220="131",M2220="131"),H2220='131-CT'!$E$7),"131",""))</f>
        <v/>
      </c>
      <c r="O2220" s="86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99"/>
    </row>
    <row r="2221" spans="1:27" s="210" customFormat="1" ht="15.75" customHeight="1">
      <c r="A2221" s="203" t="str">
        <f>IF(B2221&lt;&gt;"",IF(AND(B2221&gt;=_TM1,B2221&lt;=_TM2,OR(TH!L2221="1111",TH!M2221="1111")),TH!D2221,""),"")</f>
        <v/>
      </c>
      <c r="B2221" s="36">
        <f>IF(C2221&lt;&gt;"",MONTH(C2221),"")</f>
        <v>11</v>
      </c>
      <c r="C2221" s="183">
        <f>E2221</f>
        <v>42333</v>
      </c>
      <c r="D2221" s="183" t="s">
        <v>1324</v>
      </c>
      <c r="E2221" s="190">
        <v>42333</v>
      </c>
      <c r="F2221" s="188" t="s">
        <v>1321</v>
      </c>
      <c r="G2221" s="482" t="s">
        <v>332</v>
      </c>
      <c r="H2221" s="7"/>
      <c r="I2221" s="255"/>
      <c r="J2221" s="255"/>
      <c r="K2221" s="593">
        <v>6177</v>
      </c>
      <c r="L2221" s="594" t="s">
        <v>24</v>
      </c>
      <c r="M2221" s="594" t="s">
        <v>40</v>
      </c>
      <c r="N2221" s="52" t="str">
        <f>IF(AND('331-CT'!$E$7=TH!H2221,OR(L2221="331",M2221="331")),"331",IF(AND(OR(L2221="131",M2221="131"),H2221='131-CT'!$E$7),"131",""))</f>
        <v/>
      </c>
      <c r="O2221" s="86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>x</v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99"/>
    </row>
    <row r="2222" spans="1:27" s="210" customFormat="1" ht="15.75" customHeight="1">
      <c r="A2222" s="203" t="str">
        <f>IF(B2222&lt;&gt;"",IF(AND(B2222&gt;=_TM1,B2222&lt;=_TM2,OR(TH!L2222="1111",TH!M2222="1111")),TH!D2222,""),"")</f>
        <v>GBN</v>
      </c>
      <c r="B2222" s="36">
        <f>IF(C2222&lt;&gt;"",MONTH(C2222),"")</f>
        <v>11</v>
      </c>
      <c r="C2222" s="183">
        <f>E2222</f>
        <v>42333</v>
      </c>
      <c r="D2222" s="183" t="s">
        <v>1324</v>
      </c>
      <c r="E2222" s="190">
        <v>42333</v>
      </c>
      <c r="F2222" s="188" t="s">
        <v>1325</v>
      </c>
      <c r="G2222" s="482" t="s">
        <v>332</v>
      </c>
      <c r="H2222" s="7" t="s">
        <v>1337</v>
      </c>
      <c r="I2222" s="255"/>
      <c r="J2222" s="255"/>
      <c r="K2222" s="593">
        <v>10000000</v>
      </c>
      <c r="L2222" s="594" t="s">
        <v>47</v>
      </c>
      <c r="M2222" s="594" t="s">
        <v>24</v>
      </c>
      <c r="N2222" s="52" t="str">
        <f>IF(AND('331-CT'!$E$7=TH!H2222,OR(L2222="331",M2222="331")),"331",IF(AND(OR(L2222="131",M2222="131"),H2222='131-CT'!$E$7),"131",""))</f>
        <v/>
      </c>
      <c r="O2222" s="86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>x</v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99"/>
    </row>
    <row r="2223" spans="1:27" s="210" customFormat="1" ht="15.75" customHeight="1">
      <c r="A2223" s="203" t="str">
        <f>IF(B2223&lt;&gt;"",IF(AND(B2223&gt;=_TM1,B2223&lt;=_TM2,OR(TH!L2223="1111",TH!M2223="1111")),TH!D2223,""),"")</f>
        <v/>
      </c>
      <c r="B2223" s="36">
        <f>IF(C2223&lt;&gt;"",MONTH(C2223),"")</f>
        <v>11</v>
      </c>
      <c r="C2223" s="183">
        <f>E2223</f>
        <v>42334</v>
      </c>
      <c r="D2223" s="183" t="s">
        <v>1595</v>
      </c>
      <c r="E2223" s="37">
        <v>42334</v>
      </c>
      <c r="F2223" s="40" t="s">
        <v>781</v>
      </c>
      <c r="G2223" s="40" t="s">
        <v>1205</v>
      </c>
      <c r="H2223" s="7" t="s">
        <v>783</v>
      </c>
      <c r="I2223" s="255">
        <v>600</v>
      </c>
      <c r="J2223" s="255">
        <v>20000</v>
      </c>
      <c r="K2223" s="593">
        <f>ROUND(I2223*J2223,0)</f>
        <v>12000000</v>
      </c>
      <c r="L2223" s="594" t="s">
        <v>259</v>
      </c>
      <c r="M2223" s="594" t="s">
        <v>174</v>
      </c>
      <c r="N2223" s="52" t="str">
        <f>IF(AND('331-CT'!$E$7=TH!H2223,OR(L2223="331",M2223="331")),"331",IF(AND(OR(L2223="131",M2223="131"),H2223='131-CT'!$E$7),"131",""))</f>
        <v/>
      </c>
      <c r="O2223" s="86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99"/>
    </row>
    <row r="2224" spans="1:27" s="210" customFormat="1" ht="15.75" customHeight="1">
      <c r="A2224" s="203" t="str">
        <f>IF(B2224&lt;&gt;"",IF(AND(B2224&gt;=_TM1,B2224&lt;=_TM2,OR(TH!L2224="1111",TH!M2224="1111")),TH!D2224,""),"")</f>
        <v/>
      </c>
      <c r="B2224" s="36">
        <f>IF(C2224&lt;&gt;"",MONTH(C2224),"")</f>
        <v>11</v>
      </c>
      <c r="C2224" s="183">
        <f>E2224</f>
        <v>42334</v>
      </c>
      <c r="D2224" s="183" t="s">
        <v>1595</v>
      </c>
      <c r="E2224" s="37">
        <v>42334</v>
      </c>
      <c r="F2224" s="40" t="s">
        <v>402</v>
      </c>
      <c r="G2224" s="40" t="s">
        <v>1205</v>
      </c>
      <c r="H2224" s="7" t="s">
        <v>783</v>
      </c>
      <c r="I2224" s="255"/>
      <c r="J2224" s="255"/>
      <c r="K2224" s="593">
        <v>1200000</v>
      </c>
      <c r="L2224" s="594" t="s">
        <v>259</v>
      </c>
      <c r="M2224" s="594" t="s">
        <v>371</v>
      </c>
      <c r="N2224" s="52" t="str">
        <f>IF(AND('331-CT'!$E$7=TH!H2224,OR(L2224="331",M2224="331")),"331",IF(AND(OR(L2224="131",M2224="131"),H2224='131-CT'!$E$7),"131",""))</f>
        <v/>
      </c>
      <c r="O2224" s="86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99"/>
    </row>
    <row r="2225" spans="1:27" s="210" customFormat="1" ht="15.75" customHeight="1">
      <c r="A2225" s="203" t="str">
        <f>IF(B2225&lt;&gt;"",IF(AND(B2225&gt;=_TM1,B2225&lt;=_TM2,OR(TH!L2225="1111",TH!M2225="1111")),TH!D2225,""),"")</f>
        <v/>
      </c>
      <c r="B2225" s="36">
        <f>IF(C2225&lt;&gt;"",MONTH(C2225),"")</f>
        <v>11</v>
      </c>
      <c r="C2225" s="183">
        <f>E2225</f>
        <v>42334</v>
      </c>
      <c r="D2225" s="190" t="s">
        <v>1324</v>
      </c>
      <c r="E2225" s="190">
        <v>42334</v>
      </c>
      <c r="F2225" s="191" t="s">
        <v>1917</v>
      </c>
      <c r="G2225" s="482" t="s">
        <v>1907</v>
      </c>
      <c r="H2225" s="192"/>
      <c r="I2225" s="255"/>
      <c r="J2225" s="255"/>
      <c r="K2225" s="593">
        <v>50000</v>
      </c>
      <c r="L2225" s="594" t="s">
        <v>83</v>
      </c>
      <c r="M2225" s="594" t="s">
        <v>24</v>
      </c>
      <c r="N2225" s="52" t="str">
        <f>IF(AND('331-CT'!$E$7=TH!H2225,OR(L2225="331",M2225="331")),"331",IF(AND(OR(L2225="131",M2225="131"),H2225='131-CT'!$E$7),"131",""))</f>
        <v/>
      </c>
      <c r="O2225" s="86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>x</v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99"/>
    </row>
    <row r="2226" spans="1:27" s="210" customFormat="1" ht="15.75" customHeight="1">
      <c r="A2226" s="203" t="str">
        <f>IF(B2226&lt;&gt;"",IF(AND(B2226&gt;=_TM1,B2226&lt;=_TM2,OR(TH!L2226="1111",TH!M2226="1111")),TH!D2226,""),"")</f>
        <v/>
      </c>
      <c r="B2226" s="36">
        <f>IF(C2226&lt;&gt;"",MONTH(C2226),"")</f>
        <v>11</v>
      </c>
      <c r="C2226" s="183">
        <f>E2226</f>
        <v>42334</v>
      </c>
      <c r="D2226" s="190" t="s">
        <v>1324</v>
      </c>
      <c r="E2226" s="190">
        <v>42334</v>
      </c>
      <c r="F2226" s="191" t="s">
        <v>1918</v>
      </c>
      <c r="G2226" s="482" t="s">
        <v>1907</v>
      </c>
      <c r="H2226" s="192"/>
      <c r="I2226" s="255"/>
      <c r="J2226" s="255"/>
      <c r="K2226" s="593">
        <v>5000</v>
      </c>
      <c r="L2226" s="594" t="s">
        <v>9</v>
      </c>
      <c r="M2226" s="594" t="s">
        <v>24</v>
      </c>
      <c r="N2226" s="52" t="str">
        <f>IF(AND('331-CT'!$E$7=TH!H2226,OR(L2226="331",M2226="331")),"331",IF(AND(OR(L2226="131",M2226="131"),H2226='131-CT'!$E$7),"131",""))</f>
        <v/>
      </c>
      <c r="O2226" s="86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99"/>
    </row>
    <row r="2227" spans="1:27" s="210" customFormat="1" ht="15.75" customHeight="1">
      <c r="A2227" s="203" t="str">
        <f>IF(B2227&lt;&gt;"",IF(AND(B2227&gt;=_TM1,B2227&lt;=_TM2,OR(TH!L2227="1111",TH!M2227="1111")),TH!D2227,""),"")</f>
        <v/>
      </c>
      <c r="B2227" s="36">
        <f>IF(C2227&lt;&gt;"",MONTH(C2227),"")</f>
        <v>11</v>
      </c>
      <c r="C2227" s="183">
        <f>E2227</f>
        <v>42335</v>
      </c>
      <c r="D2227" s="183" t="s">
        <v>1596</v>
      </c>
      <c r="E2227" s="37">
        <v>42335</v>
      </c>
      <c r="F2227" s="40" t="s">
        <v>616</v>
      </c>
      <c r="G2227" s="40" t="s">
        <v>1206</v>
      </c>
      <c r="H2227" s="7" t="s">
        <v>976</v>
      </c>
      <c r="I2227" s="255">
        <v>1031</v>
      </c>
      <c r="J2227" s="255">
        <v>5500</v>
      </c>
      <c r="K2227" s="593">
        <f>ROUND(I2227*J2227,0)</f>
        <v>5670500</v>
      </c>
      <c r="L2227" s="594" t="s">
        <v>259</v>
      </c>
      <c r="M2227" s="594" t="s">
        <v>174</v>
      </c>
      <c r="N2227" s="52" t="str">
        <f>IF(AND('331-CT'!$E$7=TH!H2227,OR(L2227="331",M2227="331")),"331",IF(AND(OR(L2227="131",M2227="131"),H2227='131-CT'!$E$7),"131",""))</f>
        <v/>
      </c>
      <c r="O2227" s="86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99"/>
    </row>
    <row r="2228" spans="1:27" s="210" customFormat="1" ht="15.75" customHeight="1">
      <c r="A2228" s="203" t="str">
        <f>IF(B2228&lt;&gt;"",IF(AND(B2228&gt;=_TM1,B2228&lt;=_TM2,OR(TH!L2228="1111",TH!M2228="1111")),TH!D2228,""),"")</f>
        <v/>
      </c>
      <c r="B2228" s="36">
        <f>IF(C2228&lt;&gt;"",MONTH(C2228),"")</f>
        <v>11</v>
      </c>
      <c r="C2228" s="183">
        <f>E2228</f>
        <v>42335</v>
      </c>
      <c r="D2228" s="183" t="s">
        <v>1596</v>
      </c>
      <c r="E2228" s="37">
        <v>42335</v>
      </c>
      <c r="F2228" s="40" t="s">
        <v>616</v>
      </c>
      <c r="G2228" s="40" t="s">
        <v>1206</v>
      </c>
      <c r="H2228" s="7" t="s">
        <v>976</v>
      </c>
      <c r="I2228" s="255">
        <v>980</v>
      </c>
      <c r="J2228" s="255">
        <v>5500</v>
      </c>
      <c r="K2228" s="593">
        <f>ROUND(I2228*J2228,0)</f>
        <v>5390000</v>
      </c>
      <c r="L2228" s="594" t="s">
        <v>259</v>
      </c>
      <c r="M2228" s="594" t="s">
        <v>174</v>
      </c>
      <c r="N2228" s="52" t="str">
        <f>IF(AND('331-CT'!$E$7=TH!H2228,OR(L2228="331",M2228="331")),"331",IF(AND(OR(L2228="131",M2228="131"),H2228='131-CT'!$E$7),"131",""))</f>
        <v/>
      </c>
      <c r="O2228" s="86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99"/>
    </row>
    <row r="2229" spans="1:27" s="210" customFormat="1" ht="15.75" customHeight="1">
      <c r="A2229" s="203" t="str">
        <f>IF(B2229&lt;&gt;"",IF(AND(B2229&gt;=_TM1,B2229&lt;=_TM2,OR(TH!L2229="1111",TH!M2229="1111")),TH!D2229,""),"")</f>
        <v/>
      </c>
      <c r="B2229" s="36">
        <f>IF(C2229&lt;&gt;"",MONTH(C2229),"")</f>
        <v>11</v>
      </c>
      <c r="C2229" s="183">
        <f>E2229</f>
        <v>42335</v>
      </c>
      <c r="D2229" s="183" t="s">
        <v>1596</v>
      </c>
      <c r="E2229" s="37">
        <v>42335</v>
      </c>
      <c r="F2229" s="40" t="s">
        <v>402</v>
      </c>
      <c r="G2229" s="40" t="s">
        <v>1206</v>
      </c>
      <c r="H2229" s="7" t="s">
        <v>976</v>
      </c>
      <c r="I2229" s="255"/>
      <c r="J2229" s="255"/>
      <c r="K2229" s="593">
        <v>1106050</v>
      </c>
      <c r="L2229" s="594" t="s">
        <v>259</v>
      </c>
      <c r="M2229" s="594" t="s">
        <v>371</v>
      </c>
      <c r="N2229" s="52" t="str">
        <f>IF(AND('331-CT'!$E$7=TH!H2229,OR(L2229="331",M2229="331")),"331",IF(AND(OR(L2229="131",M2229="131"),H2229='131-CT'!$E$7),"131",""))</f>
        <v/>
      </c>
      <c r="O2229" s="86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99"/>
    </row>
    <row r="2230" spans="1:27" s="210" customFormat="1" ht="15.75" customHeight="1">
      <c r="A2230" s="203" t="str">
        <f>IF(B2230&lt;&gt;"",IF(AND(B2230&gt;=_TM1,B2230&lt;=_TM2,OR(TH!L2230="1111",TH!M2230="1111")),TH!D2230,""),"")</f>
        <v/>
      </c>
      <c r="B2230" s="36">
        <f>IF(C2230&lt;&gt;"",MONTH(C2230),"")</f>
        <v>11</v>
      </c>
      <c r="C2230" s="183">
        <f>E2230</f>
        <v>42335</v>
      </c>
      <c r="D2230" s="183" t="s">
        <v>1597</v>
      </c>
      <c r="E2230" s="37">
        <v>42335</v>
      </c>
      <c r="F2230" s="40" t="s">
        <v>451</v>
      </c>
      <c r="G2230" s="40" t="s">
        <v>1207</v>
      </c>
      <c r="H2230" s="7" t="s">
        <v>1172</v>
      </c>
      <c r="I2230" s="255">
        <v>100</v>
      </c>
      <c r="J2230" s="255">
        <v>12970</v>
      </c>
      <c r="K2230" s="593">
        <f>ROUND(I2230*J2230,0)</f>
        <v>1297000</v>
      </c>
      <c r="L2230" s="594" t="s">
        <v>259</v>
      </c>
      <c r="M2230" s="594" t="s">
        <v>174</v>
      </c>
      <c r="N2230" s="52" t="str">
        <f>IF(AND('331-CT'!$E$7=TH!H2230,OR(L2230="331",M2230="331")),"331",IF(AND(OR(L2230="131",M2230="131"),H2230='131-CT'!$E$7),"131",""))</f>
        <v/>
      </c>
      <c r="O2230" s="86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99"/>
    </row>
    <row r="2231" spans="1:27" s="210" customFormat="1" ht="15.75" customHeight="1">
      <c r="A2231" s="203" t="str">
        <f>IF(B2231&lt;&gt;"",IF(AND(B2231&gt;=_TM1,B2231&lt;=_TM2,OR(TH!L2231="1111",TH!M2231="1111")),TH!D2231,""),"")</f>
        <v/>
      </c>
      <c r="B2231" s="36">
        <f>IF(C2231&lt;&gt;"",MONTH(C2231),"")</f>
        <v>11</v>
      </c>
      <c r="C2231" s="183">
        <f>E2231</f>
        <v>42335</v>
      </c>
      <c r="D2231" s="183" t="s">
        <v>1597</v>
      </c>
      <c r="E2231" s="37">
        <v>42335</v>
      </c>
      <c r="F2231" s="40" t="s">
        <v>402</v>
      </c>
      <c r="G2231" s="40" t="s">
        <v>1207</v>
      </c>
      <c r="H2231" s="7" t="s">
        <v>1172</v>
      </c>
      <c r="I2231" s="255"/>
      <c r="J2231" s="255"/>
      <c r="K2231" s="593">
        <v>129700</v>
      </c>
      <c r="L2231" s="594" t="s">
        <v>259</v>
      </c>
      <c r="M2231" s="594" t="s">
        <v>371</v>
      </c>
      <c r="N2231" s="52" t="str">
        <f>IF(AND('331-CT'!$E$7=TH!H2231,OR(L2231="331",M2231="331")),"331",IF(AND(OR(L2231="131",M2231="131"),H2231='131-CT'!$E$7),"131",""))</f>
        <v/>
      </c>
      <c r="O2231" s="86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99"/>
    </row>
    <row r="2232" spans="1:27" s="210" customFormat="1" ht="15.75" customHeight="1">
      <c r="A2232" s="203" t="str">
        <f>IF(B2232&lt;&gt;"",IF(AND(B2232&gt;=_TM1,B2232&lt;=_TM2,OR(TH!L2232="1111",TH!M2232="1111")),TH!D2232,""),"")</f>
        <v/>
      </c>
      <c r="B2232" s="36">
        <f>IF(C2232&lt;&gt;"",MONTH(C2232),"")</f>
        <v>11</v>
      </c>
      <c r="C2232" s="183">
        <f>E2232</f>
        <v>42335</v>
      </c>
      <c r="D2232" s="183" t="s">
        <v>1598</v>
      </c>
      <c r="E2232" s="37">
        <v>42335</v>
      </c>
      <c r="F2232" s="40" t="s">
        <v>409</v>
      </c>
      <c r="G2232" s="40" t="s">
        <v>1208</v>
      </c>
      <c r="H2232" s="7" t="s">
        <v>837</v>
      </c>
      <c r="I2232" s="255">
        <v>1178</v>
      </c>
      <c r="J2232" s="255">
        <v>7400</v>
      </c>
      <c r="K2232" s="593">
        <f>ROUND(I2232*J2232,0)</f>
        <v>8717200</v>
      </c>
      <c r="L2232" s="594" t="s">
        <v>259</v>
      </c>
      <c r="M2232" s="594" t="s">
        <v>174</v>
      </c>
      <c r="N2232" s="52" t="str">
        <f>IF(AND('331-CT'!$E$7=TH!H2232,OR(L2232="331",M2232="331")),"331",IF(AND(OR(L2232="131",M2232="131"),H2232='131-CT'!$E$7),"131",""))</f>
        <v/>
      </c>
      <c r="O2232" s="86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99"/>
    </row>
    <row r="2233" spans="1:27" s="210" customFormat="1" ht="15.75" customHeight="1">
      <c r="A2233" s="203" t="str">
        <f>IF(B2233&lt;&gt;"",IF(AND(B2233&gt;=_TM1,B2233&lt;=_TM2,OR(TH!L2233="1111",TH!M2233="1111")),TH!D2233,""),"")</f>
        <v/>
      </c>
      <c r="B2233" s="36">
        <f>IF(C2233&lt;&gt;"",MONTH(C2233),"")</f>
        <v>11</v>
      </c>
      <c r="C2233" s="183">
        <f>E2233</f>
        <v>42335</v>
      </c>
      <c r="D2233" s="183" t="s">
        <v>1598</v>
      </c>
      <c r="E2233" s="37">
        <v>42335</v>
      </c>
      <c r="F2233" s="40" t="s">
        <v>402</v>
      </c>
      <c r="G2233" s="40" t="s">
        <v>1208</v>
      </c>
      <c r="H2233" s="7" t="s">
        <v>837</v>
      </c>
      <c r="I2233" s="255"/>
      <c r="J2233" s="255"/>
      <c r="K2233" s="593">
        <v>871720</v>
      </c>
      <c r="L2233" s="594" t="s">
        <v>259</v>
      </c>
      <c r="M2233" s="594" t="s">
        <v>371</v>
      </c>
      <c r="N2233" s="52" t="str">
        <f>IF(AND('331-CT'!$E$7=TH!H2233,OR(L2233="331",M2233="331")),"331",IF(AND(OR(L2233="131",M2233="131"),H2233='131-CT'!$E$7),"131",""))</f>
        <v/>
      </c>
      <c r="O2233" s="86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99"/>
    </row>
    <row r="2234" spans="1:27" s="210" customFormat="1" ht="15.75" customHeight="1">
      <c r="A2234" s="203" t="str">
        <f>IF(B2234&lt;&gt;"",IF(AND(B2234&gt;=_TM1,B2234&lt;=_TM2,OR(TH!L2234="1111",TH!M2234="1111")),TH!D2234,""),"")</f>
        <v/>
      </c>
      <c r="B2234" s="36">
        <f>IF(C2234&lt;&gt;"",MONTH(C2234),"")</f>
        <v>11</v>
      </c>
      <c r="C2234" s="183">
        <f>E2234</f>
        <v>42335</v>
      </c>
      <c r="D2234" s="183" t="s">
        <v>1599</v>
      </c>
      <c r="E2234" s="37">
        <v>42335</v>
      </c>
      <c r="F2234" s="40" t="s">
        <v>1766</v>
      </c>
      <c r="G2234" s="40" t="s">
        <v>1209</v>
      </c>
      <c r="H2234" s="7" t="s">
        <v>1934</v>
      </c>
      <c r="I2234" s="255">
        <v>1500</v>
      </c>
      <c r="J2234" s="255">
        <v>7649</v>
      </c>
      <c r="K2234" s="593">
        <f>ROUND(I2234*J2234,0)</f>
        <v>11473500</v>
      </c>
      <c r="L2234" s="594" t="s">
        <v>259</v>
      </c>
      <c r="M2234" s="594" t="s">
        <v>174</v>
      </c>
      <c r="N2234" s="52" t="str">
        <f>IF(AND('331-CT'!$E$7=TH!H2234,OR(L2234="331",M2234="331")),"331",IF(AND(OR(L2234="131",M2234="131"),H2234='131-CT'!$E$7),"131",""))</f>
        <v/>
      </c>
      <c r="O2234" s="86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99"/>
    </row>
    <row r="2235" spans="1:27" s="210" customFormat="1" ht="15.75" customHeight="1">
      <c r="A2235" s="203" t="str">
        <f>IF(B2235&lt;&gt;"",IF(AND(B2235&gt;=_TM1,B2235&lt;=_TM2,OR(TH!L2235="1111",TH!M2235="1111")),TH!D2235,""),"")</f>
        <v/>
      </c>
      <c r="B2235" s="36">
        <f>IF(C2235&lt;&gt;"",MONTH(C2235),"")</f>
        <v>11</v>
      </c>
      <c r="C2235" s="183">
        <f>E2235</f>
        <v>42335</v>
      </c>
      <c r="D2235" s="183" t="s">
        <v>1599</v>
      </c>
      <c r="E2235" s="37">
        <v>42335</v>
      </c>
      <c r="F2235" s="40" t="s">
        <v>728</v>
      </c>
      <c r="G2235" s="40" t="s">
        <v>1209</v>
      </c>
      <c r="H2235" s="7" t="s">
        <v>1934</v>
      </c>
      <c r="I2235" s="255">
        <v>200</v>
      </c>
      <c r="J2235" s="255">
        <v>10854</v>
      </c>
      <c r="K2235" s="593">
        <f>ROUND(I2235*J2235,0)</f>
        <v>2170800</v>
      </c>
      <c r="L2235" s="594" t="s">
        <v>259</v>
      </c>
      <c r="M2235" s="594" t="s">
        <v>174</v>
      </c>
      <c r="N2235" s="52" t="str">
        <f>IF(AND('331-CT'!$E$7=TH!H2235,OR(L2235="331",M2235="331")),"331",IF(AND(OR(L2235="131",M2235="131"),H2235='131-CT'!$E$7),"131",""))</f>
        <v/>
      </c>
      <c r="O2235" s="86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99"/>
    </row>
    <row r="2236" spans="1:27" s="210" customFormat="1" ht="15.75" customHeight="1">
      <c r="A2236" s="203" t="str">
        <f>IF(B2236&lt;&gt;"",IF(AND(B2236&gt;=_TM1,B2236&lt;=_TM2,OR(TH!L2236="1111",TH!M2236="1111")),TH!D2236,""),"")</f>
        <v/>
      </c>
      <c r="B2236" s="36">
        <f>IF(C2236&lt;&gt;"",MONTH(C2236),"")</f>
        <v>11</v>
      </c>
      <c r="C2236" s="183">
        <f>E2236</f>
        <v>42335</v>
      </c>
      <c r="D2236" s="183" t="s">
        <v>1599</v>
      </c>
      <c r="E2236" s="37">
        <v>42335</v>
      </c>
      <c r="F2236" s="40" t="s">
        <v>1824</v>
      </c>
      <c r="G2236" s="40" t="s">
        <v>1209</v>
      </c>
      <c r="H2236" s="7" t="s">
        <v>1934</v>
      </c>
      <c r="I2236" s="255">
        <v>260</v>
      </c>
      <c r="J2236" s="255">
        <v>11816</v>
      </c>
      <c r="K2236" s="593">
        <f>ROUND(I2236*J2236,0)</f>
        <v>3072160</v>
      </c>
      <c r="L2236" s="594" t="s">
        <v>259</v>
      </c>
      <c r="M2236" s="594" t="s">
        <v>174</v>
      </c>
      <c r="N2236" s="52" t="str">
        <f>IF(AND('331-CT'!$E$7=TH!H2236,OR(L2236="331",M2236="331")),"331",IF(AND(OR(L2236="131",M2236="131"),H2236='131-CT'!$E$7),"131",""))</f>
        <v/>
      </c>
      <c r="O2236" s="86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99"/>
    </row>
    <row r="2237" spans="1:27" s="210" customFormat="1" ht="15.75" customHeight="1">
      <c r="A2237" s="203" t="str">
        <f>IF(B2237&lt;&gt;"",IF(AND(B2237&gt;=_TM1,B2237&lt;=_TM2,OR(TH!L2237="1111",TH!M2237="1111")),TH!D2237,""),"")</f>
        <v/>
      </c>
      <c r="B2237" s="36">
        <f>IF(C2237&lt;&gt;"",MONTH(C2237),"")</f>
        <v>11</v>
      </c>
      <c r="C2237" s="183">
        <f>E2237</f>
        <v>42335</v>
      </c>
      <c r="D2237" s="183" t="s">
        <v>1599</v>
      </c>
      <c r="E2237" s="37">
        <v>42335</v>
      </c>
      <c r="F2237" s="40" t="s">
        <v>731</v>
      </c>
      <c r="G2237" s="40" t="s">
        <v>1209</v>
      </c>
      <c r="H2237" s="7" t="s">
        <v>1934</v>
      </c>
      <c r="I2237" s="255"/>
      <c r="J2237" s="255"/>
      <c r="K2237" s="593">
        <v>1671646</v>
      </c>
      <c r="L2237" s="594" t="s">
        <v>259</v>
      </c>
      <c r="M2237" s="594" t="s">
        <v>371</v>
      </c>
      <c r="N2237" s="52" t="str">
        <f>IF(AND('331-CT'!$E$7=TH!H2237,OR(L2237="331",M2237="331")),"331",IF(AND(OR(L2237="131",M2237="131"),H2237='131-CT'!$E$7),"131",""))</f>
        <v/>
      </c>
      <c r="O2237" s="86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99"/>
    </row>
    <row r="2238" spans="1:27" s="210" customFormat="1" ht="15.75" customHeight="1">
      <c r="A2238" s="203" t="str">
        <f>IF(B2238&lt;&gt;"",IF(AND(B2238&gt;=_TM1,B2238&lt;=_TM2,OR(TH!L2238="1111",TH!M2238="1111")),TH!D2238,""),"")</f>
        <v/>
      </c>
      <c r="B2238" s="36">
        <f>IF(C2238&lt;&gt;"",MONTH(C2238),"")</f>
        <v>11</v>
      </c>
      <c r="C2238" s="183">
        <f>E2238</f>
        <v>42335</v>
      </c>
      <c r="D2238" s="183" t="s">
        <v>1324</v>
      </c>
      <c r="E2238" s="190">
        <v>42335</v>
      </c>
      <c r="F2238" s="188" t="s">
        <v>1320</v>
      </c>
      <c r="G2238" s="482" t="s">
        <v>332</v>
      </c>
      <c r="H2238" s="7" t="s">
        <v>950</v>
      </c>
      <c r="I2238" s="255"/>
      <c r="J2238" s="255"/>
      <c r="K2238" s="593">
        <v>18867915</v>
      </c>
      <c r="L2238" s="594" t="s">
        <v>24</v>
      </c>
      <c r="M2238" s="594" t="s">
        <v>259</v>
      </c>
      <c r="N2238" s="52" t="str">
        <f>IF(AND('331-CT'!$E$7=TH!H2238,OR(L2238="331",M2238="331")),"331",IF(AND(OR(L2238="131",M2238="131"),H2238='131-CT'!$E$7),"131",""))</f>
        <v/>
      </c>
      <c r="O2238" s="86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>x</v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99"/>
    </row>
    <row r="2239" spans="1:27" s="210" customFormat="1" ht="15.75" customHeight="1">
      <c r="A2239" s="203" t="str">
        <f>IF(B2239&lt;&gt;"",IF(AND(B2239&gt;=_TM1,B2239&lt;=_TM2,OR(TH!L2239="1111",TH!M2239="1111")),TH!D2239,""),"")</f>
        <v/>
      </c>
      <c r="B2239" s="36">
        <f>IF(C2239&lt;&gt;"",MONTH(C2239),"")</f>
        <v>11</v>
      </c>
      <c r="C2239" s="183">
        <f>E2239</f>
        <v>42336</v>
      </c>
      <c r="D2239" s="183" t="s">
        <v>1324</v>
      </c>
      <c r="E2239" s="190">
        <v>42336</v>
      </c>
      <c r="F2239" s="188" t="s">
        <v>1326</v>
      </c>
      <c r="G2239" s="482" t="s">
        <v>332</v>
      </c>
      <c r="H2239" s="7"/>
      <c r="I2239" s="255"/>
      <c r="J2239" s="255"/>
      <c r="K2239" s="593">
        <v>11000000</v>
      </c>
      <c r="L2239" s="594" t="s">
        <v>56</v>
      </c>
      <c r="M2239" s="594" t="s">
        <v>24</v>
      </c>
      <c r="N2239" s="52" t="str">
        <f>IF(AND('331-CT'!$E$7=TH!H2239,OR(L2239="331",M2239="331")),"331",IF(AND(OR(L2239="131",M2239="131"),H2239='131-CT'!$E$7),"131",""))</f>
        <v/>
      </c>
      <c r="O2239" s="86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>x</v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99"/>
    </row>
    <row r="2240" spans="1:27" s="210" customFormat="1" ht="15.75" customHeight="1">
      <c r="A2240" s="203" t="str">
        <f>IF(B2240&lt;&gt;"",IF(AND(B2240&gt;=_TM1,B2240&lt;=_TM2,OR(TH!L2240="1111",TH!M2240="1111")),TH!D2240,""),"")</f>
        <v/>
      </c>
      <c r="B2240" s="36">
        <f>IF(C2240&lt;&gt;"",MONTH(C2240),"")</f>
        <v>11</v>
      </c>
      <c r="C2240" s="183">
        <f>E2240</f>
        <v>42336</v>
      </c>
      <c r="D2240" s="183" t="s">
        <v>1324</v>
      </c>
      <c r="E2240" s="190">
        <v>42336</v>
      </c>
      <c r="F2240" s="296" t="s">
        <v>1326</v>
      </c>
      <c r="G2240" s="482" t="s">
        <v>332</v>
      </c>
      <c r="H2240" s="831" t="s">
        <v>1930</v>
      </c>
      <c r="I2240" s="704"/>
      <c r="J2240" s="704"/>
      <c r="K2240" s="593">
        <v>10000000</v>
      </c>
      <c r="L2240" s="594" t="s">
        <v>8</v>
      </c>
      <c r="M2240" s="594" t="s">
        <v>24</v>
      </c>
      <c r="N2240" s="52" t="str">
        <f>IF(AND('331-CT'!$E$7=TH!H2240,OR(L2240="331",M2240="331")),"331",IF(AND(OR(L2240="131",M2240="131"),H2240='131-CT'!$E$7),"131",""))</f>
        <v/>
      </c>
      <c r="O2240" s="86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>x</v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99"/>
    </row>
    <row r="2241" spans="1:28" s="210" customFormat="1" ht="15.75" customHeight="1">
      <c r="A2241" s="203" t="str">
        <f>IF(B2241&lt;&gt;"",IF(AND(B2241&gt;=_TM1,B2241&lt;=_TM2,OR(TH!L2241="1111",TH!M2241="1111")),TH!D2241,""),"")</f>
        <v/>
      </c>
      <c r="B2241" s="36">
        <f>IF(C2241&lt;&gt;"",MONTH(C2241),"")</f>
        <v>11</v>
      </c>
      <c r="C2241" s="183">
        <f>E2241</f>
        <v>42336</v>
      </c>
      <c r="D2241" s="183" t="s">
        <v>1324</v>
      </c>
      <c r="E2241" s="190">
        <v>42336</v>
      </c>
      <c r="F2241" s="188" t="s">
        <v>1327</v>
      </c>
      <c r="G2241" s="482" t="s">
        <v>332</v>
      </c>
      <c r="H2241" s="7"/>
      <c r="I2241" s="255"/>
      <c r="J2241" s="255"/>
      <c r="K2241" s="593">
        <v>15000</v>
      </c>
      <c r="L2241" s="594" t="s">
        <v>83</v>
      </c>
      <c r="M2241" s="594" t="s">
        <v>24</v>
      </c>
      <c r="N2241" s="52" t="str">
        <f>IF(AND('331-CT'!$E$7=TH!H2241,OR(L2241="331",M2241="331")),"331",IF(AND(OR(L2241="131",M2241="131"),H2241='131-CT'!$E$7),"131",""))</f>
        <v/>
      </c>
      <c r="O2241" s="86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>x</v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>x</v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99"/>
    </row>
    <row r="2242" spans="1:28" s="210" customFormat="1" ht="15.75" customHeight="1">
      <c r="A2242" s="203" t="str">
        <f>IF(B2242&lt;&gt;"",IF(AND(B2242&gt;=_TM1,B2242&lt;=_TM2,OR(TH!L2242="1111",TH!M2242="1111")),TH!D2242,""),"")</f>
        <v/>
      </c>
      <c r="B2242" s="36">
        <f>IF(C2242&lt;&gt;"",MONTH(C2242),"")</f>
        <v>11</v>
      </c>
      <c r="C2242" s="183">
        <f>E2242</f>
        <v>42336</v>
      </c>
      <c r="D2242" s="183" t="s">
        <v>1324</v>
      </c>
      <c r="E2242" s="190">
        <v>42336</v>
      </c>
      <c r="F2242" s="188" t="s">
        <v>1327</v>
      </c>
      <c r="G2242" s="482" t="s">
        <v>332</v>
      </c>
      <c r="H2242" s="7"/>
      <c r="I2242" s="255"/>
      <c r="J2242" s="255"/>
      <c r="K2242" s="593">
        <v>15000</v>
      </c>
      <c r="L2242" s="594" t="s">
        <v>83</v>
      </c>
      <c r="M2242" s="594" t="s">
        <v>24</v>
      </c>
      <c r="N2242" s="52" t="str">
        <f>IF(AND('331-CT'!$E$7=TH!H2242,OR(L2242="331",M2242="331")),"331",IF(AND(OR(L2242="131",M2242="131"),H2242='131-CT'!$E$7),"131",""))</f>
        <v/>
      </c>
      <c r="O2242" s="86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>x</v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>x</v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99"/>
    </row>
    <row r="2243" spans="1:28" s="210" customFormat="1" ht="15.75" customHeight="1">
      <c r="A2243" s="203" t="str">
        <f>IF(B2243&lt;&gt;"",IF(AND(B2243&gt;=_TM1,B2243&lt;=_TM2,OR(TH!L2243="1111",TH!M2243="1111")),TH!D2243,""),"")</f>
        <v/>
      </c>
      <c r="B2243" s="36">
        <f>IF(C2243&lt;&gt;"",MONTH(C2243),"")</f>
        <v>11</v>
      </c>
      <c r="C2243" s="183">
        <f>E2243</f>
        <v>42336</v>
      </c>
      <c r="D2243" s="190" t="s">
        <v>2020</v>
      </c>
      <c r="E2243" s="727">
        <v>42336</v>
      </c>
      <c r="F2243" s="188" t="s">
        <v>1380</v>
      </c>
      <c r="G2243" s="481" t="s">
        <v>1490</v>
      </c>
      <c r="H2243" s="7" t="s">
        <v>1487</v>
      </c>
      <c r="I2243" s="750">
        <v>2373</v>
      </c>
      <c r="J2243" s="255">
        <v>7600</v>
      </c>
      <c r="K2243" s="593">
        <f>ROUND(I2243*J2243,0)</f>
        <v>18034800</v>
      </c>
      <c r="L2243" s="594" t="s">
        <v>159</v>
      </c>
      <c r="M2243" s="594" t="s">
        <v>8</v>
      </c>
      <c r="N2243" s="52" t="str">
        <f>IF(AND('331-CT'!$E$7=TH!H2243,OR(L2243="331",M2243="331")),"331",IF(AND(OR(L2243="131",M2243="131"),H2243='131-CT'!$E$7),"131",""))</f>
        <v/>
      </c>
      <c r="O2243" s="86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99"/>
    </row>
    <row r="2244" spans="1:28" s="210" customFormat="1" ht="15.75" customHeight="1">
      <c r="A2244" s="203" t="str">
        <f>IF(B2244&lt;&gt;"",IF(AND(B2244&gt;=_TM1,B2244&lt;=_TM2,OR(TH!L2244="1111",TH!M2244="1111")),TH!D2244,""),"")</f>
        <v/>
      </c>
      <c r="B2244" s="36">
        <f>IF(C2244&lt;&gt;"",MONTH(C2244),"")</f>
        <v>11</v>
      </c>
      <c r="C2244" s="183">
        <f>E2244</f>
        <v>42336</v>
      </c>
      <c r="D2244" s="190" t="s">
        <v>2020</v>
      </c>
      <c r="E2244" s="727">
        <v>42336</v>
      </c>
      <c r="F2244" s="188" t="s">
        <v>731</v>
      </c>
      <c r="G2244" s="481" t="s">
        <v>1490</v>
      </c>
      <c r="H2244" s="7" t="s">
        <v>1487</v>
      </c>
      <c r="I2244" s="750"/>
      <c r="J2244" s="255"/>
      <c r="K2244" s="593">
        <v>1803480</v>
      </c>
      <c r="L2244" s="594" t="s">
        <v>9</v>
      </c>
      <c r="M2244" s="594" t="s">
        <v>8</v>
      </c>
      <c r="N2244" s="52" t="str">
        <f>IF(AND('331-CT'!$E$7=TH!H2244,OR(L2244="331",M2244="331")),"331",IF(AND(OR(L2244="131",M2244="131"),H2244='131-CT'!$E$7),"131",""))</f>
        <v/>
      </c>
      <c r="O2244" s="86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99"/>
    </row>
    <row r="2245" spans="1:28" s="210" customFormat="1" ht="15.75" customHeight="1">
      <c r="A2245" s="203" t="str">
        <f>IF(B2245&lt;&gt;"",IF(AND(B2245&gt;=_TM1,B2245&lt;=_TM2,OR(TH!L2245="1111",TH!M2245="1111")),TH!D2245,""),"")</f>
        <v>NL/N</v>
      </c>
      <c r="B2245" s="36">
        <f>IF(C2245&lt;&gt;"",MONTH(C2245),"")</f>
        <v>11</v>
      </c>
      <c r="C2245" s="183">
        <f>E2245</f>
        <v>42336</v>
      </c>
      <c r="D2245" s="190" t="s">
        <v>2020</v>
      </c>
      <c r="E2245" s="727">
        <v>42336</v>
      </c>
      <c r="F2245" s="296" t="s">
        <v>1326</v>
      </c>
      <c r="G2245" s="481" t="s">
        <v>1490</v>
      </c>
      <c r="H2245" s="7" t="s">
        <v>1487</v>
      </c>
      <c r="I2245" s="750"/>
      <c r="J2245" s="255"/>
      <c r="K2245" s="593">
        <v>19838280</v>
      </c>
      <c r="L2245" s="594" t="s">
        <v>8</v>
      </c>
      <c r="M2245" s="594" t="s">
        <v>47</v>
      </c>
      <c r="N2245" s="52" t="str">
        <f>IF(AND('331-CT'!$E$7=TH!H2245,OR(L2245="331",M2245="331")),"331",IF(AND(OR(L2245="131",M2245="131"),H2245='131-CT'!$E$7),"131",""))</f>
        <v/>
      </c>
      <c r="O2245" s="86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99"/>
    </row>
    <row r="2246" spans="1:28" s="210" customFormat="1" ht="15.75" customHeight="1">
      <c r="A2246" s="203" t="str">
        <f>IF(B2246&lt;&gt;"",IF(AND(B2246&gt;=_TM1,B2246&lt;=_TM2,OR(TH!L2246="1111",TH!M2246="1111")),TH!D2246,""),"")</f>
        <v/>
      </c>
      <c r="B2246" s="36">
        <f>IF(C2246&lt;&gt;"",MONTH(C2246),"")</f>
        <v>11</v>
      </c>
      <c r="C2246" s="183">
        <f>E2246</f>
        <v>42337</v>
      </c>
      <c r="D2246" s="190" t="s">
        <v>2020</v>
      </c>
      <c r="E2246" s="727">
        <v>42337</v>
      </c>
      <c r="F2246" s="296" t="s">
        <v>1380</v>
      </c>
      <c r="G2246" s="482" t="s">
        <v>1474</v>
      </c>
      <c r="H2246" s="7" t="s">
        <v>1472</v>
      </c>
      <c r="I2246" s="255">
        <v>1856</v>
      </c>
      <c r="J2246" s="255">
        <v>8800</v>
      </c>
      <c r="K2246" s="593">
        <f>ROUND(I2246*J2246,0)</f>
        <v>16332800</v>
      </c>
      <c r="L2246" s="594" t="s">
        <v>159</v>
      </c>
      <c r="M2246" s="594" t="s">
        <v>8</v>
      </c>
      <c r="N2246" s="52" t="str">
        <f>IF(AND('331-CT'!$E$7=TH!H2246,OR(L2246="331",M2246="331")),"331",IF(AND(OR(L2246="131",M2246="131"),H2246='131-CT'!$E$7),"131",""))</f>
        <v/>
      </c>
      <c r="O2246" s="86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99"/>
    </row>
    <row r="2247" spans="1:28" s="210" customFormat="1" ht="15.75" customHeight="1">
      <c r="A2247" s="203" t="str">
        <f>IF(B2247&lt;&gt;"",IF(AND(B2247&gt;=_TM1,B2247&lt;=_TM2,OR(TH!L2247="1111",TH!M2247="1111")),TH!D2247,""),"")</f>
        <v/>
      </c>
      <c r="B2247" s="36">
        <f>IF(C2247&lt;&gt;"",MONTH(C2247),"")</f>
        <v>11</v>
      </c>
      <c r="C2247" s="183">
        <f>E2247</f>
        <v>42337</v>
      </c>
      <c r="D2247" s="190" t="s">
        <v>2020</v>
      </c>
      <c r="E2247" s="727">
        <v>42337</v>
      </c>
      <c r="F2247" s="296" t="s">
        <v>1381</v>
      </c>
      <c r="G2247" s="482" t="s">
        <v>1474</v>
      </c>
      <c r="H2247" s="7" t="s">
        <v>1472</v>
      </c>
      <c r="I2247" s="255"/>
      <c r="J2247" s="255"/>
      <c r="K2247" s="593">
        <v>1633280</v>
      </c>
      <c r="L2247" s="594" t="s">
        <v>9</v>
      </c>
      <c r="M2247" s="594" t="s">
        <v>8</v>
      </c>
      <c r="N2247" s="52" t="str">
        <f>IF(AND('331-CT'!$E$7=TH!H2247,OR(L2247="331",M2247="331")),"331",IF(AND(OR(L2247="131",M2247="131"),H2247='131-CT'!$E$7),"131",""))</f>
        <v/>
      </c>
      <c r="O2247" s="86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99"/>
    </row>
    <row r="2248" spans="1:28" s="210" customFormat="1" ht="15.75" customHeight="1">
      <c r="A2248" s="203" t="str">
        <f>IF(B2248&lt;&gt;"",IF(AND(B2248&gt;=_TM1,B2248&lt;=_TM2,OR(TH!L2248="1111",TH!M2248="1111")),TH!D2248,""),"")</f>
        <v>NL/N</v>
      </c>
      <c r="B2248" s="36">
        <f>IF(C2248&lt;&gt;"",MONTH(C2248),"")</f>
        <v>11</v>
      </c>
      <c r="C2248" s="183">
        <f>E2248</f>
        <v>42337</v>
      </c>
      <c r="D2248" s="190" t="s">
        <v>2020</v>
      </c>
      <c r="E2248" s="727">
        <v>42337</v>
      </c>
      <c r="F2248" s="296" t="s">
        <v>1326</v>
      </c>
      <c r="G2248" s="482" t="s">
        <v>1474</v>
      </c>
      <c r="H2248" s="7" t="s">
        <v>1472</v>
      </c>
      <c r="I2248" s="255"/>
      <c r="J2248" s="255"/>
      <c r="K2248" s="593">
        <v>17966080</v>
      </c>
      <c r="L2248" s="594" t="s">
        <v>8</v>
      </c>
      <c r="M2248" s="594" t="s">
        <v>47</v>
      </c>
      <c r="N2248" s="52" t="str">
        <f>IF(AND('331-CT'!$E$7=TH!H2248,OR(L2248="331",M2248="331")),"331",IF(AND(OR(L2248="131",M2248="131"),H2248='131-CT'!$E$7),"131",""))</f>
        <v/>
      </c>
      <c r="O2248" s="86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99"/>
    </row>
    <row r="2249" spans="1:28" s="210" customFormat="1" ht="15.75" customHeight="1">
      <c r="A2249" s="203" t="str">
        <f>IF(B2249&lt;&gt;"",IF(AND(B2249&gt;=_TM1,B2249&lt;=_TM2,OR(TH!L2249="1111",TH!M2249="1111")),TH!D2249,""),"")</f>
        <v/>
      </c>
      <c r="B2249" s="36">
        <f>IF(C2249&lt;&gt;"",MONTH(C2249),"")</f>
        <v>11</v>
      </c>
      <c r="C2249" s="888">
        <f>E2249</f>
        <v>42338</v>
      </c>
      <c r="D2249" s="888" t="s">
        <v>334</v>
      </c>
      <c r="E2249" s="888">
        <v>42338</v>
      </c>
      <c r="F2249" s="889" t="s">
        <v>1939</v>
      </c>
      <c r="G2249" s="890"/>
      <c r="H2249" s="891"/>
      <c r="I2249" s="892"/>
      <c r="J2249" s="892"/>
      <c r="K2249" s="893">
        <v>16625000</v>
      </c>
      <c r="L2249" s="894" t="s">
        <v>83</v>
      </c>
      <c r="M2249" s="894" t="s">
        <v>262</v>
      </c>
      <c r="N2249" s="52" t="str">
        <f>IF(AND('331-CT'!$E$7=TH!H2249,OR(L2249="331",M2249="331")),"331",IF(AND(OR(L2249="131",M2249="131"),H2249='131-CT'!$E$7),"131",""))</f>
        <v/>
      </c>
      <c r="O2249" s="86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>x</v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197"/>
      <c r="AB2249" s="197"/>
    </row>
    <row r="2250" spans="1:28" s="210" customFormat="1" ht="15.75" customHeight="1">
      <c r="A2250" s="203" t="str">
        <f>IF(B2250&lt;&gt;"",IF(AND(B2250&gt;=_TM1,B2250&lt;=_TM2,OR(TH!L2250="1111",TH!M2250="1111")),TH!D2250,""),"")</f>
        <v/>
      </c>
      <c r="B2250" s="36">
        <f>IF(C2250&lt;&gt;"",MONTH(C2250),"")</f>
        <v>11</v>
      </c>
      <c r="C2250" s="888">
        <f>E2250</f>
        <v>42338</v>
      </c>
      <c r="D2250" s="888" t="s">
        <v>334</v>
      </c>
      <c r="E2250" s="888">
        <v>42338</v>
      </c>
      <c r="F2250" s="889" t="s">
        <v>1940</v>
      </c>
      <c r="G2250" s="890"/>
      <c r="H2250" s="891"/>
      <c r="I2250" s="892"/>
      <c r="J2250" s="892"/>
      <c r="K2250" s="893">
        <v>34425000</v>
      </c>
      <c r="L2250" s="894" t="s">
        <v>165</v>
      </c>
      <c r="M2250" s="894" t="s">
        <v>262</v>
      </c>
      <c r="N2250" s="52" t="str">
        <f>IF(AND('331-CT'!$E$7=TH!H2250,OR(L2250="331",M2250="331")),"331",IF(AND(OR(L2250="131",M2250="131"),H2250='131-CT'!$E$7),"131",""))</f>
        <v/>
      </c>
      <c r="O2250" s="86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197"/>
      <c r="AB2250" s="197"/>
    </row>
    <row r="2251" spans="1:28" s="210" customFormat="1" ht="15.75" customHeight="1">
      <c r="A2251" s="203" t="str">
        <f>IF(B2251&lt;&gt;"",IF(AND(B2251&gt;=_TM1,B2251&lt;=_TM2,OR(TH!L2251="1111",TH!M2251="1111")),TH!D2251,""),"")</f>
        <v>CTGS</v>
      </c>
      <c r="B2251" s="36">
        <f>IF(C2251&lt;&gt;"",MONTH(C2251),"")</f>
        <v>11</v>
      </c>
      <c r="C2251" s="888">
        <f>E2251</f>
        <v>42338</v>
      </c>
      <c r="D2251" s="888" t="s">
        <v>334</v>
      </c>
      <c r="E2251" s="888">
        <v>42338</v>
      </c>
      <c r="F2251" s="889" t="str">
        <f>"Thanh toán tiền lương tháng "&amp;MONTH(E2251)&amp;"/"&amp;YEAR(E2251)</f>
        <v>Thanh toán tiền lương tháng 11/2015</v>
      </c>
      <c r="G2251" s="890"/>
      <c r="H2251" s="891"/>
      <c r="I2251" s="892"/>
      <c r="J2251" s="892"/>
      <c r="K2251" s="893">
        <f>K2249+K2250</f>
        <v>51050000</v>
      </c>
      <c r="L2251" s="894" t="s">
        <v>262</v>
      </c>
      <c r="M2251" s="894" t="s">
        <v>47</v>
      </c>
      <c r="N2251" s="52" t="str">
        <f>IF(AND('331-CT'!$E$7=TH!H2251,OR(L2251="331",M2251="331")),"331",IF(AND(OR(L2251="131",M2251="131"),H2251='131-CT'!$E$7),"131",""))</f>
        <v/>
      </c>
      <c r="O2251" s="86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197"/>
      <c r="AB2251" s="197"/>
    </row>
    <row r="2252" spans="1:28" s="210" customFormat="1" ht="15.75" customHeight="1">
      <c r="A2252" s="203" t="str">
        <f>IF(B2252&lt;&gt;"",IF(AND(B2252&gt;=_TM1,B2252&lt;=_TM2,OR(TH!L2252="1111",TH!M2252="1111")),TH!D2252,""),"")</f>
        <v/>
      </c>
      <c r="B2252" s="36">
        <f>IF(C2252&lt;&gt;"",MONTH(C2252),"")</f>
        <v>11</v>
      </c>
      <c r="C2252" s="183">
        <f>E2252</f>
        <v>42338</v>
      </c>
      <c r="D2252" s="183" t="s">
        <v>1600</v>
      </c>
      <c r="E2252" s="37">
        <v>42338</v>
      </c>
      <c r="F2252" s="40" t="s">
        <v>494</v>
      </c>
      <c r="G2252" s="40" t="s">
        <v>1210</v>
      </c>
      <c r="H2252" s="7" t="s">
        <v>834</v>
      </c>
      <c r="I2252" s="255">
        <v>1066</v>
      </c>
      <c r="J2252" s="255">
        <v>5900</v>
      </c>
      <c r="K2252" s="593">
        <f>ROUND(I2252*J2252,0)</f>
        <v>6289400</v>
      </c>
      <c r="L2252" s="594" t="s">
        <v>259</v>
      </c>
      <c r="M2252" s="594" t="s">
        <v>174</v>
      </c>
      <c r="N2252" s="52" t="str">
        <f>IF(AND('331-CT'!$E$7=TH!H2252,OR(L2252="331",M2252="331")),"331",IF(AND(OR(L2252="131",M2252="131"),H2252='131-CT'!$E$7),"131",""))</f>
        <v/>
      </c>
      <c r="O2252" s="86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99"/>
    </row>
    <row r="2253" spans="1:28" s="210" customFormat="1" ht="15.75" customHeight="1">
      <c r="A2253" s="203" t="str">
        <f>IF(B2253&lt;&gt;"",IF(AND(B2253&gt;=_TM1,B2253&lt;=_TM2,OR(TH!L2253="1111",TH!M2253="1111")),TH!D2253,""),"")</f>
        <v/>
      </c>
      <c r="B2253" s="36">
        <f>IF(C2253&lt;&gt;"",MONTH(C2253),"")</f>
        <v>11</v>
      </c>
      <c r="C2253" s="183">
        <f>E2253</f>
        <v>42338</v>
      </c>
      <c r="D2253" s="183" t="s">
        <v>1600</v>
      </c>
      <c r="E2253" s="190">
        <v>42338</v>
      </c>
      <c r="F2253" s="191" t="s">
        <v>402</v>
      </c>
      <c r="G2253" s="482" t="s">
        <v>1210</v>
      </c>
      <c r="H2253" s="7" t="s">
        <v>834</v>
      </c>
      <c r="I2253" s="255"/>
      <c r="J2253" s="255"/>
      <c r="K2253" s="593">
        <v>628940</v>
      </c>
      <c r="L2253" s="594" t="s">
        <v>259</v>
      </c>
      <c r="M2253" s="594" t="s">
        <v>371</v>
      </c>
      <c r="N2253" s="52" t="str">
        <f>IF(AND('331-CT'!$E$7=TH!H2253,OR(L2253="331",M2253="331")),"331",IF(AND(OR(L2253="131",M2253="131"),H2253='131-CT'!$E$7),"131",""))</f>
        <v/>
      </c>
      <c r="O2253" s="86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99"/>
    </row>
    <row r="2254" spans="1:28" s="210" customFormat="1" ht="15.75" customHeight="1">
      <c r="A2254" s="203" t="str">
        <f>IF(B2254&lt;&gt;"",IF(AND(B2254&gt;=_TM1,B2254&lt;=_TM2,OR(TH!L2254="1111",TH!M2254="1111")),TH!D2254,""),"")</f>
        <v/>
      </c>
      <c r="B2254" s="36">
        <f>IF(C2254&lt;&gt;"",MONTH(C2254),"")</f>
        <v>11</v>
      </c>
      <c r="C2254" s="183">
        <f>E2254</f>
        <v>42338</v>
      </c>
      <c r="D2254" s="183" t="s">
        <v>1601</v>
      </c>
      <c r="E2254" s="190">
        <v>42338</v>
      </c>
      <c r="F2254" s="191" t="s">
        <v>746</v>
      </c>
      <c r="G2254" s="482" t="s">
        <v>1211</v>
      </c>
      <c r="H2254" s="7" t="s">
        <v>1934</v>
      </c>
      <c r="I2254" s="255">
        <v>1000</v>
      </c>
      <c r="J2254" s="255">
        <v>12719</v>
      </c>
      <c r="K2254" s="593">
        <f>ROUND(I2254*J2254,0)</f>
        <v>12719000</v>
      </c>
      <c r="L2254" s="594" t="s">
        <v>259</v>
      </c>
      <c r="M2254" s="594" t="s">
        <v>174</v>
      </c>
      <c r="N2254" s="52" t="str">
        <f>IF(AND('331-CT'!$E$7=TH!H2254,OR(L2254="331",M2254="331")),"331",IF(AND(OR(L2254="131",M2254="131"),H2254='131-CT'!$E$7),"131",""))</f>
        <v/>
      </c>
      <c r="O2254" s="86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99"/>
    </row>
    <row r="2255" spans="1:28" s="210" customFormat="1" ht="15.75" customHeight="1">
      <c r="A2255" s="203" t="str">
        <f>IF(B2255&lt;&gt;"",IF(AND(B2255&gt;=_TM1,B2255&lt;=_TM2,OR(TH!L2255="1111",TH!M2255="1111")),TH!D2255,""),"")</f>
        <v/>
      </c>
      <c r="B2255" s="36">
        <f>IF(C2255&lt;&gt;"",MONTH(C2255),"")</f>
        <v>11</v>
      </c>
      <c r="C2255" s="183">
        <f>E2255</f>
        <v>42338</v>
      </c>
      <c r="D2255" s="183" t="s">
        <v>1601</v>
      </c>
      <c r="E2255" s="190">
        <v>42338</v>
      </c>
      <c r="F2255" s="191" t="s">
        <v>748</v>
      </c>
      <c r="G2255" s="482" t="s">
        <v>1211</v>
      </c>
      <c r="H2255" s="7" t="s">
        <v>1934</v>
      </c>
      <c r="I2255" s="255">
        <v>250</v>
      </c>
      <c r="J2255" s="255">
        <v>11997</v>
      </c>
      <c r="K2255" s="593">
        <f>ROUND(I2255*J2255,0)</f>
        <v>2999250</v>
      </c>
      <c r="L2255" s="594" t="s">
        <v>259</v>
      </c>
      <c r="M2255" s="594" t="s">
        <v>174</v>
      </c>
      <c r="N2255" s="52" t="str">
        <f>IF(AND('331-CT'!$E$7=TH!H2255,OR(L2255="331",M2255="331")),"331",IF(AND(OR(L2255="131",M2255="131"),H2255='131-CT'!$E$7),"131",""))</f>
        <v/>
      </c>
      <c r="O2255" s="86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99"/>
    </row>
    <row r="2256" spans="1:28" s="210" customFormat="1" ht="15.75" customHeight="1">
      <c r="A2256" s="203" t="str">
        <f>IF(B2256&lt;&gt;"",IF(AND(B2256&gt;=_TM1,B2256&lt;=_TM2,OR(TH!L2256="1111",TH!M2256="1111")),TH!D2256,""),"")</f>
        <v/>
      </c>
      <c r="B2256" s="36">
        <f>IF(C2256&lt;&gt;"",MONTH(C2256),"")</f>
        <v>11</v>
      </c>
      <c r="C2256" s="183">
        <f>E2256</f>
        <v>42338</v>
      </c>
      <c r="D2256" s="183" t="s">
        <v>1601</v>
      </c>
      <c r="E2256" s="190">
        <v>42338</v>
      </c>
      <c r="F2256" s="191" t="s">
        <v>731</v>
      </c>
      <c r="G2256" s="482" t="s">
        <v>1211</v>
      </c>
      <c r="H2256" s="7" t="s">
        <v>1934</v>
      </c>
      <c r="I2256" s="255"/>
      <c r="J2256" s="255"/>
      <c r="K2256" s="593">
        <v>1571825</v>
      </c>
      <c r="L2256" s="594" t="s">
        <v>259</v>
      </c>
      <c r="M2256" s="594" t="s">
        <v>371</v>
      </c>
      <c r="N2256" s="52" t="str">
        <f>IF(AND('331-CT'!$E$7=TH!H2256,OR(L2256="331",M2256="331")),"331",IF(AND(OR(L2256="131",M2256="131"),H2256='131-CT'!$E$7),"131",""))</f>
        <v/>
      </c>
      <c r="O2256" s="86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99"/>
    </row>
    <row r="2257" spans="1:27" s="210" customFormat="1" ht="15.75" customHeight="1">
      <c r="A2257" s="203" t="str">
        <f>IF(B2257&lt;&gt;"",IF(AND(B2257&gt;=_TM1,B2257&lt;=_TM2,OR(TH!L2257="1111",TH!M2257="1111")),TH!D2257,""),"")</f>
        <v/>
      </c>
      <c r="B2257" s="36">
        <f>IF(C2257&lt;&gt;"",MONTH(C2257),"")</f>
        <v>11</v>
      </c>
      <c r="C2257" s="183">
        <f>E2257</f>
        <v>42338</v>
      </c>
      <c r="D2257" s="183" t="s">
        <v>1602</v>
      </c>
      <c r="E2257" s="190">
        <v>42338</v>
      </c>
      <c r="F2257" s="191" t="s">
        <v>1212</v>
      </c>
      <c r="G2257" s="482" t="s">
        <v>1213</v>
      </c>
      <c r="H2257" s="7" t="s">
        <v>733</v>
      </c>
      <c r="I2257" s="256">
        <v>63</v>
      </c>
      <c r="J2257" s="256">
        <v>50000</v>
      </c>
      <c r="K2257" s="593">
        <f>ROUND(I2257*J2257,0)</f>
        <v>3150000</v>
      </c>
      <c r="L2257" s="594" t="s">
        <v>259</v>
      </c>
      <c r="M2257" s="594" t="s">
        <v>174</v>
      </c>
      <c r="N2257" s="52" t="str">
        <f>IF(AND('331-CT'!$E$7=TH!H2257,OR(L2257="331",M2257="331")),"331",IF(AND(OR(L2257="131",M2257="131"),H2257='131-CT'!$E$7),"131",""))</f>
        <v/>
      </c>
      <c r="O2257" s="86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99"/>
    </row>
    <row r="2258" spans="1:27" s="210" customFormat="1" ht="15.75" customHeight="1">
      <c r="A2258" s="203" t="str">
        <f>IF(B2258&lt;&gt;"",IF(AND(B2258&gt;=_TM1,B2258&lt;=_TM2,OR(TH!L2258="1111",TH!M2258="1111")),TH!D2258,""),"")</f>
        <v/>
      </c>
      <c r="B2258" s="36">
        <f>IF(C2258&lt;&gt;"",MONTH(C2258),"")</f>
        <v>11</v>
      </c>
      <c r="C2258" s="183">
        <f>E2258</f>
        <v>42338</v>
      </c>
      <c r="D2258" s="183" t="s">
        <v>1602</v>
      </c>
      <c r="E2258" s="190">
        <v>42338</v>
      </c>
      <c r="F2258" s="191" t="s">
        <v>841</v>
      </c>
      <c r="G2258" s="482" t="s">
        <v>1213</v>
      </c>
      <c r="H2258" s="7" t="s">
        <v>733</v>
      </c>
      <c r="I2258" s="256">
        <v>41</v>
      </c>
      <c r="J2258" s="256">
        <v>57000</v>
      </c>
      <c r="K2258" s="593">
        <f>ROUND(I2258*J2258,0)</f>
        <v>2337000</v>
      </c>
      <c r="L2258" s="594" t="s">
        <v>259</v>
      </c>
      <c r="M2258" s="594" t="s">
        <v>174</v>
      </c>
      <c r="N2258" s="52" t="str">
        <f>IF(AND('331-CT'!$E$7=TH!H2258,OR(L2258="331",M2258="331")),"331",IF(AND(OR(L2258="131",M2258="131"),H2258='131-CT'!$E$7),"131",""))</f>
        <v/>
      </c>
      <c r="O2258" s="86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99"/>
    </row>
    <row r="2259" spans="1:27" s="210" customFormat="1" ht="15.75" customHeight="1">
      <c r="A2259" s="203" t="str">
        <f>IF(B2259&lt;&gt;"",IF(AND(B2259&gt;=_TM1,B2259&lt;=_TM2,OR(TH!L2259="1111",TH!M2259="1111")),TH!D2259,""),"")</f>
        <v/>
      </c>
      <c r="B2259" s="36">
        <f>IF(C2259&lt;&gt;"",MONTH(C2259),"")</f>
        <v>11</v>
      </c>
      <c r="C2259" s="183">
        <f>E2259</f>
        <v>42338</v>
      </c>
      <c r="D2259" s="183" t="s">
        <v>1602</v>
      </c>
      <c r="E2259" s="190">
        <v>42338</v>
      </c>
      <c r="F2259" s="191" t="s">
        <v>921</v>
      </c>
      <c r="G2259" s="482" t="s">
        <v>1213</v>
      </c>
      <c r="H2259" s="7" t="s">
        <v>733</v>
      </c>
      <c r="I2259" s="255">
        <v>50</v>
      </c>
      <c r="J2259" s="255">
        <v>31949</v>
      </c>
      <c r="K2259" s="593">
        <f>ROUND(I2259*J2259,0)</f>
        <v>1597450</v>
      </c>
      <c r="L2259" s="594" t="s">
        <v>259</v>
      </c>
      <c r="M2259" s="594" t="s">
        <v>174</v>
      </c>
      <c r="N2259" s="52" t="str">
        <f>IF(AND('331-CT'!$E$7=TH!H2259,OR(L2259="331",M2259="331")),"331",IF(AND(OR(L2259="131",M2259="131"),H2259='131-CT'!$E$7),"131",""))</f>
        <v/>
      </c>
      <c r="O2259" s="86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99"/>
    </row>
    <row r="2260" spans="1:27" s="210" customFormat="1" ht="15.75" customHeight="1">
      <c r="A2260" s="203" t="str">
        <f>IF(B2260&lt;&gt;"",IF(AND(B2260&gt;=_TM1,B2260&lt;=_TM2,OR(TH!L2260="1111",TH!M2260="1111")),TH!D2260,""),"")</f>
        <v/>
      </c>
      <c r="B2260" s="36">
        <f>IF(C2260&lt;&gt;"",MONTH(C2260),"")</f>
        <v>11</v>
      </c>
      <c r="C2260" s="183">
        <f>E2260</f>
        <v>42338</v>
      </c>
      <c r="D2260" s="183" t="s">
        <v>1602</v>
      </c>
      <c r="E2260" s="190">
        <v>42338</v>
      </c>
      <c r="F2260" s="191" t="s">
        <v>927</v>
      </c>
      <c r="G2260" s="482" t="s">
        <v>1213</v>
      </c>
      <c r="H2260" s="7" t="s">
        <v>733</v>
      </c>
      <c r="I2260" s="255">
        <v>21</v>
      </c>
      <c r="J2260" s="255">
        <v>84823</v>
      </c>
      <c r="K2260" s="593">
        <f>ROUND(I2260*J2260,0)</f>
        <v>1781283</v>
      </c>
      <c r="L2260" s="594" t="s">
        <v>259</v>
      </c>
      <c r="M2260" s="594" t="s">
        <v>174</v>
      </c>
      <c r="N2260" s="52" t="str">
        <f>IF(AND('331-CT'!$E$7=TH!H2260,OR(L2260="331",M2260="331")),"331",IF(AND(OR(L2260="131",M2260="131"),H2260='131-CT'!$E$7),"131",""))</f>
        <v/>
      </c>
      <c r="O2260" s="86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99"/>
    </row>
    <row r="2261" spans="1:27" s="210" customFormat="1" ht="15.75" customHeight="1">
      <c r="A2261" s="203" t="str">
        <f>IF(B2261&lt;&gt;"",IF(AND(B2261&gt;=_TM1,B2261&lt;=_TM2,OR(TH!L2261="1111",TH!M2261="1111")),TH!D2261,""),"")</f>
        <v/>
      </c>
      <c r="B2261" s="36">
        <f>IF(C2261&lt;&gt;"",MONTH(C2261),"")</f>
        <v>11</v>
      </c>
      <c r="C2261" s="183">
        <f>E2261</f>
        <v>42338</v>
      </c>
      <c r="D2261" s="183" t="s">
        <v>1602</v>
      </c>
      <c r="E2261" s="37">
        <v>42338</v>
      </c>
      <c r="F2261" s="40" t="s">
        <v>624</v>
      </c>
      <c r="G2261" s="40" t="s">
        <v>1213</v>
      </c>
      <c r="H2261" s="7" t="s">
        <v>733</v>
      </c>
      <c r="I2261" s="255">
        <v>50</v>
      </c>
      <c r="J2261" s="255">
        <v>30237</v>
      </c>
      <c r="K2261" s="593">
        <f>ROUND(I2261*J2261,0)</f>
        <v>1511850</v>
      </c>
      <c r="L2261" s="594" t="s">
        <v>259</v>
      </c>
      <c r="M2261" s="594" t="s">
        <v>174</v>
      </c>
      <c r="N2261" s="52" t="str">
        <f>IF(AND('331-CT'!$E$7=TH!H2261,OR(L2261="331",M2261="331")),"331",IF(AND(OR(L2261="131",M2261="131"),H2261='131-CT'!$E$7),"131",""))</f>
        <v/>
      </c>
      <c r="O2261" s="86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99"/>
    </row>
    <row r="2262" spans="1:27" s="210" customFormat="1" ht="15.75" customHeight="1">
      <c r="A2262" s="203" t="str">
        <f>IF(B2262&lt;&gt;"",IF(AND(B2262&gt;=_TM1,B2262&lt;=_TM2,OR(TH!L2262="1111",TH!M2262="1111")),TH!D2262,""),"")</f>
        <v/>
      </c>
      <c r="B2262" s="36">
        <f>IF(C2262&lt;&gt;"",MONTH(C2262),"")</f>
        <v>11</v>
      </c>
      <c r="C2262" s="183">
        <f>E2262</f>
        <v>42338</v>
      </c>
      <c r="D2262" s="183" t="s">
        <v>1602</v>
      </c>
      <c r="E2262" s="37">
        <v>42338</v>
      </c>
      <c r="F2262" s="40" t="s">
        <v>402</v>
      </c>
      <c r="G2262" s="40" t="s">
        <v>1213</v>
      </c>
      <c r="H2262" s="7" t="s">
        <v>733</v>
      </c>
      <c r="I2262" s="255"/>
      <c r="J2262" s="255"/>
      <c r="K2262" s="593">
        <v>1037758</v>
      </c>
      <c r="L2262" s="594" t="s">
        <v>259</v>
      </c>
      <c r="M2262" s="594" t="s">
        <v>371</v>
      </c>
      <c r="N2262" s="52" t="str">
        <f>IF(AND('331-CT'!$E$7=TH!H2262,OR(L2262="331",M2262="331")),"331",IF(AND(OR(L2262="131",M2262="131"),H2262='131-CT'!$E$7),"131",""))</f>
        <v/>
      </c>
      <c r="O2262" s="86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99"/>
    </row>
    <row r="2263" spans="1:27" s="210" customFormat="1" ht="15.75" customHeight="1">
      <c r="A2263" s="203" t="str">
        <f>IF(B2263&lt;&gt;"",IF(AND(B2263&gt;=_TM1,B2263&lt;=_TM2,OR(TH!L2263="1111",TH!M2263="1111")),TH!D2263,""),"")</f>
        <v/>
      </c>
      <c r="B2263" s="36">
        <f>IF(C2263&lt;&gt;"",MONTH(C2263),"")</f>
        <v>11</v>
      </c>
      <c r="C2263" s="183">
        <f>E2263</f>
        <v>42338</v>
      </c>
      <c r="D2263" s="183" t="s">
        <v>1324</v>
      </c>
      <c r="E2263" s="190">
        <v>42338</v>
      </c>
      <c r="F2263" s="188" t="s">
        <v>1320</v>
      </c>
      <c r="G2263" s="482" t="s">
        <v>332</v>
      </c>
      <c r="H2263" s="7" t="s">
        <v>957</v>
      </c>
      <c r="I2263" s="255"/>
      <c r="J2263" s="255"/>
      <c r="K2263" s="593">
        <v>24860000</v>
      </c>
      <c r="L2263" s="594" t="s">
        <v>24</v>
      </c>
      <c r="M2263" s="594" t="s">
        <v>259</v>
      </c>
      <c r="N2263" s="52" t="str">
        <f>IF(AND('331-CT'!$E$7=TH!H2263,OR(L2263="331",M2263="331")),"331",IF(AND(OR(L2263="131",M2263="131"),H2263='131-CT'!$E$7),"131",""))</f>
        <v/>
      </c>
      <c r="O2263" s="86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>x</v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99"/>
    </row>
    <row r="2264" spans="1:27" s="210" customFormat="1" ht="15.75" customHeight="1">
      <c r="A2264" s="203" t="str">
        <f>IF(B2264&lt;&gt;"",IF(AND(B2264&gt;=_TM1,B2264&lt;=_TM2,OR(TH!L2264="1111",TH!M2264="1111")),TH!D2264,""),"")</f>
        <v>NL/N</v>
      </c>
      <c r="B2264" s="36">
        <f>IF(C2264&lt;&gt;"",MONTH(C2264),"")</f>
        <v>11</v>
      </c>
      <c r="C2264" s="183">
        <f>E2264</f>
        <v>42338</v>
      </c>
      <c r="D2264" s="190" t="s">
        <v>2020</v>
      </c>
      <c r="E2264" s="727">
        <v>42338</v>
      </c>
      <c r="F2264" s="188" t="s">
        <v>374</v>
      </c>
      <c r="G2264" s="482" t="s">
        <v>1471</v>
      </c>
      <c r="H2264" s="7" t="s">
        <v>1365</v>
      </c>
      <c r="I2264" s="255"/>
      <c r="J2264" s="255"/>
      <c r="K2264" s="593">
        <v>9315000</v>
      </c>
      <c r="L2264" s="594" t="s">
        <v>165</v>
      </c>
      <c r="M2264" s="594" t="s">
        <v>47</v>
      </c>
      <c r="N2264" s="52" t="str">
        <f>IF(AND('331-CT'!$E$7=TH!H2264,OR(L2264="331",M2264="331")),"331",IF(AND(OR(L2264="131",M2264="131"),H2264='131-CT'!$E$7),"131",""))</f>
        <v/>
      </c>
      <c r="O2264" s="86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99"/>
    </row>
    <row r="2265" spans="1:27" s="210" customFormat="1" ht="15.75" customHeight="1">
      <c r="A2265" s="203" t="str">
        <f>IF(B2265&lt;&gt;"",IF(AND(B2265&gt;=_TM1,B2265&lt;=_TM2,OR(TH!L2265="1111",TH!M2265="1111")),TH!D2265,""),"")</f>
        <v>NL/N</v>
      </c>
      <c r="B2265" s="36">
        <f>IF(C2265&lt;&gt;"",MONTH(C2265),"")</f>
        <v>11</v>
      </c>
      <c r="C2265" s="183">
        <f>E2265</f>
        <v>42338</v>
      </c>
      <c r="D2265" s="190" t="s">
        <v>2020</v>
      </c>
      <c r="E2265" s="727">
        <v>42338</v>
      </c>
      <c r="F2265" s="188" t="s">
        <v>1364</v>
      </c>
      <c r="G2265" s="482" t="s">
        <v>1471</v>
      </c>
      <c r="H2265" s="7" t="s">
        <v>1365</v>
      </c>
      <c r="I2265" s="255"/>
      <c r="J2265" s="255"/>
      <c r="K2265" s="593">
        <v>931500</v>
      </c>
      <c r="L2265" s="594" t="s">
        <v>9</v>
      </c>
      <c r="M2265" s="594" t="s">
        <v>47</v>
      </c>
      <c r="N2265" s="52" t="str">
        <f>IF(AND('331-CT'!$E$7=TH!H2265,OR(L2265="331",M2265="331")),"331",IF(AND(OR(L2265="131",M2265="131"),H2265='131-CT'!$E$7),"131",""))</f>
        <v/>
      </c>
      <c r="O2265" s="86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99"/>
    </row>
    <row r="2266" spans="1:27" s="210" customFormat="1" ht="15.75" customHeight="1">
      <c r="A2266" s="203" t="str">
        <f>IF(B2266&lt;&gt;"",IF(AND(B2266&gt;=_TM1,B2266&lt;=_TM2,OR(TH!L2266="1111",TH!M2266="1111")),TH!D2266,""),"")</f>
        <v/>
      </c>
      <c r="B2266" s="36">
        <f>IF(C2266&lt;&gt;"",MONTH(C2266),"")</f>
        <v>12</v>
      </c>
      <c r="C2266" s="183">
        <f>E2266</f>
        <v>42339</v>
      </c>
      <c r="D2266" s="183" t="s">
        <v>1603</v>
      </c>
      <c r="E2266" s="37">
        <v>42339</v>
      </c>
      <c r="F2266" s="40" t="s">
        <v>439</v>
      </c>
      <c r="G2266" s="40" t="s">
        <v>1214</v>
      </c>
      <c r="H2266" s="7" t="s">
        <v>438</v>
      </c>
      <c r="I2266" s="255">
        <v>500</v>
      </c>
      <c r="J2266" s="255">
        <v>7700</v>
      </c>
      <c r="K2266" s="593">
        <f>ROUND(I2266*J2266,0)</f>
        <v>3850000</v>
      </c>
      <c r="L2266" s="594" t="s">
        <v>259</v>
      </c>
      <c r="M2266" s="594" t="s">
        <v>174</v>
      </c>
      <c r="N2266" s="52" t="str">
        <f>IF(AND('331-CT'!$E$7=TH!H2266,OR(L2266="331",M2266="331")),"331",IF(AND(OR(L2266="131",M2266="131"),H2266='131-CT'!$E$7),"131",""))</f>
        <v/>
      </c>
      <c r="O2266" s="86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99"/>
    </row>
    <row r="2267" spans="1:27" s="210" customFormat="1" ht="15.75" customHeight="1">
      <c r="A2267" s="203" t="str">
        <f>IF(B2267&lt;&gt;"",IF(AND(B2267&gt;=_TM1,B2267&lt;=_TM2,OR(TH!L2267="1111",TH!M2267="1111")),TH!D2267,""),"")</f>
        <v/>
      </c>
      <c r="B2267" s="36">
        <f>IF(C2267&lt;&gt;"",MONTH(C2267),"")</f>
        <v>12</v>
      </c>
      <c r="C2267" s="183">
        <f>E2267</f>
        <v>42339</v>
      </c>
      <c r="D2267" s="183" t="s">
        <v>1603</v>
      </c>
      <c r="E2267" s="37">
        <v>42339</v>
      </c>
      <c r="F2267" s="40" t="s">
        <v>1215</v>
      </c>
      <c r="G2267" s="40" t="s">
        <v>1214</v>
      </c>
      <c r="H2267" s="7" t="s">
        <v>438</v>
      </c>
      <c r="I2267" s="255">
        <v>216</v>
      </c>
      <c r="J2267" s="255">
        <v>4000</v>
      </c>
      <c r="K2267" s="593">
        <f>ROUND(I2267*J2267,0)</f>
        <v>864000</v>
      </c>
      <c r="L2267" s="594" t="s">
        <v>259</v>
      </c>
      <c r="M2267" s="594" t="s">
        <v>174</v>
      </c>
      <c r="N2267" s="52" t="str">
        <f>IF(AND('331-CT'!$E$7=TH!H2267,OR(L2267="331",M2267="331")),"331",IF(AND(OR(L2267="131",M2267="131"),H2267='131-CT'!$E$7),"131",""))</f>
        <v/>
      </c>
      <c r="O2267" s="86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99"/>
    </row>
    <row r="2268" spans="1:27" s="210" customFormat="1" ht="15.75" customHeight="1">
      <c r="A2268" s="203" t="str">
        <f>IF(B2268&lt;&gt;"",IF(AND(B2268&gt;=_TM1,B2268&lt;=_TM2,OR(TH!L2268="1111",TH!M2268="1111")),TH!D2268,""),"")</f>
        <v/>
      </c>
      <c r="B2268" s="36">
        <f>IF(C2268&lt;&gt;"",MONTH(C2268),"")</f>
        <v>12</v>
      </c>
      <c r="C2268" s="183">
        <f>E2268</f>
        <v>42339</v>
      </c>
      <c r="D2268" s="183" t="s">
        <v>1603</v>
      </c>
      <c r="E2268" s="37">
        <v>42339</v>
      </c>
      <c r="F2268" s="40" t="s">
        <v>402</v>
      </c>
      <c r="G2268" s="40" t="s">
        <v>1214</v>
      </c>
      <c r="H2268" s="7" t="s">
        <v>438</v>
      </c>
      <c r="I2268" s="255"/>
      <c r="J2268" s="255"/>
      <c r="K2268" s="593">
        <v>471400</v>
      </c>
      <c r="L2268" s="594" t="s">
        <v>259</v>
      </c>
      <c r="M2268" s="594" t="s">
        <v>371</v>
      </c>
      <c r="N2268" s="52" t="str">
        <f>IF(AND('331-CT'!$E$7=TH!H2268,OR(L2268="331",M2268="331")),"331",IF(AND(OR(L2268="131",M2268="131"),H2268='131-CT'!$E$7),"131",""))</f>
        <v/>
      </c>
      <c r="O2268" s="86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99"/>
    </row>
    <row r="2269" spans="1:27" s="210" customFormat="1" ht="15.75" customHeight="1">
      <c r="A2269" s="203" t="str">
        <f>IF(B2269&lt;&gt;"",IF(AND(B2269&gt;=_TM1,B2269&lt;=_TM2,OR(TH!L2269="1111",TH!M2269="1111")),TH!D2269,""),"")</f>
        <v/>
      </c>
      <c r="B2269" s="36">
        <f>IF(C2269&lt;&gt;"",MONTH(C2269),"")</f>
        <v>12</v>
      </c>
      <c r="C2269" s="183">
        <f>E2269</f>
        <v>42339</v>
      </c>
      <c r="D2269" s="183" t="s">
        <v>1604</v>
      </c>
      <c r="E2269" s="37">
        <v>42339</v>
      </c>
      <c r="F2269" s="188" t="s">
        <v>1949</v>
      </c>
      <c r="G2269" s="40" t="s">
        <v>1216</v>
      </c>
      <c r="H2269" s="7" t="s">
        <v>957</v>
      </c>
      <c r="I2269" s="255">
        <v>30</v>
      </c>
      <c r="J2269" s="255">
        <v>14200</v>
      </c>
      <c r="K2269" s="593">
        <f>ROUND(I2269*J2269,0)</f>
        <v>426000</v>
      </c>
      <c r="L2269" s="594" t="s">
        <v>259</v>
      </c>
      <c r="M2269" s="594" t="s">
        <v>174</v>
      </c>
      <c r="N2269" s="52" t="str">
        <f>IF(AND('331-CT'!$E$7=TH!H2269,OR(L2269="331",M2269="331")),"331",IF(AND(OR(L2269="131",M2269="131"),H2269='131-CT'!$E$7),"131",""))</f>
        <v/>
      </c>
      <c r="O2269" s="86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99"/>
    </row>
    <row r="2270" spans="1:27" s="210" customFormat="1" ht="15.75" customHeight="1">
      <c r="A2270" s="203" t="str">
        <f>IF(B2270&lt;&gt;"",IF(AND(B2270&gt;=_TM1,B2270&lt;=_TM2,OR(TH!L2270="1111",TH!M2270="1111")),TH!D2270,""),"")</f>
        <v/>
      </c>
      <c r="B2270" s="36">
        <f>IF(C2270&lt;&gt;"",MONTH(C2270),"")</f>
        <v>12</v>
      </c>
      <c r="C2270" s="183">
        <f>E2270</f>
        <v>42339</v>
      </c>
      <c r="D2270" s="183" t="s">
        <v>1604</v>
      </c>
      <c r="E2270" s="37">
        <v>42339</v>
      </c>
      <c r="F2270" s="188" t="s">
        <v>1950</v>
      </c>
      <c r="G2270" s="40" t="s">
        <v>1216</v>
      </c>
      <c r="H2270" s="7" t="s">
        <v>957</v>
      </c>
      <c r="I2270" s="255">
        <v>30</v>
      </c>
      <c r="J2270" s="255">
        <v>15300</v>
      </c>
      <c r="K2270" s="593">
        <f>ROUND(I2270*J2270,0)</f>
        <v>459000</v>
      </c>
      <c r="L2270" s="594" t="s">
        <v>259</v>
      </c>
      <c r="M2270" s="594" t="s">
        <v>174</v>
      </c>
      <c r="N2270" s="52" t="str">
        <f>IF(AND('331-CT'!$E$7=TH!H2270,OR(L2270="331",M2270="331")),"331",IF(AND(OR(L2270="131",M2270="131"),H2270='131-CT'!$E$7),"131",""))</f>
        <v/>
      </c>
      <c r="O2270" s="86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99"/>
    </row>
    <row r="2271" spans="1:27" s="210" customFormat="1" ht="15.75" customHeight="1">
      <c r="A2271" s="203" t="str">
        <f>IF(B2271&lt;&gt;"",IF(AND(B2271&gt;=_TM1,B2271&lt;=_TM2,OR(TH!L2271="1111",TH!M2271="1111")),TH!D2271,""),"")</f>
        <v/>
      </c>
      <c r="B2271" s="36">
        <f>IF(C2271&lt;&gt;"",MONTH(C2271),"")</f>
        <v>12</v>
      </c>
      <c r="C2271" s="183">
        <f>E2271</f>
        <v>42339</v>
      </c>
      <c r="D2271" s="183" t="s">
        <v>1604</v>
      </c>
      <c r="E2271" s="37">
        <v>42339</v>
      </c>
      <c r="F2271" s="188" t="s">
        <v>1951</v>
      </c>
      <c r="G2271" s="40" t="s">
        <v>1216</v>
      </c>
      <c r="H2271" s="7" t="s">
        <v>957</v>
      </c>
      <c r="I2271" s="255">
        <v>60</v>
      </c>
      <c r="J2271" s="255">
        <v>16500</v>
      </c>
      <c r="K2271" s="593">
        <f>ROUND(I2271*J2271,0)</f>
        <v>990000</v>
      </c>
      <c r="L2271" s="594" t="s">
        <v>259</v>
      </c>
      <c r="M2271" s="594" t="s">
        <v>174</v>
      </c>
      <c r="N2271" s="52" t="str">
        <f>IF(AND('331-CT'!$E$7=TH!H2271,OR(L2271="331",M2271="331")),"331",IF(AND(OR(L2271="131",M2271="131"),H2271='131-CT'!$E$7),"131",""))</f>
        <v/>
      </c>
      <c r="O2271" s="86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99"/>
    </row>
    <row r="2272" spans="1:27" s="210" customFormat="1" ht="15.75" customHeight="1">
      <c r="A2272" s="203" t="str">
        <f>IF(B2272&lt;&gt;"",IF(AND(B2272&gt;=_TM1,B2272&lt;=_TM2,OR(TH!L2272="1111",TH!M2272="1111")),TH!D2272,""),"")</f>
        <v/>
      </c>
      <c r="B2272" s="36">
        <f>IF(C2272&lt;&gt;"",MONTH(C2272),"")</f>
        <v>12</v>
      </c>
      <c r="C2272" s="183">
        <f>E2272</f>
        <v>42339</v>
      </c>
      <c r="D2272" s="183" t="s">
        <v>1604</v>
      </c>
      <c r="E2272" s="37">
        <v>42339</v>
      </c>
      <c r="F2272" s="188" t="s">
        <v>1952</v>
      </c>
      <c r="G2272" s="40" t="s">
        <v>1216</v>
      </c>
      <c r="H2272" s="7" t="s">
        <v>957</v>
      </c>
      <c r="I2272" s="704">
        <v>20</v>
      </c>
      <c r="J2272" s="704">
        <v>19700</v>
      </c>
      <c r="K2272" s="593">
        <f>ROUND(I2272*J2272,0)</f>
        <v>394000</v>
      </c>
      <c r="L2272" s="594" t="s">
        <v>259</v>
      </c>
      <c r="M2272" s="594" t="s">
        <v>174</v>
      </c>
      <c r="N2272" s="52" t="str">
        <f>IF(AND('331-CT'!$E$7=TH!H2272,OR(L2272="331",M2272="331")),"331",IF(AND(OR(L2272="131",M2272="131"),H2272='131-CT'!$E$7),"131",""))</f>
        <v/>
      </c>
      <c r="O2272" s="86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99"/>
    </row>
    <row r="2273" spans="1:27" s="210" customFormat="1" ht="15.75" customHeight="1">
      <c r="A2273" s="203" t="str">
        <f>IF(B2273&lt;&gt;"",IF(AND(B2273&gt;=_TM1,B2273&lt;=_TM2,OR(TH!L2273="1111",TH!M2273="1111")),TH!D2273,""),"")</f>
        <v/>
      </c>
      <c r="B2273" s="36">
        <f>IF(C2273&lt;&gt;"",MONTH(C2273),"")</f>
        <v>12</v>
      </c>
      <c r="C2273" s="183">
        <f>E2273</f>
        <v>42339</v>
      </c>
      <c r="D2273" s="183" t="s">
        <v>1604</v>
      </c>
      <c r="E2273" s="37">
        <v>42339</v>
      </c>
      <c r="F2273" s="188" t="s">
        <v>2011</v>
      </c>
      <c r="G2273" s="40" t="s">
        <v>1216</v>
      </c>
      <c r="H2273" s="7" t="s">
        <v>957</v>
      </c>
      <c r="I2273" s="704">
        <v>10</v>
      </c>
      <c r="J2273" s="704">
        <v>20100</v>
      </c>
      <c r="K2273" s="593">
        <f>ROUND(I2273*J2273,0)</f>
        <v>201000</v>
      </c>
      <c r="L2273" s="594" t="s">
        <v>259</v>
      </c>
      <c r="M2273" s="594" t="s">
        <v>174</v>
      </c>
      <c r="N2273" s="52" t="str">
        <f>IF(AND('331-CT'!$E$7=TH!H2273,OR(L2273="331",M2273="331")),"331",IF(AND(OR(L2273="131",M2273="131"),H2273='131-CT'!$E$7),"131",""))</f>
        <v/>
      </c>
      <c r="O2273" s="86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99"/>
    </row>
    <row r="2274" spans="1:27" s="210" customFormat="1" ht="15.75" customHeight="1">
      <c r="A2274" s="203" t="str">
        <f>IF(B2274&lt;&gt;"",IF(AND(B2274&gt;=_TM1,B2274&lt;=_TM2,OR(TH!L2274="1111",TH!M2274="1111")),TH!D2274,""),"")</f>
        <v/>
      </c>
      <c r="B2274" s="36">
        <f>IF(C2274&lt;&gt;"",MONTH(C2274),"")</f>
        <v>12</v>
      </c>
      <c r="C2274" s="183">
        <f>E2274</f>
        <v>42339</v>
      </c>
      <c r="D2274" s="183" t="s">
        <v>1604</v>
      </c>
      <c r="E2274" s="37">
        <v>42339</v>
      </c>
      <c r="F2274" s="40" t="s">
        <v>402</v>
      </c>
      <c r="G2274" s="40" t="s">
        <v>1216</v>
      </c>
      <c r="H2274" s="7" t="s">
        <v>957</v>
      </c>
      <c r="I2274" s="255"/>
      <c r="J2274" s="255"/>
      <c r="K2274" s="593">
        <v>247000</v>
      </c>
      <c r="L2274" s="594" t="s">
        <v>259</v>
      </c>
      <c r="M2274" s="594" t="s">
        <v>371</v>
      </c>
      <c r="N2274" s="52" t="str">
        <f>IF(AND('331-CT'!$E$7=TH!H2274,OR(L2274="331",M2274="331")),"331",IF(AND(OR(L2274="131",M2274="131"),H2274='131-CT'!$E$7),"131",""))</f>
        <v/>
      </c>
      <c r="O2274" s="86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99"/>
    </row>
    <row r="2275" spans="1:27" s="210" customFormat="1" ht="15.75" customHeight="1">
      <c r="A2275" s="203" t="str">
        <f>IF(B2275&lt;&gt;"",IF(AND(B2275&gt;=_TM1,B2275&lt;=_TM2,OR(TH!L2275="1111",TH!M2275="1111")),TH!D2275,""),"")</f>
        <v/>
      </c>
      <c r="B2275" s="36">
        <f>IF(C2275&lt;&gt;"",MONTH(C2275),"")</f>
        <v>12</v>
      </c>
      <c r="C2275" s="183">
        <f>E2275</f>
        <v>42339</v>
      </c>
      <c r="D2275" s="183" t="s">
        <v>1319</v>
      </c>
      <c r="E2275" s="190">
        <v>42339</v>
      </c>
      <c r="F2275" s="188" t="s">
        <v>1320</v>
      </c>
      <c r="G2275" s="482" t="s">
        <v>332</v>
      </c>
      <c r="H2275" s="7" t="s">
        <v>976</v>
      </c>
      <c r="I2275" s="255"/>
      <c r="J2275" s="255"/>
      <c r="K2275" s="593">
        <v>12166550</v>
      </c>
      <c r="L2275" s="594" t="s">
        <v>24</v>
      </c>
      <c r="M2275" s="594" t="s">
        <v>259</v>
      </c>
      <c r="N2275" s="52" t="str">
        <f>IF(AND('331-CT'!$E$7=TH!H2275,OR(L2275="331",M2275="331")),"331",IF(AND(OR(L2275="131",M2275="131"),H2275='131-CT'!$E$7),"131",""))</f>
        <v/>
      </c>
      <c r="O2275" s="86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>x</v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99"/>
    </row>
    <row r="2276" spans="1:27" s="210" customFormat="1" ht="15.75" customHeight="1">
      <c r="A2276" s="203" t="str">
        <f>IF(B2276&lt;&gt;"",IF(AND(B2276&gt;=_TM1,B2276&lt;=_TM2,OR(TH!L2276="1111",TH!M2276="1111")),TH!D2276,""),"")</f>
        <v/>
      </c>
      <c r="B2276" s="36">
        <f>IF(C2276&lt;&gt;"",MONTH(C2276),"")</f>
        <v>12</v>
      </c>
      <c r="C2276" s="183">
        <f>E2276</f>
        <v>42340</v>
      </c>
      <c r="D2276" s="183" t="s">
        <v>1605</v>
      </c>
      <c r="E2276" s="37">
        <v>42340</v>
      </c>
      <c r="F2276" s="40" t="s">
        <v>451</v>
      </c>
      <c r="G2276" s="40" t="s">
        <v>1217</v>
      </c>
      <c r="H2276" s="7" t="s">
        <v>453</v>
      </c>
      <c r="I2276" s="255">
        <v>306</v>
      </c>
      <c r="J2276" s="255">
        <v>12900</v>
      </c>
      <c r="K2276" s="593">
        <f>ROUND(I2276*J2276,0)</f>
        <v>3947400</v>
      </c>
      <c r="L2276" s="594" t="s">
        <v>259</v>
      </c>
      <c r="M2276" s="594" t="s">
        <v>174</v>
      </c>
      <c r="N2276" s="52" t="str">
        <f>IF(AND('331-CT'!$E$7=TH!H2276,OR(L2276="331",M2276="331")),"331",IF(AND(OR(L2276="131",M2276="131"),H2276='131-CT'!$E$7),"131",""))</f>
        <v/>
      </c>
      <c r="O2276" s="86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99"/>
    </row>
    <row r="2277" spans="1:27" s="210" customFormat="1" ht="15.75" customHeight="1">
      <c r="A2277" s="203" t="str">
        <f>IF(B2277&lt;&gt;"",IF(AND(B2277&gt;=_TM1,B2277&lt;=_TM2,OR(TH!L2277="1111",TH!M2277="1111")),TH!D2277,""),"")</f>
        <v/>
      </c>
      <c r="B2277" s="36">
        <f>IF(C2277&lt;&gt;"",MONTH(C2277),"")</f>
        <v>12</v>
      </c>
      <c r="C2277" s="183">
        <f>E2277</f>
        <v>42340</v>
      </c>
      <c r="D2277" s="183" t="s">
        <v>1605</v>
      </c>
      <c r="E2277" s="37">
        <v>42340</v>
      </c>
      <c r="F2277" s="40" t="s">
        <v>402</v>
      </c>
      <c r="G2277" s="40" t="s">
        <v>1217</v>
      </c>
      <c r="H2277" s="7" t="s">
        <v>453</v>
      </c>
      <c r="I2277" s="255"/>
      <c r="J2277" s="255"/>
      <c r="K2277" s="593">
        <v>394740</v>
      </c>
      <c r="L2277" s="594" t="s">
        <v>259</v>
      </c>
      <c r="M2277" s="594" t="s">
        <v>371</v>
      </c>
      <c r="N2277" s="52" t="str">
        <f>IF(AND('331-CT'!$E$7=TH!H2277,OR(L2277="331",M2277="331")),"331",IF(AND(OR(L2277="131",M2277="131"),H2277='131-CT'!$E$7),"131",""))</f>
        <v/>
      </c>
      <c r="O2277" s="86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99"/>
    </row>
    <row r="2278" spans="1:27" s="210" customFormat="1" ht="15.75" customHeight="1">
      <c r="A2278" s="203" t="str">
        <f>IF(B2278&lt;&gt;"",IF(AND(B2278&gt;=_TM1,B2278&lt;=_TM2,OR(TH!L2278="1111",TH!M2278="1111")),TH!D2278,""),"")</f>
        <v/>
      </c>
      <c r="B2278" s="36">
        <f>IF(C2278&lt;&gt;"",MONTH(C2278),"")</f>
        <v>12</v>
      </c>
      <c r="C2278" s="183">
        <f>E2278</f>
        <v>42340</v>
      </c>
      <c r="D2278" s="183" t="s">
        <v>1606</v>
      </c>
      <c r="E2278" s="37">
        <v>42340</v>
      </c>
      <c r="F2278" s="40" t="s">
        <v>1155</v>
      </c>
      <c r="G2278" s="40" t="s">
        <v>1218</v>
      </c>
      <c r="H2278" s="7" t="s">
        <v>645</v>
      </c>
      <c r="I2278" s="255">
        <v>500</v>
      </c>
      <c r="J2278" s="255">
        <v>6950</v>
      </c>
      <c r="K2278" s="593">
        <f>ROUND(I2278*J2278,0)</f>
        <v>3475000</v>
      </c>
      <c r="L2278" s="594" t="s">
        <v>259</v>
      </c>
      <c r="M2278" s="594" t="s">
        <v>174</v>
      </c>
      <c r="N2278" s="52" t="str">
        <f>IF(AND('331-CT'!$E$7=TH!H2278,OR(L2278="331",M2278="331")),"331",IF(AND(OR(L2278="131",M2278="131"),H2278='131-CT'!$E$7),"131",""))</f>
        <v/>
      </c>
      <c r="O2278" s="86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99"/>
    </row>
    <row r="2279" spans="1:27" s="210" customFormat="1" ht="15.75" customHeight="1">
      <c r="A2279" s="203" t="str">
        <f>IF(B2279&lt;&gt;"",IF(AND(B2279&gt;=_TM1,B2279&lt;=_TM2,OR(TH!L2279="1111",TH!M2279="1111")),TH!D2279,""),"")</f>
        <v/>
      </c>
      <c r="B2279" s="36">
        <f>IF(C2279&lt;&gt;"",MONTH(C2279),"")</f>
        <v>12</v>
      </c>
      <c r="C2279" s="183">
        <f>E2279</f>
        <v>42340</v>
      </c>
      <c r="D2279" s="183" t="s">
        <v>1606</v>
      </c>
      <c r="E2279" s="190">
        <v>42340</v>
      </c>
      <c r="F2279" s="188" t="s">
        <v>402</v>
      </c>
      <c r="G2279" s="595" t="s">
        <v>1218</v>
      </c>
      <c r="H2279" s="7" t="s">
        <v>645</v>
      </c>
      <c r="I2279" s="255"/>
      <c r="J2279" s="255"/>
      <c r="K2279" s="593">
        <v>347500</v>
      </c>
      <c r="L2279" s="594" t="s">
        <v>259</v>
      </c>
      <c r="M2279" s="594" t="s">
        <v>371</v>
      </c>
      <c r="N2279" s="52" t="str">
        <f>IF(AND('331-CT'!$E$7=TH!H2279,OR(L2279="331",M2279="331")),"331",IF(AND(OR(L2279="131",M2279="131"),H2279='131-CT'!$E$7),"131",""))</f>
        <v/>
      </c>
      <c r="O2279" s="86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99"/>
    </row>
    <row r="2280" spans="1:27" s="210" customFormat="1" ht="15.75" customHeight="1">
      <c r="A2280" s="203" t="str">
        <f>IF(B2280&lt;&gt;"",IF(AND(B2280&gt;=_TM1,B2280&lt;=_TM2,OR(TH!L2280="1111",TH!M2280="1111")),TH!D2280,""),"")</f>
        <v/>
      </c>
      <c r="B2280" s="36">
        <f>IF(C2280&lt;&gt;"",MONTH(C2280),"")</f>
        <v>12</v>
      </c>
      <c r="C2280" s="183">
        <f>E2280</f>
        <v>42340</v>
      </c>
      <c r="D2280" s="183" t="s">
        <v>1607</v>
      </c>
      <c r="E2280" s="190">
        <v>42340</v>
      </c>
      <c r="F2280" s="188" t="s">
        <v>999</v>
      </c>
      <c r="G2280" s="595" t="s">
        <v>1219</v>
      </c>
      <c r="H2280" s="7" t="s">
        <v>412</v>
      </c>
      <c r="I2280" s="255">
        <v>306</v>
      </c>
      <c r="J2280" s="255">
        <v>6400</v>
      </c>
      <c r="K2280" s="593">
        <f>ROUND(I2280*J2280,0)</f>
        <v>1958400</v>
      </c>
      <c r="L2280" s="594" t="s">
        <v>259</v>
      </c>
      <c r="M2280" s="594" t="s">
        <v>174</v>
      </c>
      <c r="N2280" s="52" t="str">
        <f>IF(AND('331-CT'!$E$7=TH!H2280,OR(L2280="331",M2280="331")),"331",IF(AND(OR(L2280="131",M2280="131"),H2280='131-CT'!$E$7),"131",""))</f>
        <v/>
      </c>
      <c r="O2280" s="86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99"/>
    </row>
    <row r="2281" spans="1:27" s="210" customFormat="1" ht="15.75" customHeight="1">
      <c r="A2281" s="203" t="str">
        <f>IF(B2281&lt;&gt;"",IF(AND(B2281&gt;=_TM1,B2281&lt;=_TM2,OR(TH!L2281="1111",TH!M2281="1111")),TH!D2281,""),"")</f>
        <v/>
      </c>
      <c r="B2281" s="36">
        <f>IF(C2281&lt;&gt;"",MONTH(C2281),"")</f>
        <v>12</v>
      </c>
      <c r="C2281" s="183">
        <f>E2281</f>
        <v>42340</v>
      </c>
      <c r="D2281" s="183" t="s">
        <v>1607</v>
      </c>
      <c r="E2281" s="190">
        <v>42340</v>
      </c>
      <c r="F2281" s="188" t="s">
        <v>413</v>
      </c>
      <c r="G2281" s="595" t="s">
        <v>1219</v>
      </c>
      <c r="H2281" s="7" t="s">
        <v>412</v>
      </c>
      <c r="I2281" s="255">
        <v>522</v>
      </c>
      <c r="J2281" s="255">
        <v>10500</v>
      </c>
      <c r="K2281" s="593">
        <f>ROUND(I2281*J2281,0)</f>
        <v>5481000</v>
      </c>
      <c r="L2281" s="594" t="s">
        <v>259</v>
      </c>
      <c r="M2281" s="594" t="s">
        <v>174</v>
      </c>
      <c r="N2281" s="52" t="str">
        <f>IF(AND('331-CT'!$E$7=TH!H2281,OR(L2281="331",M2281="331")),"331",IF(AND(OR(L2281="131",M2281="131"),H2281='131-CT'!$E$7),"131",""))</f>
        <v/>
      </c>
      <c r="O2281" s="86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99"/>
    </row>
    <row r="2282" spans="1:27" s="210" customFormat="1" ht="15.75" customHeight="1">
      <c r="A2282" s="203" t="str">
        <f>IF(B2282&lt;&gt;"",IF(AND(B2282&gt;=_TM1,B2282&lt;=_TM2,OR(TH!L2282="1111",TH!M2282="1111")),TH!D2282,""),"")</f>
        <v/>
      </c>
      <c r="B2282" s="36">
        <f>IF(C2282&lt;&gt;"",MONTH(C2282),"")</f>
        <v>12</v>
      </c>
      <c r="C2282" s="183">
        <f>E2282</f>
        <v>42340</v>
      </c>
      <c r="D2282" s="183" t="s">
        <v>1607</v>
      </c>
      <c r="E2282" s="727">
        <v>42340</v>
      </c>
      <c r="F2282" s="188" t="s">
        <v>402</v>
      </c>
      <c r="G2282" s="40" t="s">
        <v>1219</v>
      </c>
      <c r="H2282" s="7" t="s">
        <v>412</v>
      </c>
      <c r="I2282" s="255"/>
      <c r="J2282" s="255"/>
      <c r="K2282" s="593">
        <v>743940</v>
      </c>
      <c r="L2282" s="594" t="s">
        <v>259</v>
      </c>
      <c r="M2282" s="594" t="s">
        <v>371</v>
      </c>
      <c r="N2282" s="52" t="str">
        <f>IF(AND('331-CT'!$E$7=TH!H2282,OR(L2282="331",M2282="331")),"331",IF(AND(OR(L2282="131",M2282="131"),H2282='131-CT'!$E$7),"131",""))</f>
        <v/>
      </c>
      <c r="O2282" s="86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99"/>
    </row>
    <row r="2283" spans="1:27" s="210" customFormat="1" ht="15.75" customHeight="1">
      <c r="A2283" s="203" t="str">
        <f>IF(B2283&lt;&gt;"",IF(AND(B2283&gt;=_TM1,B2283&lt;=_TM2,OR(TH!L2283="1111",TH!M2283="1111")),TH!D2283,""),"")</f>
        <v/>
      </c>
      <c r="B2283" s="36">
        <f>IF(C2283&lt;&gt;"",MONTH(C2283),"")</f>
        <v>12</v>
      </c>
      <c r="C2283" s="183">
        <f>E2283</f>
        <v>42340</v>
      </c>
      <c r="D2283" s="183" t="s">
        <v>1608</v>
      </c>
      <c r="E2283" s="727">
        <v>42340</v>
      </c>
      <c r="F2283" s="188" t="s">
        <v>1950</v>
      </c>
      <c r="G2283" s="40" t="s">
        <v>1220</v>
      </c>
      <c r="H2283" s="7" t="s">
        <v>957</v>
      </c>
      <c r="I2283" s="750">
        <v>100</v>
      </c>
      <c r="J2283" s="255">
        <v>15300</v>
      </c>
      <c r="K2283" s="593">
        <f>ROUND(I2283*J2283,0)</f>
        <v>1530000</v>
      </c>
      <c r="L2283" s="594" t="s">
        <v>259</v>
      </c>
      <c r="M2283" s="594" t="s">
        <v>174</v>
      </c>
      <c r="N2283" s="52" t="str">
        <f>IF(AND('331-CT'!$E$7=TH!H2283,OR(L2283="331",M2283="331")),"331",IF(AND(OR(L2283="131",M2283="131"),H2283='131-CT'!$E$7),"131",""))</f>
        <v/>
      </c>
      <c r="O2283" s="86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99"/>
    </row>
    <row r="2284" spans="1:27" s="210" customFormat="1" ht="15.75" customHeight="1">
      <c r="A2284" s="203" t="str">
        <f>IF(B2284&lt;&gt;"",IF(AND(B2284&gt;=_TM1,B2284&lt;=_TM2,OR(TH!L2284="1111",TH!M2284="1111")),TH!D2284,""),"")</f>
        <v/>
      </c>
      <c r="B2284" s="36">
        <f>IF(C2284&lt;&gt;"",MONTH(C2284),"")</f>
        <v>12</v>
      </c>
      <c r="C2284" s="183">
        <f>E2284</f>
        <v>42340</v>
      </c>
      <c r="D2284" s="183" t="s">
        <v>1608</v>
      </c>
      <c r="E2284" s="727">
        <v>42340</v>
      </c>
      <c r="F2284" s="188" t="s">
        <v>1952</v>
      </c>
      <c r="G2284" s="40" t="s">
        <v>1220</v>
      </c>
      <c r="H2284" s="7" t="s">
        <v>957</v>
      </c>
      <c r="I2284" s="255">
        <v>20</v>
      </c>
      <c r="J2284" s="255">
        <v>24500</v>
      </c>
      <c r="K2284" s="593">
        <f>ROUND(I2284*J2284,0)</f>
        <v>490000</v>
      </c>
      <c r="L2284" s="594" t="s">
        <v>259</v>
      </c>
      <c r="M2284" s="594" t="s">
        <v>174</v>
      </c>
      <c r="N2284" s="52" t="str">
        <f>IF(AND('331-CT'!$E$7=TH!H2284,OR(L2284="331",M2284="331")),"331",IF(AND(OR(L2284="131",M2284="131"),H2284='131-CT'!$E$7),"131",""))</f>
        <v/>
      </c>
      <c r="O2284" s="86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99"/>
    </row>
    <row r="2285" spans="1:27" s="210" customFormat="1" ht="15.75" customHeight="1">
      <c r="A2285" s="203" t="str">
        <f>IF(B2285&lt;&gt;"",IF(AND(B2285&gt;=_TM1,B2285&lt;=_TM2,OR(TH!L2285="1111",TH!M2285="1111")),TH!D2285,""),"")</f>
        <v/>
      </c>
      <c r="B2285" s="36">
        <f>IF(C2285&lt;&gt;"",MONTH(C2285),"")</f>
        <v>12</v>
      </c>
      <c r="C2285" s="183">
        <f>E2285</f>
        <v>42340</v>
      </c>
      <c r="D2285" s="183" t="s">
        <v>1608</v>
      </c>
      <c r="E2285" s="727">
        <v>42340</v>
      </c>
      <c r="F2285" s="188" t="s">
        <v>2011</v>
      </c>
      <c r="G2285" s="40" t="s">
        <v>1220</v>
      </c>
      <c r="H2285" s="7" t="s">
        <v>957</v>
      </c>
      <c r="I2285" s="704">
        <v>20</v>
      </c>
      <c r="J2285" s="704">
        <v>25500</v>
      </c>
      <c r="K2285" s="593">
        <f>ROUND(I2285*J2285,0)</f>
        <v>510000</v>
      </c>
      <c r="L2285" s="594" t="s">
        <v>259</v>
      </c>
      <c r="M2285" s="594" t="s">
        <v>174</v>
      </c>
      <c r="N2285" s="52" t="str">
        <f>IF(AND('331-CT'!$E$7=TH!H2285,OR(L2285="331",M2285="331")),"331",IF(AND(OR(L2285="131",M2285="131"),H2285='131-CT'!$E$7),"131",""))</f>
        <v/>
      </c>
      <c r="O2285" s="86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99"/>
    </row>
    <row r="2286" spans="1:27" s="210" customFormat="1" ht="15.75" customHeight="1">
      <c r="A2286" s="203" t="str">
        <f>IF(B2286&lt;&gt;"",IF(AND(B2286&gt;=_TM1,B2286&lt;=_TM2,OR(TH!L2286="1111",TH!M2286="1111")),TH!D2286,""),"")</f>
        <v/>
      </c>
      <c r="B2286" s="36">
        <f>IF(C2286&lt;&gt;"",MONTH(C2286),"")</f>
        <v>12</v>
      </c>
      <c r="C2286" s="183">
        <f>E2286</f>
        <v>42340</v>
      </c>
      <c r="D2286" s="183" t="s">
        <v>1608</v>
      </c>
      <c r="E2286" s="727">
        <v>42340</v>
      </c>
      <c r="F2286" s="40" t="s">
        <v>402</v>
      </c>
      <c r="G2286" s="40" t="s">
        <v>1220</v>
      </c>
      <c r="H2286" s="7" t="s">
        <v>957</v>
      </c>
      <c r="I2286" s="255"/>
      <c r="J2286" s="255"/>
      <c r="K2286" s="593">
        <v>253000</v>
      </c>
      <c r="L2286" s="594" t="s">
        <v>259</v>
      </c>
      <c r="M2286" s="594" t="s">
        <v>371</v>
      </c>
      <c r="N2286" s="52" t="str">
        <f>IF(AND('331-CT'!$E$7=TH!H2286,OR(L2286="331",M2286="331")),"331",IF(AND(OR(L2286="131",M2286="131"),H2286='131-CT'!$E$7),"131",""))</f>
        <v/>
      </c>
      <c r="O2286" s="86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99"/>
    </row>
    <row r="2287" spans="1:27" s="210" customFormat="1" ht="15.75" customHeight="1">
      <c r="A2287" s="203" t="str">
        <f>IF(B2287&lt;&gt;"",IF(AND(B2287&gt;=_TM1,B2287&lt;=_TM2,OR(TH!L2287="1111",TH!M2287="1111")),TH!D2287,""),"")</f>
        <v/>
      </c>
      <c r="B2287" s="36">
        <f>IF(C2287&lt;&gt;"",MONTH(C2287),"")</f>
        <v>12</v>
      </c>
      <c r="C2287" s="183">
        <f>E2287</f>
        <v>42340</v>
      </c>
      <c r="D2287" s="183" t="s">
        <v>1319</v>
      </c>
      <c r="E2287" s="190">
        <v>42340</v>
      </c>
      <c r="F2287" s="188" t="s">
        <v>1341</v>
      </c>
      <c r="G2287" s="482" t="s">
        <v>332</v>
      </c>
      <c r="H2287" s="7"/>
      <c r="I2287" s="255"/>
      <c r="J2287" s="255"/>
      <c r="K2287" s="593">
        <v>11000000</v>
      </c>
      <c r="L2287" s="594" t="s">
        <v>24</v>
      </c>
      <c r="M2287" s="594" t="s">
        <v>56</v>
      </c>
      <c r="N2287" s="52" t="str">
        <f>IF(AND('331-CT'!$E$7=TH!H2287,OR(L2287="331",M2287="331")),"331",IF(AND(OR(L2287="131",M2287="131"),H2287='131-CT'!$E$7),"131",""))</f>
        <v/>
      </c>
      <c r="O2287" s="86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>x</v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99"/>
    </row>
    <row r="2288" spans="1:27" s="210" customFormat="1" ht="15.75" customHeight="1">
      <c r="A2288" s="203" t="str">
        <f>IF(B2288&lt;&gt;"",IF(AND(B2288&gt;=_TM1,B2288&lt;=_TM2,OR(TH!L2288="1111",TH!M2288="1111")),TH!D2288,""),"")</f>
        <v>GBN</v>
      </c>
      <c r="B2288" s="36">
        <f>IF(C2288&lt;&gt;"",MONTH(C2288),"")</f>
        <v>12</v>
      </c>
      <c r="C2288" s="183">
        <f>E2288</f>
        <v>42340</v>
      </c>
      <c r="D2288" s="183" t="s">
        <v>1324</v>
      </c>
      <c r="E2288" s="190">
        <v>42340</v>
      </c>
      <c r="F2288" s="188" t="s">
        <v>1325</v>
      </c>
      <c r="G2288" s="482" t="s">
        <v>332</v>
      </c>
      <c r="H2288" s="7" t="s">
        <v>1322</v>
      </c>
      <c r="I2288" s="255"/>
      <c r="J2288" s="255"/>
      <c r="K2288" s="593">
        <v>17600000</v>
      </c>
      <c r="L2288" s="594" t="s">
        <v>47</v>
      </c>
      <c r="M2288" s="594" t="s">
        <v>24</v>
      </c>
      <c r="N2288" s="52" t="str">
        <f>IF(AND('331-CT'!$E$7=TH!H2288,OR(L2288="331",M2288="331")),"331",IF(AND(OR(L2288="131",M2288="131"),H2288='131-CT'!$E$7),"131",""))</f>
        <v/>
      </c>
      <c r="O2288" s="86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>x</v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99"/>
    </row>
    <row r="2289" spans="1:27" s="210" customFormat="1" ht="15.75" customHeight="1">
      <c r="A2289" s="203" t="str">
        <f>IF(B2289&lt;&gt;"",IF(AND(B2289&gt;=_TM1,B2289&lt;=_TM2,OR(TH!L2289="1111",TH!M2289="1111")),TH!D2289,""),"")</f>
        <v/>
      </c>
      <c r="B2289" s="36">
        <f>IF(C2289&lt;&gt;"",MONTH(C2289),"")</f>
        <v>12</v>
      </c>
      <c r="C2289" s="183">
        <f>E2289</f>
        <v>42340</v>
      </c>
      <c r="D2289" s="183" t="s">
        <v>1324</v>
      </c>
      <c r="E2289" s="190">
        <v>42340</v>
      </c>
      <c r="F2289" s="296" t="s">
        <v>1326</v>
      </c>
      <c r="G2289" s="482" t="s">
        <v>332</v>
      </c>
      <c r="H2289" s="831" t="s">
        <v>1356</v>
      </c>
      <c r="I2289" s="255"/>
      <c r="J2289" s="255"/>
      <c r="K2289" s="593">
        <v>20000000</v>
      </c>
      <c r="L2289" s="594" t="s">
        <v>8</v>
      </c>
      <c r="M2289" s="594" t="s">
        <v>24</v>
      </c>
      <c r="N2289" s="52" t="str">
        <f>IF(AND('331-CT'!$E$7=TH!H2289,OR(L2289="331",M2289="331")),"331",IF(AND(OR(L2289="131",M2289="131"),H2289='131-CT'!$E$7),"131",""))</f>
        <v/>
      </c>
      <c r="O2289" s="86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>x</v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99"/>
    </row>
    <row r="2290" spans="1:27" s="210" customFormat="1" ht="15.75" customHeight="1">
      <c r="A2290" s="203" t="str">
        <f>IF(B2290&lt;&gt;"",IF(AND(B2290&gt;=_TM1,B2290&lt;=_TM2,OR(TH!L2290="1111",TH!M2290="1111")),TH!D2290,""),"")</f>
        <v/>
      </c>
      <c r="B2290" s="36">
        <f>IF(C2290&lt;&gt;"",MONTH(C2290),"")</f>
        <v>12</v>
      </c>
      <c r="C2290" s="183">
        <f>E2290</f>
        <v>42340</v>
      </c>
      <c r="D2290" s="183" t="s">
        <v>1324</v>
      </c>
      <c r="E2290" s="190">
        <v>42340</v>
      </c>
      <c r="F2290" s="296" t="s">
        <v>1326</v>
      </c>
      <c r="G2290" s="482" t="s">
        <v>332</v>
      </c>
      <c r="H2290" s="831" t="s">
        <v>1929</v>
      </c>
      <c r="I2290" s="255"/>
      <c r="J2290" s="255"/>
      <c r="K2290" s="593">
        <v>11000000</v>
      </c>
      <c r="L2290" s="594" t="s">
        <v>8</v>
      </c>
      <c r="M2290" s="594" t="s">
        <v>24</v>
      </c>
      <c r="N2290" s="52" t="str">
        <f>IF(AND('331-CT'!$E$7=TH!H2290,OR(L2290="331",M2290="331")),"331",IF(AND(OR(L2290="131",M2290="131"),H2290='131-CT'!$E$7),"131",""))</f>
        <v/>
      </c>
      <c r="O2290" s="86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>x</v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99"/>
    </row>
    <row r="2291" spans="1:27" s="210" customFormat="1" ht="15.75" customHeight="1">
      <c r="A2291" s="203" t="str">
        <f>IF(B2291&lt;&gt;"",IF(AND(B2291&gt;=_TM1,B2291&lt;=_TM2,OR(TH!L2291="1111",TH!M2291="1111")),TH!D2291,""),"")</f>
        <v/>
      </c>
      <c r="B2291" s="36">
        <f>IF(C2291&lt;&gt;"",MONTH(C2291),"")</f>
        <v>12</v>
      </c>
      <c r="C2291" s="183">
        <f>E2291</f>
        <v>42340</v>
      </c>
      <c r="D2291" s="183" t="s">
        <v>1324</v>
      </c>
      <c r="E2291" s="190">
        <v>42340</v>
      </c>
      <c r="F2291" s="188" t="s">
        <v>1327</v>
      </c>
      <c r="G2291" s="482" t="s">
        <v>332</v>
      </c>
      <c r="H2291" s="7"/>
      <c r="I2291" s="255"/>
      <c r="J2291" s="255"/>
      <c r="K2291" s="593">
        <v>15000</v>
      </c>
      <c r="L2291" s="594" t="s">
        <v>83</v>
      </c>
      <c r="M2291" s="594" t="s">
        <v>24</v>
      </c>
      <c r="N2291" s="52" t="str">
        <f>IF(AND('331-CT'!$E$7=TH!H2291,OR(L2291="331",M2291="331")),"331",IF(AND(OR(L2291="131",M2291="131"),H2291='131-CT'!$E$7),"131",""))</f>
        <v/>
      </c>
      <c r="O2291" s="86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>x</v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>x</v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99"/>
    </row>
    <row r="2292" spans="1:27" s="210" customFormat="1" ht="15.75" customHeight="1">
      <c r="A2292" s="203" t="str">
        <f>IF(B2292&lt;&gt;"",IF(AND(B2292&gt;=_TM1,B2292&lt;=_TM2,OR(TH!L2292="1111",TH!M2292="1111")),TH!D2292,""),"")</f>
        <v/>
      </c>
      <c r="B2292" s="36">
        <f>IF(C2292&lt;&gt;"",MONTH(C2292),"")</f>
        <v>12</v>
      </c>
      <c r="C2292" s="183">
        <f>E2292</f>
        <v>42340</v>
      </c>
      <c r="D2292" s="183" t="s">
        <v>1324</v>
      </c>
      <c r="E2292" s="190">
        <v>42340</v>
      </c>
      <c r="F2292" s="188" t="s">
        <v>1327</v>
      </c>
      <c r="G2292" s="482" t="s">
        <v>332</v>
      </c>
      <c r="H2292" s="7"/>
      <c r="I2292" s="255"/>
      <c r="J2292" s="255"/>
      <c r="K2292" s="593">
        <v>15000</v>
      </c>
      <c r="L2292" s="594" t="s">
        <v>83</v>
      </c>
      <c r="M2292" s="594" t="s">
        <v>24</v>
      </c>
      <c r="N2292" s="52" t="str">
        <f>IF(AND('331-CT'!$E$7=TH!H2292,OR(L2292="331",M2292="331")),"331",IF(AND(OR(L2292="131",M2292="131"),H2292='131-CT'!$E$7),"131",""))</f>
        <v/>
      </c>
      <c r="O2292" s="86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>x</v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>x</v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99"/>
    </row>
    <row r="2293" spans="1:27" s="210" customFormat="1" ht="15.75" customHeight="1">
      <c r="A2293" s="203" t="str">
        <f>IF(B2293&lt;&gt;"",IF(AND(B2293&gt;=_TM1,B2293&lt;=_TM2,OR(TH!L2293="1111",TH!M2293="1111")),TH!D2293,""),"")</f>
        <v/>
      </c>
      <c r="B2293" s="36">
        <f>IF(C2293&lt;&gt;"",MONTH(C2293),"")</f>
        <v>12</v>
      </c>
      <c r="C2293" s="183">
        <f>E2293</f>
        <v>42341</v>
      </c>
      <c r="D2293" s="183" t="s">
        <v>1609</v>
      </c>
      <c r="E2293" s="727">
        <v>42341</v>
      </c>
      <c r="F2293" s="188" t="s">
        <v>424</v>
      </c>
      <c r="G2293" s="40" t="s">
        <v>1221</v>
      </c>
      <c r="H2293" s="7" t="s">
        <v>950</v>
      </c>
      <c r="I2293" s="750">
        <v>2820</v>
      </c>
      <c r="J2293" s="255">
        <v>7000</v>
      </c>
      <c r="K2293" s="593">
        <f>ROUND(I2293*J2293,0)</f>
        <v>19740000</v>
      </c>
      <c r="L2293" s="594" t="s">
        <v>259</v>
      </c>
      <c r="M2293" s="594" t="s">
        <v>174</v>
      </c>
      <c r="N2293" s="52" t="str">
        <f>IF(AND('331-CT'!$E$7=TH!H2293,OR(L2293="331",M2293="331")),"331",IF(AND(OR(L2293="131",M2293="131"),H2293='131-CT'!$E$7),"131",""))</f>
        <v/>
      </c>
      <c r="O2293" s="86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799"/>
    </row>
    <row r="2294" spans="1:27" s="210" customFormat="1" ht="15.75" customHeight="1">
      <c r="A2294" s="203" t="str">
        <f>IF(B2294&lt;&gt;"",IF(AND(B2294&gt;=_TM1,B2294&lt;=_TM2,OR(TH!L2294="1111",TH!M2294="1111")),TH!D2294,""),"")</f>
        <v/>
      </c>
      <c r="B2294" s="36">
        <f>IF(C2294&lt;&gt;"",MONTH(C2294),"")</f>
        <v>12</v>
      </c>
      <c r="C2294" s="183">
        <f>E2294</f>
        <v>42341</v>
      </c>
      <c r="D2294" s="183" t="s">
        <v>1609</v>
      </c>
      <c r="E2294" s="727">
        <v>42341</v>
      </c>
      <c r="F2294" s="40" t="s">
        <v>602</v>
      </c>
      <c r="G2294" s="40" t="s">
        <v>1221</v>
      </c>
      <c r="H2294" s="7" t="s">
        <v>950</v>
      </c>
      <c r="I2294" s="750">
        <v>406</v>
      </c>
      <c r="J2294" s="255">
        <v>8500</v>
      </c>
      <c r="K2294" s="593">
        <f>ROUND(I2294*J2294,0)</f>
        <v>3451000</v>
      </c>
      <c r="L2294" s="594" t="s">
        <v>259</v>
      </c>
      <c r="M2294" s="594" t="s">
        <v>174</v>
      </c>
      <c r="N2294" s="52" t="str">
        <f>IF(AND('331-CT'!$E$7=TH!H2294,OR(L2294="331",M2294="331")),"331",IF(AND(OR(L2294="131",M2294="131"),H2294='131-CT'!$E$7),"131",""))</f>
        <v/>
      </c>
      <c r="O2294" s="86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799"/>
    </row>
    <row r="2295" spans="1:27" s="210" customFormat="1" ht="15.75" customHeight="1">
      <c r="A2295" s="203" t="str">
        <f>IF(B2295&lt;&gt;"",IF(AND(B2295&gt;=_TM1,B2295&lt;=_TM2,OR(TH!L2295="1111",TH!M2295="1111")),TH!D2295,""),"")</f>
        <v/>
      </c>
      <c r="B2295" s="36">
        <f>IF(C2295&lt;&gt;"",MONTH(C2295),"")</f>
        <v>12</v>
      </c>
      <c r="C2295" s="183">
        <f>E2295</f>
        <v>42341</v>
      </c>
      <c r="D2295" s="183" t="s">
        <v>1609</v>
      </c>
      <c r="E2295" s="727">
        <v>42341</v>
      </c>
      <c r="F2295" s="188" t="s">
        <v>402</v>
      </c>
      <c r="G2295" s="40" t="s">
        <v>1221</v>
      </c>
      <c r="H2295" s="7" t="s">
        <v>950</v>
      </c>
      <c r="I2295" s="255"/>
      <c r="J2295" s="255"/>
      <c r="K2295" s="593">
        <v>2319100</v>
      </c>
      <c r="L2295" s="594" t="s">
        <v>259</v>
      </c>
      <c r="M2295" s="594" t="s">
        <v>371</v>
      </c>
      <c r="N2295" s="52" t="str">
        <f>IF(AND('331-CT'!$E$7=TH!H2295,OR(L2295="331",M2295="331")),"331",IF(AND(OR(L2295="131",M2295="131"),H2295='131-CT'!$E$7),"131",""))</f>
        <v/>
      </c>
      <c r="O2295" s="86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799"/>
    </row>
    <row r="2296" spans="1:27" s="210" customFormat="1" ht="15.75" customHeight="1">
      <c r="A2296" s="203" t="str">
        <f>IF(B2296&lt;&gt;"",IF(AND(B2296&gt;=_TM1,B2296&lt;=_TM2,OR(TH!L2296="1111",TH!M2296="1111")),TH!D2296,""),"")</f>
        <v/>
      </c>
      <c r="B2296" s="36">
        <f>IF(C2296&lt;&gt;"",MONTH(C2296),"")</f>
        <v>12</v>
      </c>
      <c r="C2296" s="183">
        <f>E2296</f>
        <v>42341</v>
      </c>
      <c r="D2296" s="183" t="s">
        <v>1610</v>
      </c>
      <c r="E2296" s="727">
        <v>42341</v>
      </c>
      <c r="F2296" s="188" t="s">
        <v>1948</v>
      </c>
      <c r="G2296" s="40" t="s">
        <v>1222</v>
      </c>
      <c r="H2296" s="7" t="s">
        <v>957</v>
      </c>
      <c r="I2296" s="255">
        <v>3000</v>
      </c>
      <c r="J2296" s="255">
        <v>11800</v>
      </c>
      <c r="K2296" s="593">
        <f>ROUND(I2296*J2296,0)</f>
        <v>35400000</v>
      </c>
      <c r="L2296" s="594" t="s">
        <v>259</v>
      </c>
      <c r="M2296" s="594" t="s">
        <v>174</v>
      </c>
      <c r="N2296" s="52" t="str">
        <f>IF(AND('331-CT'!$E$7=TH!H2296,OR(L2296="331",M2296="331")),"331",IF(AND(OR(L2296="131",M2296="131"),H2296='131-CT'!$E$7),"131",""))</f>
        <v/>
      </c>
      <c r="O2296" s="86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99"/>
    </row>
    <row r="2297" spans="1:27" s="210" customFormat="1" ht="15.75" customHeight="1">
      <c r="A2297" s="203" t="str">
        <f>IF(B2297&lt;&gt;"",IF(AND(B2297&gt;=_TM1,B2297&lt;=_TM2,OR(TH!L2297="1111",TH!M2297="1111")),TH!D2297,""),"")</f>
        <v/>
      </c>
      <c r="B2297" s="36">
        <f>IF(C2297&lt;&gt;"",MONTH(C2297),"")</f>
        <v>12</v>
      </c>
      <c r="C2297" s="183">
        <f>E2297</f>
        <v>42341</v>
      </c>
      <c r="D2297" s="183" t="s">
        <v>1610</v>
      </c>
      <c r="E2297" s="183">
        <v>42341</v>
      </c>
      <c r="F2297" s="188" t="s">
        <v>402</v>
      </c>
      <c r="G2297" s="595" t="s">
        <v>1222</v>
      </c>
      <c r="H2297" s="192" t="s">
        <v>957</v>
      </c>
      <c r="I2297" s="255"/>
      <c r="J2297" s="255"/>
      <c r="K2297" s="593">
        <v>3540000</v>
      </c>
      <c r="L2297" s="594" t="s">
        <v>259</v>
      </c>
      <c r="M2297" s="594" t="s">
        <v>371</v>
      </c>
      <c r="N2297" s="52" t="str">
        <f>IF(AND('331-CT'!$E$7=TH!H2297,OR(L2297="331",M2297="331")),"331",IF(AND(OR(L2297="131",M2297="131"),H2297='131-CT'!$E$7),"131",""))</f>
        <v/>
      </c>
      <c r="O2297" s="86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99"/>
    </row>
    <row r="2298" spans="1:27" s="210" customFormat="1" ht="15.75" customHeight="1">
      <c r="A2298" s="203" t="str">
        <f>IF(B2298&lt;&gt;"",IF(AND(B2298&gt;=_TM1,B2298&lt;=_TM2,OR(TH!L2298="1111",TH!M2298="1111")),TH!D2298,""),"")</f>
        <v/>
      </c>
      <c r="B2298" s="36">
        <f>IF(C2298&lt;&gt;"",MONTH(C2298),"")</f>
        <v>12</v>
      </c>
      <c r="C2298" s="183">
        <f>E2298</f>
        <v>42341</v>
      </c>
      <c r="D2298" s="183" t="s">
        <v>1611</v>
      </c>
      <c r="E2298" s="727">
        <v>42341</v>
      </c>
      <c r="F2298" s="188" t="s">
        <v>1948</v>
      </c>
      <c r="G2298" s="40" t="s">
        <v>1223</v>
      </c>
      <c r="H2298" s="7" t="s">
        <v>957</v>
      </c>
      <c r="I2298" s="255">
        <v>400</v>
      </c>
      <c r="J2298" s="255">
        <v>11800</v>
      </c>
      <c r="K2298" s="593">
        <f>ROUND(I2298*J2298,0)</f>
        <v>4720000</v>
      </c>
      <c r="L2298" s="594" t="s">
        <v>259</v>
      </c>
      <c r="M2298" s="594" t="s">
        <v>174</v>
      </c>
      <c r="N2298" s="52" t="str">
        <f>IF(AND('331-CT'!$E$7=TH!H2298,OR(L2298="331",M2298="331")),"331",IF(AND(OR(L2298="131",M2298="131"),H2298='131-CT'!$E$7),"131",""))</f>
        <v/>
      </c>
      <c r="O2298" s="86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99"/>
    </row>
    <row r="2299" spans="1:27" s="210" customFormat="1" ht="15.75" customHeight="1">
      <c r="A2299" s="203" t="str">
        <f>IF(B2299&lt;&gt;"",IF(AND(B2299&gt;=_TM1,B2299&lt;=_TM2,OR(TH!L2299="1111",TH!M2299="1111")),TH!D2299,""),"")</f>
        <v/>
      </c>
      <c r="B2299" s="36">
        <f>IF(C2299&lt;&gt;"",MONTH(C2299),"")</f>
        <v>12</v>
      </c>
      <c r="C2299" s="183">
        <f>E2299</f>
        <v>42341</v>
      </c>
      <c r="D2299" s="183" t="s">
        <v>1611</v>
      </c>
      <c r="E2299" s="727">
        <v>42341</v>
      </c>
      <c r="F2299" s="188" t="s">
        <v>402</v>
      </c>
      <c r="G2299" s="40" t="s">
        <v>1223</v>
      </c>
      <c r="H2299" s="7" t="s">
        <v>957</v>
      </c>
      <c r="I2299" s="255"/>
      <c r="J2299" s="255"/>
      <c r="K2299" s="593">
        <v>472000</v>
      </c>
      <c r="L2299" s="594" t="s">
        <v>259</v>
      </c>
      <c r="M2299" s="594" t="s">
        <v>371</v>
      </c>
      <c r="N2299" s="52" t="str">
        <f>IF(AND('331-CT'!$E$7=TH!H2299,OR(L2299="331",M2299="331")),"331",IF(AND(OR(L2299="131",M2299="131"),H2299='131-CT'!$E$7),"131",""))</f>
        <v/>
      </c>
      <c r="O2299" s="86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99"/>
    </row>
    <row r="2300" spans="1:27" s="210" customFormat="1" ht="15.75" customHeight="1">
      <c r="A2300" s="203" t="str">
        <f>IF(B2300&lt;&gt;"",IF(AND(B2300&gt;=_TM1,B2300&lt;=_TM2,OR(TH!L2300="1111",TH!M2300="1111")),TH!D2300,""),"")</f>
        <v/>
      </c>
      <c r="B2300" s="36">
        <f>IF(C2300&lt;&gt;"",MONTH(C2300),"")</f>
        <v>12</v>
      </c>
      <c r="C2300" s="183">
        <f>E2300</f>
        <v>42341</v>
      </c>
      <c r="D2300" s="183" t="s">
        <v>1612</v>
      </c>
      <c r="E2300" s="727">
        <v>42341</v>
      </c>
      <c r="F2300" s="188" t="s">
        <v>1224</v>
      </c>
      <c r="G2300" s="40" t="s">
        <v>1225</v>
      </c>
      <c r="H2300" s="7" t="s">
        <v>1226</v>
      </c>
      <c r="I2300" s="255">
        <v>87</v>
      </c>
      <c r="J2300" s="255">
        <v>36036</v>
      </c>
      <c r="K2300" s="593">
        <f>ROUND(I2300*J2300,0)</f>
        <v>3135132</v>
      </c>
      <c r="L2300" s="594" t="s">
        <v>259</v>
      </c>
      <c r="M2300" s="594" t="s">
        <v>174</v>
      </c>
      <c r="N2300" s="52" t="str">
        <f>IF(AND('331-CT'!$E$7=TH!H2300,OR(L2300="331",M2300="331")),"331",IF(AND(OR(L2300="131",M2300="131"),H2300='131-CT'!$E$7),"131",""))</f>
        <v/>
      </c>
      <c r="O2300" s="86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99"/>
    </row>
    <row r="2301" spans="1:27" s="210" customFormat="1" ht="15.75" customHeight="1">
      <c r="A2301" s="203" t="str">
        <f>IF(B2301&lt;&gt;"",IF(AND(B2301&gt;=_TM1,B2301&lt;=_TM2,OR(TH!L2301="1111",TH!M2301="1111")),TH!D2301,""),"")</f>
        <v/>
      </c>
      <c r="B2301" s="36">
        <f>IF(C2301&lt;&gt;"",MONTH(C2301),"")</f>
        <v>12</v>
      </c>
      <c r="C2301" s="183">
        <f>E2301</f>
        <v>42341</v>
      </c>
      <c r="D2301" s="183" t="s">
        <v>1612</v>
      </c>
      <c r="E2301" s="727">
        <v>42341</v>
      </c>
      <c r="F2301" s="188" t="s">
        <v>1227</v>
      </c>
      <c r="G2301" s="40" t="s">
        <v>1225</v>
      </c>
      <c r="H2301" s="7" t="s">
        <v>1226</v>
      </c>
      <c r="I2301" s="750">
        <v>78</v>
      </c>
      <c r="J2301" s="255">
        <v>36192</v>
      </c>
      <c r="K2301" s="593">
        <f>ROUND(I2301*J2301,0)</f>
        <v>2822976</v>
      </c>
      <c r="L2301" s="594" t="s">
        <v>259</v>
      </c>
      <c r="M2301" s="594" t="s">
        <v>174</v>
      </c>
      <c r="N2301" s="52" t="str">
        <f>IF(AND('331-CT'!$E$7=TH!H2301,OR(L2301="331",M2301="331")),"331",IF(AND(OR(L2301="131",M2301="131"),H2301='131-CT'!$E$7),"131",""))</f>
        <v/>
      </c>
      <c r="O2301" s="86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99"/>
    </row>
    <row r="2302" spans="1:27" s="210" customFormat="1" ht="15.75" customHeight="1">
      <c r="A2302" s="203" t="str">
        <f>IF(B2302&lt;&gt;"",IF(AND(B2302&gt;=_TM1,B2302&lt;=_TM2,OR(TH!L2302="1111",TH!M2302="1111")),TH!D2302,""),"")</f>
        <v/>
      </c>
      <c r="B2302" s="36">
        <f>IF(C2302&lt;&gt;"",MONTH(C2302),"")</f>
        <v>12</v>
      </c>
      <c r="C2302" s="183">
        <f>E2302</f>
        <v>42341</v>
      </c>
      <c r="D2302" s="183" t="s">
        <v>1612</v>
      </c>
      <c r="E2302" s="727">
        <v>42341</v>
      </c>
      <c r="F2302" s="188" t="s">
        <v>1228</v>
      </c>
      <c r="G2302" s="40" t="s">
        <v>1225</v>
      </c>
      <c r="H2302" s="7" t="s">
        <v>1226</v>
      </c>
      <c r="I2302" s="255">
        <v>104</v>
      </c>
      <c r="J2302" s="255">
        <v>29388</v>
      </c>
      <c r="K2302" s="593">
        <f>ROUND(I2302*J2302,0)</f>
        <v>3056352</v>
      </c>
      <c r="L2302" s="594" t="s">
        <v>259</v>
      </c>
      <c r="M2302" s="594" t="s">
        <v>174</v>
      </c>
      <c r="N2302" s="52" t="str">
        <f>IF(AND('331-CT'!$E$7=TH!H2302,OR(L2302="331",M2302="331")),"331",IF(AND(OR(L2302="131",M2302="131"),H2302='131-CT'!$E$7),"131",""))</f>
        <v/>
      </c>
      <c r="O2302" s="86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99"/>
    </row>
    <row r="2303" spans="1:27" s="210" customFormat="1" ht="15.75" customHeight="1">
      <c r="A2303" s="203" t="str">
        <f>IF(B2303&lt;&gt;"",IF(AND(B2303&gt;=_TM1,B2303&lt;=_TM2,OR(TH!L2303="1111",TH!M2303="1111")),TH!D2303,""),"")</f>
        <v/>
      </c>
      <c r="B2303" s="36">
        <f>IF(C2303&lt;&gt;"",MONTH(C2303),"")</f>
        <v>12</v>
      </c>
      <c r="C2303" s="183">
        <f>E2303</f>
        <v>42341</v>
      </c>
      <c r="D2303" s="183" t="s">
        <v>1612</v>
      </c>
      <c r="E2303" s="727">
        <v>42341</v>
      </c>
      <c r="F2303" s="188" t="s">
        <v>1679</v>
      </c>
      <c r="G2303" s="40" t="s">
        <v>1225</v>
      </c>
      <c r="H2303" s="7" t="s">
        <v>1226</v>
      </c>
      <c r="I2303" s="255">
        <v>274</v>
      </c>
      <c r="J2303" s="255">
        <v>3049</v>
      </c>
      <c r="K2303" s="593">
        <f>ROUND(I2303*J2303,0)</f>
        <v>835426</v>
      </c>
      <c r="L2303" s="594" t="s">
        <v>259</v>
      </c>
      <c r="M2303" s="594" t="s">
        <v>174</v>
      </c>
      <c r="N2303" s="52" t="str">
        <f>IF(AND('331-CT'!$E$7=TH!H2303,OR(L2303="331",M2303="331")),"331",IF(AND(OR(L2303="131",M2303="131"),H2303='131-CT'!$E$7),"131",""))</f>
        <v/>
      </c>
      <c r="O2303" s="86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99"/>
    </row>
    <row r="2304" spans="1:27" s="210" customFormat="1" ht="15.75" customHeight="1">
      <c r="A2304" s="203" t="str">
        <f>IF(B2304&lt;&gt;"",IF(AND(B2304&gt;=_TM1,B2304&lt;=_TM2,OR(TH!L2304="1111",TH!M2304="1111")),TH!D2304,""),"")</f>
        <v/>
      </c>
      <c r="B2304" s="36">
        <f>IF(C2304&lt;&gt;"",MONTH(C2304),"")</f>
        <v>12</v>
      </c>
      <c r="C2304" s="183">
        <f>E2304</f>
        <v>42341</v>
      </c>
      <c r="D2304" s="183" t="s">
        <v>1612</v>
      </c>
      <c r="E2304" s="727">
        <v>42341</v>
      </c>
      <c r="F2304" s="188" t="s">
        <v>1680</v>
      </c>
      <c r="G2304" s="40" t="s">
        <v>1225</v>
      </c>
      <c r="H2304" s="7" t="s">
        <v>1226</v>
      </c>
      <c r="I2304" s="255">
        <v>156</v>
      </c>
      <c r="J2304" s="255">
        <v>3245</v>
      </c>
      <c r="K2304" s="593">
        <f>ROUND(I2304*J2304,0)</f>
        <v>506220</v>
      </c>
      <c r="L2304" s="594" t="s">
        <v>259</v>
      </c>
      <c r="M2304" s="594" t="s">
        <v>174</v>
      </c>
      <c r="N2304" s="52" t="str">
        <f>IF(AND('331-CT'!$E$7=TH!H2304,OR(L2304="331",M2304="331")),"331",IF(AND(OR(L2304="131",M2304="131"),H2304='131-CT'!$E$7),"131",""))</f>
        <v/>
      </c>
      <c r="O2304" s="86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99"/>
    </row>
    <row r="2305" spans="1:27" s="210" customFormat="1" ht="15.75" customHeight="1">
      <c r="A2305" s="203" t="str">
        <f>IF(B2305&lt;&gt;"",IF(AND(B2305&gt;=_TM1,B2305&lt;=_TM2,OR(TH!L2305="1111",TH!M2305="1111")),TH!D2305,""),"")</f>
        <v/>
      </c>
      <c r="B2305" s="36">
        <f>IF(C2305&lt;&gt;"",MONTH(C2305),"")</f>
        <v>12</v>
      </c>
      <c r="C2305" s="183">
        <f>E2305</f>
        <v>42341</v>
      </c>
      <c r="D2305" s="183" t="s">
        <v>1612</v>
      </c>
      <c r="E2305" s="727">
        <v>42341</v>
      </c>
      <c r="F2305" s="188" t="s">
        <v>1681</v>
      </c>
      <c r="G2305" s="40" t="s">
        <v>1225</v>
      </c>
      <c r="H2305" s="7" t="s">
        <v>1226</v>
      </c>
      <c r="I2305" s="255">
        <v>312</v>
      </c>
      <c r="J2305" s="255">
        <v>1543</v>
      </c>
      <c r="K2305" s="593">
        <f>ROUND(I2305*J2305,0)</f>
        <v>481416</v>
      </c>
      <c r="L2305" s="594" t="s">
        <v>259</v>
      </c>
      <c r="M2305" s="594" t="s">
        <v>174</v>
      </c>
      <c r="N2305" s="52" t="str">
        <f>IF(AND('331-CT'!$E$7=TH!H2305,OR(L2305="331",M2305="331")),"331",IF(AND(OR(L2305="131",M2305="131"),H2305='131-CT'!$E$7),"131",""))</f>
        <v/>
      </c>
      <c r="O2305" s="86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99"/>
    </row>
    <row r="2306" spans="1:27" s="210" customFormat="1" ht="15.75" customHeight="1">
      <c r="A2306" s="203" t="str">
        <f>IF(B2306&lt;&gt;"",IF(AND(B2306&gt;=_TM1,B2306&lt;=_TM2,OR(TH!L2306="1111",TH!M2306="1111")),TH!D2306,""),"")</f>
        <v/>
      </c>
      <c r="B2306" s="36">
        <f>IF(C2306&lt;&gt;"",MONTH(C2306),"")</f>
        <v>12</v>
      </c>
      <c r="C2306" s="183">
        <f>E2306</f>
        <v>42341</v>
      </c>
      <c r="D2306" s="183" t="s">
        <v>1612</v>
      </c>
      <c r="E2306" s="727">
        <v>42341</v>
      </c>
      <c r="F2306" s="188" t="s">
        <v>1682</v>
      </c>
      <c r="G2306" s="40" t="s">
        <v>1225</v>
      </c>
      <c r="H2306" s="7" t="s">
        <v>1226</v>
      </c>
      <c r="I2306" s="255">
        <v>435</v>
      </c>
      <c r="J2306" s="255">
        <v>1247</v>
      </c>
      <c r="K2306" s="593">
        <f>ROUND(I2306*J2306,0)</f>
        <v>542445</v>
      </c>
      <c r="L2306" s="594" t="s">
        <v>259</v>
      </c>
      <c r="M2306" s="594" t="s">
        <v>174</v>
      </c>
      <c r="N2306" s="52" t="str">
        <f>IF(AND('331-CT'!$E$7=TH!H2306,OR(L2306="331",M2306="331")),"331",IF(AND(OR(L2306="131",M2306="131"),H2306='131-CT'!$E$7),"131",""))</f>
        <v/>
      </c>
      <c r="O2306" s="86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99"/>
    </row>
    <row r="2307" spans="1:27" s="210" customFormat="1" ht="15.75" customHeight="1">
      <c r="A2307" s="203" t="str">
        <f>IF(B2307&lt;&gt;"",IF(AND(B2307&gt;=_TM1,B2307&lt;=_TM2,OR(TH!L2307="1111",TH!M2307="1111")),TH!D2307,""),"")</f>
        <v/>
      </c>
      <c r="B2307" s="36">
        <f>IF(C2307&lt;&gt;"",MONTH(C2307),"")</f>
        <v>12</v>
      </c>
      <c r="C2307" s="183">
        <f>E2307</f>
        <v>42341</v>
      </c>
      <c r="D2307" s="183" t="s">
        <v>1612</v>
      </c>
      <c r="E2307" s="727">
        <v>42341</v>
      </c>
      <c r="F2307" s="188" t="s">
        <v>1683</v>
      </c>
      <c r="G2307" s="40" t="s">
        <v>1225</v>
      </c>
      <c r="H2307" s="7" t="s">
        <v>1226</v>
      </c>
      <c r="I2307" s="255">
        <v>508</v>
      </c>
      <c r="J2307" s="255">
        <v>2288</v>
      </c>
      <c r="K2307" s="593">
        <f>ROUND(I2307*J2307,0)</f>
        <v>1162304</v>
      </c>
      <c r="L2307" s="594" t="s">
        <v>259</v>
      </c>
      <c r="M2307" s="594" t="s">
        <v>174</v>
      </c>
      <c r="N2307" s="52" t="str">
        <f>IF(AND('331-CT'!$E$7=TH!H2307,OR(L2307="331",M2307="331")),"331",IF(AND(OR(L2307="131",M2307="131"),H2307='131-CT'!$E$7),"131",""))</f>
        <v/>
      </c>
      <c r="O2307" s="86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99"/>
    </row>
    <row r="2308" spans="1:27" s="210" customFormat="1" ht="15.75" customHeight="1">
      <c r="A2308" s="203" t="str">
        <f>IF(B2308&lt;&gt;"",IF(AND(B2308&gt;=_TM1,B2308&lt;=_TM2,OR(TH!L2308="1111",TH!M2308="1111")),TH!D2308,""),"")</f>
        <v/>
      </c>
      <c r="B2308" s="36">
        <f>IF(C2308&lt;&gt;"",MONTH(C2308),"")</f>
        <v>12</v>
      </c>
      <c r="C2308" s="183">
        <f>E2308</f>
        <v>42341</v>
      </c>
      <c r="D2308" s="183" t="s">
        <v>1612</v>
      </c>
      <c r="E2308" s="727">
        <v>42341</v>
      </c>
      <c r="F2308" s="188" t="s">
        <v>1315</v>
      </c>
      <c r="G2308" s="40" t="s">
        <v>1225</v>
      </c>
      <c r="H2308" s="7" t="s">
        <v>1226</v>
      </c>
      <c r="I2308" s="255">
        <v>100</v>
      </c>
      <c r="J2308" s="255">
        <v>2017</v>
      </c>
      <c r="K2308" s="593">
        <f>ROUND(I2308*J2308,0)</f>
        <v>201700</v>
      </c>
      <c r="L2308" s="594" t="s">
        <v>259</v>
      </c>
      <c r="M2308" s="594" t="s">
        <v>174</v>
      </c>
      <c r="N2308" s="52" t="str">
        <f>IF(AND('331-CT'!$E$7=TH!H2308,OR(L2308="331",M2308="331")),"331",IF(AND(OR(L2308="131",M2308="131"),H2308='131-CT'!$E$7),"131",""))</f>
        <v/>
      </c>
      <c r="O2308" s="86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99"/>
    </row>
    <row r="2309" spans="1:27" s="210" customFormat="1" ht="15.75" customHeight="1">
      <c r="A2309" s="203" t="str">
        <f>IF(B2309&lt;&gt;"",IF(AND(B2309&gt;=_TM1,B2309&lt;=_TM2,OR(TH!L2309="1111",TH!M2309="1111")),TH!D2309,""),"")</f>
        <v/>
      </c>
      <c r="B2309" s="36">
        <f>IF(C2309&lt;&gt;"",MONTH(C2309),"")</f>
        <v>12</v>
      </c>
      <c r="C2309" s="183">
        <f>E2309</f>
        <v>42341</v>
      </c>
      <c r="D2309" s="183" t="s">
        <v>1612</v>
      </c>
      <c r="E2309" s="183">
        <v>42341</v>
      </c>
      <c r="F2309" s="188" t="s">
        <v>402</v>
      </c>
      <c r="G2309" s="40" t="s">
        <v>1225</v>
      </c>
      <c r="H2309" s="192" t="s">
        <v>1226</v>
      </c>
      <c r="I2309" s="255"/>
      <c r="J2309" s="255"/>
      <c r="K2309" s="593">
        <v>1274392</v>
      </c>
      <c r="L2309" s="594" t="s">
        <v>259</v>
      </c>
      <c r="M2309" s="594" t="s">
        <v>371</v>
      </c>
      <c r="N2309" s="52" t="str">
        <f>IF(AND('331-CT'!$E$7=TH!H2309,OR(L2309="331",M2309="331")),"331",IF(AND(OR(L2309="131",M2309="131"),H2309='131-CT'!$E$7),"131",""))</f>
        <v/>
      </c>
      <c r="O2309" s="86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99"/>
    </row>
    <row r="2310" spans="1:27" s="210" customFormat="1" ht="15.75" customHeight="1">
      <c r="A2310" s="203" t="str">
        <f>IF(B2310&lt;&gt;"",IF(AND(B2310&gt;=_TM1,B2310&lt;=_TM2,OR(TH!L2310="1111",TH!M2310="1111")),TH!D2310,""),"")</f>
        <v/>
      </c>
      <c r="B2310" s="36">
        <f>IF(C2310&lt;&gt;"",MONTH(C2310),"")</f>
        <v>12</v>
      </c>
      <c r="C2310" s="183">
        <f>E2310</f>
        <v>42341</v>
      </c>
      <c r="D2310" s="183" t="s">
        <v>1613</v>
      </c>
      <c r="E2310" s="190">
        <v>42341</v>
      </c>
      <c r="F2310" s="191" t="s">
        <v>1684</v>
      </c>
      <c r="G2310" s="482" t="s">
        <v>1229</v>
      </c>
      <c r="H2310" s="192" t="s">
        <v>1226</v>
      </c>
      <c r="I2310" s="255">
        <v>78</v>
      </c>
      <c r="J2310" s="255">
        <v>1238</v>
      </c>
      <c r="K2310" s="593">
        <f>ROUND(I2310*J2310,0)</f>
        <v>96564</v>
      </c>
      <c r="L2310" s="594" t="s">
        <v>259</v>
      </c>
      <c r="M2310" s="594" t="s">
        <v>174</v>
      </c>
      <c r="N2310" s="52" t="str">
        <f>IF(AND('331-CT'!$E$7=TH!H2310,OR(L2310="331",M2310="331")),"331",IF(AND(OR(L2310="131",M2310="131"),H2310='131-CT'!$E$7),"131",""))</f>
        <v/>
      </c>
      <c r="O2310" s="86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99"/>
    </row>
    <row r="2311" spans="1:27" s="210" customFormat="1" ht="15.75" customHeight="1">
      <c r="A2311" s="203" t="str">
        <f>IF(B2311&lt;&gt;"",IF(AND(B2311&gt;=_TM1,B2311&lt;=_TM2,OR(TH!L2311="1111",TH!M2311="1111")),TH!D2311,""),"")</f>
        <v/>
      </c>
      <c r="B2311" s="36">
        <f>IF(C2311&lt;&gt;"",MONTH(C2311),"")</f>
        <v>12</v>
      </c>
      <c r="C2311" s="183">
        <f>E2311</f>
        <v>42341</v>
      </c>
      <c r="D2311" s="183" t="s">
        <v>1613</v>
      </c>
      <c r="E2311" s="190">
        <v>42341</v>
      </c>
      <c r="F2311" s="191" t="s">
        <v>1685</v>
      </c>
      <c r="G2311" s="482" t="s">
        <v>1229</v>
      </c>
      <c r="H2311" s="192" t="s">
        <v>1226</v>
      </c>
      <c r="I2311" s="255">
        <v>1360</v>
      </c>
      <c r="J2311" s="255">
        <v>1204</v>
      </c>
      <c r="K2311" s="593">
        <f>ROUND(I2311*J2311,0)</f>
        <v>1637440</v>
      </c>
      <c r="L2311" s="594" t="s">
        <v>259</v>
      </c>
      <c r="M2311" s="594" t="s">
        <v>174</v>
      </c>
      <c r="N2311" s="52" t="str">
        <f>IF(AND('331-CT'!$E$7=TH!H2311,OR(L2311="331",M2311="331")),"331",IF(AND(OR(L2311="131",M2311="131"),H2311='131-CT'!$E$7),"131",""))</f>
        <v/>
      </c>
      <c r="O2311" s="86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99"/>
    </row>
    <row r="2312" spans="1:27" s="210" customFormat="1" ht="15.75" customHeight="1">
      <c r="A2312" s="203" t="str">
        <f>IF(B2312&lt;&gt;"",IF(AND(B2312&gt;=_TM1,B2312&lt;=_TM2,OR(TH!L2312="1111",TH!M2312="1111")),TH!D2312,""),"")</f>
        <v/>
      </c>
      <c r="B2312" s="36">
        <f>IF(C2312&lt;&gt;"",MONTH(C2312),"")</f>
        <v>12</v>
      </c>
      <c r="C2312" s="183">
        <f>E2312</f>
        <v>42341</v>
      </c>
      <c r="D2312" s="183" t="s">
        <v>1613</v>
      </c>
      <c r="E2312" s="190">
        <v>42341</v>
      </c>
      <c r="F2312" s="191" t="s">
        <v>1318</v>
      </c>
      <c r="G2312" s="482" t="s">
        <v>1229</v>
      </c>
      <c r="H2312" s="192" t="s">
        <v>1226</v>
      </c>
      <c r="I2312" s="255">
        <v>100</v>
      </c>
      <c r="J2312" s="255">
        <v>3234</v>
      </c>
      <c r="K2312" s="593">
        <f>ROUND(I2312*J2312,0)</f>
        <v>323400</v>
      </c>
      <c r="L2312" s="594" t="s">
        <v>259</v>
      </c>
      <c r="M2312" s="594" t="s">
        <v>174</v>
      </c>
      <c r="N2312" s="52" t="str">
        <f>IF(AND('331-CT'!$E$7=TH!H2312,OR(L2312="331",M2312="331")),"331",IF(AND(OR(L2312="131",M2312="131"),H2312='131-CT'!$E$7),"131",""))</f>
        <v/>
      </c>
      <c r="O2312" s="86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99"/>
    </row>
    <row r="2313" spans="1:27" s="210" customFormat="1" ht="15.75" customHeight="1">
      <c r="A2313" s="203" t="str">
        <f>IF(B2313&lt;&gt;"",IF(AND(B2313&gt;=_TM1,B2313&lt;=_TM2,OR(TH!L2313="1111",TH!M2313="1111")),TH!D2313,""),"")</f>
        <v/>
      </c>
      <c r="B2313" s="36">
        <f>IF(C2313&lt;&gt;"",MONTH(C2313),"")</f>
        <v>12</v>
      </c>
      <c r="C2313" s="183">
        <f>E2313</f>
        <v>42341</v>
      </c>
      <c r="D2313" s="183" t="s">
        <v>1613</v>
      </c>
      <c r="E2313" s="190">
        <v>42341</v>
      </c>
      <c r="F2313" s="191" t="s">
        <v>1230</v>
      </c>
      <c r="G2313" s="482" t="s">
        <v>1229</v>
      </c>
      <c r="H2313" s="192" t="s">
        <v>1226</v>
      </c>
      <c r="I2313" s="255"/>
      <c r="J2313" s="255"/>
      <c r="K2313" s="593">
        <v>205743</v>
      </c>
      <c r="L2313" s="594" t="s">
        <v>259</v>
      </c>
      <c r="M2313" s="594" t="s">
        <v>371</v>
      </c>
      <c r="N2313" s="52" t="str">
        <f>IF(AND('331-CT'!$E$7=TH!H2313,OR(L2313="331",M2313="331")),"331",IF(AND(OR(L2313="131",M2313="131"),H2313='131-CT'!$E$7),"131",""))</f>
        <v/>
      </c>
      <c r="O2313" s="86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99"/>
    </row>
    <row r="2314" spans="1:27" s="210" customFormat="1" ht="15.75" customHeight="1">
      <c r="A2314" s="203" t="str">
        <f>IF(B2314&lt;&gt;"",IF(AND(B2314&gt;=_TM1,B2314&lt;=_TM2,OR(TH!L2314="1111",TH!M2314="1111")),TH!D2314,""),"")</f>
        <v/>
      </c>
      <c r="B2314" s="36">
        <f>IF(C2314&lt;&gt;"",MONTH(C2314),"")</f>
        <v>12</v>
      </c>
      <c r="C2314" s="183">
        <f>E2314</f>
        <v>42342</v>
      </c>
      <c r="D2314" s="183" t="s">
        <v>1319</v>
      </c>
      <c r="E2314" s="190">
        <v>42342</v>
      </c>
      <c r="F2314" s="188" t="s">
        <v>1320</v>
      </c>
      <c r="G2314" s="482" t="s">
        <v>332</v>
      </c>
      <c r="H2314" s="45" t="s">
        <v>416</v>
      </c>
      <c r="I2314" s="255"/>
      <c r="J2314" s="255"/>
      <c r="K2314" s="593">
        <v>15940232</v>
      </c>
      <c r="L2314" s="594" t="s">
        <v>24</v>
      </c>
      <c r="M2314" s="594" t="s">
        <v>259</v>
      </c>
      <c r="N2314" s="52" t="str">
        <f>IF(AND('331-CT'!$E$7=TH!H2314,OR(L2314="331",M2314="331")),"331",IF(AND(OR(L2314="131",M2314="131"),H2314='131-CT'!$E$7),"131",""))</f>
        <v/>
      </c>
      <c r="O2314" s="86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>x</v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99"/>
    </row>
    <row r="2315" spans="1:27" s="210" customFormat="1" ht="15.75" customHeight="1">
      <c r="A2315" s="203" t="str">
        <f>IF(B2315&lt;&gt;"",IF(AND(B2315&gt;=_TM1,B2315&lt;=_TM2,OR(TH!L2315="1111",TH!M2315="1111")),TH!D2315,""),"")</f>
        <v>GBC</v>
      </c>
      <c r="B2315" s="36">
        <f>IF(C2315&lt;&gt;"",MONTH(C2315),"")</f>
        <v>12</v>
      </c>
      <c r="C2315" s="183">
        <f>E2315</f>
        <v>42343</v>
      </c>
      <c r="D2315" s="183" t="s">
        <v>1319</v>
      </c>
      <c r="E2315" s="190">
        <v>42343</v>
      </c>
      <c r="F2315" s="188" t="s">
        <v>1323</v>
      </c>
      <c r="G2315" s="482" t="s">
        <v>332</v>
      </c>
      <c r="H2315" s="7" t="s">
        <v>1333</v>
      </c>
      <c r="I2315" s="255"/>
      <c r="J2315" s="255"/>
      <c r="K2315" s="593">
        <v>6000000</v>
      </c>
      <c r="L2315" s="594" t="s">
        <v>24</v>
      </c>
      <c r="M2315" s="594" t="s">
        <v>47</v>
      </c>
      <c r="N2315" s="52" t="str">
        <f>IF(AND('331-CT'!$E$7=TH!H2315,OR(L2315="331",M2315="331")),"331",IF(AND(OR(L2315="131",M2315="131"),H2315='131-CT'!$E$7),"131",""))</f>
        <v/>
      </c>
      <c r="O2315" s="86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>x</v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99"/>
    </row>
    <row r="2316" spans="1:27" s="210" customFormat="1" ht="15.75" customHeight="1">
      <c r="A2316" s="203" t="str">
        <f>IF(B2316&lt;&gt;"",IF(AND(B2316&gt;=_TM1,B2316&lt;=_TM2,OR(TH!L2316="1111",TH!M2316="1111")),TH!D2316,""),"")</f>
        <v/>
      </c>
      <c r="B2316" s="36">
        <f>IF(C2316&lt;&gt;"",MONTH(C2316),"")</f>
        <v>12</v>
      </c>
      <c r="C2316" s="183">
        <f>E2316</f>
        <v>42343</v>
      </c>
      <c r="D2316" s="183" t="s">
        <v>1324</v>
      </c>
      <c r="E2316" s="190">
        <v>42343</v>
      </c>
      <c r="F2316" s="296" t="s">
        <v>1326</v>
      </c>
      <c r="G2316" s="482" t="s">
        <v>332</v>
      </c>
      <c r="H2316" s="7" t="s">
        <v>1472</v>
      </c>
      <c r="I2316" s="704"/>
      <c r="J2316" s="704"/>
      <c r="K2316" s="593">
        <v>22000000</v>
      </c>
      <c r="L2316" s="594" t="s">
        <v>8</v>
      </c>
      <c r="M2316" s="594" t="s">
        <v>24</v>
      </c>
      <c r="N2316" s="52" t="str">
        <f>IF(AND('331-CT'!$E$7=TH!H2316,OR(L2316="331",M2316="331")),"331",IF(AND(OR(L2316="131",M2316="131"),H2316='131-CT'!$E$7),"131",""))</f>
        <v/>
      </c>
      <c r="O2316" s="86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>x</v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99"/>
    </row>
    <row r="2317" spans="1:27" s="210" customFormat="1" ht="15.75" customHeight="1">
      <c r="A2317" s="203" t="str">
        <f>IF(B2317&lt;&gt;"",IF(AND(B2317&gt;=_TM1,B2317&lt;=_TM2,OR(TH!L2317="1111",TH!M2317="1111")),TH!D2317,""),"")</f>
        <v/>
      </c>
      <c r="B2317" s="36">
        <f>IF(C2317&lt;&gt;"",MONTH(C2317),"")</f>
        <v>12</v>
      </c>
      <c r="C2317" s="183">
        <f>E2317</f>
        <v>42343</v>
      </c>
      <c r="D2317" s="183" t="s">
        <v>1324</v>
      </c>
      <c r="E2317" s="190">
        <v>42343</v>
      </c>
      <c r="F2317" s="188" t="s">
        <v>1327</v>
      </c>
      <c r="G2317" s="482" t="s">
        <v>332</v>
      </c>
      <c r="H2317" s="7"/>
      <c r="I2317" s="255"/>
      <c r="J2317" s="255"/>
      <c r="K2317" s="593">
        <v>15000</v>
      </c>
      <c r="L2317" s="594" t="s">
        <v>83</v>
      </c>
      <c r="M2317" s="594" t="s">
        <v>24</v>
      </c>
      <c r="N2317" s="52" t="str">
        <f>IF(AND('331-CT'!$E$7=TH!H2317,OR(L2317="331",M2317="331")),"331",IF(AND(OR(L2317="131",M2317="131"),H2317='131-CT'!$E$7),"131",""))</f>
        <v/>
      </c>
      <c r="O2317" s="86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>x</v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>x</v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99"/>
    </row>
    <row r="2318" spans="1:27" s="210" customFormat="1" ht="15.75" customHeight="1">
      <c r="A2318" s="203" t="str">
        <f>IF(B2318&lt;&gt;"",IF(AND(B2318&gt;=_TM1,B2318&lt;=_TM2,OR(TH!L2318="1111",TH!M2318="1111")),TH!D2318,""),"")</f>
        <v/>
      </c>
      <c r="B2318" s="36">
        <f>IF(C2318&lt;&gt;"",MONTH(C2318),"")</f>
        <v>12</v>
      </c>
      <c r="C2318" s="183">
        <f>E2318</f>
        <v>42345</v>
      </c>
      <c r="D2318" s="183" t="s">
        <v>1613</v>
      </c>
      <c r="E2318" s="190">
        <v>42345</v>
      </c>
      <c r="F2318" s="191" t="s">
        <v>1231</v>
      </c>
      <c r="G2318" s="482" t="s">
        <v>1232</v>
      </c>
      <c r="H2318" s="192" t="s">
        <v>412</v>
      </c>
      <c r="I2318" s="255">
        <v>444</v>
      </c>
      <c r="J2318" s="255">
        <v>3800</v>
      </c>
      <c r="K2318" s="593">
        <f>ROUND(I2318*J2318,0)</f>
        <v>1687200</v>
      </c>
      <c r="L2318" s="594" t="s">
        <v>259</v>
      </c>
      <c r="M2318" s="594" t="s">
        <v>174</v>
      </c>
      <c r="N2318" s="52" t="str">
        <f>IF(AND('331-CT'!$E$7=TH!H2318,OR(L2318="331",M2318="331")),"331",IF(AND(OR(L2318="131",M2318="131"),H2318='131-CT'!$E$7),"131",""))</f>
        <v/>
      </c>
      <c r="O2318" s="86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99"/>
    </row>
    <row r="2319" spans="1:27" s="210" customFormat="1" ht="15.75" customHeight="1">
      <c r="A2319" s="203" t="str">
        <f>IF(B2319&lt;&gt;"",IF(AND(B2319&gt;=_TM1,B2319&lt;=_TM2,OR(TH!L2319="1111",TH!M2319="1111")),TH!D2319,""),"")</f>
        <v/>
      </c>
      <c r="B2319" s="36">
        <f>IF(C2319&lt;&gt;"",MONTH(C2319),"")</f>
        <v>12</v>
      </c>
      <c r="C2319" s="183">
        <f>E2319</f>
        <v>42345</v>
      </c>
      <c r="D2319" s="183" t="s">
        <v>1613</v>
      </c>
      <c r="E2319" s="37">
        <v>42345</v>
      </c>
      <c r="F2319" s="40" t="s">
        <v>402</v>
      </c>
      <c r="G2319" s="40" t="s">
        <v>1232</v>
      </c>
      <c r="H2319" s="7" t="s">
        <v>412</v>
      </c>
      <c r="I2319" s="255"/>
      <c r="J2319" s="255"/>
      <c r="K2319" s="593">
        <v>168720</v>
      </c>
      <c r="L2319" s="594" t="s">
        <v>259</v>
      </c>
      <c r="M2319" s="594" t="s">
        <v>371</v>
      </c>
      <c r="N2319" s="52" t="str">
        <f>IF(AND('331-CT'!$E$7=TH!H2319,OR(L2319="331",M2319="331")),"331",IF(AND(OR(L2319="131",M2319="131"),H2319='131-CT'!$E$7),"131",""))</f>
        <v/>
      </c>
      <c r="O2319" s="86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99"/>
    </row>
    <row r="2320" spans="1:27" s="210" customFormat="1" ht="15.75" customHeight="1">
      <c r="A2320" s="203" t="str">
        <f>IF(B2320&lt;&gt;"",IF(AND(B2320&gt;=_TM1,B2320&lt;=_TM2,OR(TH!L2320="1111",TH!M2320="1111")),TH!D2320,""),"")</f>
        <v/>
      </c>
      <c r="B2320" s="36">
        <f>IF(C2320&lt;&gt;"",MONTH(C2320),"")</f>
        <v>12</v>
      </c>
      <c r="C2320" s="183">
        <f>E2320</f>
        <v>42345</v>
      </c>
      <c r="D2320" s="183" t="s">
        <v>1614</v>
      </c>
      <c r="E2320" s="37">
        <v>42345</v>
      </c>
      <c r="F2320" s="40" t="s">
        <v>1777</v>
      </c>
      <c r="G2320" s="40" t="s">
        <v>1233</v>
      </c>
      <c r="H2320" s="7" t="s">
        <v>1934</v>
      </c>
      <c r="I2320" s="255">
        <v>300</v>
      </c>
      <c r="J2320" s="255">
        <v>13913</v>
      </c>
      <c r="K2320" s="593">
        <f>ROUND(I2320*J2320,0)</f>
        <v>4173900</v>
      </c>
      <c r="L2320" s="594" t="s">
        <v>259</v>
      </c>
      <c r="M2320" s="594" t="s">
        <v>174</v>
      </c>
      <c r="N2320" s="52" t="str">
        <f>IF(AND('331-CT'!$E$7=TH!H2320,OR(L2320="331",M2320="331")),"331",IF(AND(OR(L2320="131",M2320="131"),H2320='131-CT'!$E$7),"131",""))</f>
        <v/>
      </c>
      <c r="O2320" s="86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99"/>
    </row>
    <row r="2321" spans="1:27" s="210" customFormat="1" ht="15.75" customHeight="1">
      <c r="A2321" s="203" t="str">
        <f>IF(B2321&lt;&gt;"",IF(AND(B2321&gt;=_TM1,B2321&lt;=_TM2,OR(TH!L2321="1111",TH!M2321="1111")),TH!D2321,""),"")</f>
        <v/>
      </c>
      <c r="B2321" s="36">
        <f>IF(C2321&lt;&gt;"",MONTH(C2321),"")</f>
        <v>12</v>
      </c>
      <c r="C2321" s="183">
        <f>E2321</f>
        <v>42345</v>
      </c>
      <c r="D2321" s="183" t="s">
        <v>1614</v>
      </c>
      <c r="E2321" s="183">
        <v>42345</v>
      </c>
      <c r="F2321" s="188" t="s">
        <v>1825</v>
      </c>
      <c r="G2321" s="595" t="s">
        <v>1233</v>
      </c>
      <c r="H2321" s="7" t="s">
        <v>1934</v>
      </c>
      <c r="I2321" s="255">
        <v>30</v>
      </c>
      <c r="J2321" s="255">
        <v>10847</v>
      </c>
      <c r="K2321" s="593">
        <f>ROUND(I2321*J2321,0)</f>
        <v>325410</v>
      </c>
      <c r="L2321" s="594" t="s">
        <v>259</v>
      </c>
      <c r="M2321" s="594" t="s">
        <v>174</v>
      </c>
      <c r="N2321" s="52" t="str">
        <f>IF(AND('331-CT'!$E$7=TH!H2321,OR(L2321="331",M2321="331")),"331",IF(AND(OR(L2321="131",M2321="131"),H2321='131-CT'!$E$7),"131",""))</f>
        <v/>
      </c>
      <c r="O2321" s="86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99"/>
    </row>
    <row r="2322" spans="1:27" s="210" customFormat="1" ht="15.75" customHeight="1">
      <c r="A2322" s="203" t="str">
        <f>IF(B2322&lt;&gt;"",IF(AND(B2322&gt;=_TM1,B2322&lt;=_TM2,OR(TH!L2322="1111",TH!M2322="1111")),TH!D2322,""),"")</f>
        <v/>
      </c>
      <c r="B2322" s="36">
        <f>IF(C2322&lt;&gt;"",MONTH(C2322),"")</f>
        <v>12</v>
      </c>
      <c r="C2322" s="183">
        <f>E2322</f>
        <v>42345</v>
      </c>
      <c r="D2322" s="183" t="s">
        <v>1614</v>
      </c>
      <c r="E2322" s="183">
        <v>42345</v>
      </c>
      <c r="F2322" s="188" t="s">
        <v>692</v>
      </c>
      <c r="G2322" s="595" t="s">
        <v>1233</v>
      </c>
      <c r="H2322" s="7" t="s">
        <v>1934</v>
      </c>
      <c r="I2322" s="255">
        <v>15</v>
      </c>
      <c r="J2322" s="255">
        <v>16244</v>
      </c>
      <c r="K2322" s="593">
        <f>ROUND(I2322*J2322,0)</f>
        <v>243660</v>
      </c>
      <c r="L2322" s="594" t="s">
        <v>259</v>
      </c>
      <c r="M2322" s="594" t="s">
        <v>174</v>
      </c>
      <c r="N2322" s="52" t="str">
        <f>IF(AND('331-CT'!$E$7=TH!H2322,OR(L2322="331",M2322="331")),"331",IF(AND(OR(L2322="131",M2322="131"),H2322='131-CT'!$E$7),"131",""))</f>
        <v/>
      </c>
      <c r="O2322" s="86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99"/>
    </row>
    <row r="2323" spans="1:27" s="210" customFormat="1" ht="15.75" customHeight="1">
      <c r="A2323" s="203" t="str">
        <f>IF(B2323&lt;&gt;"",IF(AND(B2323&gt;=_TM1,B2323&lt;=_TM2,OR(TH!L2323="1111",TH!M2323="1111")),TH!D2323,""),"")</f>
        <v/>
      </c>
      <c r="B2323" s="36">
        <f>IF(C2323&lt;&gt;"",MONTH(C2323),"")</f>
        <v>12</v>
      </c>
      <c r="C2323" s="183">
        <f>E2323</f>
        <v>42345</v>
      </c>
      <c r="D2323" s="183" t="s">
        <v>1614</v>
      </c>
      <c r="E2323" s="183">
        <v>42345</v>
      </c>
      <c r="F2323" s="188" t="s">
        <v>1753</v>
      </c>
      <c r="G2323" s="595" t="s">
        <v>1233</v>
      </c>
      <c r="H2323" s="7" t="s">
        <v>1934</v>
      </c>
      <c r="I2323" s="255">
        <v>100</v>
      </c>
      <c r="J2323" s="255">
        <v>15878</v>
      </c>
      <c r="K2323" s="593">
        <f>ROUND(I2323*J2323,0)</f>
        <v>1587800</v>
      </c>
      <c r="L2323" s="594" t="s">
        <v>259</v>
      </c>
      <c r="M2323" s="594" t="s">
        <v>174</v>
      </c>
      <c r="N2323" s="52" t="str">
        <f>IF(AND('331-CT'!$E$7=TH!H2323,OR(L2323="331",M2323="331")),"331",IF(AND(OR(L2323="131",M2323="131"),H2323='131-CT'!$E$7),"131",""))</f>
        <v/>
      </c>
      <c r="O2323" s="86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99"/>
    </row>
    <row r="2324" spans="1:27" s="210" customFormat="1" ht="15.75" customHeight="1">
      <c r="A2324" s="203" t="str">
        <f>IF(B2324&lt;&gt;"",IF(AND(B2324&gt;=_TM1,B2324&lt;=_TM2,OR(TH!L2324="1111",TH!M2324="1111")),TH!D2324,""),"")</f>
        <v/>
      </c>
      <c r="B2324" s="36">
        <f>IF(C2324&lt;&gt;"",MONTH(C2324),"")</f>
        <v>12</v>
      </c>
      <c r="C2324" s="183">
        <f>E2324</f>
        <v>42345</v>
      </c>
      <c r="D2324" s="183" t="s">
        <v>1614</v>
      </c>
      <c r="E2324" s="183">
        <v>42345</v>
      </c>
      <c r="F2324" s="188" t="s">
        <v>1747</v>
      </c>
      <c r="G2324" s="595" t="s">
        <v>1233</v>
      </c>
      <c r="H2324" s="7" t="s">
        <v>1934</v>
      </c>
      <c r="I2324" s="255">
        <v>130</v>
      </c>
      <c r="J2324" s="255">
        <v>6212</v>
      </c>
      <c r="K2324" s="593">
        <f>ROUND(I2324*J2324,0)</f>
        <v>807560</v>
      </c>
      <c r="L2324" s="594" t="s">
        <v>259</v>
      </c>
      <c r="M2324" s="594" t="s">
        <v>174</v>
      </c>
      <c r="N2324" s="52" t="str">
        <f>IF(AND('331-CT'!$E$7=TH!H2324,OR(L2324="331",M2324="331")),"331",IF(AND(OR(L2324="131",M2324="131"),H2324='131-CT'!$E$7),"131",""))</f>
        <v/>
      </c>
      <c r="O2324" s="86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99"/>
    </row>
    <row r="2325" spans="1:27" s="210" customFormat="1" ht="15.75" customHeight="1">
      <c r="A2325" s="203" t="str">
        <f>IF(B2325&lt;&gt;"",IF(AND(B2325&gt;=_TM1,B2325&lt;=_TM2,OR(TH!L2325="1111",TH!M2325="1111")),TH!D2325,""),"")</f>
        <v/>
      </c>
      <c r="B2325" s="36">
        <f>IF(C2325&lt;&gt;"",MONTH(C2325),"")</f>
        <v>12</v>
      </c>
      <c r="C2325" s="183">
        <f>E2325</f>
        <v>42345</v>
      </c>
      <c r="D2325" s="183" t="s">
        <v>1614</v>
      </c>
      <c r="E2325" s="183">
        <v>42345</v>
      </c>
      <c r="F2325" s="188" t="s">
        <v>1826</v>
      </c>
      <c r="G2325" s="595" t="s">
        <v>1233</v>
      </c>
      <c r="H2325" s="7" t="s">
        <v>1934</v>
      </c>
      <c r="I2325" s="255">
        <v>70</v>
      </c>
      <c r="J2325" s="255">
        <v>17139</v>
      </c>
      <c r="K2325" s="593">
        <f>ROUND(I2325*J2325,0)</f>
        <v>1199730</v>
      </c>
      <c r="L2325" s="594" t="s">
        <v>259</v>
      </c>
      <c r="M2325" s="594" t="s">
        <v>174</v>
      </c>
      <c r="N2325" s="52" t="str">
        <f>IF(AND('331-CT'!$E$7=TH!H2325,OR(L2325="331",M2325="331")),"331",IF(AND(OR(L2325="131",M2325="131"),H2325='131-CT'!$E$7),"131",""))</f>
        <v/>
      </c>
      <c r="O2325" s="86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99"/>
    </row>
    <row r="2326" spans="1:27" s="210" customFormat="1" ht="15.75" customHeight="1">
      <c r="A2326" s="203" t="str">
        <f>IF(B2326&lt;&gt;"",IF(AND(B2326&gt;=_TM1,B2326&lt;=_TM2,OR(TH!L2326="1111",TH!M2326="1111")),TH!D2326,""),"")</f>
        <v/>
      </c>
      <c r="B2326" s="36">
        <f>IF(C2326&lt;&gt;"",MONTH(C2326),"")</f>
        <v>12</v>
      </c>
      <c r="C2326" s="183">
        <f>E2326</f>
        <v>42345</v>
      </c>
      <c r="D2326" s="183" t="s">
        <v>1614</v>
      </c>
      <c r="E2326" s="183">
        <v>42345</v>
      </c>
      <c r="F2326" s="188" t="s">
        <v>1827</v>
      </c>
      <c r="G2326" s="595" t="s">
        <v>1233</v>
      </c>
      <c r="H2326" s="7" t="s">
        <v>1934</v>
      </c>
      <c r="I2326" s="255">
        <v>55</v>
      </c>
      <c r="J2326" s="255">
        <v>11592</v>
      </c>
      <c r="K2326" s="593">
        <f>ROUND(I2326*J2326,0)</f>
        <v>637560</v>
      </c>
      <c r="L2326" s="594" t="s">
        <v>259</v>
      </c>
      <c r="M2326" s="594" t="s">
        <v>174</v>
      </c>
      <c r="N2326" s="52" t="str">
        <f>IF(AND('331-CT'!$E$7=TH!H2326,OR(L2326="331",M2326="331")),"331",IF(AND(OR(L2326="131",M2326="131"),H2326='131-CT'!$E$7),"131",""))</f>
        <v/>
      </c>
      <c r="O2326" s="86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99"/>
    </row>
    <row r="2327" spans="1:27" s="210" customFormat="1" ht="15.75" customHeight="1">
      <c r="A2327" s="203" t="str">
        <f>IF(B2327&lt;&gt;"",IF(AND(B2327&gt;=_TM1,B2327&lt;=_TM2,OR(TH!L2327="1111",TH!M2327="1111")),TH!D2327,""),"")</f>
        <v/>
      </c>
      <c r="B2327" s="36">
        <f>IF(C2327&lt;&gt;"",MONTH(C2327),"")</f>
        <v>12</v>
      </c>
      <c r="C2327" s="183">
        <f>E2327</f>
        <v>42345</v>
      </c>
      <c r="D2327" s="183" t="s">
        <v>1614</v>
      </c>
      <c r="E2327" s="183">
        <v>42345</v>
      </c>
      <c r="F2327" s="188" t="s">
        <v>1828</v>
      </c>
      <c r="G2327" s="595" t="s">
        <v>1233</v>
      </c>
      <c r="H2327" s="7" t="s">
        <v>1934</v>
      </c>
      <c r="I2327" s="255">
        <v>55</v>
      </c>
      <c r="J2327" s="255">
        <v>15235</v>
      </c>
      <c r="K2327" s="593">
        <f>ROUND(I2327*J2327,0)</f>
        <v>837925</v>
      </c>
      <c r="L2327" s="594" t="s">
        <v>259</v>
      </c>
      <c r="M2327" s="594" t="s">
        <v>174</v>
      </c>
      <c r="N2327" s="52" t="str">
        <f>IF(AND('331-CT'!$E$7=TH!H2327,OR(L2327="331",M2327="331")),"331",IF(AND(OR(L2327="131",M2327="131"),H2327='131-CT'!$E$7),"131",""))</f>
        <v/>
      </c>
      <c r="O2327" s="86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99"/>
    </row>
    <row r="2328" spans="1:27" s="210" customFormat="1" ht="15.75" customHeight="1">
      <c r="A2328" s="203" t="str">
        <f>IF(B2328&lt;&gt;"",IF(AND(B2328&gt;=_TM1,B2328&lt;=_TM2,OR(TH!L2328="1111",TH!M2328="1111")),TH!D2328,""),"")</f>
        <v/>
      </c>
      <c r="B2328" s="36">
        <f>IF(C2328&lt;&gt;"",MONTH(C2328),"")</f>
        <v>12</v>
      </c>
      <c r="C2328" s="183">
        <f>E2328</f>
        <v>42345</v>
      </c>
      <c r="D2328" s="183" t="s">
        <v>1614</v>
      </c>
      <c r="E2328" s="190">
        <v>42345</v>
      </c>
      <c r="F2328" s="191" t="s">
        <v>1829</v>
      </c>
      <c r="G2328" s="482" t="s">
        <v>1233</v>
      </c>
      <c r="H2328" s="7" t="s">
        <v>1934</v>
      </c>
      <c r="I2328" s="255">
        <v>155</v>
      </c>
      <c r="J2328" s="255">
        <v>10598</v>
      </c>
      <c r="K2328" s="593">
        <f>ROUND(I2328*J2328,0)</f>
        <v>1642690</v>
      </c>
      <c r="L2328" s="594" t="s">
        <v>259</v>
      </c>
      <c r="M2328" s="594" t="s">
        <v>174</v>
      </c>
      <c r="N2328" s="52" t="str">
        <f>IF(AND('331-CT'!$E$7=TH!H2328,OR(L2328="331",M2328="331")),"331",IF(AND(OR(L2328="131",M2328="131"),H2328='131-CT'!$E$7),"131",""))</f>
        <v/>
      </c>
      <c r="O2328" s="86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99"/>
    </row>
    <row r="2329" spans="1:27" s="210" customFormat="1" ht="15.75" customHeight="1">
      <c r="A2329" s="203" t="str">
        <f>IF(B2329&lt;&gt;"",IF(AND(B2329&gt;=_TM1,B2329&lt;=_TM2,OR(TH!L2329="1111",TH!M2329="1111")),TH!D2329,""),"")</f>
        <v/>
      </c>
      <c r="B2329" s="36">
        <f>IF(C2329&lt;&gt;"",MONTH(C2329),"")</f>
        <v>12</v>
      </c>
      <c r="C2329" s="183">
        <f>E2329</f>
        <v>42345</v>
      </c>
      <c r="D2329" s="183" t="s">
        <v>1614</v>
      </c>
      <c r="E2329" s="190">
        <v>42345</v>
      </c>
      <c r="F2329" s="191" t="s">
        <v>747</v>
      </c>
      <c r="G2329" s="482" t="s">
        <v>1233</v>
      </c>
      <c r="H2329" s="7" t="s">
        <v>1934</v>
      </c>
      <c r="I2329" s="255">
        <v>1000</v>
      </c>
      <c r="J2329" s="255">
        <v>4050</v>
      </c>
      <c r="K2329" s="593">
        <f>ROUND(I2329*J2329,0)</f>
        <v>4050000</v>
      </c>
      <c r="L2329" s="594" t="s">
        <v>259</v>
      </c>
      <c r="M2329" s="594" t="s">
        <v>174</v>
      </c>
      <c r="N2329" s="52" t="str">
        <f>IF(AND('331-CT'!$E$7=TH!H2329,OR(L2329="331",M2329="331")),"331",IF(AND(OR(L2329="131",M2329="131"),H2329='131-CT'!$E$7),"131",""))</f>
        <v/>
      </c>
      <c r="O2329" s="86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99"/>
    </row>
    <row r="2330" spans="1:27" s="210" customFormat="1" ht="15.75" customHeight="1">
      <c r="A2330" s="203" t="str">
        <f>IF(B2330&lt;&gt;"",IF(AND(B2330&gt;=_TM1,B2330&lt;=_TM2,OR(TH!L2330="1111",TH!M2330="1111")),TH!D2330,""),"")</f>
        <v/>
      </c>
      <c r="B2330" s="36">
        <f>IF(C2330&lt;&gt;"",MONTH(C2330),"")</f>
        <v>12</v>
      </c>
      <c r="C2330" s="183">
        <f>E2330</f>
        <v>42345</v>
      </c>
      <c r="D2330" s="183" t="s">
        <v>1614</v>
      </c>
      <c r="E2330" s="727">
        <v>42345</v>
      </c>
      <c r="F2330" s="188" t="s">
        <v>731</v>
      </c>
      <c r="G2330" s="40" t="s">
        <v>1233</v>
      </c>
      <c r="H2330" s="7" t="s">
        <v>1934</v>
      </c>
      <c r="I2330" s="255"/>
      <c r="J2330" s="255"/>
      <c r="K2330" s="593">
        <v>1550624</v>
      </c>
      <c r="L2330" s="594" t="s">
        <v>259</v>
      </c>
      <c r="M2330" s="594" t="s">
        <v>371</v>
      </c>
      <c r="N2330" s="52" t="str">
        <f>IF(AND('331-CT'!$E$7=TH!H2330,OR(L2330="331",M2330="331")),"331",IF(AND(OR(L2330="131",M2330="131"),H2330='131-CT'!$E$7),"131",""))</f>
        <v/>
      </c>
      <c r="O2330" s="86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99"/>
    </row>
    <row r="2331" spans="1:27" s="210" customFormat="1" ht="15.75" customHeight="1">
      <c r="A2331" s="203" t="str">
        <f>IF(B2331&lt;&gt;"",IF(AND(B2331&gt;=_TM1,B2331&lt;=_TM2,OR(TH!L2331="1111",TH!M2331="1111")),TH!D2331,""),"")</f>
        <v/>
      </c>
      <c r="B2331" s="36">
        <f>IF(C2331&lt;&gt;"",MONTH(C2331),"")</f>
        <v>12</v>
      </c>
      <c r="C2331" s="183">
        <f>E2331</f>
        <v>42345</v>
      </c>
      <c r="D2331" s="183" t="s">
        <v>1319</v>
      </c>
      <c r="E2331" s="190">
        <v>42345</v>
      </c>
      <c r="F2331" s="188" t="s">
        <v>1320</v>
      </c>
      <c r="G2331" s="482" t="s">
        <v>332</v>
      </c>
      <c r="H2331" s="7" t="s">
        <v>762</v>
      </c>
      <c r="I2331" s="255"/>
      <c r="J2331" s="255"/>
      <c r="K2331" s="593">
        <v>5599660</v>
      </c>
      <c r="L2331" s="594" t="s">
        <v>24</v>
      </c>
      <c r="M2331" s="594" t="s">
        <v>259</v>
      </c>
      <c r="N2331" s="52" t="str">
        <f>IF(AND('331-CT'!$E$7=TH!H2331,OR(L2331="331",M2331="331")),"331",IF(AND(OR(L2331="131",M2331="131"),H2331='131-CT'!$E$7),"131",""))</f>
        <v/>
      </c>
      <c r="O2331" s="86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>x</v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99"/>
    </row>
    <row r="2332" spans="1:27" s="210" customFormat="1" ht="15.75" customHeight="1">
      <c r="A2332" s="203" t="str">
        <f>IF(B2332&lt;&gt;"",IF(AND(B2332&gt;=_TM1,B2332&lt;=_TM2,OR(TH!L2332="1111",TH!M2332="1111")),TH!D2332,""),"")</f>
        <v/>
      </c>
      <c r="B2332" s="36">
        <f>IF(C2332&lt;&gt;"",MONTH(C2332),"")</f>
        <v>12</v>
      </c>
      <c r="C2332" s="183">
        <f>E2332</f>
        <v>42345</v>
      </c>
      <c r="D2332" s="183" t="s">
        <v>1319</v>
      </c>
      <c r="E2332" s="190">
        <v>42345</v>
      </c>
      <c r="F2332" s="188" t="s">
        <v>1320</v>
      </c>
      <c r="G2332" s="482" t="s">
        <v>332</v>
      </c>
      <c r="H2332" s="7" t="s">
        <v>400</v>
      </c>
      <c r="I2332" s="255"/>
      <c r="J2332" s="255"/>
      <c r="K2332" s="593">
        <v>10470570</v>
      </c>
      <c r="L2332" s="594" t="s">
        <v>24</v>
      </c>
      <c r="M2332" s="594" t="s">
        <v>259</v>
      </c>
      <c r="N2332" s="52" t="str">
        <f>IF(AND('331-CT'!$E$7=TH!H2332,OR(L2332="331",M2332="331")),"331",IF(AND(OR(L2332="131",M2332="131"),H2332='131-CT'!$E$7),"131",""))</f>
        <v/>
      </c>
      <c r="O2332" s="86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>x</v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99"/>
    </row>
    <row r="2333" spans="1:27" s="210" customFormat="1" ht="15.75" customHeight="1">
      <c r="A2333" s="203" t="str">
        <f>IF(B2333&lt;&gt;"",IF(AND(B2333&gt;=_TM1,B2333&lt;=_TM2,OR(TH!L2333="1111",TH!M2333="1111")),TH!D2333,""),"")</f>
        <v/>
      </c>
      <c r="B2333" s="36">
        <f>IF(C2333&lt;&gt;"",MONTH(C2333),"")</f>
        <v>12</v>
      </c>
      <c r="C2333" s="183">
        <f>E2333</f>
        <v>42346</v>
      </c>
      <c r="D2333" s="183" t="s">
        <v>1615</v>
      </c>
      <c r="E2333" s="727">
        <v>42346</v>
      </c>
      <c r="F2333" s="296" t="s">
        <v>398</v>
      </c>
      <c r="G2333" s="40" t="s">
        <v>1234</v>
      </c>
      <c r="H2333" s="7" t="s">
        <v>400</v>
      </c>
      <c r="I2333" s="255">
        <v>944</v>
      </c>
      <c r="J2333" s="255">
        <v>5000</v>
      </c>
      <c r="K2333" s="593">
        <f>ROUND(I2333*J2333,0)</f>
        <v>4720000</v>
      </c>
      <c r="L2333" s="594" t="s">
        <v>259</v>
      </c>
      <c r="M2333" s="594" t="s">
        <v>174</v>
      </c>
      <c r="N2333" s="52" t="str">
        <f>IF(AND('331-CT'!$E$7=TH!H2333,OR(L2333="331",M2333="331")),"331",IF(AND(OR(L2333="131",M2333="131"),H2333='131-CT'!$E$7),"131",""))</f>
        <v/>
      </c>
      <c r="O2333" s="86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99"/>
    </row>
    <row r="2334" spans="1:27" s="210" customFormat="1" ht="15.75" customHeight="1">
      <c r="A2334" s="203" t="str">
        <f>IF(B2334&lt;&gt;"",IF(AND(B2334&gt;=_TM1,B2334&lt;=_TM2,OR(TH!L2334="1111",TH!M2334="1111")),TH!D2334,""),"")</f>
        <v/>
      </c>
      <c r="B2334" s="36">
        <f>IF(C2334&lt;&gt;"",MONTH(C2334),"")</f>
        <v>12</v>
      </c>
      <c r="C2334" s="183">
        <f>E2334</f>
        <v>42346</v>
      </c>
      <c r="D2334" s="183" t="s">
        <v>1615</v>
      </c>
      <c r="E2334" s="727">
        <v>42346</v>
      </c>
      <c r="F2334" s="188" t="s">
        <v>446</v>
      </c>
      <c r="G2334" s="40" t="s">
        <v>1234</v>
      </c>
      <c r="H2334" s="7" t="s">
        <v>400</v>
      </c>
      <c r="I2334" s="750">
        <v>640</v>
      </c>
      <c r="J2334" s="255">
        <v>5550</v>
      </c>
      <c r="K2334" s="593">
        <f>ROUND(I2334*J2334,0)</f>
        <v>3552000</v>
      </c>
      <c r="L2334" s="594" t="s">
        <v>259</v>
      </c>
      <c r="M2334" s="594" t="s">
        <v>174</v>
      </c>
      <c r="N2334" s="52" t="str">
        <f>IF(AND('331-CT'!$E$7=TH!H2334,OR(L2334="331",M2334="331")),"331",IF(AND(OR(L2334="131",M2334="131"),H2334='131-CT'!$E$7),"131",""))</f>
        <v/>
      </c>
      <c r="O2334" s="86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99"/>
    </row>
    <row r="2335" spans="1:27" s="210" customFormat="1" ht="15.75" customHeight="1">
      <c r="A2335" s="203" t="str">
        <f>IF(B2335&lt;&gt;"",IF(AND(B2335&gt;=_TM1,B2335&lt;=_TM2,OR(TH!L2335="1111",TH!M2335="1111")),TH!D2335,""),"")</f>
        <v/>
      </c>
      <c r="B2335" s="36">
        <f>IF(C2335&lt;&gt;"",MONTH(C2335),"")</f>
        <v>12</v>
      </c>
      <c r="C2335" s="183">
        <f>E2335</f>
        <v>42346</v>
      </c>
      <c r="D2335" s="183" t="s">
        <v>1615</v>
      </c>
      <c r="E2335" s="727">
        <v>42346</v>
      </c>
      <c r="F2335" s="40" t="s">
        <v>501</v>
      </c>
      <c r="G2335" s="40" t="s">
        <v>1234</v>
      </c>
      <c r="H2335" s="7" t="s">
        <v>400</v>
      </c>
      <c r="I2335" s="255">
        <v>519</v>
      </c>
      <c r="J2335" s="255">
        <v>9700</v>
      </c>
      <c r="K2335" s="593">
        <f>ROUND(I2335*J2335,0)</f>
        <v>5034300</v>
      </c>
      <c r="L2335" s="594" t="s">
        <v>259</v>
      </c>
      <c r="M2335" s="594" t="s">
        <v>174</v>
      </c>
      <c r="N2335" s="52" t="str">
        <f>IF(AND('331-CT'!$E$7=TH!H2335,OR(L2335="331",M2335="331")),"331",IF(AND(OR(L2335="131",M2335="131"),H2335='131-CT'!$E$7),"131",""))</f>
        <v/>
      </c>
      <c r="O2335" s="86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99"/>
    </row>
    <row r="2336" spans="1:27" s="210" customFormat="1" ht="15.75" customHeight="1">
      <c r="A2336" s="203" t="str">
        <f>IF(B2336&lt;&gt;"",IF(AND(B2336&gt;=_TM1,B2336&lt;=_TM2,OR(TH!L2336="1111",TH!M2336="1111")),TH!D2336,""),"")</f>
        <v/>
      </c>
      <c r="B2336" s="36">
        <f>IF(C2336&lt;&gt;"",MONTH(C2336),"")</f>
        <v>12</v>
      </c>
      <c r="C2336" s="183">
        <f>E2336</f>
        <v>42346</v>
      </c>
      <c r="D2336" s="183" t="s">
        <v>1615</v>
      </c>
      <c r="E2336" s="727">
        <v>42346</v>
      </c>
      <c r="F2336" s="188" t="s">
        <v>402</v>
      </c>
      <c r="G2336" s="40" t="s">
        <v>1234</v>
      </c>
      <c r="H2336" s="7" t="s">
        <v>400</v>
      </c>
      <c r="I2336" s="255"/>
      <c r="J2336" s="255"/>
      <c r="K2336" s="593">
        <v>1330630</v>
      </c>
      <c r="L2336" s="594" t="s">
        <v>259</v>
      </c>
      <c r="M2336" s="594" t="s">
        <v>371</v>
      </c>
      <c r="N2336" s="52" t="str">
        <f>IF(AND('331-CT'!$E$7=TH!H2336,OR(L2336="331",M2336="331")),"331",IF(AND(OR(L2336="131",M2336="131"),H2336='131-CT'!$E$7),"131",""))</f>
        <v/>
      </c>
      <c r="O2336" s="86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99"/>
    </row>
    <row r="2337" spans="1:27" s="210" customFormat="1" ht="15.75" customHeight="1">
      <c r="A2337" s="203" t="str">
        <f>IF(B2337&lt;&gt;"",IF(AND(B2337&gt;=_TM1,B2337&lt;=_TM2,OR(TH!L2337="1111",TH!M2337="1111")),TH!D2337,""),"")</f>
        <v/>
      </c>
      <c r="B2337" s="36">
        <f>IF(C2337&lt;&gt;"",MONTH(C2337),"")</f>
        <v>12</v>
      </c>
      <c r="C2337" s="183">
        <f>E2337</f>
        <v>42346</v>
      </c>
      <c r="D2337" s="183" t="s">
        <v>1616</v>
      </c>
      <c r="E2337" s="727">
        <v>42346</v>
      </c>
      <c r="F2337" s="188" t="s">
        <v>1235</v>
      </c>
      <c r="G2337" s="40" t="s">
        <v>1236</v>
      </c>
      <c r="H2337" s="7" t="s">
        <v>1237</v>
      </c>
      <c r="I2337" s="750">
        <v>626</v>
      </c>
      <c r="J2337" s="255">
        <v>6450</v>
      </c>
      <c r="K2337" s="593">
        <f>ROUND(I2337*J2337,0)</f>
        <v>4037700</v>
      </c>
      <c r="L2337" s="594" t="s">
        <v>259</v>
      </c>
      <c r="M2337" s="594" t="s">
        <v>174</v>
      </c>
      <c r="N2337" s="52" t="str">
        <f>IF(AND('331-CT'!$E$7=TH!H2337,OR(L2337="331",M2337="331")),"331",IF(AND(OR(L2337="131",M2337="131"),H2337='131-CT'!$E$7),"131",""))</f>
        <v/>
      </c>
      <c r="O2337" s="86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99"/>
    </row>
    <row r="2338" spans="1:27" s="210" customFormat="1" ht="15.75" customHeight="1">
      <c r="A2338" s="203" t="str">
        <f>IF(B2338&lt;&gt;"",IF(AND(B2338&gt;=_TM1,B2338&lt;=_TM2,OR(TH!L2338="1111",TH!M2338="1111")),TH!D2338,""),"")</f>
        <v/>
      </c>
      <c r="B2338" s="36">
        <f>IF(C2338&lt;&gt;"",MONTH(C2338),"")</f>
        <v>12</v>
      </c>
      <c r="C2338" s="183">
        <f>E2338</f>
        <v>42346</v>
      </c>
      <c r="D2338" s="183" t="s">
        <v>1616</v>
      </c>
      <c r="E2338" s="727">
        <v>42346</v>
      </c>
      <c r="F2338" s="188" t="s">
        <v>1238</v>
      </c>
      <c r="G2338" s="40" t="s">
        <v>1236</v>
      </c>
      <c r="H2338" s="7" t="s">
        <v>1237</v>
      </c>
      <c r="I2338" s="766">
        <v>302</v>
      </c>
      <c r="J2338" s="704">
        <v>10920</v>
      </c>
      <c r="K2338" s="593">
        <f>ROUND(I2338*J2338,0)</f>
        <v>3297840</v>
      </c>
      <c r="L2338" s="594" t="s">
        <v>259</v>
      </c>
      <c r="M2338" s="594" t="s">
        <v>174</v>
      </c>
      <c r="N2338" s="52" t="str">
        <f>IF(AND('331-CT'!$E$7=TH!H2338,OR(L2338="331",M2338="331")),"331",IF(AND(OR(L2338="131",M2338="131"),H2338='131-CT'!$E$7),"131",""))</f>
        <v/>
      </c>
      <c r="O2338" s="86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99"/>
    </row>
    <row r="2339" spans="1:27" s="210" customFormat="1" ht="15.75" customHeight="1">
      <c r="A2339" s="203" t="str">
        <f>IF(B2339&lt;&gt;"",IF(AND(B2339&gt;=_TM1,B2339&lt;=_TM2,OR(TH!L2339="1111",TH!M2339="1111")),TH!D2339,""),"")</f>
        <v/>
      </c>
      <c r="B2339" s="36">
        <f>IF(C2339&lt;&gt;"",MONTH(C2339),"")</f>
        <v>12</v>
      </c>
      <c r="C2339" s="183">
        <f>E2339</f>
        <v>42346</v>
      </c>
      <c r="D2339" s="183" t="s">
        <v>1616</v>
      </c>
      <c r="E2339" s="727">
        <v>42346</v>
      </c>
      <c r="F2339" s="188" t="s">
        <v>402</v>
      </c>
      <c r="G2339" s="40" t="s">
        <v>1236</v>
      </c>
      <c r="H2339" s="7" t="s">
        <v>1237</v>
      </c>
      <c r="I2339" s="750"/>
      <c r="J2339" s="255"/>
      <c r="K2339" s="593">
        <v>733554</v>
      </c>
      <c r="L2339" s="594" t="s">
        <v>259</v>
      </c>
      <c r="M2339" s="594" t="s">
        <v>371</v>
      </c>
      <c r="N2339" s="52" t="str">
        <f>IF(AND('331-CT'!$E$7=TH!H2339,OR(L2339="331",M2339="331")),"331",IF(AND(OR(L2339="131",M2339="131"),H2339='131-CT'!$E$7),"131",""))</f>
        <v/>
      </c>
      <c r="O2339" s="86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99"/>
    </row>
    <row r="2340" spans="1:27" s="210" customFormat="1" ht="15.75" customHeight="1">
      <c r="A2340" s="203" t="str">
        <f>IF(B2340&lt;&gt;"",IF(AND(B2340&gt;=_TM1,B2340&lt;=_TM2,OR(TH!L2340="1111",TH!M2340="1111")),TH!D2340,""),"")</f>
        <v/>
      </c>
      <c r="B2340" s="36">
        <f>IF(C2340&lt;&gt;"",MONTH(C2340),"")</f>
        <v>12</v>
      </c>
      <c r="C2340" s="183">
        <f>E2340</f>
        <v>42346</v>
      </c>
      <c r="D2340" s="183" t="s">
        <v>1617</v>
      </c>
      <c r="E2340" s="190">
        <v>42346</v>
      </c>
      <c r="F2340" s="191" t="s">
        <v>1830</v>
      </c>
      <c r="G2340" s="482" t="s">
        <v>1239</v>
      </c>
      <c r="H2340" s="7" t="s">
        <v>1934</v>
      </c>
      <c r="I2340" s="255">
        <v>200</v>
      </c>
      <c r="J2340" s="255">
        <v>12449</v>
      </c>
      <c r="K2340" s="593">
        <f>ROUND(I2340*J2340,0)</f>
        <v>2489800</v>
      </c>
      <c r="L2340" s="594" t="s">
        <v>259</v>
      </c>
      <c r="M2340" s="594" t="s">
        <v>174</v>
      </c>
      <c r="N2340" s="52" t="str">
        <f>IF(AND('331-CT'!$E$7=TH!H2340,OR(L2340="331",M2340="331")),"331",IF(AND(OR(L2340="131",M2340="131"),H2340='131-CT'!$E$7),"131",""))</f>
        <v/>
      </c>
      <c r="O2340" s="86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99"/>
    </row>
    <row r="2341" spans="1:27" s="210" customFormat="1" ht="15.75" customHeight="1">
      <c r="A2341" s="203" t="str">
        <f>IF(B2341&lt;&gt;"",IF(AND(B2341&gt;=_TM1,B2341&lt;=_TM2,OR(TH!L2341="1111",TH!M2341="1111")),TH!D2341,""),"")</f>
        <v/>
      </c>
      <c r="B2341" s="36">
        <f>IF(C2341&lt;&gt;"",MONTH(C2341),"")</f>
        <v>12</v>
      </c>
      <c r="C2341" s="183">
        <f>E2341</f>
        <v>42346</v>
      </c>
      <c r="D2341" s="183" t="s">
        <v>1617</v>
      </c>
      <c r="E2341" s="190">
        <v>42346</v>
      </c>
      <c r="F2341" s="191" t="s">
        <v>1831</v>
      </c>
      <c r="G2341" s="482" t="s">
        <v>1239</v>
      </c>
      <c r="H2341" s="7" t="s">
        <v>1934</v>
      </c>
      <c r="I2341" s="255">
        <v>230</v>
      </c>
      <c r="J2341" s="255">
        <v>7602</v>
      </c>
      <c r="K2341" s="593">
        <f>ROUND(I2341*J2341,0)</f>
        <v>1748460</v>
      </c>
      <c r="L2341" s="594" t="s">
        <v>259</v>
      </c>
      <c r="M2341" s="594" t="s">
        <v>174</v>
      </c>
      <c r="N2341" s="52" t="str">
        <f>IF(AND('331-CT'!$E$7=TH!H2341,OR(L2341="331",M2341="331")),"331",IF(AND(OR(L2341="131",M2341="131"),H2341='131-CT'!$E$7),"131",""))</f>
        <v/>
      </c>
      <c r="O2341" s="86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99"/>
    </row>
    <row r="2342" spans="1:27" s="210" customFormat="1" ht="15.75" customHeight="1">
      <c r="A2342" s="203" t="str">
        <f>IF(B2342&lt;&gt;"",IF(AND(B2342&gt;=_TM1,B2342&lt;=_TM2,OR(TH!L2342="1111",TH!M2342="1111")),TH!D2342,""),"")</f>
        <v/>
      </c>
      <c r="B2342" s="36">
        <f>IF(C2342&lt;&gt;"",MONTH(C2342),"")</f>
        <v>12</v>
      </c>
      <c r="C2342" s="183">
        <f>E2342</f>
        <v>42346</v>
      </c>
      <c r="D2342" s="183" t="s">
        <v>1617</v>
      </c>
      <c r="E2342" s="190">
        <v>42346</v>
      </c>
      <c r="F2342" s="191" t="s">
        <v>1832</v>
      </c>
      <c r="G2342" s="482" t="s">
        <v>1239</v>
      </c>
      <c r="H2342" s="7" t="s">
        <v>1934</v>
      </c>
      <c r="I2342" s="255">
        <v>140</v>
      </c>
      <c r="J2342" s="255">
        <v>11930</v>
      </c>
      <c r="K2342" s="593">
        <f>ROUND(I2342*J2342,0)</f>
        <v>1670200</v>
      </c>
      <c r="L2342" s="594" t="s">
        <v>259</v>
      </c>
      <c r="M2342" s="594" t="s">
        <v>174</v>
      </c>
      <c r="N2342" s="52" t="str">
        <f>IF(AND('331-CT'!$E$7=TH!H2342,OR(L2342="331",M2342="331")),"331",IF(AND(OR(L2342="131",M2342="131"),H2342='131-CT'!$E$7),"131",""))</f>
        <v/>
      </c>
      <c r="O2342" s="86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99"/>
    </row>
    <row r="2343" spans="1:27" s="210" customFormat="1" ht="15.75" customHeight="1">
      <c r="A2343" s="203" t="str">
        <f>IF(B2343&lt;&gt;"",IF(AND(B2343&gt;=_TM1,B2343&lt;=_TM2,OR(TH!L2343="1111",TH!M2343="1111")),TH!D2343,""),"")</f>
        <v/>
      </c>
      <c r="B2343" s="36">
        <f>IF(C2343&lt;&gt;"",MONTH(C2343),"")</f>
        <v>12</v>
      </c>
      <c r="C2343" s="183">
        <f>E2343</f>
        <v>42346</v>
      </c>
      <c r="D2343" s="183" t="s">
        <v>1617</v>
      </c>
      <c r="E2343" s="190">
        <v>42346</v>
      </c>
      <c r="F2343" s="191" t="s">
        <v>1833</v>
      </c>
      <c r="G2343" s="482" t="s">
        <v>1239</v>
      </c>
      <c r="H2343" s="7" t="s">
        <v>1934</v>
      </c>
      <c r="I2343" s="255">
        <v>125</v>
      </c>
      <c r="J2343" s="255">
        <v>8918</v>
      </c>
      <c r="K2343" s="593">
        <f>ROUND(I2343*J2343,0)</f>
        <v>1114750</v>
      </c>
      <c r="L2343" s="594" t="s">
        <v>259</v>
      </c>
      <c r="M2343" s="594" t="s">
        <v>174</v>
      </c>
      <c r="N2343" s="52" t="str">
        <f>IF(AND('331-CT'!$E$7=TH!H2343,OR(L2343="331",M2343="331")),"331",IF(AND(OR(L2343="131",M2343="131"),H2343='131-CT'!$E$7),"131",""))</f>
        <v/>
      </c>
      <c r="O2343" s="86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99"/>
    </row>
    <row r="2344" spans="1:27" s="210" customFormat="1" ht="15.75" customHeight="1">
      <c r="A2344" s="203" t="str">
        <f>IF(B2344&lt;&gt;"",IF(AND(B2344&gt;=_TM1,B2344&lt;=_TM2,OR(TH!L2344="1111",TH!M2344="1111")),TH!D2344,""),"")</f>
        <v/>
      </c>
      <c r="B2344" s="36">
        <f>IF(C2344&lt;&gt;"",MONTH(C2344),"")</f>
        <v>12</v>
      </c>
      <c r="C2344" s="183">
        <f>E2344</f>
        <v>42346</v>
      </c>
      <c r="D2344" s="183" t="s">
        <v>1617</v>
      </c>
      <c r="E2344" s="190">
        <v>42346</v>
      </c>
      <c r="F2344" s="191" t="s">
        <v>1834</v>
      </c>
      <c r="G2344" s="482" t="s">
        <v>1239</v>
      </c>
      <c r="H2344" s="7" t="s">
        <v>1934</v>
      </c>
      <c r="I2344" s="255">
        <v>55</v>
      </c>
      <c r="J2344" s="255">
        <v>18200</v>
      </c>
      <c r="K2344" s="593">
        <f>ROUND(I2344*J2344,0)</f>
        <v>1001000</v>
      </c>
      <c r="L2344" s="594" t="s">
        <v>259</v>
      </c>
      <c r="M2344" s="594" t="s">
        <v>174</v>
      </c>
      <c r="N2344" s="52" t="str">
        <f>IF(AND('331-CT'!$E$7=TH!H2344,OR(L2344="331",M2344="331")),"331",IF(AND(OR(L2344="131",M2344="131"),H2344='131-CT'!$E$7),"131",""))</f>
        <v/>
      </c>
      <c r="O2344" s="86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99"/>
    </row>
    <row r="2345" spans="1:27" s="210" customFormat="1" ht="15.75" customHeight="1">
      <c r="A2345" s="203" t="str">
        <f>IF(B2345&lt;&gt;"",IF(AND(B2345&gt;=_TM1,B2345&lt;=_TM2,OR(TH!L2345="1111",TH!M2345="1111")),TH!D2345,""),"")</f>
        <v/>
      </c>
      <c r="B2345" s="36">
        <f>IF(C2345&lt;&gt;"",MONTH(C2345),"")</f>
        <v>12</v>
      </c>
      <c r="C2345" s="183">
        <f>E2345</f>
        <v>42346</v>
      </c>
      <c r="D2345" s="183" t="s">
        <v>1617</v>
      </c>
      <c r="E2345" s="190">
        <v>42346</v>
      </c>
      <c r="F2345" s="191" t="s">
        <v>1741</v>
      </c>
      <c r="G2345" s="482" t="s">
        <v>1239</v>
      </c>
      <c r="H2345" s="7" t="s">
        <v>1934</v>
      </c>
      <c r="I2345" s="255">
        <v>20</v>
      </c>
      <c r="J2345" s="255">
        <v>10056</v>
      </c>
      <c r="K2345" s="593">
        <f>ROUND(I2345*J2345,0)</f>
        <v>201120</v>
      </c>
      <c r="L2345" s="594" t="s">
        <v>259</v>
      </c>
      <c r="M2345" s="594" t="s">
        <v>174</v>
      </c>
      <c r="N2345" s="52" t="str">
        <f>IF(AND('331-CT'!$E$7=TH!H2345,OR(L2345="331",M2345="331")),"331",IF(AND(OR(L2345="131",M2345="131"),H2345='131-CT'!$E$7),"131",""))</f>
        <v/>
      </c>
      <c r="O2345" s="86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99"/>
    </row>
    <row r="2346" spans="1:27" s="210" customFormat="1" ht="15.75" customHeight="1">
      <c r="A2346" s="203" t="str">
        <f>IF(B2346&lt;&gt;"",IF(AND(B2346&gt;=_TM1,B2346&lt;=_TM2,OR(TH!L2346="1111",TH!M2346="1111")),TH!D2346,""),"")</f>
        <v/>
      </c>
      <c r="B2346" s="36">
        <f>IF(C2346&lt;&gt;"",MONTH(C2346),"")</f>
        <v>12</v>
      </c>
      <c r="C2346" s="183">
        <f>E2346</f>
        <v>42346</v>
      </c>
      <c r="D2346" s="183" t="s">
        <v>1617</v>
      </c>
      <c r="E2346" s="190">
        <v>42346</v>
      </c>
      <c r="F2346" s="191" t="s">
        <v>1835</v>
      </c>
      <c r="G2346" s="482" t="s">
        <v>1239</v>
      </c>
      <c r="H2346" s="7" t="s">
        <v>1934</v>
      </c>
      <c r="I2346" s="255">
        <v>234</v>
      </c>
      <c r="J2346" s="255">
        <v>14294</v>
      </c>
      <c r="K2346" s="593">
        <f>ROUND(I2346*J2346,0)</f>
        <v>3344796</v>
      </c>
      <c r="L2346" s="594" t="s">
        <v>259</v>
      </c>
      <c r="M2346" s="594" t="s">
        <v>174</v>
      </c>
      <c r="N2346" s="52" t="str">
        <f>IF(AND('331-CT'!$E$7=TH!H2346,OR(L2346="331",M2346="331")),"331",IF(AND(OR(L2346="131",M2346="131"),H2346='131-CT'!$E$7),"131",""))</f>
        <v/>
      </c>
      <c r="O2346" s="86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799"/>
    </row>
    <row r="2347" spans="1:27" s="210" customFormat="1" ht="15.75" customHeight="1">
      <c r="A2347" s="203" t="str">
        <f>IF(B2347&lt;&gt;"",IF(AND(B2347&gt;=_TM1,B2347&lt;=_TM2,OR(TH!L2347="1111",TH!M2347="1111")),TH!D2347,""),"")</f>
        <v/>
      </c>
      <c r="B2347" s="36">
        <f>IF(C2347&lt;&gt;"",MONTH(C2347),"")</f>
        <v>12</v>
      </c>
      <c r="C2347" s="183">
        <f>E2347</f>
        <v>42346</v>
      </c>
      <c r="D2347" s="183" t="s">
        <v>1617</v>
      </c>
      <c r="E2347" s="190">
        <v>42346</v>
      </c>
      <c r="F2347" s="191" t="s">
        <v>1836</v>
      </c>
      <c r="G2347" s="482" t="s">
        <v>1239</v>
      </c>
      <c r="H2347" s="7" t="s">
        <v>1934</v>
      </c>
      <c r="I2347" s="255">
        <v>75</v>
      </c>
      <c r="J2347" s="255">
        <v>18884</v>
      </c>
      <c r="K2347" s="593">
        <f>ROUND(I2347*J2347,0)</f>
        <v>1416300</v>
      </c>
      <c r="L2347" s="594" t="s">
        <v>259</v>
      </c>
      <c r="M2347" s="594" t="s">
        <v>174</v>
      </c>
      <c r="N2347" s="52" t="str">
        <f>IF(AND('331-CT'!$E$7=TH!H2347,OR(L2347="331",M2347="331")),"331",IF(AND(OR(L2347="131",M2347="131"),H2347='131-CT'!$E$7),"131",""))</f>
        <v/>
      </c>
      <c r="O2347" s="86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799"/>
    </row>
    <row r="2348" spans="1:27" s="210" customFormat="1" ht="15.75" customHeight="1">
      <c r="A2348" s="203" t="str">
        <f>IF(B2348&lt;&gt;"",IF(AND(B2348&gt;=_TM1,B2348&lt;=_TM2,OR(TH!L2348="1111",TH!M2348="1111")),TH!D2348,""),"")</f>
        <v/>
      </c>
      <c r="B2348" s="36">
        <f>IF(C2348&lt;&gt;"",MONTH(C2348),"")</f>
        <v>12</v>
      </c>
      <c r="C2348" s="183">
        <f>E2348</f>
        <v>42346</v>
      </c>
      <c r="D2348" s="183" t="s">
        <v>1617</v>
      </c>
      <c r="E2348" s="190">
        <v>42346</v>
      </c>
      <c r="F2348" s="191" t="s">
        <v>731</v>
      </c>
      <c r="G2348" s="482" t="s">
        <v>1239</v>
      </c>
      <c r="H2348" s="7" t="s">
        <v>1934</v>
      </c>
      <c r="I2348" s="255"/>
      <c r="J2348" s="255"/>
      <c r="K2348" s="593">
        <v>1298643</v>
      </c>
      <c r="L2348" s="594" t="s">
        <v>259</v>
      </c>
      <c r="M2348" s="594" t="s">
        <v>371</v>
      </c>
      <c r="N2348" s="52" t="str">
        <f>IF(AND('331-CT'!$E$7=TH!H2348,OR(L2348="331",M2348="331")),"331",IF(AND(OR(L2348="131",M2348="131"),H2348='131-CT'!$E$7),"131",""))</f>
        <v/>
      </c>
      <c r="O2348" s="86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799"/>
    </row>
    <row r="2349" spans="1:27" s="210" customFormat="1" ht="15.75" customHeight="1">
      <c r="A2349" s="203" t="str">
        <f>IF(B2349&lt;&gt;"",IF(AND(B2349&gt;=_TM1,B2349&lt;=_TM2,OR(TH!L2349="1111",TH!M2349="1111")),TH!D2349,""),"")</f>
        <v/>
      </c>
      <c r="B2349" s="36">
        <f>IF(C2349&lt;&gt;"",MONTH(C2349),"")</f>
        <v>12</v>
      </c>
      <c r="C2349" s="183">
        <f>E2349</f>
        <v>42346</v>
      </c>
      <c r="D2349" s="183" t="s">
        <v>1319</v>
      </c>
      <c r="E2349" s="190">
        <v>42346</v>
      </c>
      <c r="F2349" s="188" t="s">
        <v>1320</v>
      </c>
      <c r="G2349" s="482" t="s">
        <v>332</v>
      </c>
      <c r="H2349" s="7" t="s">
        <v>957</v>
      </c>
      <c r="I2349" s="255"/>
      <c r="J2349" s="255"/>
      <c r="K2349" s="593">
        <v>2193400</v>
      </c>
      <c r="L2349" s="594" t="s">
        <v>24</v>
      </c>
      <c r="M2349" s="594" t="s">
        <v>259</v>
      </c>
      <c r="N2349" s="52" t="str">
        <f>IF(AND('331-CT'!$E$7=TH!H2349,OR(L2349="331",M2349="331")),"331",IF(AND(OR(L2349="131",M2349="131"),H2349='131-CT'!$E$7),"131",""))</f>
        <v/>
      </c>
      <c r="O2349" s="86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>x</v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799"/>
    </row>
    <row r="2350" spans="1:27" s="210" customFormat="1" ht="15.75" customHeight="1">
      <c r="A2350" s="203" t="str">
        <f>IF(B2350&lt;&gt;"",IF(AND(B2350&gt;=_TM1,B2350&lt;=_TM2,OR(TH!L2350="1111",TH!M2350="1111")),TH!D2350,""),"")</f>
        <v/>
      </c>
      <c r="B2350" s="36">
        <f>IF(C2350&lt;&gt;"",MONTH(C2350),"")</f>
        <v>12</v>
      </c>
      <c r="C2350" s="183">
        <f>E2350</f>
        <v>42346</v>
      </c>
      <c r="D2350" s="183" t="s">
        <v>1324</v>
      </c>
      <c r="E2350" s="190">
        <v>42346</v>
      </c>
      <c r="F2350" s="296" t="s">
        <v>1326</v>
      </c>
      <c r="G2350" s="482" t="s">
        <v>332</v>
      </c>
      <c r="H2350" s="7" t="s">
        <v>1928</v>
      </c>
      <c r="I2350" s="255"/>
      <c r="J2350" s="255"/>
      <c r="K2350" s="593">
        <v>15000000</v>
      </c>
      <c r="L2350" s="594" t="s">
        <v>8</v>
      </c>
      <c r="M2350" s="594" t="s">
        <v>24</v>
      </c>
      <c r="N2350" s="52" t="str">
        <f>IF(AND('331-CT'!$E$7=TH!H2350,OR(L2350="331",M2350="331")),"331",IF(AND(OR(L2350="131",M2350="131"),H2350='131-CT'!$E$7),"131",""))</f>
        <v/>
      </c>
      <c r="O2350" s="86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>x</v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799"/>
    </row>
    <row r="2351" spans="1:27" s="210" customFormat="1" ht="15.75" customHeight="1">
      <c r="A2351" s="203" t="str">
        <f>IF(B2351&lt;&gt;"",IF(AND(B2351&gt;=_TM1,B2351&lt;=_TM2,OR(TH!L2351="1111",TH!M2351="1111")),TH!D2351,""),"")</f>
        <v/>
      </c>
      <c r="B2351" s="36">
        <f>IF(C2351&lt;&gt;"",MONTH(C2351),"")</f>
        <v>12</v>
      </c>
      <c r="C2351" s="183">
        <f>E2351</f>
        <v>42346</v>
      </c>
      <c r="D2351" s="183" t="s">
        <v>1324</v>
      </c>
      <c r="E2351" s="190">
        <v>42346</v>
      </c>
      <c r="F2351" s="188" t="s">
        <v>1327</v>
      </c>
      <c r="G2351" s="482" t="s">
        <v>332</v>
      </c>
      <c r="H2351" s="7"/>
      <c r="I2351" s="255"/>
      <c r="J2351" s="255"/>
      <c r="K2351" s="593">
        <v>15000</v>
      </c>
      <c r="L2351" s="594" t="s">
        <v>83</v>
      </c>
      <c r="M2351" s="594" t="s">
        <v>24</v>
      </c>
      <c r="N2351" s="52" t="str">
        <f>IF(AND('331-CT'!$E$7=TH!H2351,OR(L2351="331",M2351="331")),"331",IF(AND(OR(L2351="131",M2351="131"),H2351='131-CT'!$E$7),"131",""))</f>
        <v/>
      </c>
      <c r="O2351" s="86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>x</v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>x</v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799"/>
    </row>
    <row r="2352" spans="1:27" s="210" customFormat="1" ht="15.75" customHeight="1">
      <c r="A2352" s="203" t="str">
        <f>IF(B2352&lt;&gt;"",IF(AND(B2352&gt;=_TM1,B2352&lt;=_TM2,OR(TH!L2352="1111",TH!M2352="1111")),TH!D2352,""),"")</f>
        <v/>
      </c>
      <c r="B2352" s="36">
        <f>IF(C2352&lt;&gt;"",MONTH(C2352),"")</f>
        <v>12</v>
      </c>
      <c r="C2352" s="183">
        <f>E2352</f>
        <v>42347</v>
      </c>
      <c r="D2352" s="183" t="s">
        <v>1618</v>
      </c>
      <c r="E2352" s="37">
        <v>42347</v>
      </c>
      <c r="F2352" s="40" t="s">
        <v>1240</v>
      </c>
      <c r="G2352" s="40" t="s">
        <v>1241</v>
      </c>
      <c r="H2352" s="7" t="s">
        <v>733</v>
      </c>
      <c r="I2352" s="255">
        <v>344</v>
      </c>
      <c r="J2352" s="255">
        <v>47449</v>
      </c>
      <c r="K2352" s="593">
        <f>ROUND(I2352*J2352,0)</f>
        <v>16322456</v>
      </c>
      <c r="L2352" s="594" t="s">
        <v>259</v>
      </c>
      <c r="M2352" s="594" t="s">
        <v>174</v>
      </c>
      <c r="N2352" s="52" t="str">
        <f>IF(AND('331-CT'!$E$7=TH!H2352,OR(L2352="331",M2352="331")),"331",IF(AND(OR(L2352="131",M2352="131"),H2352='131-CT'!$E$7),"131",""))</f>
        <v/>
      </c>
      <c r="O2352" s="86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799"/>
    </row>
    <row r="2353" spans="1:27" s="210" customFormat="1" ht="15.75" customHeight="1">
      <c r="A2353" s="203" t="str">
        <f>IF(B2353&lt;&gt;"",IF(AND(B2353&gt;=_TM1,B2353&lt;=_TM2,OR(TH!L2353="1111",TH!M2353="1111")),TH!D2353,""),"")</f>
        <v/>
      </c>
      <c r="B2353" s="36">
        <f>IF(C2353&lt;&gt;"",MONTH(C2353),"")</f>
        <v>12</v>
      </c>
      <c r="C2353" s="183">
        <f>E2353</f>
        <v>42347</v>
      </c>
      <c r="D2353" s="183" t="s">
        <v>1618</v>
      </c>
      <c r="E2353" s="37">
        <v>42347</v>
      </c>
      <c r="F2353" s="40" t="s">
        <v>402</v>
      </c>
      <c r="G2353" s="40" t="s">
        <v>1241</v>
      </c>
      <c r="H2353" s="7" t="s">
        <v>733</v>
      </c>
      <c r="I2353" s="255"/>
      <c r="J2353" s="255"/>
      <c r="K2353" s="593">
        <v>1632246</v>
      </c>
      <c r="L2353" s="594" t="s">
        <v>259</v>
      </c>
      <c r="M2353" s="594" t="s">
        <v>371</v>
      </c>
      <c r="N2353" s="52" t="str">
        <f>IF(AND('331-CT'!$E$7=TH!H2353,OR(L2353="331",M2353="331")),"331",IF(AND(OR(L2353="131",M2353="131"),H2353='131-CT'!$E$7),"131",""))</f>
        <v/>
      </c>
      <c r="O2353" s="86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799"/>
    </row>
    <row r="2354" spans="1:27" s="210" customFormat="1" ht="15.75" customHeight="1">
      <c r="A2354" s="203" t="str">
        <f>IF(B2354&lt;&gt;"",IF(AND(B2354&gt;=_TM1,B2354&lt;=_TM2,OR(TH!L2354="1111",TH!M2354="1111")),TH!D2354,""),"")</f>
        <v/>
      </c>
      <c r="B2354" s="36">
        <f>IF(C2354&lt;&gt;"",MONTH(C2354),"")</f>
        <v>12</v>
      </c>
      <c r="C2354" s="183">
        <f>E2354</f>
        <v>42347</v>
      </c>
      <c r="D2354" s="183" t="s">
        <v>1619</v>
      </c>
      <c r="E2354" s="37">
        <v>42347</v>
      </c>
      <c r="F2354" s="191" t="s">
        <v>1837</v>
      </c>
      <c r="G2354" s="40" t="s">
        <v>1242</v>
      </c>
      <c r="H2354" s="7" t="s">
        <v>1934</v>
      </c>
      <c r="I2354" s="255">
        <v>1500</v>
      </c>
      <c r="J2354" s="255">
        <v>9744</v>
      </c>
      <c r="K2354" s="593">
        <f>ROUND(I2354*J2354,0)</f>
        <v>14616000</v>
      </c>
      <c r="L2354" s="594" t="s">
        <v>259</v>
      </c>
      <c r="M2354" s="594" t="s">
        <v>174</v>
      </c>
      <c r="N2354" s="52" t="str">
        <f>IF(AND('331-CT'!$E$7=TH!H2354,OR(L2354="331",M2354="331")),"331",IF(AND(OR(L2354="131",M2354="131"),H2354='131-CT'!$E$7),"131",""))</f>
        <v/>
      </c>
      <c r="O2354" s="86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799"/>
    </row>
    <row r="2355" spans="1:27" s="210" customFormat="1" ht="15.75" customHeight="1">
      <c r="A2355" s="203" t="str">
        <f>IF(B2355&lt;&gt;"",IF(AND(B2355&gt;=_TM1,B2355&lt;=_TM2,OR(TH!L2355="1111",TH!M2355="1111")),TH!D2355,""),"")</f>
        <v/>
      </c>
      <c r="B2355" s="36">
        <f>IF(C2355&lt;&gt;"",MONTH(C2355),"")</f>
        <v>12</v>
      </c>
      <c r="C2355" s="183">
        <f>E2355</f>
        <v>42347</v>
      </c>
      <c r="D2355" s="183" t="s">
        <v>1619</v>
      </c>
      <c r="E2355" s="37">
        <v>42347</v>
      </c>
      <c r="F2355" s="40" t="s">
        <v>1838</v>
      </c>
      <c r="G2355" s="40" t="s">
        <v>1242</v>
      </c>
      <c r="H2355" s="7" t="s">
        <v>1934</v>
      </c>
      <c r="I2355" s="255">
        <v>100</v>
      </c>
      <c r="J2355" s="255">
        <v>6344</v>
      </c>
      <c r="K2355" s="593">
        <f>ROUND(I2355*J2355,0)</f>
        <v>634400</v>
      </c>
      <c r="L2355" s="594" t="s">
        <v>259</v>
      </c>
      <c r="M2355" s="594" t="s">
        <v>174</v>
      </c>
      <c r="N2355" s="52" t="str">
        <f>IF(AND('331-CT'!$E$7=TH!H2355,OR(L2355="331",M2355="331")),"331",IF(AND(OR(L2355="131",M2355="131"),H2355='131-CT'!$E$7),"131",""))</f>
        <v/>
      </c>
      <c r="O2355" s="86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799"/>
    </row>
    <row r="2356" spans="1:27" s="210" customFormat="1" ht="15.75" customHeight="1">
      <c r="A2356" s="203" t="str">
        <f>IF(B2356&lt;&gt;"",IF(AND(B2356&gt;=_TM1,B2356&lt;=_TM2,OR(TH!L2356="1111",TH!M2356="1111")),TH!D2356,""),"")</f>
        <v/>
      </c>
      <c r="B2356" s="36">
        <f>IF(C2356&lt;&gt;"",MONTH(C2356),"")</f>
        <v>12</v>
      </c>
      <c r="C2356" s="183">
        <f>E2356</f>
        <v>42347</v>
      </c>
      <c r="D2356" s="183" t="s">
        <v>1619</v>
      </c>
      <c r="E2356" s="37">
        <v>42347</v>
      </c>
      <c r="F2356" s="191" t="s">
        <v>731</v>
      </c>
      <c r="G2356" s="40" t="s">
        <v>1242</v>
      </c>
      <c r="H2356" s="7" t="s">
        <v>1934</v>
      </c>
      <c r="I2356" s="255"/>
      <c r="J2356" s="255"/>
      <c r="K2356" s="593">
        <v>1525040</v>
      </c>
      <c r="L2356" s="594" t="s">
        <v>259</v>
      </c>
      <c r="M2356" s="594" t="s">
        <v>371</v>
      </c>
      <c r="N2356" s="52" t="str">
        <f>IF(AND('331-CT'!$E$7=TH!H2356,OR(L2356="331",M2356="331")),"331",IF(AND(OR(L2356="131",M2356="131"),H2356='131-CT'!$E$7),"131",""))</f>
        <v/>
      </c>
      <c r="O2356" s="86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99"/>
    </row>
    <row r="2357" spans="1:27" s="210" customFormat="1" ht="15.75" customHeight="1">
      <c r="A2357" s="203" t="str">
        <f>IF(B2357&lt;&gt;"",IF(AND(B2357&gt;=_TM1,B2357&lt;=_TM2,OR(TH!L2357="1111",TH!M2357="1111")),TH!D2357,""),"")</f>
        <v/>
      </c>
      <c r="B2357" s="36">
        <f>IF(C2357&lt;&gt;"",MONTH(C2357),"")</f>
        <v>12</v>
      </c>
      <c r="C2357" s="183">
        <f>E2357</f>
        <v>42348</v>
      </c>
      <c r="D2357" s="183" t="s">
        <v>1620</v>
      </c>
      <c r="E2357" s="37">
        <v>42348</v>
      </c>
      <c r="F2357" s="40" t="s">
        <v>1243</v>
      </c>
      <c r="G2357" s="40" t="s">
        <v>1244</v>
      </c>
      <c r="H2357" s="7" t="s">
        <v>1245</v>
      </c>
      <c r="I2357" s="255">
        <v>201</v>
      </c>
      <c r="J2357" s="255">
        <v>7500</v>
      </c>
      <c r="K2357" s="593">
        <f>ROUND(I2357*J2357,0)</f>
        <v>1507500</v>
      </c>
      <c r="L2357" s="594" t="s">
        <v>259</v>
      </c>
      <c r="M2357" s="594" t="s">
        <v>174</v>
      </c>
      <c r="N2357" s="52" t="str">
        <f>IF(AND('331-CT'!$E$7=TH!H2357,OR(L2357="331",M2357="331")),"331",IF(AND(OR(L2357="131",M2357="131"),H2357='131-CT'!$E$7),"131",""))</f>
        <v/>
      </c>
      <c r="O2357" s="86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99"/>
    </row>
    <row r="2358" spans="1:27" s="210" customFormat="1" ht="15.75" customHeight="1">
      <c r="A2358" s="203" t="str">
        <f>IF(B2358&lt;&gt;"",IF(AND(B2358&gt;=_TM1,B2358&lt;=_TM2,OR(TH!L2358="1111",TH!M2358="1111")),TH!D2358,""),"")</f>
        <v/>
      </c>
      <c r="B2358" s="36">
        <f>IF(C2358&lt;&gt;"",MONTH(C2358),"")</f>
        <v>12</v>
      </c>
      <c r="C2358" s="183">
        <f>E2358</f>
        <v>42348</v>
      </c>
      <c r="D2358" s="183" t="s">
        <v>1620</v>
      </c>
      <c r="E2358" s="37">
        <v>42348</v>
      </c>
      <c r="F2358" s="40" t="s">
        <v>1246</v>
      </c>
      <c r="G2358" s="40" t="s">
        <v>1244</v>
      </c>
      <c r="H2358" s="7" t="s">
        <v>1245</v>
      </c>
      <c r="I2358" s="255">
        <v>200</v>
      </c>
      <c r="J2358" s="255">
        <v>7600</v>
      </c>
      <c r="K2358" s="593">
        <f>ROUND(I2358*J2358,0)</f>
        <v>1520000</v>
      </c>
      <c r="L2358" s="594" t="s">
        <v>259</v>
      </c>
      <c r="M2358" s="594" t="s">
        <v>174</v>
      </c>
      <c r="N2358" s="52" t="str">
        <f>IF(AND('331-CT'!$E$7=TH!H2358,OR(L2358="331",M2358="331")),"331",IF(AND(OR(L2358="131",M2358="131"),H2358='131-CT'!$E$7),"131",""))</f>
        <v/>
      </c>
      <c r="O2358" s="86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99"/>
    </row>
    <row r="2359" spans="1:27" s="210" customFormat="1" ht="15.75" customHeight="1">
      <c r="A2359" s="203" t="str">
        <f>IF(B2359&lt;&gt;"",IF(AND(B2359&gt;=_TM1,B2359&lt;=_TM2,OR(TH!L2359="1111",TH!M2359="1111")),TH!D2359,""),"")</f>
        <v/>
      </c>
      <c r="B2359" s="36">
        <f>IF(C2359&lt;&gt;"",MONTH(C2359),"")</f>
        <v>12</v>
      </c>
      <c r="C2359" s="183">
        <f>E2359</f>
        <v>42348</v>
      </c>
      <c r="D2359" s="183" t="s">
        <v>1620</v>
      </c>
      <c r="E2359" s="37">
        <v>42348</v>
      </c>
      <c r="F2359" s="40" t="s">
        <v>1247</v>
      </c>
      <c r="G2359" s="40" t="s">
        <v>1244</v>
      </c>
      <c r="H2359" s="7" t="s">
        <v>1245</v>
      </c>
      <c r="I2359" s="255">
        <v>216</v>
      </c>
      <c r="J2359" s="255">
        <v>8800</v>
      </c>
      <c r="K2359" s="593">
        <f>ROUND(I2359*J2359,0)</f>
        <v>1900800</v>
      </c>
      <c r="L2359" s="594" t="s">
        <v>259</v>
      </c>
      <c r="M2359" s="594" t="s">
        <v>174</v>
      </c>
      <c r="N2359" s="52" t="str">
        <f>IF(AND('331-CT'!$E$7=TH!H2359,OR(L2359="331",M2359="331")),"331",IF(AND(OR(L2359="131",M2359="131"),H2359='131-CT'!$E$7),"131",""))</f>
        <v/>
      </c>
      <c r="O2359" s="86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99"/>
    </row>
    <row r="2360" spans="1:27" s="210" customFormat="1" ht="15.75" customHeight="1">
      <c r="A2360" s="203" t="str">
        <f>IF(B2360&lt;&gt;"",IF(AND(B2360&gt;=_TM1,B2360&lt;=_TM2,OR(TH!L2360="1111",TH!M2360="1111")),TH!D2360,""),"")</f>
        <v/>
      </c>
      <c r="B2360" s="36">
        <f>IF(C2360&lt;&gt;"",MONTH(C2360),"")</f>
        <v>12</v>
      </c>
      <c r="C2360" s="183">
        <f>E2360</f>
        <v>42348</v>
      </c>
      <c r="D2360" s="183" t="s">
        <v>1620</v>
      </c>
      <c r="E2360" s="37">
        <v>42348</v>
      </c>
      <c r="F2360" s="40" t="s">
        <v>1248</v>
      </c>
      <c r="G2360" s="40" t="s">
        <v>1244</v>
      </c>
      <c r="H2360" s="7" t="s">
        <v>1245</v>
      </c>
      <c r="I2360" s="704">
        <v>200</v>
      </c>
      <c r="J2360" s="704">
        <v>7850</v>
      </c>
      <c r="K2360" s="593">
        <f>ROUND(I2360*J2360,0)</f>
        <v>1570000</v>
      </c>
      <c r="L2360" s="594" t="s">
        <v>259</v>
      </c>
      <c r="M2360" s="594" t="s">
        <v>174</v>
      </c>
      <c r="N2360" s="52" t="str">
        <f>IF(AND('331-CT'!$E$7=TH!H2360,OR(L2360="331",M2360="331")),"331",IF(AND(OR(L2360="131",M2360="131"),H2360='131-CT'!$E$7),"131",""))</f>
        <v/>
      </c>
      <c r="O2360" s="86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99"/>
    </row>
    <row r="2361" spans="1:27" s="210" customFormat="1" ht="15.75" customHeight="1">
      <c r="A2361" s="203" t="str">
        <f>IF(B2361&lt;&gt;"",IF(AND(B2361&gt;=_TM1,B2361&lt;=_TM2,OR(TH!L2361="1111",TH!M2361="1111")),TH!D2361,""),"")</f>
        <v/>
      </c>
      <c r="B2361" s="36">
        <f>IF(C2361&lt;&gt;"",MONTH(C2361),"")</f>
        <v>12</v>
      </c>
      <c r="C2361" s="183">
        <f>E2361</f>
        <v>42348</v>
      </c>
      <c r="D2361" s="183" t="s">
        <v>1620</v>
      </c>
      <c r="E2361" s="37">
        <v>42348</v>
      </c>
      <c r="F2361" s="40" t="s">
        <v>1249</v>
      </c>
      <c r="G2361" s="40" t="s">
        <v>1244</v>
      </c>
      <c r="H2361" s="7" t="s">
        <v>1245</v>
      </c>
      <c r="I2361" s="255">
        <v>206</v>
      </c>
      <c r="J2361" s="255">
        <v>12500</v>
      </c>
      <c r="K2361" s="593">
        <f>ROUND(I2361*J2361,0)</f>
        <v>2575000</v>
      </c>
      <c r="L2361" s="594" t="s">
        <v>259</v>
      </c>
      <c r="M2361" s="594" t="s">
        <v>174</v>
      </c>
      <c r="N2361" s="52" t="str">
        <f>IF(AND('331-CT'!$E$7=TH!H2361,OR(L2361="331",M2361="331")),"331",IF(AND(OR(L2361="131",M2361="131"),H2361='131-CT'!$E$7),"131",""))</f>
        <v/>
      </c>
      <c r="O2361" s="86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99"/>
    </row>
    <row r="2362" spans="1:27" s="210" customFormat="1" ht="15.75" customHeight="1">
      <c r="A2362" s="203" t="str">
        <f>IF(B2362&lt;&gt;"",IF(AND(B2362&gt;=_TM1,B2362&lt;=_TM2,OR(TH!L2362="1111",TH!M2362="1111")),TH!D2362,""),"")</f>
        <v/>
      </c>
      <c r="B2362" s="36">
        <f>IF(C2362&lt;&gt;"",MONTH(C2362),"")</f>
        <v>12</v>
      </c>
      <c r="C2362" s="183">
        <f>E2362</f>
        <v>42348</v>
      </c>
      <c r="D2362" s="183" t="s">
        <v>1620</v>
      </c>
      <c r="E2362" s="37">
        <v>42348</v>
      </c>
      <c r="F2362" s="191" t="s">
        <v>1250</v>
      </c>
      <c r="G2362" s="40" t="s">
        <v>1244</v>
      </c>
      <c r="H2362" s="7" t="s">
        <v>1245</v>
      </c>
      <c r="I2362" s="255">
        <v>197</v>
      </c>
      <c r="J2362" s="255">
        <v>9800</v>
      </c>
      <c r="K2362" s="593">
        <f>ROUND(I2362*J2362,0)</f>
        <v>1930600</v>
      </c>
      <c r="L2362" s="594" t="s">
        <v>259</v>
      </c>
      <c r="M2362" s="594" t="s">
        <v>174</v>
      </c>
      <c r="N2362" s="52" t="str">
        <f>IF(AND('331-CT'!$E$7=TH!H2362,OR(L2362="331",M2362="331")),"331",IF(AND(OR(L2362="131",M2362="131"),H2362='131-CT'!$E$7),"131",""))</f>
        <v/>
      </c>
      <c r="O2362" s="86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99"/>
    </row>
    <row r="2363" spans="1:27" s="210" customFormat="1" ht="15.75" customHeight="1">
      <c r="A2363" s="203" t="str">
        <f>IF(B2363&lt;&gt;"",IF(AND(B2363&gt;=_TM1,B2363&lt;=_TM2,OR(TH!L2363="1111",TH!M2363="1111")),TH!D2363,""),"")</f>
        <v/>
      </c>
      <c r="B2363" s="36">
        <f>IF(C2363&lt;&gt;"",MONTH(C2363),"")</f>
        <v>12</v>
      </c>
      <c r="C2363" s="183">
        <f>E2363</f>
        <v>42348</v>
      </c>
      <c r="D2363" s="183" t="s">
        <v>1620</v>
      </c>
      <c r="E2363" s="37">
        <v>42348</v>
      </c>
      <c r="F2363" s="40" t="s">
        <v>402</v>
      </c>
      <c r="G2363" s="40" t="s">
        <v>1244</v>
      </c>
      <c r="H2363" s="7" t="s">
        <v>1245</v>
      </c>
      <c r="I2363" s="255"/>
      <c r="J2363" s="255"/>
      <c r="K2363" s="593">
        <v>1100390</v>
      </c>
      <c r="L2363" s="594" t="s">
        <v>259</v>
      </c>
      <c r="M2363" s="594" t="s">
        <v>371</v>
      </c>
      <c r="N2363" s="52" t="str">
        <f>IF(AND('331-CT'!$E$7=TH!H2363,OR(L2363="331",M2363="331")),"331",IF(AND(OR(L2363="131",M2363="131"),H2363='131-CT'!$E$7),"131",""))</f>
        <v/>
      </c>
      <c r="O2363" s="86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99"/>
    </row>
    <row r="2364" spans="1:27" s="210" customFormat="1" ht="15.75" customHeight="1">
      <c r="A2364" s="203" t="str">
        <f>IF(B2364&lt;&gt;"",IF(AND(B2364&gt;=_TM1,B2364&lt;=_TM2,OR(TH!L2364="1111",TH!M2364="1111")),TH!D2364,""),"")</f>
        <v/>
      </c>
      <c r="B2364" s="36">
        <f>IF(C2364&lt;&gt;"",MONTH(C2364),"")</f>
        <v>12</v>
      </c>
      <c r="C2364" s="183">
        <f>E2364</f>
        <v>42348</v>
      </c>
      <c r="D2364" s="183" t="s">
        <v>1621</v>
      </c>
      <c r="E2364" s="37">
        <v>42348</v>
      </c>
      <c r="F2364" s="191" t="s">
        <v>1251</v>
      </c>
      <c r="G2364" s="40" t="s">
        <v>1252</v>
      </c>
      <c r="H2364" s="7" t="s">
        <v>1253</v>
      </c>
      <c r="I2364" s="255">
        <v>444</v>
      </c>
      <c r="J2364" s="255">
        <v>8300</v>
      </c>
      <c r="K2364" s="593">
        <f>ROUND(I2364*J2364,0)</f>
        <v>3685200</v>
      </c>
      <c r="L2364" s="594" t="s">
        <v>259</v>
      </c>
      <c r="M2364" s="594" t="s">
        <v>174</v>
      </c>
      <c r="N2364" s="52" t="str">
        <f>IF(AND('331-CT'!$E$7=TH!H2364,OR(L2364="331",M2364="331")),"331",IF(AND(OR(L2364="131",M2364="131"),H2364='131-CT'!$E$7),"131",""))</f>
        <v/>
      </c>
      <c r="O2364" s="86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99"/>
    </row>
    <row r="2365" spans="1:27" s="210" customFormat="1" ht="15.75" customHeight="1">
      <c r="A2365" s="203" t="str">
        <f>IF(B2365&lt;&gt;"",IF(AND(B2365&gt;=_TM1,B2365&lt;=_TM2,OR(TH!L2365="1111",TH!M2365="1111")),TH!D2365,""),"")</f>
        <v/>
      </c>
      <c r="B2365" s="36">
        <f>IF(C2365&lt;&gt;"",MONTH(C2365),"")</f>
        <v>12</v>
      </c>
      <c r="C2365" s="183">
        <f>E2365</f>
        <v>42348</v>
      </c>
      <c r="D2365" s="183" t="s">
        <v>1621</v>
      </c>
      <c r="E2365" s="37">
        <v>42348</v>
      </c>
      <c r="F2365" s="40" t="s">
        <v>1254</v>
      </c>
      <c r="G2365" s="40" t="s">
        <v>1252</v>
      </c>
      <c r="H2365" s="7" t="s">
        <v>1253</v>
      </c>
      <c r="I2365" s="704">
        <v>504</v>
      </c>
      <c r="J2365" s="704">
        <v>14400</v>
      </c>
      <c r="K2365" s="593">
        <f>ROUND(I2365*J2365,0)</f>
        <v>7257600</v>
      </c>
      <c r="L2365" s="594" t="s">
        <v>259</v>
      </c>
      <c r="M2365" s="594" t="s">
        <v>174</v>
      </c>
      <c r="N2365" s="52" t="str">
        <f>IF(AND('331-CT'!$E$7=TH!H2365,OR(L2365="331",M2365="331")),"331",IF(AND(OR(L2365="131",M2365="131"),H2365='131-CT'!$E$7),"131",""))</f>
        <v/>
      </c>
      <c r="O2365" s="86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99"/>
    </row>
    <row r="2366" spans="1:27" s="210" customFormat="1" ht="15.75" customHeight="1">
      <c r="A2366" s="203" t="str">
        <f>IF(B2366&lt;&gt;"",IF(AND(B2366&gt;=_TM1,B2366&lt;=_TM2,OR(TH!L2366="1111",TH!M2366="1111")),TH!D2366,""),"")</f>
        <v/>
      </c>
      <c r="B2366" s="36">
        <f>IF(C2366&lt;&gt;"",MONTH(C2366),"")</f>
        <v>12</v>
      </c>
      <c r="C2366" s="183">
        <f>E2366</f>
        <v>42348</v>
      </c>
      <c r="D2366" s="183" t="s">
        <v>1621</v>
      </c>
      <c r="E2366" s="37">
        <v>42348</v>
      </c>
      <c r="F2366" s="40" t="s">
        <v>1255</v>
      </c>
      <c r="G2366" s="40" t="s">
        <v>1252</v>
      </c>
      <c r="H2366" s="7" t="s">
        <v>1253</v>
      </c>
      <c r="I2366" s="255">
        <v>203</v>
      </c>
      <c r="J2366" s="255">
        <v>9100</v>
      </c>
      <c r="K2366" s="593">
        <f>ROUND(I2366*J2366,0)</f>
        <v>1847300</v>
      </c>
      <c r="L2366" s="594" t="s">
        <v>259</v>
      </c>
      <c r="M2366" s="594" t="s">
        <v>174</v>
      </c>
      <c r="N2366" s="52" t="str">
        <f>IF(AND('331-CT'!$E$7=TH!H2366,OR(L2366="331",M2366="331")),"331",IF(AND(OR(L2366="131",M2366="131"),H2366='131-CT'!$E$7),"131",""))</f>
        <v/>
      </c>
      <c r="O2366" s="86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99"/>
    </row>
    <row r="2367" spans="1:27" s="210" customFormat="1" ht="15.75" customHeight="1">
      <c r="A2367" s="203" t="str">
        <f>IF(B2367&lt;&gt;"",IF(AND(B2367&gt;=_TM1,B2367&lt;=_TM2,OR(TH!L2367="1111",TH!M2367="1111")),TH!D2367,""),"")</f>
        <v/>
      </c>
      <c r="B2367" s="36">
        <f>IF(C2367&lt;&gt;"",MONTH(C2367),"")</f>
        <v>12</v>
      </c>
      <c r="C2367" s="183">
        <f>E2367</f>
        <v>42348</v>
      </c>
      <c r="D2367" s="183" t="s">
        <v>1621</v>
      </c>
      <c r="E2367" s="37">
        <v>42348</v>
      </c>
      <c r="F2367" s="40" t="s">
        <v>1256</v>
      </c>
      <c r="G2367" s="40" t="s">
        <v>1252</v>
      </c>
      <c r="H2367" s="7" t="s">
        <v>1253</v>
      </c>
      <c r="I2367" s="255">
        <v>410</v>
      </c>
      <c r="J2367" s="255">
        <v>6300</v>
      </c>
      <c r="K2367" s="593">
        <f>ROUND(I2367*J2367,0)</f>
        <v>2583000</v>
      </c>
      <c r="L2367" s="594" t="s">
        <v>259</v>
      </c>
      <c r="M2367" s="594" t="s">
        <v>174</v>
      </c>
      <c r="N2367" s="52" t="str">
        <f>IF(AND('331-CT'!$E$7=TH!H2367,OR(L2367="331",M2367="331")),"331",IF(AND(OR(L2367="131",M2367="131"),H2367='131-CT'!$E$7),"131",""))</f>
        <v/>
      </c>
      <c r="O2367" s="86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99"/>
    </row>
    <row r="2368" spans="1:27" s="210" customFormat="1" ht="15.75" customHeight="1">
      <c r="A2368" s="203" t="str">
        <f>IF(B2368&lt;&gt;"",IF(AND(B2368&gt;=_TM1,B2368&lt;=_TM2,OR(TH!L2368="1111",TH!M2368="1111")),TH!D2368,""),"")</f>
        <v/>
      </c>
      <c r="B2368" s="36">
        <f>IF(C2368&lt;&gt;"",MONTH(C2368),"")</f>
        <v>12</v>
      </c>
      <c r="C2368" s="183">
        <f>E2368</f>
        <v>42348</v>
      </c>
      <c r="D2368" s="183" t="s">
        <v>1621</v>
      </c>
      <c r="E2368" s="190">
        <v>42348</v>
      </c>
      <c r="F2368" s="191" t="s">
        <v>1257</v>
      </c>
      <c r="G2368" s="482" t="s">
        <v>1252</v>
      </c>
      <c r="H2368" s="192" t="s">
        <v>1253</v>
      </c>
      <c r="I2368" s="255">
        <v>300</v>
      </c>
      <c r="J2368" s="255">
        <v>18800</v>
      </c>
      <c r="K2368" s="593">
        <f>ROUND(I2368*J2368,0)</f>
        <v>5640000</v>
      </c>
      <c r="L2368" s="594" t="s">
        <v>259</v>
      </c>
      <c r="M2368" s="594" t="s">
        <v>174</v>
      </c>
      <c r="N2368" s="52" t="str">
        <f>IF(AND('331-CT'!$E$7=TH!H2368,OR(L2368="331",M2368="331")),"331",IF(AND(OR(L2368="131",M2368="131"),H2368='131-CT'!$E$7),"131",""))</f>
        <v/>
      </c>
      <c r="O2368" s="86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99"/>
    </row>
    <row r="2369" spans="1:27" s="210" customFormat="1" ht="15.75" customHeight="1">
      <c r="A2369" s="203" t="str">
        <f>IF(B2369&lt;&gt;"",IF(AND(B2369&gt;=_TM1,B2369&lt;=_TM2,OR(TH!L2369="1111",TH!M2369="1111")),TH!D2369,""),"")</f>
        <v/>
      </c>
      <c r="B2369" s="36">
        <f>IF(C2369&lt;&gt;"",MONTH(C2369),"")</f>
        <v>12</v>
      </c>
      <c r="C2369" s="183">
        <f>E2369</f>
        <v>42348</v>
      </c>
      <c r="D2369" s="183" t="s">
        <v>1621</v>
      </c>
      <c r="E2369" s="190">
        <v>42348</v>
      </c>
      <c r="F2369" s="191" t="s">
        <v>402</v>
      </c>
      <c r="G2369" s="482" t="s">
        <v>1252</v>
      </c>
      <c r="H2369" s="192" t="s">
        <v>1253</v>
      </c>
      <c r="I2369" s="255"/>
      <c r="J2369" s="255"/>
      <c r="K2369" s="38">
        <v>2101310</v>
      </c>
      <c r="L2369" s="594" t="s">
        <v>259</v>
      </c>
      <c r="M2369" s="594" t="s">
        <v>371</v>
      </c>
      <c r="N2369" s="52" t="str">
        <f>IF(AND('331-CT'!$E$7=TH!H2369,OR(L2369="331",M2369="331")),"331",IF(AND(OR(L2369="131",M2369="131"),H2369='131-CT'!$E$7),"131",""))</f>
        <v/>
      </c>
      <c r="O2369" s="86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99"/>
    </row>
    <row r="2370" spans="1:27" s="210" customFormat="1" ht="15.75" customHeight="1">
      <c r="A2370" s="203" t="str">
        <f>IF(B2370&lt;&gt;"",IF(AND(B2370&gt;=_TM1,B2370&lt;=_TM2,OR(TH!L2370="1111",TH!M2370="1111")),TH!D2370,""),"")</f>
        <v/>
      </c>
      <c r="B2370" s="36">
        <f>IF(C2370&lt;&gt;"",MONTH(C2370),"")</f>
        <v>12</v>
      </c>
      <c r="C2370" s="183">
        <f>E2370</f>
        <v>42348</v>
      </c>
      <c r="D2370" s="183" t="s">
        <v>1622</v>
      </c>
      <c r="E2370" s="190">
        <v>42348</v>
      </c>
      <c r="F2370" s="191" t="s">
        <v>1839</v>
      </c>
      <c r="G2370" s="479" t="s">
        <v>1258</v>
      </c>
      <c r="H2370" s="7" t="s">
        <v>1934</v>
      </c>
      <c r="I2370" s="256">
        <v>107</v>
      </c>
      <c r="J2370" s="255">
        <v>15819</v>
      </c>
      <c r="K2370" s="593">
        <f>ROUND(I2370*J2370,0)</f>
        <v>1692633</v>
      </c>
      <c r="L2370" s="594" t="s">
        <v>259</v>
      </c>
      <c r="M2370" s="594" t="s">
        <v>174</v>
      </c>
      <c r="N2370" s="52" t="str">
        <f>IF(AND('331-CT'!$E$7=TH!H2370,OR(L2370="331",M2370="331")),"331",IF(AND(OR(L2370="131",M2370="131"),H2370='131-CT'!$E$7),"131",""))</f>
        <v/>
      </c>
      <c r="O2370" s="86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99"/>
    </row>
    <row r="2371" spans="1:27" s="210" customFormat="1" ht="15.75" customHeight="1">
      <c r="A2371" s="203" t="str">
        <f>IF(B2371&lt;&gt;"",IF(AND(B2371&gt;=_TM1,B2371&lt;=_TM2,OR(TH!L2371="1111",TH!M2371="1111")),TH!D2371,""),"")</f>
        <v/>
      </c>
      <c r="B2371" s="36">
        <f>IF(C2371&lt;&gt;"",MONTH(C2371),"")</f>
        <v>12</v>
      </c>
      <c r="C2371" s="183">
        <f>E2371</f>
        <v>42348</v>
      </c>
      <c r="D2371" s="183" t="s">
        <v>1622</v>
      </c>
      <c r="E2371" s="190">
        <v>42348</v>
      </c>
      <c r="F2371" s="191" t="s">
        <v>1840</v>
      </c>
      <c r="G2371" s="479" t="s">
        <v>1258</v>
      </c>
      <c r="H2371" s="7" t="s">
        <v>1934</v>
      </c>
      <c r="I2371" s="256">
        <v>205</v>
      </c>
      <c r="J2371" s="255">
        <v>15475</v>
      </c>
      <c r="K2371" s="593">
        <f>ROUND(I2371*J2371,0)</f>
        <v>3172375</v>
      </c>
      <c r="L2371" s="594" t="s">
        <v>259</v>
      </c>
      <c r="M2371" s="594" t="s">
        <v>174</v>
      </c>
      <c r="N2371" s="52" t="str">
        <f>IF(AND('331-CT'!$E$7=TH!H2371,OR(L2371="331",M2371="331")),"331",IF(AND(OR(L2371="131",M2371="131"),H2371='131-CT'!$E$7),"131",""))</f>
        <v/>
      </c>
      <c r="O2371" s="86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99"/>
    </row>
    <row r="2372" spans="1:27" s="210" customFormat="1" ht="15.75" customHeight="1">
      <c r="A2372" s="203" t="str">
        <f>IF(B2372&lt;&gt;"",IF(AND(B2372&gt;=_TM1,B2372&lt;=_TM2,OR(TH!L2372="1111",TH!M2372="1111")),TH!D2372,""),"")</f>
        <v/>
      </c>
      <c r="B2372" s="36">
        <f>IF(C2372&lt;&gt;"",MONTH(C2372),"")</f>
        <v>12</v>
      </c>
      <c r="C2372" s="183">
        <f>E2372</f>
        <v>42348</v>
      </c>
      <c r="D2372" s="183" t="s">
        <v>1622</v>
      </c>
      <c r="E2372" s="727">
        <v>42348</v>
      </c>
      <c r="F2372" s="188" t="s">
        <v>692</v>
      </c>
      <c r="G2372" s="40" t="s">
        <v>1258</v>
      </c>
      <c r="H2372" s="7" t="s">
        <v>1934</v>
      </c>
      <c r="I2372" s="255">
        <v>30</v>
      </c>
      <c r="J2372" s="255">
        <v>16244</v>
      </c>
      <c r="K2372" s="593">
        <f>ROUND(I2372*J2372,0)</f>
        <v>487320</v>
      </c>
      <c r="L2372" s="594" t="s">
        <v>259</v>
      </c>
      <c r="M2372" s="594" t="s">
        <v>174</v>
      </c>
      <c r="N2372" s="52" t="str">
        <f>IF(AND('331-CT'!$E$7=TH!H2372,OR(L2372="331",M2372="331")),"331",IF(AND(OR(L2372="131",M2372="131"),H2372='131-CT'!$E$7),"131",""))</f>
        <v/>
      </c>
      <c r="O2372" s="86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99"/>
    </row>
    <row r="2373" spans="1:27" s="210" customFormat="1" ht="15.75" customHeight="1">
      <c r="A2373" s="203" t="str">
        <f>IF(B2373&lt;&gt;"",IF(AND(B2373&gt;=_TM1,B2373&lt;=_TM2,OR(TH!L2373="1111",TH!M2373="1111")),TH!D2373,""),"")</f>
        <v/>
      </c>
      <c r="B2373" s="36">
        <f>IF(C2373&lt;&gt;"",MONTH(C2373),"")</f>
        <v>12</v>
      </c>
      <c r="C2373" s="183">
        <f>E2373</f>
        <v>42348</v>
      </c>
      <c r="D2373" s="183" t="s">
        <v>1622</v>
      </c>
      <c r="E2373" s="727">
        <v>42348</v>
      </c>
      <c r="F2373" s="40" t="s">
        <v>1841</v>
      </c>
      <c r="G2373" s="40" t="s">
        <v>1258</v>
      </c>
      <c r="H2373" s="7" t="s">
        <v>1934</v>
      </c>
      <c r="I2373" s="255">
        <v>125</v>
      </c>
      <c r="J2373" s="255">
        <v>9419</v>
      </c>
      <c r="K2373" s="593">
        <f>ROUND(I2373*J2373,0)</f>
        <v>1177375</v>
      </c>
      <c r="L2373" s="594" t="s">
        <v>259</v>
      </c>
      <c r="M2373" s="594" t="s">
        <v>174</v>
      </c>
      <c r="N2373" s="52" t="str">
        <f>IF(AND('331-CT'!$E$7=TH!H2373,OR(L2373="331",M2373="331")),"331",IF(AND(OR(L2373="131",M2373="131"),H2373='131-CT'!$E$7),"131",""))</f>
        <v/>
      </c>
      <c r="O2373" s="86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99"/>
    </row>
    <row r="2374" spans="1:27" s="210" customFormat="1" ht="15.75" customHeight="1">
      <c r="A2374" s="203" t="str">
        <f>IF(B2374&lt;&gt;"",IF(AND(B2374&gt;=_TM1,B2374&lt;=_TM2,OR(TH!L2374="1111",TH!M2374="1111")),TH!D2374,""),"")</f>
        <v/>
      </c>
      <c r="B2374" s="36">
        <f>IF(C2374&lt;&gt;"",MONTH(C2374),"")</f>
        <v>12</v>
      </c>
      <c r="C2374" s="183">
        <f>E2374</f>
        <v>42348</v>
      </c>
      <c r="D2374" s="183" t="s">
        <v>1622</v>
      </c>
      <c r="E2374" s="727">
        <v>42348</v>
      </c>
      <c r="F2374" s="188" t="s">
        <v>694</v>
      </c>
      <c r="G2374" s="40" t="s">
        <v>1258</v>
      </c>
      <c r="H2374" s="7" t="s">
        <v>1934</v>
      </c>
      <c r="I2374" s="255">
        <v>100</v>
      </c>
      <c r="J2374" s="255">
        <v>15082</v>
      </c>
      <c r="K2374" s="593">
        <f>ROUND(I2374*J2374,0)</f>
        <v>1508200</v>
      </c>
      <c r="L2374" s="594" t="s">
        <v>259</v>
      </c>
      <c r="M2374" s="594" t="s">
        <v>174</v>
      </c>
      <c r="N2374" s="52" t="str">
        <f>IF(AND('331-CT'!$E$7=TH!H2374,OR(L2374="331",M2374="331")),"331",IF(AND(OR(L2374="131",M2374="131"),H2374='131-CT'!$E$7),"131",""))</f>
        <v/>
      </c>
      <c r="O2374" s="86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99"/>
    </row>
    <row r="2375" spans="1:27" s="210" customFormat="1" ht="15.75" customHeight="1">
      <c r="A2375" s="203" t="str">
        <f>IF(B2375&lt;&gt;"",IF(AND(B2375&gt;=_TM1,B2375&lt;=_TM2,OR(TH!L2375="1111",TH!M2375="1111")),TH!D2375,""),"")</f>
        <v/>
      </c>
      <c r="B2375" s="36">
        <f>IF(C2375&lt;&gt;"",MONTH(C2375),"")</f>
        <v>12</v>
      </c>
      <c r="C2375" s="183">
        <f>E2375</f>
        <v>42348</v>
      </c>
      <c r="D2375" s="183" t="s">
        <v>1622</v>
      </c>
      <c r="E2375" s="727">
        <v>42348</v>
      </c>
      <c r="F2375" s="296" t="s">
        <v>694</v>
      </c>
      <c r="G2375" s="40" t="s">
        <v>1258</v>
      </c>
      <c r="H2375" s="7" t="s">
        <v>1934</v>
      </c>
      <c r="I2375" s="255">
        <v>20</v>
      </c>
      <c r="J2375" s="255">
        <v>13377</v>
      </c>
      <c r="K2375" s="593">
        <f>ROUND(I2375*J2375,0)</f>
        <v>267540</v>
      </c>
      <c r="L2375" s="594" t="s">
        <v>259</v>
      </c>
      <c r="M2375" s="594" t="s">
        <v>174</v>
      </c>
      <c r="N2375" s="52" t="str">
        <f>IF(AND('331-CT'!$E$7=TH!H2375,OR(L2375="331",M2375="331")),"331",IF(AND(OR(L2375="131",M2375="131"),H2375='131-CT'!$E$7),"131",""))</f>
        <v/>
      </c>
      <c r="O2375" s="86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99"/>
    </row>
    <row r="2376" spans="1:27" s="210" customFormat="1" ht="15.75" customHeight="1">
      <c r="A2376" s="203" t="str">
        <f>IF(B2376&lt;&gt;"",IF(AND(B2376&gt;=_TM1,B2376&lt;=_TM2,OR(TH!L2376="1111",TH!M2376="1111")),TH!D2376,""),"")</f>
        <v/>
      </c>
      <c r="B2376" s="36">
        <f>IF(C2376&lt;&gt;"",MONTH(C2376),"")</f>
        <v>12</v>
      </c>
      <c r="C2376" s="183">
        <f>E2376</f>
        <v>42348</v>
      </c>
      <c r="D2376" s="183" t="s">
        <v>1622</v>
      </c>
      <c r="E2376" s="727">
        <v>42348</v>
      </c>
      <c r="F2376" s="296" t="s">
        <v>1842</v>
      </c>
      <c r="G2376" s="40" t="s">
        <v>1258</v>
      </c>
      <c r="H2376" s="7" t="s">
        <v>1934</v>
      </c>
      <c r="I2376" s="255">
        <v>24</v>
      </c>
      <c r="J2376" s="255">
        <v>15261</v>
      </c>
      <c r="K2376" s="593">
        <f>ROUND(I2376*J2376,0)</f>
        <v>366264</v>
      </c>
      <c r="L2376" s="594" t="s">
        <v>259</v>
      </c>
      <c r="M2376" s="594" t="s">
        <v>174</v>
      </c>
      <c r="N2376" s="52" t="str">
        <f>IF(AND('331-CT'!$E$7=TH!H2376,OR(L2376="331",M2376="331")),"331",IF(AND(OR(L2376="131",M2376="131"),H2376='131-CT'!$E$7),"131",""))</f>
        <v/>
      </c>
      <c r="O2376" s="86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99"/>
    </row>
    <row r="2377" spans="1:27" s="210" customFormat="1" ht="15.75" customHeight="1">
      <c r="A2377" s="203" t="str">
        <f>IF(B2377&lt;&gt;"",IF(AND(B2377&gt;=_TM1,B2377&lt;=_TM2,OR(TH!L2377="1111",TH!M2377="1111")),TH!D2377,""),"")</f>
        <v/>
      </c>
      <c r="B2377" s="36">
        <f>IF(C2377&lt;&gt;"",MONTH(C2377),"")</f>
        <v>12</v>
      </c>
      <c r="C2377" s="183">
        <f>E2377</f>
        <v>42348</v>
      </c>
      <c r="D2377" s="183" t="s">
        <v>1622</v>
      </c>
      <c r="E2377" s="727">
        <v>42348</v>
      </c>
      <c r="F2377" s="188" t="s">
        <v>742</v>
      </c>
      <c r="G2377" s="40" t="s">
        <v>1258</v>
      </c>
      <c r="H2377" s="7" t="s">
        <v>1934</v>
      </c>
      <c r="I2377" s="750">
        <v>400</v>
      </c>
      <c r="J2377" s="255">
        <v>17836</v>
      </c>
      <c r="K2377" s="593">
        <f>ROUND(I2377*J2377,0)</f>
        <v>7134400</v>
      </c>
      <c r="L2377" s="594" t="s">
        <v>259</v>
      </c>
      <c r="M2377" s="594" t="s">
        <v>174</v>
      </c>
      <c r="N2377" s="52" t="str">
        <f>IF(AND('331-CT'!$E$7=TH!H2377,OR(L2377="331",M2377="331")),"331",IF(AND(OR(L2377="131",M2377="131"),H2377='131-CT'!$E$7),"131",""))</f>
        <v/>
      </c>
      <c r="O2377" s="86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99"/>
    </row>
    <row r="2378" spans="1:27" s="210" customFormat="1" ht="15.75" customHeight="1">
      <c r="A2378" s="203" t="str">
        <f>IF(B2378&lt;&gt;"",IF(AND(B2378&gt;=_TM1,B2378&lt;=_TM2,OR(TH!L2378="1111",TH!M2378="1111")),TH!D2378,""),"")</f>
        <v/>
      </c>
      <c r="B2378" s="36">
        <f>IF(C2378&lt;&gt;"",MONTH(C2378),"")</f>
        <v>12</v>
      </c>
      <c r="C2378" s="183">
        <f>E2378</f>
        <v>42348</v>
      </c>
      <c r="D2378" s="183" t="s">
        <v>1622</v>
      </c>
      <c r="E2378" s="727">
        <v>42348</v>
      </c>
      <c r="F2378" s="188" t="s">
        <v>731</v>
      </c>
      <c r="G2378" s="40" t="s">
        <v>1258</v>
      </c>
      <c r="H2378" s="7" t="s">
        <v>1934</v>
      </c>
      <c r="I2378" s="255"/>
      <c r="J2378" s="255"/>
      <c r="K2378" s="593">
        <v>1580611</v>
      </c>
      <c r="L2378" s="594" t="s">
        <v>259</v>
      </c>
      <c r="M2378" s="594" t="s">
        <v>371</v>
      </c>
      <c r="N2378" s="52" t="str">
        <f>IF(AND('331-CT'!$E$7=TH!H2378,OR(L2378="331",M2378="331")),"331",IF(AND(OR(L2378="131",M2378="131"),H2378='131-CT'!$E$7),"131",""))</f>
        <v/>
      </c>
      <c r="O2378" s="86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99"/>
    </row>
    <row r="2379" spans="1:27" s="210" customFormat="1" ht="15.75" customHeight="1">
      <c r="A2379" s="203" t="str">
        <f>IF(B2379&lt;&gt;"",IF(AND(B2379&gt;=_TM1,B2379&lt;=_TM2,OR(TH!L2379="1111",TH!M2379="1111")),TH!D2379,""),"")</f>
        <v/>
      </c>
      <c r="B2379" s="36">
        <f>IF(C2379&lt;&gt;"",MONTH(C2379),"")</f>
        <v>12</v>
      </c>
      <c r="C2379" s="183">
        <f>E2379</f>
        <v>42349</v>
      </c>
      <c r="D2379" s="183" t="s">
        <v>1319</v>
      </c>
      <c r="E2379" s="190">
        <v>42349</v>
      </c>
      <c r="F2379" s="188" t="s">
        <v>1320</v>
      </c>
      <c r="G2379" s="482" t="s">
        <v>332</v>
      </c>
      <c r="H2379" s="7" t="s">
        <v>957</v>
      </c>
      <c r="I2379" s="255"/>
      <c r="J2379" s="255"/>
      <c r="K2379" s="593">
        <v>44440000</v>
      </c>
      <c r="L2379" s="594" t="s">
        <v>24</v>
      </c>
      <c r="M2379" s="594" t="s">
        <v>259</v>
      </c>
      <c r="N2379" s="52" t="str">
        <f>IF(AND('331-CT'!$E$7=TH!H2379,OR(L2379="331",M2379="331")),"331",IF(AND(OR(L2379="131",M2379="131"),H2379='131-CT'!$E$7),"131",""))</f>
        <v/>
      </c>
      <c r="O2379" s="86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>x</v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9"/>
    </row>
    <row r="2380" spans="1:27" s="210" customFormat="1" ht="15.75" customHeight="1">
      <c r="A2380" s="203" t="str">
        <f>IF(B2380&lt;&gt;"",IF(AND(B2380&gt;=_TM1,B2380&lt;=_TM2,OR(TH!L2380="1111",TH!M2380="1111")),TH!D2380,""),"")</f>
        <v/>
      </c>
      <c r="B2380" s="36">
        <f>IF(C2380&lt;&gt;"",MONTH(C2380),"")</f>
        <v>12</v>
      </c>
      <c r="C2380" s="183">
        <f>E2380</f>
        <v>42349</v>
      </c>
      <c r="D2380" s="183" t="s">
        <v>1319</v>
      </c>
      <c r="E2380" s="190">
        <v>42349</v>
      </c>
      <c r="F2380" s="188" t="s">
        <v>1320</v>
      </c>
      <c r="G2380" s="482" t="s">
        <v>332</v>
      </c>
      <c r="H2380" s="7" t="s">
        <v>950</v>
      </c>
      <c r="I2380" s="255"/>
      <c r="J2380" s="255"/>
      <c r="K2380" s="593">
        <v>9828940</v>
      </c>
      <c r="L2380" s="594" t="s">
        <v>24</v>
      </c>
      <c r="M2380" s="594" t="s">
        <v>259</v>
      </c>
      <c r="N2380" s="52" t="str">
        <f>IF(AND('331-CT'!$E$7=TH!H2380,OR(L2380="331",M2380="331")),"331",IF(AND(OR(L2380="131",M2380="131"),H2380='131-CT'!$E$7),"131",""))</f>
        <v/>
      </c>
      <c r="O2380" s="86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>x</v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99"/>
    </row>
    <row r="2381" spans="1:27" s="210" customFormat="1" ht="15.75" customHeight="1">
      <c r="A2381" s="203" t="str">
        <f>IF(B2381&lt;&gt;"",IF(AND(B2381&gt;=_TM1,B2381&lt;=_TM2,OR(TH!L2381="1111",TH!M2381="1111")),TH!D2381,""),"")</f>
        <v>GBN</v>
      </c>
      <c r="B2381" s="36">
        <f>IF(C2381&lt;&gt;"",MONTH(C2381),"")</f>
        <v>12</v>
      </c>
      <c r="C2381" s="183">
        <f>E2381</f>
        <v>42349</v>
      </c>
      <c r="D2381" s="183" t="s">
        <v>1324</v>
      </c>
      <c r="E2381" s="190">
        <v>42349</v>
      </c>
      <c r="F2381" s="188" t="s">
        <v>1325</v>
      </c>
      <c r="G2381" s="482" t="s">
        <v>332</v>
      </c>
      <c r="H2381" s="7" t="s">
        <v>1337</v>
      </c>
      <c r="I2381" s="255"/>
      <c r="J2381" s="255"/>
      <c r="K2381" s="593">
        <v>22000000</v>
      </c>
      <c r="L2381" s="594" t="s">
        <v>47</v>
      </c>
      <c r="M2381" s="594" t="s">
        <v>24</v>
      </c>
      <c r="N2381" s="52" t="str">
        <f>IF(AND('331-CT'!$E$7=TH!H2381,OR(L2381="331",M2381="331")),"331",IF(AND(OR(L2381="131",M2381="131"),H2381='131-CT'!$E$7),"131",""))</f>
        <v/>
      </c>
      <c r="O2381" s="86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>x</v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99"/>
    </row>
    <row r="2382" spans="1:27" s="210" customFormat="1" ht="15.75" customHeight="1">
      <c r="A2382" s="203" t="str">
        <f>IF(B2382&lt;&gt;"",IF(AND(B2382&gt;=_TM1,B2382&lt;=_TM2,OR(TH!L2382="1111",TH!M2382="1111")),TH!D2382,""),"")</f>
        <v/>
      </c>
      <c r="B2382" s="36">
        <f>IF(C2382&lt;&gt;"",MONTH(C2382),"")</f>
        <v>12</v>
      </c>
      <c r="C2382" s="183">
        <f>E2382</f>
        <v>42349</v>
      </c>
      <c r="D2382" s="183" t="s">
        <v>1324</v>
      </c>
      <c r="E2382" s="190">
        <v>42349</v>
      </c>
      <c r="F2382" s="296" t="s">
        <v>1326</v>
      </c>
      <c r="G2382" s="482" t="s">
        <v>332</v>
      </c>
      <c r="H2382" s="7" t="s">
        <v>1472</v>
      </c>
      <c r="I2382" s="255"/>
      <c r="J2382" s="255"/>
      <c r="K2382" s="593">
        <v>35000000</v>
      </c>
      <c r="L2382" s="594" t="s">
        <v>8</v>
      </c>
      <c r="M2382" s="594" t="s">
        <v>24</v>
      </c>
      <c r="N2382" s="52" t="str">
        <f>IF(AND('331-CT'!$E$7=TH!H2382,OR(L2382="331",M2382="331")),"331",IF(AND(OR(L2382="131",M2382="131"),H2382='131-CT'!$E$7),"131",""))</f>
        <v/>
      </c>
      <c r="O2382" s="86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>x</v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99"/>
    </row>
    <row r="2383" spans="1:27" s="210" customFormat="1" ht="15.75" customHeight="1">
      <c r="A2383" s="203" t="str">
        <f>IF(B2383&lt;&gt;"",IF(AND(B2383&gt;=_TM1,B2383&lt;=_TM2,OR(TH!L2383="1111",TH!M2383="1111")),TH!D2383,""),"")</f>
        <v/>
      </c>
      <c r="B2383" s="36">
        <f>IF(C2383&lt;&gt;"",MONTH(C2383),"")</f>
        <v>12</v>
      </c>
      <c r="C2383" s="183">
        <f>E2383</f>
        <v>42349</v>
      </c>
      <c r="D2383" s="183" t="s">
        <v>1324</v>
      </c>
      <c r="E2383" s="190">
        <v>42349</v>
      </c>
      <c r="F2383" s="188" t="s">
        <v>1327</v>
      </c>
      <c r="G2383" s="482" t="s">
        <v>332</v>
      </c>
      <c r="H2383" s="7"/>
      <c r="I2383" s="255"/>
      <c r="J2383" s="255"/>
      <c r="K2383" s="593">
        <v>10000</v>
      </c>
      <c r="L2383" s="594" t="s">
        <v>83</v>
      </c>
      <c r="M2383" s="594" t="s">
        <v>24</v>
      </c>
      <c r="N2383" s="52" t="str">
        <f>IF(AND('331-CT'!$E$7=TH!H2383,OR(L2383="331",M2383="331")),"331",IF(AND(OR(L2383="131",M2383="131"),H2383='131-CT'!$E$7),"131",""))</f>
        <v/>
      </c>
      <c r="O2383" s="86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>x</v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>x</v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99"/>
    </row>
    <row r="2384" spans="1:27" s="210" customFormat="1" ht="15.75" customHeight="1">
      <c r="A2384" s="203" t="str">
        <f>IF(B2384&lt;&gt;"",IF(AND(B2384&gt;=_TM1,B2384&lt;=_TM2,OR(TH!L2384="1111",TH!M2384="1111")),TH!D2384,""),"")</f>
        <v/>
      </c>
      <c r="B2384" s="36">
        <f>IF(C2384&lt;&gt;"",MONTH(C2384),"")</f>
        <v>12</v>
      </c>
      <c r="C2384" s="183">
        <f>E2384</f>
        <v>42350</v>
      </c>
      <c r="D2384" s="183" t="s">
        <v>1623</v>
      </c>
      <c r="E2384" s="727">
        <v>42350</v>
      </c>
      <c r="F2384" s="188" t="s">
        <v>999</v>
      </c>
      <c r="G2384" s="40" t="s">
        <v>1259</v>
      </c>
      <c r="H2384" s="7" t="s">
        <v>412</v>
      </c>
      <c r="I2384" s="750">
        <v>201</v>
      </c>
      <c r="J2384" s="255">
        <v>8800</v>
      </c>
      <c r="K2384" s="593">
        <f>ROUND(I2384*J2384,0)</f>
        <v>1768800</v>
      </c>
      <c r="L2384" s="594" t="s">
        <v>259</v>
      </c>
      <c r="M2384" s="594" t="s">
        <v>174</v>
      </c>
      <c r="N2384" s="52" t="str">
        <f>IF(AND('331-CT'!$E$7=TH!H2384,OR(L2384="331",M2384="331")),"331",IF(AND(OR(L2384="131",M2384="131"),H2384='131-CT'!$E$7),"131",""))</f>
        <v/>
      </c>
      <c r="O2384" s="86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99"/>
    </row>
    <row r="2385" spans="1:27" s="210" customFormat="1" ht="15.75" customHeight="1">
      <c r="A2385" s="203" t="str">
        <f>IF(B2385&lt;&gt;"",IF(AND(B2385&gt;=_TM1,B2385&lt;=_TM2,OR(TH!L2385="1111",TH!M2385="1111")),TH!D2385,""),"")</f>
        <v/>
      </c>
      <c r="B2385" s="36">
        <f>IF(C2385&lt;&gt;"",MONTH(C2385),"")</f>
        <v>12</v>
      </c>
      <c r="C2385" s="183">
        <f>E2385</f>
        <v>42350</v>
      </c>
      <c r="D2385" s="183" t="s">
        <v>1623</v>
      </c>
      <c r="E2385" s="190">
        <v>42350</v>
      </c>
      <c r="F2385" s="191" t="s">
        <v>402</v>
      </c>
      <c r="G2385" s="482" t="s">
        <v>1259</v>
      </c>
      <c r="H2385" s="7" t="s">
        <v>412</v>
      </c>
      <c r="I2385" s="256"/>
      <c r="J2385" s="256"/>
      <c r="K2385" s="38">
        <v>176880</v>
      </c>
      <c r="L2385" s="594" t="s">
        <v>259</v>
      </c>
      <c r="M2385" s="594" t="s">
        <v>371</v>
      </c>
      <c r="N2385" s="52" t="str">
        <f>IF(AND('331-CT'!$E$7=TH!H2385,OR(L2385="331",M2385="331")),"331",IF(AND(OR(L2385="131",M2385="131"),H2385='131-CT'!$E$7),"131",""))</f>
        <v/>
      </c>
      <c r="O2385" s="86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99"/>
    </row>
    <row r="2386" spans="1:27" s="210" customFormat="1" ht="15.75" customHeight="1">
      <c r="A2386" s="203" t="str">
        <f>IF(B2386&lt;&gt;"",IF(AND(B2386&gt;=_TM1,B2386&lt;=_TM2,OR(TH!L2386="1111",TH!M2386="1111")),TH!D2386,""),"")</f>
        <v/>
      </c>
      <c r="B2386" s="36">
        <f>IF(C2386&lt;&gt;"",MONTH(C2386),"")</f>
        <v>12</v>
      </c>
      <c r="C2386" s="183">
        <f>E2386</f>
        <v>42350</v>
      </c>
      <c r="D2386" s="183" t="s">
        <v>1624</v>
      </c>
      <c r="E2386" s="190">
        <v>42350</v>
      </c>
      <c r="F2386" s="191" t="s">
        <v>1260</v>
      </c>
      <c r="G2386" s="482" t="s">
        <v>1261</v>
      </c>
      <c r="H2386" s="192" t="s">
        <v>438</v>
      </c>
      <c r="I2386" s="255">
        <v>403</v>
      </c>
      <c r="J2386" s="255">
        <v>6400</v>
      </c>
      <c r="K2386" s="593">
        <f>ROUND(I2386*J2386,0)</f>
        <v>2579200</v>
      </c>
      <c r="L2386" s="594" t="s">
        <v>259</v>
      </c>
      <c r="M2386" s="594" t="s">
        <v>174</v>
      </c>
      <c r="N2386" s="52" t="str">
        <f>IF(AND('331-CT'!$E$7=TH!H2386,OR(L2386="331",M2386="331")),"331",IF(AND(OR(L2386="131",M2386="131"),H2386='131-CT'!$E$7),"131",""))</f>
        <v/>
      </c>
      <c r="O2386" s="86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99"/>
    </row>
    <row r="2387" spans="1:27" s="210" customFormat="1" ht="15.75" customHeight="1">
      <c r="A2387" s="203" t="str">
        <f>IF(B2387&lt;&gt;"",IF(AND(B2387&gt;=_TM1,B2387&lt;=_TM2,OR(TH!L2387="1111",TH!M2387="1111")),TH!D2387,""),"")</f>
        <v/>
      </c>
      <c r="B2387" s="36">
        <f>IF(C2387&lt;&gt;"",MONTH(C2387),"")</f>
        <v>12</v>
      </c>
      <c r="C2387" s="183">
        <f>E2387</f>
        <v>42350</v>
      </c>
      <c r="D2387" s="183" t="s">
        <v>1624</v>
      </c>
      <c r="E2387" s="190">
        <v>42350</v>
      </c>
      <c r="F2387" s="188" t="s">
        <v>1262</v>
      </c>
      <c r="G2387" s="482" t="s">
        <v>1261</v>
      </c>
      <c r="H2387" s="7" t="s">
        <v>438</v>
      </c>
      <c r="I2387" s="255">
        <v>101</v>
      </c>
      <c r="J2387" s="255">
        <v>8400</v>
      </c>
      <c r="K2387" s="593">
        <f>ROUND(I2387*J2387,0)</f>
        <v>848400</v>
      </c>
      <c r="L2387" s="594" t="s">
        <v>259</v>
      </c>
      <c r="M2387" s="594" t="s">
        <v>174</v>
      </c>
      <c r="N2387" s="52" t="str">
        <f>IF(AND('331-CT'!$E$7=TH!H2387,OR(L2387="331",M2387="331")),"331",IF(AND(OR(L2387="131",M2387="131"),H2387='131-CT'!$E$7),"131",""))</f>
        <v/>
      </c>
      <c r="O2387" s="86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99"/>
    </row>
    <row r="2388" spans="1:27" s="210" customFormat="1" ht="15.75" customHeight="1">
      <c r="A2388" s="203" t="str">
        <f>IF(B2388&lt;&gt;"",IF(AND(B2388&gt;=_TM1,B2388&lt;=_TM2,OR(TH!L2388="1111",TH!M2388="1111")),TH!D2388,""),"")</f>
        <v/>
      </c>
      <c r="B2388" s="36">
        <f>IF(C2388&lt;&gt;"",MONTH(C2388),"")</f>
        <v>12</v>
      </c>
      <c r="C2388" s="183">
        <f>E2388</f>
        <v>42350</v>
      </c>
      <c r="D2388" s="183" t="s">
        <v>1624</v>
      </c>
      <c r="E2388" s="190">
        <v>42350</v>
      </c>
      <c r="F2388" s="188" t="s">
        <v>1263</v>
      </c>
      <c r="G2388" s="482" t="s">
        <v>1261</v>
      </c>
      <c r="H2388" s="7" t="s">
        <v>438</v>
      </c>
      <c r="I2388" s="255">
        <v>106</v>
      </c>
      <c r="J2388" s="255">
        <v>8500</v>
      </c>
      <c r="K2388" s="593">
        <f>ROUND(I2388*J2388,0)</f>
        <v>901000</v>
      </c>
      <c r="L2388" s="594" t="s">
        <v>259</v>
      </c>
      <c r="M2388" s="594" t="s">
        <v>174</v>
      </c>
      <c r="N2388" s="52" t="str">
        <f>IF(AND('331-CT'!$E$7=TH!H2388,OR(L2388="331",M2388="331")),"331",IF(AND(OR(L2388="131",M2388="131"),H2388='131-CT'!$E$7),"131",""))</f>
        <v/>
      </c>
      <c r="O2388" s="86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99"/>
    </row>
    <row r="2389" spans="1:27" s="210" customFormat="1" ht="15.75" customHeight="1">
      <c r="A2389" s="203" t="str">
        <f>IF(B2389&lt;&gt;"",IF(AND(B2389&gt;=_TM1,B2389&lt;=_TM2,OR(TH!L2389="1111",TH!M2389="1111")),TH!D2389,""),"")</f>
        <v/>
      </c>
      <c r="B2389" s="36">
        <f>IF(C2389&lt;&gt;"",MONTH(C2389),"")</f>
        <v>12</v>
      </c>
      <c r="C2389" s="183">
        <f>E2389</f>
        <v>42350</v>
      </c>
      <c r="D2389" s="183" t="s">
        <v>1624</v>
      </c>
      <c r="E2389" s="190">
        <v>42350</v>
      </c>
      <c r="F2389" s="40" t="s">
        <v>439</v>
      </c>
      <c r="G2389" s="482" t="s">
        <v>1261</v>
      </c>
      <c r="H2389" s="209" t="s">
        <v>438</v>
      </c>
      <c r="I2389" s="255">
        <v>500</v>
      </c>
      <c r="J2389" s="255">
        <v>7700</v>
      </c>
      <c r="K2389" s="593">
        <f>ROUND(I2389*J2389,0)</f>
        <v>3850000</v>
      </c>
      <c r="L2389" s="594" t="s">
        <v>259</v>
      </c>
      <c r="M2389" s="594" t="s">
        <v>174</v>
      </c>
      <c r="N2389" s="52" t="str">
        <f>IF(AND('331-CT'!$E$7=TH!H2389,OR(L2389="331",M2389="331")),"331",IF(AND(OR(L2389="131",M2389="131"),H2389='131-CT'!$E$7),"131",""))</f>
        <v/>
      </c>
      <c r="O2389" s="86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99"/>
    </row>
    <row r="2390" spans="1:27" s="210" customFormat="1" ht="15.75" customHeight="1">
      <c r="A2390" s="203" t="str">
        <f>IF(B2390&lt;&gt;"",IF(AND(B2390&gt;=_TM1,B2390&lt;=_TM2,OR(TH!L2390="1111",TH!M2390="1111")),TH!D2390,""),"")</f>
        <v/>
      </c>
      <c r="B2390" s="36">
        <f>IF(C2390&lt;&gt;"",MONTH(C2390),"")</f>
        <v>12</v>
      </c>
      <c r="C2390" s="183">
        <f>E2390</f>
        <v>42350</v>
      </c>
      <c r="D2390" s="183" t="s">
        <v>1624</v>
      </c>
      <c r="E2390" s="190">
        <v>42350</v>
      </c>
      <c r="F2390" s="191" t="s">
        <v>402</v>
      </c>
      <c r="G2390" s="482" t="s">
        <v>1261</v>
      </c>
      <c r="H2390" s="209" t="s">
        <v>438</v>
      </c>
      <c r="I2390" s="255"/>
      <c r="J2390" s="255"/>
      <c r="K2390" s="593">
        <v>817860</v>
      </c>
      <c r="L2390" s="594" t="s">
        <v>259</v>
      </c>
      <c r="M2390" s="594" t="s">
        <v>371</v>
      </c>
      <c r="N2390" s="52" t="str">
        <f>IF(AND('331-CT'!$E$7=TH!H2390,OR(L2390="331",M2390="331")),"331",IF(AND(OR(L2390="131",M2390="131"),H2390='131-CT'!$E$7),"131",""))</f>
        <v/>
      </c>
      <c r="O2390" s="86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99"/>
    </row>
    <row r="2391" spans="1:27" s="210" customFormat="1" ht="15.75" customHeight="1">
      <c r="A2391" s="203" t="str">
        <f>IF(B2391&lt;&gt;"",IF(AND(B2391&gt;=_TM1,B2391&lt;=_TM2,OR(TH!L2391="1111",TH!M2391="1111")),TH!D2391,""),"")</f>
        <v/>
      </c>
      <c r="B2391" s="36">
        <f>IF(C2391&lt;&gt;"",MONTH(C2391),"")</f>
        <v>12</v>
      </c>
      <c r="C2391" s="183">
        <f>E2391</f>
        <v>42352</v>
      </c>
      <c r="D2391" s="183" t="s">
        <v>1319</v>
      </c>
      <c r="E2391" s="190">
        <v>42352</v>
      </c>
      <c r="F2391" s="188" t="s">
        <v>1320</v>
      </c>
      <c r="G2391" s="482" t="s">
        <v>332</v>
      </c>
      <c r="H2391" s="7" t="s">
        <v>1245</v>
      </c>
      <c r="I2391" s="255"/>
      <c r="J2391" s="255"/>
      <c r="K2391" s="593">
        <v>12104290</v>
      </c>
      <c r="L2391" s="594" t="s">
        <v>24</v>
      </c>
      <c r="M2391" s="594" t="s">
        <v>259</v>
      </c>
      <c r="N2391" s="52" t="str">
        <f>IF(AND('331-CT'!$E$7=TH!H2391,OR(L2391="331",M2391="331")),"331",IF(AND(OR(L2391="131",M2391="131"),H2391='131-CT'!$E$7),"131",""))</f>
        <v/>
      </c>
      <c r="O2391" s="86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>x</v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99"/>
    </row>
    <row r="2392" spans="1:27" s="210" customFormat="1" ht="15.75" customHeight="1">
      <c r="A2392" s="203" t="str">
        <f>IF(B2392&lt;&gt;"",IF(AND(B2392&gt;=_TM1,B2392&lt;=_TM2,OR(TH!L2392="1111",TH!M2392="1111")),TH!D2392,""),"")</f>
        <v/>
      </c>
      <c r="B2392" s="36">
        <f>IF(C2392&lt;&gt;"",MONTH(C2392),"")</f>
        <v>12</v>
      </c>
      <c r="C2392" s="183">
        <f>E2392</f>
        <v>42352</v>
      </c>
      <c r="D2392" s="190" t="s">
        <v>2020</v>
      </c>
      <c r="E2392" s="727">
        <v>42352</v>
      </c>
      <c r="F2392" s="296" t="s">
        <v>1380</v>
      </c>
      <c r="G2392" s="482" t="s">
        <v>1480</v>
      </c>
      <c r="H2392" s="7" t="s">
        <v>1472</v>
      </c>
      <c r="I2392" s="255">
        <v>4065</v>
      </c>
      <c r="J2392" s="255">
        <v>8800</v>
      </c>
      <c r="K2392" s="593">
        <f>ROUND(I2392*J2392,0)</f>
        <v>35772000</v>
      </c>
      <c r="L2392" s="594" t="s">
        <v>159</v>
      </c>
      <c r="M2392" s="594" t="s">
        <v>8</v>
      </c>
      <c r="N2392" s="52" t="str">
        <f>IF(AND('331-CT'!$E$7=TH!H2392,OR(L2392="331",M2392="331")),"331",IF(AND(OR(L2392="131",M2392="131"),H2392='131-CT'!$E$7),"131",""))</f>
        <v/>
      </c>
      <c r="O2392" s="86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>x</v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99"/>
    </row>
    <row r="2393" spans="1:27" s="210" customFormat="1" ht="15.75" customHeight="1">
      <c r="A2393" s="203" t="str">
        <f>IF(B2393&lt;&gt;"",IF(AND(B2393&gt;=_TM1,B2393&lt;=_TM2,OR(TH!L2393="1111",TH!M2393="1111")),TH!D2393,""),"")</f>
        <v/>
      </c>
      <c r="B2393" s="36">
        <f>IF(C2393&lt;&gt;"",MONTH(C2393),"")</f>
        <v>12</v>
      </c>
      <c r="C2393" s="183">
        <f>E2393</f>
        <v>42352</v>
      </c>
      <c r="D2393" s="190" t="s">
        <v>2020</v>
      </c>
      <c r="E2393" s="727">
        <v>42352</v>
      </c>
      <c r="F2393" s="296" t="s">
        <v>1381</v>
      </c>
      <c r="G2393" s="482" t="s">
        <v>1480</v>
      </c>
      <c r="H2393" s="7" t="s">
        <v>1472</v>
      </c>
      <c r="I2393" s="255"/>
      <c r="J2393" s="255"/>
      <c r="K2393" s="593">
        <v>3577200</v>
      </c>
      <c r="L2393" s="594" t="s">
        <v>9</v>
      </c>
      <c r="M2393" s="594" t="s">
        <v>8</v>
      </c>
      <c r="N2393" s="52" t="str">
        <f>IF(AND('331-CT'!$E$7=TH!H2393,OR(L2393="331",M2393="331")),"331",IF(AND(OR(L2393="131",M2393="131"),H2393='131-CT'!$E$7),"131",""))</f>
        <v/>
      </c>
      <c r="O2393" s="86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99"/>
    </row>
    <row r="2394" spans="1:27" s="210" customFormat="1" ht="15.75" customHeight="1">
      <c r="A2394" s="203" t="str">
        <f>IF(B2394&lt;&gt;"",IF(AND(B2394&gt;=_TM1,B2394&lt;=_TM2,OR(TH!L2394="1111",TH!M2394="1111")),TH!D2394,""),"")</f>
        <v/>
      </c>
      <c r="B2394" s="36">
        <f>IF(C2394&lt;&gt;"",MONTH(C2394),"")</f>
        <v>12</v>
      </c>
      <c r="C2394" s="183">
        <f>E2394</f>
        <v>42353</v>
      </c>
      <c r="D2394" s="183" t="s">
        <v>1625</v>
      </c>
      <c r="E2394" s="190">
        <v>42353</v>
      </c>
      <c r="F2394" s="191" t="s">
        <v>1264</v>
      </c>
      <c r="G2394" s="482" t="s">
        <v>1265</v>
      </c>
      <c r="H2394" s="192" t="s">
        <v>793</v>
      </c>
      <c r="I2394" s="255">
        <v>244</v>
      </c>
      <c r="J2394" s="255">
        <v>10900</v>
      </c>
      <c r="K2394" s="593">
        <f>ROUND(I2394*J2394,0)</f>
        <v>2659600</v>
      </c>
      <c r="L2394" s="594" t="s">
        <v>259</v>
      </c>
      <c r="M2394" s="594" t="s">
        <v>174</v>
      </c>
      <c r="N2394" s="52" t="str">
        <f>IF(AND('331-CT'!$E$7=TH!H2394,OR(L2394="331",M2394="331")),"331",IF(AND(OR(L2394="131",M2394="131"),H2394='131-CT'!$E$7),"131",""))</f>
        <v/>
      </c>
      <c r="O2394" s="86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99"/>
    </row>
    <row r="2395" spans="1:27" s="210" customFormat="1" ht="15.75" customHeight="1">
      <c r="A2395" s="203" t="str">
        <f>IF(B2395&lt;&gt;"",IF(AND(B2395&gt;=_TM1,B2395&lt;=_TM2,OR(TH!L2395="1111",TH!M2395="1111")),TH!D2395,""),"")</f>
        <v/>
      </c>
      <c r="B2395" s="36">
        <f>IF(C2395&lt;&gt;"",MONTH(C2395),"")</f>
        <v>12</v>
      </c>
      <c r="C2395" s="183">
        <f>E2395</f>
        <v>42353</v>
      </c>
      <c r="D2395" s="183" t="s">
        <v>1625</v>
      </c>
      <c r="E2395" s="727">
        <v>42353</v>
      </c>
      <c r="F2395" s="40" t="s">
        <v>1686</v>
      </c>
      <c r="G2395" s="40" t="s">
        <v>1265</v>
      </c>
      <c r="H2395" s="192" t="s">
        <v>793</v>
      </c>
      <c r="I2395" s="255">
        <v>488</v>
      </c>
      <c r="J2395" s="255">
        <v>900</v>
      </c>
      <c r="K2395" s="593">
        <f>ROUND(I2395*J2395,0)</f>
        <v>439200</v>
      </c>
      <c r="L2395" s="594" t="s">
        <v>259</v>
      </c>
      <c r="M2395" s="594" t="s">
        <v>174</v>
      </c>
      <c r="N2395" s="52" t="str">
        <f>IF(AND('331-CT'!$E$7=TH!H2395,OR(L2395="331",M2395="331")),"331",IF(AND(OR(L2395="131",M2395="131"),H2395='131-CT'!$E$7),"131",""))</f>
        <v/>
      </c>
      <c r="O2395" s="86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99"/>
    </row>
    <row r="2396" spans="1:27" s="210" customFormat="1" ht="15.75" customHeight="1">
      <c r="A2396" s="203" t="str">
        <f>IF(B2396&lt;&gt;"",IF(AND(B2396&gt;=_TM1,B2396&lt;=_TM2,OR(TH!L2396="1111",TH!M2396="1111")),TH!D2396,""),"")</f>
        <v/>
      </c>
      <c r="B2396" s="36">
        <f>IF(C2396&lt;&gt;"",MONTH(C2396),"")</f>
        <v>12</v>
      </c>
      <c r="C2396" s="183">
        <f>E2396</f>
        <v>42353</v>
      </c>
      <c r="D2396" s="183" t="s">
        <v>1625</v>
      </c>
      <c r="E2396" s="727">
        <v>42353</v>
      </c>
      <c r="F2396" s="188" t="s">
        <v>402</v>
      </c>
      <c r="G2396" s="40" t="s">
        <v>1265</v>
      </c>
      <c r="H2396" s="192" t="s">
        <v>793</v>
      </c>
      <c r="I2396" s="255"/>
      <c r="J2396" s="255"/>
      <c r="K2396" s="593">
        <v>309880</v>
      </c>
      <c r="L2396" s="594" t="s">
        <v>259</v>
      </c>
      <c r="M2396" s="594" t="s">
        <v>371</v>
      </c>
      <c r="N2396" s="52" t="str">
        <f>IF(AND('331-CT'!$E$7=TH!H2396,OR(L2396="331",M2396="331")),"331",IF(AND(OR(L2396="131",M2396="131"),H2396='131-CT'!$E$7),"131",""))</f>
        <v/>
      </c>
      <c r="O2396" s="86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99"/>
    </row>
    <row r="2397" spans="1:27" s="210" customFormat="1" ht="15.75" customHeight="1">
      <c r="A2397" s="203" t="str">
        <f>IF(B2397&lt;&gt;"",IF(AND(B2397&gt;=_TM1,B2397&lt;=_TM2,OR(TH!L2397="1111",TH!M2397="1111")),TH!D2397,""),"")</f>
        <v/>
      </c>
      <c r="B2397" s="36">
        <f>IF(C2397&lt;&gt;"",MONTH(C2397),"")</f>
        <v>12</v>
      </c>
      <c r="C2397" s="183">
        <f>E2397</f>
        <v>42353</v>
      </c>
      <c r="D2397" s="183" t="s">
        <v>1626</v>
      </c>
      <c r="E2397" s="727">
        <v>42353</v>
      </c>
      <c r="F2397" s="40" t="s">
        <v>1030</v>
      </c>
      <c r="G2397" s="40" t="s">
        <v>1266</v>
      </c>
      <c r="H2397" s="7" t="s">
        <v>832</v>
      </c>
      <c r="I2397" s="255">
        <v>508</v>
      </c>
      <c r="J2397" s="255">
        <v>15500</v>
      </c>
      <c r="K2397" s="593">
        <f>ROUND(I2397*J2397,0)</f>
        <v>7874000</v>
      </c>
      <c r="L2397" s="594" t="s">
        <v>259</v>
      </c>
      <c r="M2397" s="594" t="s">
        <v>174</v>
      </c>
      <c r="N2397" s="52" t="str">
        <f>IF(AND('331-CT'!$E$7=TH!H2397,OR(L2397="331",M2397="331")),"331",IF(AND(OR(L2397="131",M2397="131"),H2397='131-CT'!$E$7),"131",""))</f>
        <v/>
      </c>
      <c r="O2397" s="86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99"/>
    </row>
    <row r="2398" spans="1:27" s="210" customFormat="1" ht="15.75" customHeight="1">
      <c r="A2398" s="203" t="str">
        <f>IF(B2398&lt;&gt;"",IF(AND(B2398&gt;=_TM1,B2398&lt;=_TM2,OR(TH!L2398="1111",TH!M2398="1111")),TH!D2398,""),"")</f>
        <v/>
      </c>
      <c r="B2398" s="36">
        <f>IF(C2398&lt;&gt;"",MONTH(C2398),"")</f>
        <v>12</v>
      </c>
      <c r="C2398" s="183">
        <f>E2398</f>
        <v>42353</v>
      </c>
      <c r="D2398" s="183" t="s">
        <v>1626</v>
      </c>
      <c r="E2398" s="727">
        <v>42353</v>
      </c>
      <c r="F2398" s="40" t="s">
        <v>402</v>
      </c>
      <c r="G2398" s="40" t="s">
        <v>1266</v>
      </c>
      <c r="H2398" s="7" t="s">
        <v>832</v>
      </c>
      <c r="I2398" s="255"/>
      <c r="J2398" s="255"/>
      <c r="K2398" s="593">
        <v>787400</v>
      </c>
      <c r="L2398" s="594" t="s">
        <v>259</v>
      </c>
      <c r="M2398" s="594" t="s">
        <v>371</v>
      </c>
      <c r="N2398" s="52" t="str">
        <f>IF(AND('331-CT'!$E$7=TH!H2398,OR(L2398="331",M2398="331")),"331",IF(AND(OR(L2398="131",M2398="131"),H2398='131-CT'!$E$7),"131",""))</f>
        <v/>
      </c>
      <c r="O2398" s="86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99"/>
    </row>
    <row r="2399" spans="1:27" s="210" customFormat="1" ht="15.75" customHeight="1">
      <c r="A2399" s="203" t="str">
        <f>IF(B2399&lt;&gt;"",IF(AND(B2399&gt;=_TM1,B2399&lt;=_TM2,OR(TH!L2399="1111",TH!M2399="1111")),TH!D2399,""),"")</f>
        <v/>
      </c>
      <c r="B2399" s="36">
        <f>IF(C2399&lt;&gt;"",MONTH(C2399),"")</f>
        <v>12</v>
      </c>
      <c r="C2399" s="183">
        <f>E2399</f>
        <v>42353</v>
      </c>
      <c r="D2399" s="183" t="s">
        <v>1627</v>
      </c>
      <c r="E2399" s="727">
        <v>42353</v>
      </c>
      <c r="F2399" s="188" t="s">
        <v>1267</v>
      </c>
      <c r="G2399" s="40" t="s">
        <v>1268</v>
      </c>
      <c r="H2399" s="7" t="s">
        <v>645</v>
      </c>
      <c r="I2399" s="255">
        <v>130</v>
      </c>
      <c r="J2399" s="255">
        <v>6500</v>
      </c>
      <c r="K2399" s="593">
        <f>ROUND(I2399*J2399,0)</f>
        <v>845000</v>
      </c>
      <c r="L2399" s="594" t="s">
        <v>259</v>
      </c>
      <c r="M2399" s="594" t="s">
        <v>174</v>
      </c>
      <c r="N2399" s="52" t="str">
        <f>IF(AND('331-CT'!$E$7=TH!H2399,OR(L2399="331",M2399="331")),"331",IF(AND(OR(L2399="131",M2399="131"),H2399='131-CT'!$E$7),"131",""))</f>
        <v/>
      </c>
      <c r="O2399" s="86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99"/>
    </row>
    <row r="2400" spans="1:27" s="210" customFormat="1" ht="15.75" customHeight="1">
      <c r="A2400" s="203" t="str">
        <f>IF(B2400&lt;&gt;"",IF(AND(B2400&gt;=_TM1,B2400&lt;=_TM2,OR(TH!L2400="1111",TH!M2400="1111")),TH!D2400,""),"")</f>
        <v/>
      </c>
      <c r="B2400" s="36">
        <f>IF(C2400&lt;&gt;"",MONTH(C2400),"")</f>
        <v>12</v>
      </c>
      <c r="C2400" s="183">
        <f>E2400</f>
        <v>42353</v>
      </c>
      <c r="D2400" s="183" t="s">
        <v>1627</v>
      </c>
      <c r="E2400" s="727">
        <v>42353</v>
      </c>
      <c r="F2400" s="40" t="s">
        <v>402</v>
      </c>
      <c r="G2400" s="40" t="s">
        <v>1268</v>
      </c>
      <c r="H2400" s="7" t="s">
        <v>645</v>
      </c>
      <c r="I2400" s="255"/>
      <c r="J2400" s="255"/>
      <c r="K2400" s="593">
        <v>84500</v>
      </c>
      <c r="L2400" s="594" t="s">
        <v>259</v>
      </c>
      <c r="M2400" s="594" t="s">
        <v>371</v>
      </c>
      <c r="N2400" s="52" t="str">
        <f>IF(AND('331-CT'!$E$7=TH!H2400,OR(L2400="331",M2400="331")),"331",IF(AND(OR(L2400="131",M2400="131"),H2400='131-CT'!$E$7),"131",""))</f>
        <v/>
      </c>
      <c r="O2400" s="86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99"/>
    </row>
    <row r="2401" spans="1:27" s="210" customFormat="1" ht="15.75" customHeight="1">
      <c r="A2401" s="203" t="str">
        <f>IF(B2401&lt;&gt;"",IF(AND(B2401&gt;=_TM1,B2401&lt;=_TM2,OR(TH!L2401="1111",TH!M2401="1111")),TH!D2401,""),"")</f>
        <v/>
      </c>
      <c r="B2401" s="36">
        <f>IF(C2401&lt;&gt;"",MONTH(C2401),"")</f>
        <v>12</v>
      </c>
      <c r="C2401" s="183">
        <f>E2401</f>
        <v>42353</v>
      </c>
      <c r="D2401" s="183" t="s">
        <v>1319</v>
      </c>
      <c r="E2401" s="190">
        <v>42353</v>
      </c>
      <c r="F2401" s="188" t="s">
        <v>1320</v>
      </c>
      <c r="G2401" s="482" t="s">
        <v>332</v>
      </c>
      <c r="H2401" s="7" t="s">
        <v>950</v>
      </c>
      <c r="I2401" s="255"/>
      <c r="J2401" s="255"/>
      <c r="K2401" s="593">
        <v>8775415</v>
      </c>
      <c r="L2401" s="594" t="s">
        <v>24</v>
      </c>
      <c r="M2401" s="594" t="s">
        <v>259</v>
      </c>
      <c r="N2401" s="52" t="str">
        <f>IF(AND('331-CT'!$E$7=TH!H2401,OR(L2401="331",M2401="331")),"331",IF(AND(OR(L2401="131",M2401="131"),H2401='131-CT'!$E$7),"131",""))</f>
        <v/>
      </c>
      <c r="O2401" s="86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>x</v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99"/>
    </row>
    <row r="2402" spans="1:27" s="210" customFormat="1" ht="15.75" customHeight="1">
      <c r="A2402" s="203" t="str">
        <f>IF(B2402&lt;&gt;"",IF(AND(B2402&gt;=_TM1,B2402&lt;=_TM2,OR(TH!L2402="1111",TH!M2402="1111")),TH!D2402,""),"")</f>
        <v/>
      </c>
      <c r="B2402" s="36">
        <f>IF(C2402&lt;&gt;"",MONTH(C2402),"")</f>
        <v>12</v>
      </c>
      <c r="C2402" s="183">
        <f>E2402</f>
        <v>42353</v>
      </c>
      <c r="D2402" s="183" t="s">
        <v>1319</v>
      </c>
      <c r="E2402" s="190">
        <v>42353</v>
      </c>
      <c r="F2402" s="188" t="s">
        <v>1320</v>
      </c>
      <c r="G2402" s="482" t="s">
        <v>332</v>
      </c>
      <c r="H2402" s="7" t="s">
        <v>400</v>
      </c>
      <c r="I2402" s="255"/>
      <c r="J2402" s="255"/>
      <c r="K2402" s="593">
        <v>14636930</v>
      </c>
      <c r="L2402" s="594" t="s">
        <v>24</v>
      </c>
      <c r="M2402" s="594" t="s">
        <v>259</v>
      </c>
      <c r="N2402" s="52" t="str">
        <f>IF(AND('331-CT'!$E$7=TH!H2402,OR(L2402="331",M2402="331")),"331",IF(AND(OR(L2402="131",M2402="131"),H2402='131-CT'!$E$7),"131",""))</f>
        <v/>
      </c>
      <c r="O2402" s="86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>x</v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99"/>
    </row>
    <row r="2403" spans="1:27" s="210" customFormat="1" ht="15.75" customHeight="1">
      <c r="A2403" s="203" t="str">
        <f>IF(B2403&lt;&gt;"",IF(AND(B2403&gt;=_TM1,B2403&lt;=_TM2,OR(TH!L2403="1111",TH!M2403="1111")),TH!D2403,""),"")</f>
        <v/>
      </c>
      <c r="B2403" s="36">
        <f>IF(C2403&lt;&gt;"",MONTH(C2403),"")</f>
        <v>12</v>
      </c>
      <c r="C2403" s="183">
        <f>E2403</f>
        <v>42353</v>
      </c>
      <c r="D2403" s="183" t="s">
        <v>1324</v>
      </c>
      <c r="E2403" s="190">
        <v>42353</v>
      </c>
      <c r="F2403" s="296" t="s">
        <v>1326</v>
      </c>
      <c r="G2403" s="482" t="s">
        <v>332</v>
      </c>
      <c r="H2403" s="7" t="s">
        <v>1491</v>
      </c>
      <c r="I2403" s="255"/>
      <c r="J2403" s="255"/>
      <c r="K2403" s="593">
        <v>20000000</v>
      </c>
      <c r="L2403" s="594" t="s">
        <v>8</v>
      </c>
      <c r="M2403" s="594" t="s">
        <v>24</v>
      </c>
      <c r="N2403" s="52" t="str">
        <f>IF(AND('331-CT'!$E$7=TH!H2403,OR(L2403="331",M2403="331")),"331",IF(AND(OR(L2403="131",M2403="131"),H2403='131-CT'!$E$7),"131",""))</f>
        <v/>
      </c>
      <c r="O2403" s="86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>x</v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99"/>
    </row>
    <row r="2404" spans="1:27" s="210" customFormat="1" ht="15.75" customHeight="1">
      <c r="A2404" s="203" t="str">
        <f>IF(B2404&lt;&gt;"",IF(AND(B2404&gt;=_TM1,B2404&lt;=_TM2,OR(TH!L2404="1111",TH!M2404="1111")),TH!D2404,""),"")</f>
        <v/>
      </c>
      <c r="B2404" s="36">
        <f>IF(C2404&lt;&gt;"",MONTH(C2404),"")</f>
        <v>12</v>
      </c>
      <c r="C2404" s="183">
        <f>E2404</f>
        <v>42353</v>
      </c>
      <c r="D2404" s="183" t="s">
        <v>1324</v>
      </c>
      <c r="E2404" s="190">
        <v>42353</v>
      </c>
      <c r="F2404" s="188" t="s">
        <v>1327</v>
      </c>
      <c r="G2404" s="482" t="s">
        <v>332</v>
      </c>
      <c r="H2404" s="7"/>
      <c r="I2404" s="255"/>
      <c r="J2404" s="255"/>
      <c r="K2404" s="593">
        <v>15000</v>
      </c>
      <c r="L2404" s="594" t="s">
        <v>83</v>
      </c>
      <c r="M2404" s="594" t="s">
        <v>24</v>
      </c>
      <c r="N2404" s="52" t="str">
        <f>IF(AND('331-CT'!$E$7=TH!H2404,OR(L2404="331",M2404="331")),"331",IF(AND(OR(L2404="131",M2404="131"),H2404='131-CT'!$E$7),"131",""))</f>
        <v/>
      </c>
      <c r="O2404" s="86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>x</v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>x</v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99"/>
    </row>
    <row r="2405" spans="1:27" s="210" customFormat="1" ht="15.75" customHeight="1">
      <c r="A2405" s="203" t="str">
        <f>IF(B2405&lt;&gt;"",IF(AND(B2405&gt;=_TM1,B2405&lt;=_TM2,OR(TH!L2405="1111",TH!M2405="1111")),TH!D2405,""),"")</f>
        <v/>
      </c>
      <c r="B2405" s="36">
        <f>IF(C2405&lt;&gt;"",MONTH(C2405),"")</f>
        <v>12</v>
      </c>
      <c r="C2405" s="183">
        <f>E2405</f>
        <v>42355</v>
      </c>
      <c r="D2405" s="183" t="s">
        <v>1628</v>
      </c>
      <c r="E2405" s="727">
        <v>42355</v>
      </c>
      <c r="F2405" s="188" t="s">
        <v>906</v>
      </c>
      <c r="G2405" s="40" t="s">
        <v>1269</v>
      </c>
      <c r="H2405" s="7" t="s">
        <v>976</v>
      </c>
      <c r="I2405" s="255">
        <v>302</v>
      </c>
      <c r="J2405" s="255">
        <v>7170</v>
      </c>
      <c r="K2405" s="593">
        <f>ROUND(I2405*J2405,0)</f>
        <v>2165340</v>
      </c>
      <c r="L2405" s="594" t="s">
        <v>259</v>
      </c>
      <c r="M2405" s="594" t="s">
        <v>174</v>
      </c>
      <c r="N2405" s="52" t="str">
        <f>IF(AND('331-CT'!$E$7=TH!H2405,OR(L2405="331",M2405="331")),"331",IF(AND(OR(L2405="131",M2405="131"),H2405='131-CT'!$E$7),"131",""))</f>
        <v/>
      </c>
      <c r="O2405" s="86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99"/>
    </row>
    <row r="2406" spans="1:27" s="210" customFormat="1" ht="15.75" customHeight="1">
      <c r="A2406" s="203" t="str">
        <f>IF(B2406&lt;&gt;"",IF(AND(B2406&gt;=_TM1,B2406&lt;=_TM2,OR(TH!L2406="1111",TH!M2406="1111")),TH!D2406,""),"")</f>
        <v/>
      </c>
      <c r="B2406" s="36">
        <f>IF(C2406&lt;&gt;"",MONTH(C2406),"")</f>
        <v>12</v>
      </c>
      <c r="C2406" s="183">
        <f>E2406</f>
        <v>42355</v>
      </c>
      <c r="D2406" s="183" t="s">
        <v>1628</v>
      </c>
      <c r="E2406" s="37">
        <v>42355</v>
      </c>
      <c r="F2406" s="188" t="s">
        <v>906</v>
      </c>
      <c r="G2406" s="40" t="s">
        <v>1269</v>
      </c>
      <c r="H2406" s="7" t="s">
        <v>976</v>
      </c>
      <c r="I2406" s="255">
        <v>300</v>
      </c>
      <c r="J2406" s="255">
        <v>7170</v>
      </c>
      <c r="K2406" s="593">
        <f>ROUND(I2406*J2406,0)</f>
        <v>2151000</v>
      </c>
      <c r="L2406" s="594" t="s">
        <v>259</v>
      </c>
      <c r="M2406" s="594" t="s">
        <v>174</v>
      </c>
      <c r="N2406" s="52" t="str">
        <f>IF(AND('331-CT'!$E$7=TH!H2406,OR(L2406="331",M2406="331")),"331",IF(AND(OR(L2406="131",M2406="131"),H2406='131-CT'!$E$7),"131",""))</f>
        <v/>
      </c>
      <c r="O2406" s="86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99"/>
    </row>
    <row r="2407" spans="1:27" s="210" customFormat="1" ht="15.75" customHeight="1">
      <c r="A2407" s="203" t="str">
        <f>IF(B2407&lt;&gt;"",IF(AND(B2407&gt;=_TM1,B2407&lt;=_TM2,OR(TH!L2407="1111",TH!M2407="1111")),TH!D2407,""),"")</f>
        <v/>
      </c>
      <c r="B2407" s="36">
        <f>IF(C2407&lt;&gt;"",MONTH(C2407),"")</f>
        <v>12</v>
      </c>
      <c r="C2407" s="183">
        <f>E2407</f>
        <v>42355</v>
      </c>
      <c r="D2407" s="183" t="s">
        <v>1628</v>
      </c>
      <c r="E2407" s="37">
        <v>42355</v>
      </c>
      <c r="F2407" s="191" t="s">
        <v>614</v>
      </c>
      <c r="G2407" s="40" t="s">
        <v>1269</v>
      </c>
      <c r="H2407" s="7" t="s">
        <v>976</v>
      </c>
      <c r="I2407" s="255">
        <v>300</v>
      </c>
      <c r="J2407" s="255">
        <v>5490</v>
      </c>
      <c r="K2407" s="593">
        <f>ROUND(I2407*J2407,0)</f>
        <v>1647000</v>
      </c>
      <c r="L2407" s="594" t="s">
        <v>259</v>
      </c>
      <c r="M2407" s="594" t="s">
        <v>174</v>
      </c>
      <c r="N2407" s="52" t="str">
        <f>IF(AND('331-CT'!$E$7=TH!H2407,OR(L2407="331",M2407="331")),"331",IF(AND(OR(L2407="131",M2407="131"),H2407='131-CT'!$E$7),"131",""))</f>
        <v/>
      </c>
      <c r="O2407" s="86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99"/>
    </row>
    <row r="2408" spans="1:27" s="210" customFormat="1" ht="15.75" customHeight="1">
      <c r="A2408" s="203" t="str">
        <f>IF(B2408&lt;&gt;"",IF(AND(B2408&gt;=_TM1,B2408&lt;=_TM2,OR(TH!L2408="1111",TH!M2408="1111")),TH!D2408,""),"")</f>
        <v/>
      </c>
      <c r="B2408" s="36">
        <f>IF(C2408&lt;&gt;"",MONTH(C2408),"")</f>
        <v>12</v>
      </c>
      <c r="C2408" s="183">
        <f>E2408</f>
        <v>42355</v>
      </c>
      <c r="D2408" s="183" t="s">
        <v>1628</v>
      </c>
      <c r="E2408" s="183">
        <v>42355</v>
      </c>
      <c r="F2408" s="191" t="s">
        <v>614</v>
      </c>
      <c r="G2408" s="595" t="s">
        <v>1269</v>
      </c>
      <c r="H2408" s="7" t="s">
        <v>976</v>
      </c>
      <c r="I2408" s="255">
        <v>298</v>
      </c>
      <c r="J2408" s="255">
        <v>5490</v>
      </c>
      <c r="K2408" s="593">
        <f>ROUND(I2408*J2408,0)</f>
        <v>1636020</v>
      </c>
      <c r="L2408" s="594" t="s">
        <v>259</v>
      </c>
      <c r="M2408" s="594" t="s">
        <v>174</v>
      </c>
      <c r="N2408" s="52" t="str">
        <f>IF(AND('331-CT'!$E$7=TH!H2408,OR(L2408="331",M2408="331")),"331",IF(AND(OR(L2408="131",M2408="131"),H2408='131-CT'!$E$7),"131",""))</f>
        <v/>
      </c>
      <c r="O2408" s="86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99"/>
    </row>
    <row r="2409" spans="1:27" s="210" customFormat="1" ht="15.75" customHeight="1">
      <c r="A2409" s="203" t="str">
        <f>IF(B2409&lt;&gt;"",IF(AND(B2409&gt;=_TM1,B2409&lt;=_TM2,OR(TH!L2409="1111",TH!M2409="1111")),TH!D2409,""),"")</f>
        <v/>
      </c>
      <c r="B2409" s="36">
        <f>IF(C2409&lt;&gt;"",MONTH(C2409),"")</f>
        <v>12</v>
      </c>
      <c r="C2409" s="183">
        <f>E2409</f>
        <v>42355</v>
      </c>
      <c r="D2409" s="183" t="s">
        <v>1628</v>
      </c>
      <c r="E2409" s="190">
        <v>42355</v>
      </c>
      <c r="F2409" s="188" t="s">
        <v>614</v>
      </c>
      <c r="G2409" s="482" t="s">
        <v>1269</v>
      </c>
      <c r="H2409" s="7" t="s">
        <v>976</v>
      </c>
      <c r="I2409" s="255">
        <v>300</v>
      </c>
      <c r="J2409" s="255">
        <v>6500</v>
      </c>
      <c r="K2409" s="593">
        <f>ROUND(I2409*J2409,0)</f>
        <v>1950000</v>
      </c>
      <c r="L2409" s="594" t="s">
        <v>259</v>
      </c>
      <c r="M2409" s="594" t="s">
        <v>174</v>
      </c>
      <c r="N2409" s="52" t="str">
        <f>IF(AND('331-CT'!$E$7=TH!H2409,OR(L2409="331",M2409="331")),"331",IF(AND(OR(L2409="131",M2409="131"),H2409='131-CT'!$E$7),"131",""))</f>
        <v/>
      </c>
      <c r="O2409" s="86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99"/>
    </row>
    <row r="2410" spans="1:27" s="210" customFormat="1" ht="15.75" customHeight="1">
      <c r="A2410" s="203" t="str">
        <f>IF(B2410&lt;&gt;"",IF(AND(B2410&gt;=_TM1,B2410&lt;=_TM2,OR(TH!L2410="1111",TH!M2410="1111")),TH!D2410,""),"")</f>
        <v/>
      </c>
      <c r="B2410" s="36">
        <f>IF(C2410&lt;&gt;"",MONTH(C2410),"")</f>
        <v>12</v>
      </c>
      <c r="C2410" s="183">
        <f>E2410</f>
        <v>42355</v>
      </c>
      <c r="D2410" s="183" t="s">
        <v>1628</v>
      </c>
      <c r="E2410" s="190">
        <v>42355</v>
      </c>
      <c r="F2410" s="188" t="s">
        <v>614</v>
      </c>
      <c r="G2410" s="482" t="s">
        <v>1269</v>
      </c>
      <c r="H2410" s="7" t="s">
        <v>976</v>
      </c>
      <c r="I2410" s="255">
        <v>300</v>
      </c>
      <c r="J2410" s="255">
        <v>6500</v>
      </c>
      <c r="K2410" s="593">
        <f>ROUND(I2410*J2410,0)</f>
        <v>1950000</v>
      </c>
      <c r="L2410" s="594" t="s">
        <v>259</v>
      </c>
      <c r="M2410" s="594" t="s">
        <v>174</v>
      </c>
      <c r="N2410" s="52" t="str">
        <f>IF(AND('331-CT'!$E$7=TH!H2410,OR(L2410="331",M2410="331")),"331",IF(AND(OR(L2410="131",M2410="131"),H2410='131-CT'!$E$7),"131",""))</f>
        <v/>
      </c>
      <c r="O2410" s="86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99"/>
    </row>
    <row r="2411" spans="1:27" s="210" customFormat="1" ht="15.75" customHeight="1">
      <c r="A2411" s="203" t="str">
        <f>IF(B2411&lt;&gt;"",IF(AND(B2411&gt;=_TM1,B2411&lt;=_TM2,OR(TH!L2411="1111",TH!M2411="1111")),TH!D2411,""),"")</f>
        <v/>
      </c>
      <c r="B2411" s="36">
        <f>IF(C2411&lt;&gt;"",MONTH(C2411),"")</f>
        <v>12</v>
      </c>
      <c r="C2411" s="183">
        <f>E2411</f>
        <v>42355</v>
      </c>
      <c r="D2411" s="183" t="s">
        <v>1628</v>
      </c>
      <c r="E2411" s="763">
        <v>42355</v>
      </c>
      <c r="F2411" s="188" t="s">
        <v>614</v>
      </c>
      <c r="G2411" s="482" t="s">
        <v>1269</v>
      </c>
      <c r="H2411" s="7" t="s">
        <v>976</v>
      </c>
      <c r="I2411" s="255">
        <v>300</v>
      </c>
      <c r="J2411" s="255">
        <v>6500</v>
      </c>
      <c r="K2411" s="593">
        <f>ROUND(I2411*J2411,0)</f>
        <v>1950000</v>
      </c>
      <c r="L2411" s="594" t="s">
        <v>259</v>
      </c>
      <c r="M2411" s="594" t="s">
        <v>174</v>
      </c>
      <c r="N2411" s="52" t="str">
        <f>IF(AND('331-CT'!$E$7=TH!H2411,OR(L2411="331",M2411="331")),"331",IF(AND(OR(L2411="131",M2411="131"),H2411='131-CT'!$E$7),"131",""))</f>
        <v/>
      </c>
      <c r="O2411" s="86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99"/>
    </row>
    <row r="2412" spans="1:27" s="210" customFormat="1" ht="15.75" customHeight="1">
      <c r="A2412" s="203" t="str">
        <f>IF(B2412&lt;&gt;"",IF(AND(B2412&gt;=_TM1,B2412&lt;=_TM2,OR(TH!L2412="1111",TH!M2412="1111")),TH!D2412,""),"")</f>
        <v/>
      </c>
      <c r="B2412" s="36">
        <f>IF(C2412&lt;&gt;"",MONTH(C2412),"")</f>
        <v>12</v>
      </c>
      <c r="C2412" s="183">
        <f>E2412</f>
        <v>42355</v>
      </c>
      <c r="D2412" s="183" t="s">
        <v>1628</v>
      </c>
      <c r="E2412" s="763">
        <v>42355</v>
      </c>
      <c r="F2412" s="191" t="s">
        <v>402</v>
      </c>
      <c r="G2412" s="482" t="s">
        <v>1269</v>
      </c>
      <c r="H2412" s="7" t="s">
        <v>976</v>
      </c>
      <c r="I2412" s="255"/>
      <c r="J2412" s="255"/>
      <c r="K2412" s="593">
        <v>1344936</v>
      </c>
      <c r="L2412" s="594" t="s">
        <v>259</v>
      </c>
      <c r="M2412" s="594" t="s">
        <v>371</v>
      </c>
      <c r="N2412" s="52" t="str">
        <f>IF(AND('331-CT'!$E$7=TH!H2412,OR(L2412="331",M2412="331")),"331",IF(AND(OR(L2412="131",M2412="131"),H2412='131-CT'!$E$7),"131",""))</f>
        <v/>
      </c>
      <c r="O2412" s="86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99"/>
    </row>
    <row r="2413" spans="1:27" s="210" customFormat="1" ht="15.75" customHeight="1">
      <c r="A2413" s="203" t="str">
        <f>IF(B2413&lt;&gt;"",IF(AND(B2413&gt;=_TM1,B2413&lt;=_TM2,OR(TH!L2413="1111",TH!M2413="1111")),TH!D2413,""),"")</f>
        <v/>
      </c>
      <c r="B2413" s="36">
        <f>IF(C2413&lt;&gt;"",MONTH(C2413),"")</f>
        <v>12</v>
      </c>
      <c r="C2413" s="183">
        <f>E2413</f>
        <v>42355</v>
      </c>
      <c r="D2413" s="183" t="s">
        <v>1629</v>
      </c>
      <c r="E2413" s="763">
        <v>42355</v>
      </c>
      <c r="F2413" s="191" t="s">
        <v>1270</v>
      </c>
      <c r="G2413" s="482" t="s">
        <v>1271</v>
      </c>
      <c r="H2413" s="209" t="s">
        <v>1272</v>
      </c>
      <c r="I2413" s="255">
        <v>100</v>
      </c>
      <c r="J2413" s="255">
        <v>18500</v>
      </c>
      <c r="K2413" s="593">
        <f>ROUND(I2413*J2413,0)</f>
        <v>1850000</v>
      </c>
      <c r="L2413" s="594" t="s">
        <v>259</v>
      </c>
      <c r="M2413" s="594" t="s">
        <v>174</v>
      </c>
      <c r="N2413" s="52" t="str">
        <f>IF(AND('331-CT'!$E$7=TH!H2413,OR(L2413="331",M2413="331")),"331",IF(AND(OR(L2413="131",M2413="131"),H2413='131-CT'!$E$7),"131",""))</f>
        <v/>
      </c>
      <c r="O2413" s="86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99"/>
    </row>
    <row r="2414" spans="1:27" s="210" customFormat="1" ht="15.75" customHeight="1">
      <c r="A2414" s="203" t="str">
        <f>IF(B2414&lt;&gt;"",IF(AND(B2414&gt;=_TM1,B2414&lt;=_TM2,OR(TH!L2414="1111",TH!M2414="1111")),TH!D2414,""),"")</f>
        <v/>
      </c>
      <c r="B2414" s="36">
        <f>IF(C2414&lt;&gt;"",MONTH(C2414),"")</f>
        <v>12</v>
      </c>
      <c r="C2414" s="183">
        <f>E2414</f>
        <v>42355</v>
      </c>
      <c r="D2414" s="183" t="s">
        <v>1629</v>
      </c>
      <c r="E2414" s="763">
        <v>42355</v>
      </c>
      <c r="F2414" s="191" t="s">
        <v>402</v>
      </c>
      <c r="G2414" s="482" t="s">
        <v>1271</v>
      </c>
      <c r="H2414" s="192" t="s">
        <v>1272</v>
      </c>
      <c r="I2414" s="255"/>
      <c r="J2414" s="255"/>
      <c r="K2414" s="593">
        <v>185000</v>
      </c>
      <c r="L2414" s="594" t="s">
        <v>259</v>
      </c>
      <c r="M2414" s="594" t="s">
        <v>371</v>
      </c>
      <c r="N2414" s="52" t="str">
        <f>IF(AND('331-CT'!$E$7=TH!H2414,OR(L2414="331",M2414="331")),"331",IF(AND(OR(L2414="131",M2414="131"),H2414='131-CT'!$E$7),"131",""))</f>
        <v/>
      </c>
      <c r="O2414" s="86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99"/>
    </row>
    <row r="2415" spans="1:27" s="210" customFormat="1" ht="15.75" customHeight="1">
      <c r="A2415" s="203" t="str">
        <f>IF(B2415&lt;&gt;"",IF(AND(B2415&gt;=_TM1,B2415&lt;=_TM2,OR(TH!L2415="1111",TH!M2415="1111")),TH!D2415,""),"")</f>
        <v/>
      </c>
      <c r="B2415" s="36">
        <f>IF(C2415&lt;&gt;"",MONTH(C2415),"")</f>
        <v>12</v>
      </c>
      <c r="C2415" s="183">
        <f>E2415</f>
        <v>42356</v>
      </c>
      <c r="D2415" s="183" t="s">
        <v>1630</v>
      </c>
      <c r="E2415" s="763">
        <v>42356</v>
      </c>
      <c r="F2415" s="191" t="s">
        <v>1273</v>
      </c>
      <c r="G2415" s="482" t="s">
        <v>1274</v>
      </c>
      <c r="H2415" s="192" t="s">
        <v>793</v>
      </c>
      <c r="I2415" s="255">
        <v>241</v>
      </c>
      <c r="J2415" s="255">
        <v>6400</v>
      </c>
      <c r="K2415" s="593">
        <f>ROUND(I2415*J2415,0)</f>
        <v>1542400</v>
      </c>
      <c r="L2415" s="594" t="s">
        <v>259</v>
      </c>
      <c r="M2415" s="594" t="s">
        <v>174</v>
      </c>
      <c r="N2415" s="52" t="str">
        <f>IF(AND('331-CT'!$E$7=TH!H2415,OR(L2415="331",M2415="331")),"331",IF(AND(OR(L2415="131",M2415="131"),H2415='131-CT'!$E$7),"131",""))</f>
        <v/>
      </c>
      <c r="O2415" s="86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99"/>
    </row>
    <row r="2416" spans="1:27" s="210" customFormat="1" ht="15.75" customHeight="1">
      <c r="A2416" s="203" t="str">
        <f>IF(B2416&lt;&gt;"",IF(AND(B2416&gt;=_TM1,B2416&lt;=_TM2,OR(TH!L2416="1111",TH!M2416="1111")),TH!D2416,""),"")</f>
        <v/>
      </c>
      <c r="B2416" s="36">
        <f>IF(C2416&lt;&gt;"",MONTH(C2416),"")</f>
        <v>12</v>
      </c>
      <c r="C2416" s="183">
        <f>E2416</f>
        <v>42356</v>
      </c>
      <c r="D2416" s="183" t="s">
        <v>1630</v>
      </c>
      <c r="E2416" s="763">
        <v>42356</v>
      </c>
      <c r="F2416" s="191" t="s">
        <v>1687</v>
      </c>
      <c r="G2416" s="482" t="s">
        <v>1274</v>
      </c>
      <c r="H2416" s="192" t="s">
        <v>793</v>
      </c>
      <c r="I2416" s="255">
        <v>241</v>
      </c>
      <c r="J2416" s="255">
        <v>700</v>
      </c>
      <c r="K2416" s="593">
        <f>ROUND(I2416*J2416,0)</f>
        <v>168700</v>
      </c>
      <c r="L2416" s="594" t="s">
        <v>259</v>
      </c>
      <c r="M2416" s="594" t="s">
        <v>174</v>
      </c>
      <c r="N2416" s="52" t="str">
        <f>IF(AND('331-CT'!$E$7=TH!H2416,OR(L2416="331",M2416="331")),"331",IF(AND(OR(L2416="131",M2416="131"),H2416='131-CT'!$E$7),"131",""))</f>
        <v/>
      </c>
      <c r="O2416" s="86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99"/>
    </row>
    <row r="2417" spans="1:27" s="210" customFormat="1" ht="15.75" customHeight="1">
      <c r="A2417" s="203" t="str">
        <f>IF(B2417&lt;&gt;"",IF(AND(B2417&gt;=_TM1,B2417&lt;=_TM2,OR(TH!L2417="1111",TH!M2417="1111")),TH!D2417,""),"")</f>
        <v/>
      </c>
      <c r="B2417" s="36">
        <f>IF(C2417&lt;&gt;"",MONTH(C2417),"")</f>
        <v>12</v>
      </c>
      <c r="C2417" s="183">
        <f>E2417</f>
        <v>42356</v>
      </c>
      <c r="D2417" s="183" t="s">
        <v>1630</v>
      </c>
      <c r="E2417" s="763">
        <v>42356</v>
      </c>
      <c r="F2417" s="191" t="s">
        <v>402</v>
      </c>
      <c r="G2417" s="482" t="s">
        <v>1274</v>
      </c>
      <c r="H2417" s="192" t="s">
        <v>793</v>
      </c>
      <c r="I2417" s="255"/>
      <c r="J2417" s="255"/>
      <c r="K2417" s="593">
        <v>171100</v>
      </c>
      <c r="L2417" s="594" t="s">
        <v>259</v>
      </c>
      <c r="M2417" s="594" t="s">
        <v>371</v>
      </c>
      <c r="N2417" s="52" t="str">
        <f>IF(AND('331-CT'!$E$7=TH!H2417,OR(L2417="331",M2417="331")),"331",IF(AND(OR(L2417="131",M2417="131"),H2417='131-CT'!$E$7),"131",""))</f>
        <v/>
      </c>
      <c r="O2417" s="86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99"/>
    </row>
    <row r="2418" spans="1:27" s="210" customFormat="1" ht="15.75" customHeight="1">
      <c r="A2418" s="203" t="str">
        <f>IF(B2418&lt;&gt;"",IF(AND(B2418&gt;=_TM1,B2418&lt;=_TM2,OR(TH!L2418="1111",TH!M2418="1111")),TH!D2418,""),"")</f>
        <v/>
      </c>
      <c r="B2418" s="36">
        <f>IF(C2418&lt;&gt;"",MONTH(C2418),"")</f>
        <v>12</v>
      </c>
      <c r="C2418" s="183">
        <f>E2418</f>
        <v>42356</v>
      </c>
      <c r="D2418" s="183" t="s">
        <v>1631</v>
      </c>
      <c r="E2418" s="763">
        <v>42356</v>
      </c>
      <c r="F2418" s="191" t="s">
        <v>1777</v>
      </c>
      <c r="G2418" s="482" t="s">
        <v>1275</v>
      </c>
      <c r="H2418" s="7" t="s">
        <v>1934</v>
      </c>
      <c r="I2418" s="255">
        <v>480</v>
      </c>
      <c r="J2418" s="255">
        <v>13913</v>
      </c>
      <c r="K2418" s="593">
        <f>ROUND(I2418*J2418,0)</f>
        <v>6678240</v>
      </c>
      <c r="L2418" s="594" t="s">
        <v>259</v>
      </c>
      <c r="M2418" s="594" t="s">
        <v>174</v>
      </c>
      <c r="N2418" s="52" t="str">
        <f>IF(AND('331-CT'!$E$7=TH!H2418,OR(L2418="331",M2418="331")),"331",IF(AND(OR(L2418="131",M2418="131"),H2418='131-CT'!$E$7),"131",""))</f>
        <v/>
      </c>
      <c r="O2418" s="86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99"/>
    </row>
    <row r="2419" spans="1:27" s="210" customFormat="1" ht="15.75" customHeight="1">
      <c r="A2419" s="203" t="str">
        <f>IF(B2419&lt;&gt;"",IF(AND(B2419&gt;=_TM1,B2419&lt;=_TM2,OR(TH!L2419="1111",TH!M2419="1111")),TH!D2419,""),"")</f>
        <v/>
      </c>
      <c r="B2419" s="36">
        <f>IF(C2419&lt;&gt;"",MONTH(C2419),"")</f>
        <v>12</v>
      </c>
      <c r="C2419" s="183">
        <f>E2419</f>
        <v>42356</v>
      </c>
      <c r="D2419" s="183" t="s">
        <v>1631</v>
      </c>
      <c r="E2419" s="763">
        <v>42356</v>
      </c>
      <c r="F2419" s="191" t="s">
        <v>728</v>
      </c>
      <c r="G2419" s="482" t="s">
        <v>1275</v>
      </c>
      <c r="H2419" s="7" t="s">
        <v>1934</v>
      </c>
      <c r="I2419" s="255">
        <v>500</v>
      </c>
      <c r="J2419" s="255">
        <v>10854</v>
      </c>
      <c r="K2419" s="593">
        <f>ROUND(I2419*J2419,0)</f>
        <v>5427000</v>
      </c>
      <c r="L2419" s="594" t="s">
        <v>259</v>
      </c>
      <c r="M2419" s="594" t="s">
        <v>174</v>
      </c>
      <c r="N2419" s="52" t="str">
        <f>IF(AND('331-CT'!$E$7=TH!H2419,OR(L2419="331",M2419="331")),"331",IF(AND(OR(L2419="131",M2419="131"),H2419='131-CT'!$E$7),"131",""))</f>
        <v/>
      </c>
      <c r="O2419" s="86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99"/>
    </row>
    <row r="2420" spans="1:27" s="210" customFormat="1" ht="15.75" customHeight="1">
      <c r="A2420" s="203" t="str">
        <f>IF(B2420&lt;&gt;"",IF(AND(B2420&gt;=_TM1,B2420&lt;=_TM2,OR(TH!L2420="1111",TH!M2420="1111")),TH!D2420,""),"")</f>
        <v/>
      </c>
      <c r="B2420" s="36">
        <f>IF(C2420&lt;&gt;"",MONTH(C2420),"")</f>
        <v>12</v>
      </c>
      <c r="C2420" s="183">
        <f>E2420</f>
        <v>42356</v>
      </c>
      <c r="D2420" s="183" t="s">
        <v>1631</v>
      </c>
      <c r="E2420" s="763">
        <v>42356</v>
      </c>
      <c r="F2420" s="191" t="s">
        <v>745</v>
      </c>
      <c r="G2420" s="482" t="s">
        <v>1275</v>
      </c>
      <c r="H2420" s="7" t="s">
        <v>1934</v>
      </c>
      <c r="I2420" s="255">
        <v>500</v>
      </c>
      <c r="J2420" s="255">
        <v>9350</v>
      </c>
      <c r="K2420" s="593">
        <f>ROUND(I2420*J2420,0)</f>
        <v>4675000</v>
      </c>
      <c r="L2420" s="594" t="s">
        <v>259</v>
      </c>
      <c r="M2420" s="594" t="s">
        <v>174</v>
      </c>
      <c r="N2420" s="52" t="str">
        <f>IF(AND('331-CT'!$E$7=TH!H2420,OR(L2420="331",M2420="331")),"331",IF(AND(OR(L2420="131",M2420="131"),H2420='131-CT'!$E$7),"131",""))</f>
        <v/>
      </c>
      <c r="O2420" s="86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99"/>
    </row>
    <row r="2421" spans="1:27" s="210" customFormat="1" ht="15.75" customHeight="1">
      <c r="A2421" s="203" t="str">
        <f>IF(B2421&lt;&gt;"",IF(AND(B2421&gt;=_TM1,B2421&lt;=_TM2,OR(TH!L2421="1111",TH!M2421="1111")),TH!D2421,""),"")</f>
        <v/>
      </c>
      <c r="B2421" s="36">
        <f>IF(C2421&lt;&gt;"",MONTH(C2421),"")</f>
        <v>12</v>
      </c>
      <c r="C2421" s="183">
        <f>E2421</f>
        <v>42356</v>
      </c>
      <c r="D2421" s="183" t="s">
        <v>1631</v>
      </c>
      <c r="E2421" s="762">
        <v>42356</v>
      </c>
      <c r="F2421" s="40" t="s">
        <v>1749</v>
      </c>
      <c r="G2421" s="40" t="s">
        <v>1275</v>
      </c>
      <c r="H2421" s="7" t="s">
        <v>1934</v>
      </c>
      <c r="I2421" s="255">
        <v>50</v>
      </c>
      <c r="J2421" s="255">
        <v>17205</v>
      </c>
      <c r="K2421" s="593">
        <f>ROUND(I2421*J2421,0)</f>
        <v>860250</v>
      </c>
      <c r="L2421" s="594" t="s">
        <v>259</v>
      </c>
      <c r="M2421" s="594" t="s">
        <v>174</v>
      </c>
      <c r="N2421" s="52" t="str">
        <f>IF(AND('331-CT'!$E$7=TH!H2421,OR(L2421="331",M2421="331")),"331",IF(AND(OR(L2421="131",M2421="131"),H2421='131-CT'!$E$7),"131",""))</f>
        <v/>
      </c>
      <c r="O2421" s="86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99"/>
    </row>
    <row r="2422" spans="1:27" s="210" customFormat="1" ht="15.75" customHeight="1">
      <c r="A2422" s="203" t="str">
        <f>IF(B2422&lt;&gt;"",IF(AND(B2422&gt;=_TM1,B2422&lt;=_TM2,OR(TH!L2422="1111",TH!M2422="1111")),TH!D2422,""),"")</f>
        <v/>
      </c>
      <c r="B2422" s="36">
        <f>IF(C2422&lt;&gt;"",MONTH(C2422),"")</f>
        <v>12</v>
      </c>
      <c r="C2422" s="183">
        <f>E2422</f>
        <v>42356</v>
      </c>
      <c r="D2422" s="183" t="s">
        <v>1631</v>
      </c>
      <c r="E2422" s="762">
        <v>42356</v>
      </c>
      <c r="F2422" s="40" t="s">
        <v>731</v>
      </c>
      <c r="G2422" s="40" t="s">
        <v>1275</v>
      </c>
      <c r="H2422" s="7" t="s">
        <v>1934</v>
      </c>
      <c r="I2422" s="255"/>
      <c r="J2422" s="255"/>
      <c r="K2422" s="593">
        <v>1764049</v>
      </c>
      <c r="L2422" s="594" t="s">
        <v>259</v>
      </c>
      <c r="M2422" s="594" t="s">
        <v>371</v>
      </c>
      <c r="N2422" s="52" t="str">
        <f>IF(AND('331-CT'!$E$7=TH!H2422,OR(L2422="331",M2422="331")),"331",IF(AND(OR(L2422="131",M2422="131"),H2422='131-CT'!$E$7),"131",""))</f>
        <v/>
      </c>
      <c r="O2422" s="86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99"/>
    </row>
    <row r="2423" spans="1:27" s="210" customFormat="1" ht="15.75" customHeight="1">
      <c r="A2423" s="203" t="str">
        <f>IF(B2423&lt;&gt;"",IF(AND(B2423&gt;=_TM1,B2423&lt;=_TM2,OR(TH!L2423="1111",TH!M2423="1111")),TH!D2423,""),"")</f>
        <v>GBC</v>
      </c>
      <c r="B2423" s="36">
        <f>IF(C2423&lt;&gt;"",MONTH(C2423),"")</f>
        <v>12</v>
      </c>
      <c r="C2423" s="183">
        <f>E2423</f>
        <v>42356</v>
      </c>
      <c r="D2423" s="183" t="s">
        <v>1319</v>
      </c>
      <c r="E2423" s="763">
        <v>42356</v>
      </c>
      <c r="F2423" s="188" t="s">
        <v>1323</v>
      </c>
      <c r="G2423" s="482" t="s">
        <v>332</v>
      </c>
      <c r="H2423" s="7" t="s">
        <v>1342</v>
      </c>
      <c r="I2423" s="255"/>
      <c r="J2423" s="255"/>
      <c r="K2423" s="593">
        <v>14100000</v>
      </c>
      <c r="L2423" s="594" t="s">
        <v>24</v>
      </c>
      <c r="M2423" s="594" t="s">
        <v>47</v>
      </c>
      <c r="N2423" s="52" t="str">
        <f>IF(AND('331-CT'!$E$7=TH!H2423,OR(L2423="331",M2423="331")),"331",IF(AND(OR(L2423="131",M2423="131"),H2423='131-CT'!$E$7),"131",""))</f>
        <v/>
      </c>
      <c r="O2423" s="86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>x</v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99"/>
    </row>
    <row r="2424" spans="1:27" s="210" customFormat="1" ht="15.75" customHeight="1">
      <c r="A2424" s="203" t="str">
        <f>IF(B2424&lt;&gt;"",IF(AND(B2424&gt;=_TM1,B2424&lt;=_TM2,OR(TH!L2424="1111",TH!M2424="1111")),TH!D2424,""),"")</f>
        <v/>
      </c>
      <c r="B2424" s="36">
        <f>IF(C2424&lt;&gt;"",MONTH(C2424),"")</f>
        <v>12</v>
      </c>
      <c r="C2424" s="183">
        <f>E2424</f>
        <v>42356</v>
      </c>
      <c r="D2424" s="183" t="s">
        <v>1319</v>
      </c>
      <c r="E2424" s="763">
        <v>42356</v>
      </c>
      <c r="F2424" s="188" t="s">
        <v>1320</v>
      </c>
      <c r="G2424" s="482" t="s">
        <v>332</v>
      </c>
      <c r="H2424" s="7" t="s">
        <v>957</v>
      </c>
      <c r="I2424" s="255"/>
      <c r="J2424" s="255"/>
      <c r="K2424" s="593">
        <v>5192000</v>
      </c>
      <c r="L2424" s="594" t="s">
        <v>24</v>
      </c>
      <c r="M2424" s="594" t="s">
        <v>259</v>
      </c>
      <c r="N2424" s="52" t="str">
        <f>IF(AND('331-CT'!$E$7=TH!H2424,OR(L2424="331",M2424="331")),"331",IF(AND(OR(L2424="131",M2424="131"),H2424='131-CT'!$E$7),"131",""))</f>
        <v/>
      </c>
      <c r="O2424" s="86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>x</v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99"/>
    </row>
    <row r="2425" spans="1:27" s="210" customFormat="1" ht="15.75" customHeight="1">
      <c r="A2425" s="203" t="str">
        <f>IF(B2425&lt;&gt;"",IF(AND(B2425&gt;=_TM1,B2425&lt;=_TM2,OR(TH!L2425="1111",TH!M2425="1111")),TH!D2425,""),"")</f>
        <v/>
      </c>
      <c r="B2425" s="36">
        <f>IF(C2425&lt;&gt;"",MONTH(C2425),"")</f>
        <v>12</v>
      </c>
      <c r="C2425" s="183">
        <f>E2425</f>
        <v>42356</v>
      </c>
      <c r="D2425" s="183" t="s">
        <v>1319</v>
      </c>
      <c r="E2425" s="763">
        <v>42356</v>
      </c>
      <c r="F2425" s="188" t="s">
        <v>1320</v>
      </c>
      <c r="G2425" s="482" t="s">
        <v>332</v>
      </c>
      <c r="H2425" s="7" t="s">
        <v>976</v>
      </c>
      <c r="I2425" s="255"/>
      <c r="J2425" s="255"/>
      <c r="K2425" s="593">
        <v>14794296</v>
      </c>
      <c r="L2425" s="594" t="s">
        <v>24</v>
      </c>
      <c r="M2425" s="594" t="s">
        <v>259</v>
      </c>
      <c r="N2425" s="52" t="str">
        <f>IF(AND('331-CT'!$E$7=TH!H2425,OR(L2425="331",M2425="331")),"331",IF(AND(OR(L2425="131",M2425="131"),H2425='131-CT'!$E$7),"131",""))</f>
        <v/>
      </c>
      <c r="O2425" s="86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>x</v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99"/>
    </row>
    <row r="2426" spans="1:27" s="210" customFormat="1" ht="15.75" customHeight="1">
      <c r="A2426" s="203" t="str">
        <f>IF(B2426&lt;&gt;"",IF(AND(B2426&gt;=_TM1,B2426&lt;=_TM2,OR(TH!L2426="1111",TH!M2426="1111")),TH!D2426,""),"")</f>
        <v/>
      </c>
      <c r="B2426" s="36">
        <f>IF(C2426&lt;&gt;"",MONTH(C2426),"")</f>
        <v>12</v>
      </c>
      <c r="C2426" s="183">
        <f>E2426</f>
        <v>42356</v>
      </c>
      <c r="D2426" s="183" t="s">
        <v>1324</v>
      </c>
      <c r="E2426" s="763">
        <v>42356</v>
      </c>
      <c r="F2426" s="296" t="s">
        <v>1326</v>
      </c>
      <c r="G2426" s="482" t="s">
        <v>332</v>
      </c>
      <c r="H2426" s="7" t="s">
        <v>1472</v>
      </c>
      <c r="I2426" s="255"/>
      <c r="J2426" s="255"/>
      <c r="K2426" s="593">
        <v>30000000</v>
      </c>
      <c r="L2426" s="594" t="s">
        <v>8</v>
      </c>
      <c r="M2426" s="594" t="s">
        <v>24</v>
      </c>
      <c r="N2426" s="52" t="str">
        <f>IF(AND('331-CT'!$E$7=TH!H2426,OR(L2426="331",M2426="331")),"331",IF(AND(OR(L2426="131",M2426="131"),H2426='131-CT'!$E$7),"131",""))</f>
        <v/>
      </c>
      <c r="O2426" s="86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>x</v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99"/>
    </row>
    <row r="2427" spans="1:27" s="210" customFormat="1" ht="15.75" customHeight="1">
      <c r="A2427" s="203" t="str">
        <f>IF(B2427&lt;&gt;"",IF(AND(B2427&gt;=_TM1,B2427&lt;=_TM2,OR(TH!L2427="1111",TH!M2427="1111")),TH!D2427,""),"")</f>
        <v/>
      </c>
      <c r="B2427" s="36">
        <f>IF(C2427&lt;&gt;"",MONTH(C2427),"")</f>
        <v>12</v>
      </c>
      <c r="C2427" s="183">
        <f>E2427</f>
        <v>42356</v>
      </c>
      <c r="D2427" s="183" t="s">
        <v>1324</v>
      </c>
      <c r="E2427" s="763">
        <v>42356</v>
      </c>
      <c r="F2427" s="188" t="s">
        <v>1338</v>
      </c>
      <c r="G2427" s="482" t="s">
        <v>332</v>
      </c>
      <c r="H2427" s="7"/>
      <c r="I2427" s="255"/>
      <c r="J2427" s="255"/>
      <c r="K2427" s="593">
        <v>15000</v>
      </c>
      <c r="L2427" s="594" t="s">
        <v>83</v>
      </c>
      <c r="M2427" s="594" t="s">
        <v>24</v>
      </c>
      <c r="N2427" s="52" t="str">
        <f>IF(AND('331-CT'!$E$7=TH!H2427,OR(L2427="331",M2427="331")),"331",IF(AND(OR(L2427="131",M2427="131"),H2427='131-CT'!$E$7),"131",""))</f>
        <v/>
      </c>
      <c r="O2427" s="86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>x</v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>x</v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99"/>
    </row>
    <row r="2428" spans="1:27" s="210" customFormat="1" ht="15.75" customHeight="1">
      <c r="A2428" s="203" t="str">
        <f>IF(B2428&lt;&gt;"",IF(AND(B2428&gt;=_TM1,B2428&lt;=_TM2,OR(TH!L2428="1111",TH!M2428="1111")),TH!D2428,""),"")</f>
        <v/>
      </c>
      <c r="B2428" s="36">
        <f>IF(C2428&lt;&gt;"",MONTH(C2428),"")</f>
        <v>12</v>
      </c>
      <c r="C2428" s="183">
        <f>E2428</f>
        <v>42356</v>
      </c>
      <c r="D2428" s="183" t="s">
        <v>1324</v>
      </c>
      <c r="E2428" s="763">
        <v>42356</v>
      </c>
      <c r="F2428" s="188" t="s">
        <v>1327</v>
      </c>
      <c r="G2428" s="482" t="s">
        <v>332</v>
      </c>
      <c r="H2428" s="7"/>
      <c r="I2428" s="255"/>
      <c r="J2428" s="255"/>
      <c r="K2428" s="593">
        <v>10000</v>
      </c>
      <c r="L2428" s="594" t="s">
        <v>83</v>
      </c>
      <c r="M2428" s="594" t="s">
        <v>24</v>
      </c>
      <c r="N2428" s="52" t="str">
        <f>IF(AND('331-CT'!$E$7=TH!H2428,OR(L2428="331",M2428="331")),"331",IF(AND(OR(L2428="131",M2428="131"),H2428='131-CT'!$E$7),"131",""))</f>
        <v/>
      </c>
      <c r="O2428" s="86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>x</v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>x</v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99"/>
    </row>
    <row r="2429" spans="1:27" s="210" customFormat="1" ht="15.75" customHeight="1">
      <c r="A2429" s="203" t="str">
        <f>IF(B2429&lt;&gt;"",IF(AND(B2429&gt;=_TM1,B2429&lt;=_TM2,OR(TH!L2429="1111",TH!M2429="1111")),TH!D2429,""),"")</f>
        <v/>
      </c>
      <c r="B2429" s="36">
        <f>IF(C2429&lt;&gt;"",MONTH(C2429),"")</f>
        <v>12</v>
      </c>
      <c r="C2429" s="183">
        <f>E2429</f>
        <v>42357</v>
      </c>
      <c r="D2429" s="183" t="s">
        <v>1632</v>
      </c>
      <c r="E2429" s="762">
        <v>42357</v>
      </c>
      <c r="F2429" s="40" t="s">
        <v>424</v>
      </c>
      <c r="G2429" s="40" t="s">
        <v>1276</v>
      </c>
      <c r="H2429" s="7" t="s">
        <v>950</v>
      </c>
      <c r="I2429" s="255">
        <v>5800</v>
      </c>
      <c r="J2429" s="255">
        <v>6850</v>
      </c>
      <c r="K2429" s="593">
        <f>ROUND(I2429*J2429,0)</f>
        <v>39730000</v>
      </c>
      <c r="L2429" s="594" t="s">
        <v>259</v>
      </c>
      <c r="M2429" s="594" t="s">
        <v>174</v>
      </c>
      <c r="N2429" s="52" t="str">
        <f>IF(AND('331-CT'!$E$7=TH!H2429,OR(L2429="331",M2429="331")),"331",IF(AND(OR(L2429="131",M2429="131"),H2429='131-CT'!$E$7),"131",""))</f>
        <v/>
      </c>
      <c r="O2429" s="86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99"/>
    </row>
    <row r="2430" spans="1:27" s="210" customFormat="1" ht="15.75" customHeight="1">
      <c r="A2430" s="203" t="str">
        <f>IF(B2430&lt;&gt;"",IF(AND(B2430&gt;=_TM1,B2430&lt;=_TM2,OR(TH!L2430="1111",TH!M2430="1111")),TH!D2430,""),"")</f>
        <v/>
      </c>
      <c r="B2430" s="36">
        <f>IF(C2430&lt;&gt;"",MONTH(C2430),"")</f>
        <v>12</v>
      </c>
      <c r="C2430" s="183">
        <f>E2430</f>
        <v>42357</v>
      </c>
      <c r="D2430" s="183" t="s">
        <v>1632</v>
      </c>
      <c r="E2430" s="762">
        <v>42357</v>
      </c>
      <c r="F2430" s="40" t="s">
        <v>1277</v>
      </c>
      <c r="G2430" s="40" t="s">
        <v>1276</v>
      </c>
      <c r="H2430" s="7" t="s">
        <v>950</v>
      </c>
      <c r="I2430" s="255">
        <v>55</v>
      </c>
      <c r="J2430" s="255">
        <v>8350</v>
      </c>
      <c r="K2430" s="593">
        <f>ROUND(I2430*J2430,0)</f>
        <v>459250</v>
      </c>
      <c r="L2430" s="594" t="s">
        <v>259</v>
      </c>
      <c r="M2430" s="594" t="s">
        <v>174</v>
      </c>
      <c r="N2430" s="52" t="str">
        <f>IF(AND('331-CT'!$E$7=TH!H2430,OR(L2430="331",M2430="331")),"331",IF(AND(OR(L2430="131",M2430="131"),H2430='131-CT'!$E$7),"131",""))</f>
        <v/>
      </c>
      <c r="O2430" s="86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99"/>
    </row>
    <row r="2431" spans="1:27" s="210" customFormat="1" ht="15.75" customHeight="1">
      <c r="A2431" s="203" t="str">
        <f>IF(B2431&lt;&gt;"",IF(AND(B2431&gt;=_TM1,B2431&lt;=_TM2,OR(TH!L2431="1111",TH!M2431="1111")),TH!D2431,""),"")</f>
        <v/>
      </c>
      <c r="B2431" s="36">
        <f>IF(C2431&lt;&gt;"",MONTH(C2431),"")</f>
        <v>12</v>
      </c>
      <c r="C2431" s="183">
        <f>E2431</f>
        <v>42357</v>
      </c>
      <c r="D2431" s="183" t="s">
        <v>1632</v>
      </c>
      <c r="E2431" s="762">
        <v>42357</v>
      </c>
      <c r="F2431" s="40" t="s">
        <v>602</v>
      </c>
      <c r="G2431" s="40" t="s">
        <v>1276</v>
      </c>
      <c r="H2431" s="7" t="s">
        <v>950</v>
      </c>
      <c r="I2431" s="255">
        <v>161</v>
      </c>
      <c r="J2431" s="255">
        <v>8500</v>
      </c>
      <c r="K2431" s="593">
        <f>ROUND(I2431*J2431,0)</f>
        <v>1368500</v>
      </c>
      <c r="L2431" s="594" t="s">
        <v>259</v>
      </c>
      <c r="M2431" s="594" t="s">
        <v>174</v>
      </c>
      <c r="N2431" s="52" t="str">
        <f>IF(AND('331-CT'!$E$7=TH!H2431,OR(L2431="331",M2431="331")),"331",IF(AND(OR(L2431="131",M2431="131"),H2431='131-CT'!$E$7),"131",""))</f>
        <v/>
      </c>
      <c r="O2431" s="86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99"/>
    </row>
    <row r="2432" spans="1:27" s="210" customFormat="1" ht="15.75" customHeight="1">
      <c r="A2432" s="203" t="str">
        <f>IF(B2432&lt;&gt;"",IF(AND(B2432&gt;=_TM1,B2432&lt;=_TM2,OR(TH!L2432="1111",TH!M2432="1111")),TH!D2432,""),"")</f>
        <v/>
      </c>
      <c r="B2432" s="36">
        <f>IF(C2432&lt;&gt;"",MONTH(C2432),"")</f>
        <v>12</v>
      </c>
      <c r="C2432" s="183">
        <f>E2432</f>
        <v>42357</v>
      </c>
      <c r="D2432" s="183" t="s">
        <v>1632</v>
      </c>
      <c r="E2432" s="762">
        <v>42357</v>
      </c>
      <c r="F2432" s="40" t="s">
        <v>402</v>
      </c>
      <c r="G2432" s="40" t="s">
        <v>1276</v>
      </c>
      <c r="H2432" s="7" t="s">
        <v>950</v>
      </c>
      <c r="I2432" s="255"/>
      <c r="J2432" s="255"/>
      <c r="K2432" s="593">
        <v>4155775</v>
      </c>
      <c r="L2432" s="594" t="s">
        <v>259</v>
      </c>
      <c r="M2432" s="594" t="s">
        <v>371</v>
      </c>
      <c r="N2432" s="52" t="str">
        <f>IF(AND('331-CT'!$E$7=TH!H2432,OR(L2432="331",M2432="331")),"331",IF(AND(OR(L2432="131",M2432="131"),H2432='131-CT'!$E$7),"131",""))</f>
        <v/>
      </c>
      <c r="O2432" s="86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99"/>
    </row>
    <row r="2433" spans="1:27" s="210" customFormat="1" ht="15.75" customHeight="1">
      <c r="A2433" s="203" t="str">
        <f>IF(B2433&lt;&gt;"",IF(AND(B2433&gt;=_TM1,B2433&lt;=_TM2,OR(TH!L2433="1111",TH!M2433="1111")),TH!D2433,""),"")</f>
        <v/>
      </c>
      <c r="B2433" s="36">
        <f>IF(C2433&lt;&gt;"",MONTH(C2433),"")</f>
        <v>12</v>
      </c>
      <c r="C2433" s="183">
        <f>E2433</f>
        <v>42357</v>
      </c>
      <c r="D2433" s="183" t="s">
        <v>1633</v>
      </c>
      <c r="E2433" s="762">
        <v>42357</v>
      </c>
      <c r="F2433" s="40" t="s">
        <v>1240</v>
      </c>
      <c r="G2433" s="40" t="s">
        <v>1278</v>
      </c>
      <c r="H2433" s="7" t="s">
        <v>733</v>
      </c>
      <c r="I2433" s="255">
        <v>251</v>
      </c>
      <c r="J2433" s="255">
        <v>47449</v>
      </c>
      <c r="K2433" s="593">
        <f>ROUND(I2433*J2433,0)</f>
        <v>11909699</v>
      </c>
      <c r="L2433" s="594" t="s">
        <v>259</v>
      </c>
      <c r="M2433" s="594" t="s">
        <v>174</v>
      </c>
      <c r="N2433" s="52" t="str">
        <f>IF(AND('331-CT'!$E$7=TH!H2433,OR(L2433="331",M2433="331")),"331",IF(AND(OR(L2433="131",M2433="131"),H2433='131-CT'!$E$7),"131",""))</f>
        <v/>
      </c>
      <c r="O2433" s="86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99"/>
    </row>
    <row r="2434" spans="1:27" s="210" customFormat="1" ht="15.75" customHeight="1">
      <c r="A2434" s="203" t="str">
        <f>IF(B2434&lt;&gt;"",IF(AND(B2434&gt;=_TM1,B2434&lt;=_TM2,OR(TH!L2434="1111",TH!M2434="1111")),TH!D2434,""),"")</f>
        <v/>
      </c>
      <c r="B2434" s="36">
        <f>IF(C2434&lt;&gt;"",MONTH(C2434),"")</f>
        <v>12</v>
      </c>
      <c r="C2434" s="183">
        <f>E2434</f>
        <v>42357</v>
      </c>
      <c r="D2434" s="183" t="s">
        <v>1633</v>
      </c>
      <c r="E2434" s="762">
        <v>42357</v>
      </c>
      <c r="F2434" s="40" t="s">
        <v>402</v>
      </c>
      <c r="G2434" s="40" t="s">
        <v>1278</v>
      </c>
      <c r="H2434" s="7" t="s">
        <v>733</v>
      </c>
      <c r="I2434" s="255"/>
      <c r="J2434" s="255"/>
      <c r="K2434" s="593">
        <v>1190970</v>
      </c>
      <c r="L2434" s="594" t="s">
        <v>259</v>
      </c>
      <c r="M2434" s="594" t="s">
        <v>371</v>
      </c>
      <c r="N2434" s="52" t="str">
        <f>IF(AND('331-CT'!$E$7=TH!H2434,OR(L2434="331",M2434="331")),"331",IF(AND(OR(L2434="131",M2434="131"),H2434='131-CT'!$E$7),"131",""))</f>
        <v/>
      </c>
      <c r="O2434" s="86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99"/>
    </row>
    <row r="2435" spans="1:27" s="210" customFormat="1" ht="15.75" customHeight="1">
      <c r="A2435" s="203" t="str">
        <f>IF(B2435&lt;&gt;"",IF(AND(B2435&gt;=_TM1,B2435&lt;=_TM2,OR(TH!L2435="1111",TH!M2435="1111")),TH!D2435,""),"")</f>
        <v/>
      </c>
      <c r="B2435" s="36">
        <f>IF(C2435&lt;&gt;"",MONTH(C2435),"")</f>
        <v>12</v>
      </c>
      <c r="C2435" s="183">
        <f>E2435</f>
        <v>42357</v>
      </c>
      <c r="D2435" s="190" t="s">
        <v>2020</v>
      </c>
      <c r="E2435" s="763">
        <v>42357</v>
      </c>
      <c r="F2435" s="188" t="s">
        <v>1380</v>
      </c>
      <c r="G2435" s="482" t="s">
        <v>1503</v>
      </c>
      <c r="H2435" s="7" t="s">
        <v>1472</v>
      </c>
      <c r="I2435" s="255">
        <v>3198</v>
      </c>
      <c r="J2435" s="255">
        <v>8800</v>
      </c>
      <c r="K2435" s="593">
        <f>ROUND(I2435*J2435,0)</f>
        <v>28142400</v>
      </c>
      <c r="L2435" s="594" t="s">
        <v>159</v>
      </c>
      <c r="M2435" s="594" t="s">
        <v>8</v>
      </c>
      <c r="N2435" s="52" t="str">
        <f>IF(AND('331-CT'!$E$7=TH!H2435,OR(L2435="331",M2435="331")),"331",IF(AND(OR(L2435="131",M2435="131"),H2435='131-CT'!$E$7),"131",""))</f>
        <v/>
      </c>
      <c r="O2435" s="86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>x</v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99"/>
    </row>
    <row r="2436" spans="1:27" s="210" customFormat="1" ht="15.75" customHeight="1">
      <c r="A2436" s="203" t="str">
        <f>IF(B2436&lt;&gt;"",IF(AND(B2436&gt;=_TM1,B2436&lt;=_TM2,OR(TH!L2436="1111",TH!M2436="1111")),TH!D2436,""),"")</f>
        <v/>
      </c>
      <c r="B2436" s="36">
        <f>IF(C2436&lt;&gt;"",MONTH(C2436),"")</f>
        <v>12</v>
      </c>
      <c r="C2436" s="183">
        <f>E2436</f>
        <v>42357</v>
      </c>
      <c r="D2436" s="190" t="s">
        <v>2020</v>
      </c>
      <c r="E2436" s="763">
        <v>42357</v>
      </c>
      <c r="F2436" s="188" t="s">
        <v>731</v>
      </c>
      <c r="G2436" s="482" t="s">
        <v>1503</v>
      </c>
      <c r="H2436" s="7" t="s">
        <v>1472</v>
      </c>
      <c r="I2436" s="255"/>
      <c r="J2436" s="255"/>
      <c r="K2436" s="593">
        <v>2814240</v>
      </c>
      <c r="L2436" s="594" t="s">
        <v>9</v>
      </c>
      <c r="M2436" s="594" t="s">
        <v>8</v>
      </c>
      <c r="N2436" s="52" t="str">
        <f>IF(AND('331-CT'!$E$7=TH!H2436,OR(L2436="331",M2436="331")),"331",IF(AND(OR(L2436="131",M2436="131"),H2436='131-CT'!$E$7),"131",""))</f>
        <v/>
      </c>
      <c r="O2436" s="86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99"/>
    </row>
    <row r="2437" spans="1:27" s="210" customFormat="1" ht="15.75" customHeight="1">
      <c r="A2437" s="203" t="str">
        <f>IF(B2437&lt;&gt;"",IF(AND(B2437&gt;=_TM1,B2437&lt;=_TM2,OR(TH!L2437="1111",TH!M2437="1111")),TH!D2437,""),"")</f>
        <v/>
      </c>
      <c r="B2437" s="36">
        <f>IF(C2437&lt;&gt;"",MONTH(C2437),"")</f>
        <v>12</v>
      </c>
      <c r="C2437" s="183">
        <f>E2437</f>
        <v>42359</v>
      </c>
      <c r="D2437" s="183" t="s">
        <v>1634</v>
      </c>
      <c r="E2437" s="762">
        <v>42359</v>
      </c>
      <c r="F2437" s="188" t="s">
        <v>1948</v>
      </c>
      <c r="G2437" s="40" t="s">
        <v>1279</v>
      </c>
      <c r="H2437" s="7" t="s">
        <v>957</v>
      </c>
      <c r="I2437" s="255">
        <v>3935</v>
      </c>
      <c r="J2437" s="255">
        <v>11800</v>
      </c>
      <c r="K2437" s="593">
        <f>ROUND(I2437*J2437,0)</f>
        <v>46433000</v>
      </c>
      <c r="L2437" s="594" t="s">
        <v>259</v>
      </c>
      <c r="M2437" s="594" t="s">
        <v>174</v>
      </c>
      <c r="N2437" s="52" t="str">
        <f>IF(AND('331-CT'!$E$7=TH!H2437,OR(L2437="331",M2437="331")),"331",IF(AND(OR(L2437="131",M2437="131"),H2437='131-CT'!$E$7),"131",""))</f>
        <v/>
      </c>
      <c r="O2437" s="86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99"/>
    </row>
    <row r="2438" spans="1:27" s="210" customFormat="1" ht="15.75" customHeight="1">
      <c r="A2438" s="203" t="str">
        <f>IF(B2438&lt;&gt;"",IF(AND(B2438&gt;=_TM1,B2438&lt;=_TM2,OR(TH!L2438="1111",TH!M2438="1111")),TH!D2438,""),"")</f>
        <v/>
      </c>
      <c r="B2438" s="36">
        <f>IF(C2438&lt;&gt;"",MONTH(C2438),"")</f>
        <v>12</v>
      </c>
      <c r="C2438" s="183">
        <f>E2438</f>
        <v>42359</v>
      </c>
      <c r="D2438" s="183" t="s">
        <v>1634</v>
      </c>
      <c r="E2438" s="762">
        <v>42359</v>
      </c>
      <c r="F2438" s="40" t="s">
        <v>402</v>
      </c>
      <c r="G2438" s="40" t="s">
        <v>1279</v>
      </c>
      <c r="H2438" s="7" t="s">
        <v>957</v>
      </c>
      <c r="I2438" s="255"/>
      <c r="J2438" s="255"/>
      <c r="K2438" s="593">
        <v>4643300</v>
      </c>
      <c r="L2438" s="594" t="s">
        <v>259</v>
      </c>
      <c r="M2438" s="594" t="s">
        <v>371</v>
      </c>
      <c r="N2438" s="52" t="str">
        <f>IF(AND('331-CT'!$E$7=TH!H2438,OR(L2438="331",M2438="331")),"331",IF(AND(OR(L2438="131",M2438="131"),H2438='131-CT'!$E$7),"131",""))</f>
        <v/>
      </c>
      <c r="O2438" s="86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99"/>
    </row>
    <row r="2439" spans="1:27" s="210" customFormat="1" ht="15.75" customHeight="1">
      <c r="A2439" s="203" t="str">
        <f>IF(B2439&lt;&gt;"",IF(AND(B2439&gt;=_TM1,B2439&lt;=_TM2,OR(TH!L2439="1111",TH!M2439="1111")),TH!D2439,""),"")</f>
        <v/>
      </c>
      <c r="B2439" s="36">
        <f>IF(C2439&lt;&gt;"",MONTH(C2439),"")</f>
        <v>12</v>
      </c>
      <c r="C2439" s="183">
        <f>E2439</f>
        <v>42359</v>
      </c>
      <c r="D2439" s="183" t="s">
        <v>1635</v>
      </c>
      <c r="E2439" s="762">
        <v>42359</v>
      </c>
      <c r="F2439" s="40" t="s">
        <v>1953</v>
      </c>
      <c r="G2439" s="40" t="s">
        <v>1280</v>
      </c>
      <c r="H2439" s="7" t="s">
        <v>1128</v>
      </c>
      <c r="I2439" s="255">
        <v>400</v>
      </c>
      <c r="J2439" s="255">
        <v>9000</v>
      </c>
      <c r="K2439" s="593">
        <f>ROUND(I2439*J2439,0)</f>
        <v>3600000</v>
      </c>
      <c r="L2439" s="594" t="s">
        <v>259</v>
      </c>
      <c r="M2439" s="594" t="s">
        <v>174</v>
      </c>
      <c r="N2439" s="52" t="str">
        <f>IF(AND('331-CT'!$E$7=TH!H2439,OR(L2439="331",M2439="331")),"331",IF(AND(OR(L2439="131",M2439="131"),H2439='131-CT'!$E$7),"131",""))</f>
        <v/>
      </c>
      <c r="O2439" s="86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99"/>
    </row>
    <row r="2440" spans="1:27" s="210" customFormat="1" ht="15.75" customHeight="1">
      <c r="A2440" s="203" t="str">
        <f>IF(B2440&lt;&gt;"",IF(AND(B2440&gt;=_TM1,B2440&lt;=_TM2,OR(TH!L2440="1111",TH!M2440="1111")),TH!D2440,""),"")</f>
        <v/>
      </c>
      <c r="B2440" s="36">
        <f>IF(C2440&lt;&gt;"",MONTH(C2440),"")</f>
        <v>12</v>
      </c>
      <c r="C2440" s="183">
        <f>E2440</f>
        <v>42359</v>
      </c>
      <c r="D2440" s="183" t="s">
        <v>1635</v>
      </c>
      <c r="E2440" s="762">
        <v>42359</v>
      </c>
      <c r="F2440" s="40" t="s">
        <v>1956</v>
      </c>
      <c r="G2440" s="40" t="s">
        <v>1280</v>
      </c>
      <c r="H2440" s="7" t="s">
        <v>1128</v>
      </c>
      <c r="I2440" s="255">
        <v>2000</v>
      </c>
      <c r="J2440" s="255">
        <v>5200</v>
      </c>
      <c r="K2440" s="593">
        <f>ROUND(I2440*J2440,0)</f>
        <v>10400000</v>
      </c>
      <c r="L2440" s="594" t="s">
        <v>259</v>
      </c>
      <c r="M2440" s="594" t="s">
        <v>174</v>
      </c>
      <c r="N2440" s="52" t="str">
        <f>IF(AND('331-CT'!$E$7=TH!H2440,OR(L2440="331",M2440="331")),"331",IF(AND(OR(L2440="131",M2440="131"),H2440='131-CT'!$E$7),"131",""))</f>
        <v/>
      </c>
      <c r="O2440" s="86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99"/>
    </row>
    <row r="2441" spans="1:27" s="210" customFormat="1" ht="15.75" customHeight="1">
      <c r="A2441" s="203" t="str">
        <f>IF(B2441&lt;&gt;"",IF(AND(B2441&gt;=_TM1,B2441&lt;=_TM2,OR(TH!L2441="1111",TH!M2441="1111")),TH!D2441,""),"")</f>
        <v/>
      </c>
      <c r="B2441" s="36">
        <f>IF(C2441&lt;&gt;"",MONTH(C2441),"")</f>
        <v>12</v>
      </c>
      <c r="C2441" s="183">
        <f>E2441</f>
        <v>42359</v>
      </c>
      <c r="D2441" s="183" t="s">
        <v>1635</v>
      </c>
      <c r="E2441" s="762">
        <v>42359</v>
      </c>
      <c r="F2441" s="40" t="s">
        <v>1954</v>
      </c>
      <c r="G2441" s="40" t="s">
        <v>1280</v>
      </c>
      <c r="H2441" s="7" t="s">
        <v>1128</v>
      </c>
      <c r="I2441" s="255">
        <v>200</v>
      </c>
      <c r="J2441" s="255">
        <v>15500</v>
      </c>
      <c r="K2441" s="593">
        <f>ROUND(I2441*J2441,0)</f>
        <v>3100000</v>
      </c>
      <c r="L2441" s="594" t="s">
        <v>259</v>
      </c>
      <c r="M2441" s="594" t="s">
        <v>174</v>
      </c>
      <c r="N2441" s="52" t="str">
        <f>IF(AND('331-CT'!$E$7=TH!H2441,OR(L2441="331",M2441="331")),"331",IF(AND(OR(L2441="131",M2441="131"),H2441='131-CT'!$E$7),"131",""))</f>
        <v/>
      </c>
      <c r="O2441" s="86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99"/>
    </row>
    <row r="2442" spans="1:27" s="210" customFormat="1" ht="15.75" customHeight="1">
      <c r="A2442" s="203" t="str">
        <f>IF(B2442&lt;&gt;"",IF(AND(B2442&gt;=_TM1,B2442&lt;=_TM2,OR(TH!L2442="1111",TH!M2442="1111")),TH!D2442,""),"")</f>
        <v/>
      </c>
      <c r="B2442" s="36">
        <f>IF(C2442&lt;&gt;"",MONTH(C2442),"")</f>
        <v>12</v>
      </c>
      <c r="C2442" s="183">
        <f>E2442</f>
        <v>42359</v>
      </c>
      <c r="D2442" s="183" t="s">
        <v>1635</v>
      </c>
      <c r="E2442" s="762">
        <v>42359</v>
      </c>
      <c r="F2442" s="40" t="s">
        <v>402</v>
      </c>
      <c r="G2442" s="40" t="s">
        <v>1280</v>
      </c>
      <c r="H2442" s="7" t="s">
        <v>1128</v>
      </c>
      <c r="I2442" s="255"/>
      <c r="J2442" s="255"/>
      <c r="K2442" s="593">
        <v>1710000</v>
      </c>
      <c r="L2442" s="594" t="s">
        <v>259</v>
      </c>
      <c r="M2442" s="594" t="s">
        <v>371</v>
      </c>
      <c r="N2442" s="52" t="str">
        <f>IF(AND('331-CT'!$E$7=TH!H2442,OR(L2442="331",M2442="331")),"331",IF(AND(OR(L2442="131",M2442="131"),H2442='131-CT'!$E$7),"131",""))</f>
        <v/>
      </c>
      <c r="O2442" s="86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99"/>
    </row>
    <row r="2443" spans="1:27" s="210" customFormat="1" ht="15.75" customHeight="1">
      <c r="A2443" s="203" t="str">
        <f>IF(B2443&lt;&gt;"",IF(AND(B2443&gt;=_TM1,B2443&lt;=_TM2,OR(TH!L2443="1111",TH!M2443="1111")),TH!D2443,""),"")</f>
        <v>GBC</v>
      </c>
      <c r="B2443" s="36">
        <f>IF(C2443&lt;&gt;"",MONTH(C2443),"")</f>
        <v>12</v>
      </c>
      <c r="C2443" s="183">
        <f>E2443</f>
        <v>42359</v>
      </c>
      <c r="D2443" s="183" t="s">
        <v>1319</v>
      </c>
      <c r="E2443" s="763">
        <v>42359</v>
      </c>
      <c r="F2443" s="188" t="s">
        <v>1323</v>
      </c>
      <c r="G2443" s="482" t="s">
        <v>332</v>
      </c>
      <c r="H2443" s="7" t="s">
        <v>1342</v>
      </c>
      <c r="I2443" s="255"/>
      <c r="J2443" s="255"/>
      <c r="K2443" s="593">
        <v>50000000</v>
      </c>
      <c r="L2443" s="594" t="s">
        <v>24</v>
      </c>
      <c r="M2443" s="594" t="s">
        <v>47</v>
      </c>
      <c r="N2443" s="52" t="str">
        <f>IF(AND('331-CT'!$E$7=TH!H2443,OR(L2443="331",M2443="331")),"331",IF(AND(OR(L2443="131",M2443="131"),H2443='131-CT'!$E$7),"131",""))</f>
        <v/>
      </c>
      <c r="O2443" s="86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>x</v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99"/>
    </row>
    <row r="2444" spans="1:27" s="210" customFormat="1" ht="15.75" customHeight="1">
      <c r="A2444" s="203" t="str">
        <f>IF(B2444&lt;&gt;"",IF(AND(B2444&gt;=_TM1,B2444&lt;=_TM2,OR(TH!L2444="1111",TH!M2444="1111")),TH!D2444,""),"")</f>
        <v>GBC</v>
      </c>
      <c r="B2444" s="36">
        <f>IF(C2444&lt;&gt;"",MONTH(C2444),"")</f>
        <v>12</v>
      </c>
      <c r="C2444" s="183">
        <f>E2444</f>
        <v>42359</v>
      </c>
      <c r="D2444" s="183" t="s">
        <v>1319</v>
      </c>
      <c r="E2444" s="763">
        <v>42359</v>
      </c>
      <c r="F2444" s="188" t="s">
        <v>1323</v>
      </c>
      <c r="G2444" s="482" t="s">
        <v>332</v>
      </c>
      <c r="H2444" s="7" t="s">
        <v>1342</v>
      </c>
      <c r="I2444" s="255"/>
      <c r="J2444" s="255"/>
      <c r="K2444" s="593">
        <v>100000</v>
      </c>
      <c r="L2444" s="594" t="s">
        <v>24</v>
      </c>
      <c r="M2444" s="594" t="s">
        <v>47</v>
      </c>
      <c r="N2444" s="52" t="str">
        <f>IF(AND('331-CT'!$E$7=TH!H2444,OR(L2444="331",M2444="331")),"331",IF(AND(OR(L2444="131",M2444="131"),H2444='131-CT'!$E$7),"131",""))</f>
        <v/>
      </c>
      <c r="O2444" s="86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>x</v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99"/>
    </row>
    <row r="2445" spans="1:27" s="210" customFormat="1" ht="15.75" customHeight="1">
      <c r="A2445" s="203" t="str">
        <f>IF(B2445&lt;&gt;"",IF(AND(B2445&gt;=_TM1,B2445&lt;=_TM2,OR(TH!L2445="1111",TH!M2445="1111")),TH!D2445,""),"")</f>
        <v/>
      </c>
      <c r="B2445" s="36">
        <f>IF(C2445&lt;&gt;"",MONTH(C2445),"")</f>
        <v>12</v>
      </c>
      <c r="C2445" s="183">
        <f>E2445</f>
        <v>42359</v>
      </c>
      <c r="D2445" s="183" t="s">
        <v>1324</v>
      </c>
      <c r="E2445" s="763">
        <v>42359</v>
      </c>
      <c r="F2445" s="296" t="s">
        <v>1326</v>
      </c>
      <c r="G2445" s="482" t="s">
        <v>332</v>
      </c>
      <c r="H2445" s="7" t="s">
        <v>1472</v>
      </c>
      <c r="I2445" s="255"/>
      <c r="J2445" s="255"/>
      <c r="K2445" s="593">
        <v>20000000</v>
      </c>
      <c r="L2445" s="594" t="s">
        <v>8</v>
      </c>
      <c r="M2445" s="594" t="s">
        <v>24</v>
      </c>
      <c r="N2445" s="52" t="str">
        <f>IF(AND('331-CT'!$E$7=TH!H2445,OR(L2445="331",M2445="331")),"331",IF(AND(OR(L2445="131",M2445="131"),H2445='131-CT'!$E$7),"131",""))</f>
        <v/>
      </c>
      <c r="O2445" s="86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>x</v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99"/>
    </row>
    <row r="2446" spans="1:27" s="210" customFormat="1" ht="15.75" customHeight="1">
      <c r="A2446" s="203" t="str">
        <f>IF(B2446&lt;&gt;"",IF(AND(B2446&gt;=_TM1,B2446&lt;=_TM2,OR(TH!L2446="1111",TH!M2446="1111")),TH!D2446,""),"")</f>
        <v/>
      </c>
      <c r="B2446" s="36">
        <f>IF(C2446&lt;&gt;"",MONTH(C2446),"")</f>
        <v>12</v>
      </c>
      <c r="C2446" s="183">
        <f>E2446</f>
        <v>42359</v>
      </c>
      <c r="D2446" s="183" t="s">
        <v>1324</v>
      </c>
      <c r="E2446" s="763">
        <v>42359</v>
      </c>
      <c r="F2446" s="188" t="s">
        <v>1339</v>
      </c>
      <c r="G2446" s="482" t="s">
        <v>1926</v>
      </c>
      <c r="H2446" s="7"/>
      <c r="I2446" s="255"/>
      <c r="J2446" s="255"/>
      <c r="K2446" s="593">
        <v>50000000</v>
      </c>
      <c r="L2446" s="594" t="s">
        <v>24</v>
      </c>
      <c r="M2446" s="594" t="s">
        <v>24</v>
      </c>
      <c r="N2446" s="52" t="str">
        <f>IF(AND('331-CT'!$E$7=TH!H2446,OR(L2446="331",M2446="331")),"331",IF(AND(OR(L2446="131",M2446="131"),H2446='131-CT'!$E$7),"131",""))</f>
        <v/>
      </c>
      <c r="O2446" s="86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>x</v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99"/>
    </row>
    <row r="2447" spans="1:27" s="210" customFormat="1" ht="15.75" customHeight="1">
      <c r="A2447" s="203" t="str">
        <f>IF(B2447&lt;&gt;"",IF(AND(B2447&gt;=_TM1,B2447&lt;=_TM2,OR(TH!L2447="1111",TH!M2447="1111")),TH!D2447,""),"")</f>
        <v/>
      </c>
      <c r="B2447" s="36">
        <f>IF(C2447&lt;&gt;"",MONTH(C2447),"")</f>
        <v>12</v>
      </c>
      <c r="C2447" s="183">
        <f>E2447</f>
        <v>42359</v>
      </c>
      <c r="D2447" s="183" t="s">
        <v>1324</v>
      </c>
      <c r="E2447" s="763">
        <v>42359</v>
      </c>
      <c r="F2447" s="188" t="s">
        <v>1338</v>
      </c>
      <c r="G2447" s="482" t="s">
        <v>332</v>
      </c>
      <c r="H2447" s="7"/>
      <c r="I2447" s="255"/>
      <c r="J2447" s="255"/>
      <c r="K2447" s="593">
        <v>15000</v>
      </c>
      <c r="L2447" s="594" t="s">
        <v>83</v>
      </c>
      <c r="M2447" s="594" t="s">
        <v>24</v>
      </c>
      <c r="N2447" s="52" t="str">
        <f>IF(AND('331-CT'!$E$7=TH!H2447,OR(L2447="331",M2447="331")),"331",IF(AND(OR(L2447="131",M2447="131"),H2447='131-CT'!$E$7),"131",""))</f>
        <v/>
      </c>
      <c r="O2447" s="86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>x</v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>x</v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99"/>
    </row>
    <row r="2448" spans="1:27" s="210" customFormat="1" ht="15.75" customHeight="1">
      <c r="A2448" s="203" t="str">
        <f>IF(B2448&lt;&gt;"",IF(AND(B2448&gt;=_TM1,B2448&lt;=_TM2,OR(TH!L2448="1111",TH!M2448="1111")),TH!D2448,""),"")</f>
        <v/>
      </c>
      <c r="B2448" s="36">
        <f>IF(C2448&lt;&gt;"",MONTH(C2448),"")</f>
        <v>12</v>
      </c>
      <c r="C2448" s="183">
        <f>E2448</f>
        <v>42359</v>
      </c>
      <c r="D2448" s="183" t="s">
        <v>1324</v>
      </c>
      <c r="E2448" s="763">
        <v>42359</v>
      </c>
      <c r="F2448" s="188" t="s">
        <v>1327</v>
      </c>
      <c r="G2448" s="482" t="s">
        <v>332</v>
      </c>
      <c r="H2448" s="7"/>
      <c r="I2448" s="255"/>
      <c r="J2448" s="255"/>
      <c r="K2448" s="593">
        <v>10000</v>
      </c>
      <c r="L2448" s="594" t="s">
        <v>83</v>
      </c>
      <c r="M2448" s="594" t="s">
        <v>24</v>
      </c>
      <c r="N2448" s="52" t="str">
        <f>IF(AND('331-CT'!$E$7=TH!H2448,OR(L2448="331",M2448="331")),"331",IF(AND(OR(L2448="131",M2448="131"),H2448='131-CT'!$E$7),"131",""))</f>
        <v/>
      </c>
      <c r="O2448" s="86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>x</v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>x</v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99"/>
    </row>
    <row r="2449" spans="1:27" s="210" customFormat="1" ht="15.75" customHeight="1">
      <c r="A2449" s="203" t="str">
        <f>IF(B2449&lt;&gt;"",IF(AND(B2449&gt;=_TM1,B2449&lt;=_TM2,OR(TH!L2449="1111",TH!M2449="1111")),TH!D2449,""),"")</f>
        <v/>
      </c>
      <c r="B2449" s="36">
        <f>IF(C2449&lt;&gt;"",MONTH(C2449),"")</f>
        <v>12</v>
      </c>
      <c r="C2449" s="183">
        <f>E2449</f>
        <v>42359</v>
      </c>
      <c r="D2449" s="183" t="s">
        <v>1324</v>
      </c>
      <c r="E2449" s="763">
        <v>42359</v>
      </c>
      <c r="F2449" s="188" t="s">
        <v>1327</v>
      </c>
      <c r="G2449" s="482" t="s">
        <v>332</v>
      </c>
      <c r="H2449" s="7"/>
      <c r="I2449" s="255"/>
      <c r="J2449" s="255"/>
      <c r="K2449" s="593">
        <v>15000</v>
      </c>
      <c r="L2449" s="594" t="s">
        <v>83</v>
      </c>
      <c r="M2449" s="594" t="s">
        <v>24</v>
      </c>
      <c r="N2449" s="52" t="str">
        <f>IF(AND('331-CT'!$E$7=TH!H2449,OR(L2449="331",M2449="331")),"331",IF(AND(OR(L2449="131",M2449="131"),H2449='131-CT'!$E$7),"131",""))</f>
        <v/>
      </c>
      <c r="O2449" s="86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>x</v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>x</v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99"/>
    </row>
    <row r="2450" spans="1:27" s="210" customFormat="1" ht="15.75" customHeight="1">
      <c r="A2450" s="203" t="str">
        <f>IF(B2450&lt;&gt;"",IF(AND(B2450&gt;=_TM1,B2450&lt;=_TM2,OR(TH!L2450="1111",TH!M2450="1111")),TH!D2450,""),"")</f>
        <v/>
      </c>
      <c r="B2450" s="36">
        <f>IF(C2450&lt;&gt;"",MONTH(C2450),"")</f>
        <v>12</v>
      </c>
      <c r="C2450" s="183">
        <f>E2450</f>
        <v>42359</v>
      </c>
      <c r="D2450" s="190" t="s">
        <v>1324</v>
      </c>
      <c r="E2450" s="725">
        <v>42359</v>
      </c>
      <c r="F2450" s="191" t="s">
        <v>1925</v>
      </c>
      <c r="G2450" s="482" t="s">
        <v>1907</v>
      </c>
      <c r="H2450" s="192" t="s">
        <v>1909</v>
      </c>
      <c r="I2450" s="255"/>
      <c r="J2450" s="255"/>
      <c r="K2450" s="38">
        <v>49000000</v>
      </c>
      <c r="L2450" s="193" t="s">
        <v>1899</v>
      </c>
      <c r="M2450" s="594" t="s">
        <v>24</v>
      </c>
      <c r="N2450" s="52" t="str">
        <f>IF(AND('331-CT'!$E$7=TH!H2450,OR(L2450="331",M2450="331")),"331",IF(AND(OR(L2450="131",M2450="131"),H2450='131-CT'!$E$7),"131",""))</f>
        <v/>
      </c>
      <c r="O2450" s="86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99"/>
    </row>
    <row r="2451" spans="1:27" s="210" customFormat="1" ht="15.75" customHeight="1">
      <c r="A2451" s="203" t="str">
        <f>IF(B2451&lt;&gt;"",IF(AND(B2451&gt;=_TM1,B2451&lt;=_TM2,OR(TH!L2451="1111",TH!M2451="1111")),TH!D2451,""),"")</f>
        <v/>
      </c>
      <c r="B2451" s="36">
        <f>IF(C2451&lt;&gt;"",MONTH(C2451),"")</f>
        <v>12</v>
      </c>
      <c r="C2451" s="183">
        <f>E2451</f>
        <v>42359</v>
      </c>
      <c r="D2451" s="190" t="s">
        <v>1324</v>
      </c>
      <c r="E2451" s="725">
        <v>42359</v>
      </c>
      <c r="F2451" s="191" t="s">
        <v>1924</v>
      </c>
      <c r="G2451" s="482" t="s">
        <v>1907</v>
      </c>
      <c r="H2451" s="192" t="s">
        <v>1909</v>
      </c>
      <c r="I2451" s="255"/>
      <c r="J2451" s="255"/>
      <c r="K2451" s="593">
        <v>2356540</v>
      </c>
      <c r="L2451" s="594" t="s">
        <v>81</v>
      </c>
      <c r="M2451" s="594" t="s">
        <v>24</v>
      </c>
      <c r="N2451" s="52" t="str">
        <f>IF(AND('331-CT'!$E$7=TH!H2451,OR(L2451="331",M2451="331")),"331",IF(AND(OR(L2451="131",M2451="131"),H2451='131-CT'!$E$7),"131",""))</f>
        <v/>
      </c>
      <c r="O2451" s="86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99"/>
    </row>
    <row r="2452" spans="1:27" s="210" customFormat="1" ht="15.75" customHeight="1">
      <c r="A2452" s="203" t="str">
        <f>IF(B2452&lt;&gt;"",IF(AND(B2452&gt;=_TM1,B2452&lt;=_TM2,OR(TH!L2452="1111",TH!M2452="1111")),TH!D2452,""),"")</f>
        <v/>
      </c>
      <c r="B2452" s="36">
        <f>IF(C2452&lt;&gt;"",MONTH(C2452),"")</f>
        <v>12</v>
      </c>
      <c r="C2452" s="183">
        <f>E2452</f>
        <v>42361</v>
      </c>
      <c r="D2452" s="183" t="s">
        <v>1636</v>
      </c>
      <c r="E2452" s="762">
        <v>42361</v>
      </c>
      <c r="F2452" s="188" t="s">
        <v>1140</v>
      </c>
      <c r="G2452" s="40" t="s">
        <v>1281</v>
      </c>
      <c r="H2452" s="7" t="s">
        <v>473</v>
      </c>
      <c r="I2452" s="255">
        <v>1453</v>
      </c>
      <c r="J2452" s="255">
        <v>13800</v>
      </c>
      <c r="K2452" s="593">
        <f>ROUND(I2452*J2452,0)</f>
        <v>20051400</v>
      </c>
      <c r="L2452" s="594" t="s">
        <v>259</v>
      </c>
      <c r="M2452" s="594" t="s">
        <v>174</v>
      </c>
      <c r="N2452" s="52" t="str">
        <f>IF(AND('331-CT'!$E$7=TH!H2452,OR(L2452="331",M2452="331")),"331",IF(AND(OR(L2452="131",M2452="131"),H2452='131-CT'!$E$7),"131",""))</f>
        <v/>
      </c>
      <c r="O2452" s="86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99"/>
    </row>
    <row r="2453" spans="1:27" s="210" customFormat="1" ht="15.75" customHeight="1">
      <c r="A2453" s="203" t="str">
        <f>IF(B2453&lt;&gt;"",IF(AND(B2453&gt;=_TM1,B2453&lt;=_TM2,OR(TH!L2453="1111",TH!M2453="1111")),TH!D2453,""),"")</f>
        <v/>
      </c>
      <c r="B2453" s="36">
        <f>IF(C2453&lt;&gt;"",MONTH(C2453),"")</f>
        <v>12</v>
      </c>
      <c r="C2453" s="183">
        <f>E2453</f>
        <v>42361</v>
      </c>
      <c r="D2453" s="183" t="s">
        <v>1636</v>
      </c>
      <c r="E2453" s="762">
        <v>42361</v>
      </c>
      <c r="F2453" s="188" t="s">
        <v>1140</v>
      </c>
      <c r="G2453" s="40" t="s">
        <v>1281</v>
      </c>
      <c r="H2453" s="7" t="s">
        <v>473</v>
      </c>
      <c r="I2453" s="255">
        <v>100</v>
      </c>
      <c r="J2453" s="255">
        <v>13400</v>
      </c>
      <c r="K2453" s="593">
        <f>ROUND(I2453*J2453,0)</f>
        <v>1340000</v>
      </c>
      <c r="L2453" s="594" t="s">
        <v>259</v>
      </c>
      <c r="M2453" s="594" t="s">
        <v>174</v>
      </c>
      <c r="N2453" s="52" t="str">
        <f>IF(AND('331-CT'!$E$7=TH!H2453,OR(L2453="331",M2453="331")),"331",IF(AND(OR(L2453="131",M2453="131"),H2453='131-CT'!$E$7),"131",""))</f>
        <v/>
      </c>
      <c r="O2453" s="86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99"/>
    </row>
    <row r="2454" spans="1:27" s="210" customFormat="1" ht="15.75" customHeight="1">
      <c r="A2454" s="203" t="str">
        <f>IF(B2454&lt;&gt;"",IF(AND(B2454&gt;=_TM1,B2454&lt;=_TM2,OR(TH!L2454="1111",TH!M2454="1111")),TH!D2454,""),"")</f>
        <v/>
      </c>
      <c r="B2454" s="36">
        <f>IF(C2454&lt;&gt;"",MONTH(C2454),"")</f>
        <v>12</v>
      </c>
      <c r="C2454" s="183">
        <f>E2454</f>
        <v>42361</v>
      </c>
      <c r="D2454" s="183" t="s">
        <v>1636</v>
      </c>
      <c r="E2454" s="762">
        <v>42361</v>
      </c>
      <c r="F2454" s="191" t="s">
        <v>1654</v>
      </c>
      <c r="G2454" s="40" t="s">
        <v>1281</v>
      </c>
      <c r="H2454" s="7" t="s">
        <v>473</v>
      </c>
      <c r="I2454" s="255">
        <v>3106</v>
      </c>
      <c r="J2454" s="255">
        <v>1300</v>
      </c>
      <c r="K2454" s="593">
        <f>ROUND(I2454*J2454,0)</f>
        <v>4037800</v>
      </c>
      <c r="L2454" s="594" t="s">
        <v>259</v>
      </c>
      <c r="M2454" s="594" t="s">
        <v>174</v>
      </c>
      <c r="N2454" s="52" t="str">
        <f>IF(AND('331-CT'!$E$7=TH!H2454,OR(L2454="331",M2454="331")),"331",IF(AND(OR(L2454="131",M2454="131"),H2454='131-CT'!$E$7),"131",""))</f>
        <v/>
      </c>
      <c r="O2454" s="86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99"/>
    </row>
    <row r="2455" spans="1:27" s="210" customFormat="1" ht="15.75" customHeight="1">
      <c r="A2455" s="203" t="str">
        <f>IF(B2455&lt;&gt;"",IF(AND(B2455&gt;=_TM1,B2455&lt;=_TM2,OR(TH!L2455="1111",TH!M2455="1111")),TH!D2455,""),"")</f>
        <v/>
      </c>
      <c r="B2455" s="36">
        <f>IF(C2455&lt;&gt;"",MONTH(C2455),"")</f>
        <v>12</v>
      </c>
      <c r="C2455" s="183">
        <f>E2455</f>
        <v>42361</v>
      </c>
      <c r="D2455" s="183" t="s">
        <v>1636</v>
      </c>
      <c r="E2455" s="762">
        <v>42361</v>
      </c>
      <c r="F2455" s="40" t="s">
        <v>402</v>
      </c>
      <c r="G2455" s="40" t="s">
        <v>1281</v>
      </c>
      <c r="H2455" s="7" t="s">
        <v>473</v>
      </c>
      <c r="I2455" s="255"/>
      <c r="J2455" s="255"/>
      <c r="K2455" s="593">
        <v>2542920</v>
      </c>
      <c r="L2455" s="594" t="s">
        <v>259</v>
      </c>
      <c r="M2455" s="594" t="s">
        <v>371</v>
      </c>
      <c r="N2455" s="52" t="str">
        <f>IF(AND('331-CT'!$E$7=TH!H2455,OR(L2455="331",M2455="331")),"331",IF(AND(OR(L2455="131",M2455="131"),H2455='131-CT'!$E$7),"131",""))</f>
        <v/>
      </c>
      <c r="O2455" s="86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99"/>
    </row>
    <row r="2456" spans="1:27" s="210" customFormat="1" ht="15.75" customHeight="1">
      <c r="A2456" s="203" t="str">
        <f>IF(B2456&lt;&gt;"",IF(AND(B2456&gt;=_TM1,B2456&lt;=_TM2,OR(TH!L2456="1111",TH!M2456="1111")),TH!D2456,""),"")</f>
        <v/>
      </c>
      <c r="B2456" s="36">
        <f>IF(C2456&lt;&gt;"",MONTH(C2456),"")</f>
        <v>12</v>
      </c>
      <c r="C2456" s="183">
        <f>E2456</f>
        <v>42361</v>
      </c>
      <c r="D2456" s="183" t="s">
        <v>1637</v>
      </c>
      <c r="E2456" s="763">
        <v>42361</v>
      </c>
      <c r="F2456" s="188" t="s">
        <v>1952</v>
      </c>
      <c r="G2456" s="482" t="s">
        <v>1282</v>
      </c>
      <c r="H2456" s="192" t="s">
        <v>957</v>
      </c>
      <c r="I2456" s="255">
        <v>100</v>
      </c>
      <c r="J2456" s="255">
        <v>19940</v>
      </c>
      <c r="K2456" s="593">
        <f>ROUND(I2456*J2456,0)</f>
        <v>1994000</v>
      </c>
      <c r="L2456" s="594" t="s">
        <v>259</v>
      </c>
      <c r="M2456" s="594" t="s">
        <v>174</v>
      </c>
      <c r="N2456" s="52" t="str">
        <f>IF(AND('331-CT'!$E$7=TH!H2456,OR(L2456="331",M2456="331")),"331",IF(AND(OR(L2456="131",M2456="131"),H2456='131-CT'!$E$7),"131",""))</f>
        <v/>
      </c>
      <c r="O2456" s="86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99"/>
    </row>
    <row r="2457" spans="1:27" s="210" customFormat="1" ht="15.75" customHeight="1">
      <c r="A2457" s="203" t="str">
        <f>IF(B2457&lt;&gt;"",IF(AND(B2457&gt;=_TM1,B2457&lt;=_TM2,OR(TH!L2457="1111",TH!M2457="1111")),TH!D2457,""),"")</f>
        <v/>
      </c>
      <c r="B2457" s="36">
        <f>IF(C2457&lt;&gt;"",MONTH(C2457),"")</f>
        <v>12</v>
      </c>
      <c r="C2457" s="183">
        <f>E2457</f>
        <v>42361</v>
      </c>
      <c r="D2457" s="183" t="s">
        <v>1637</v>
      </c>
      <c r="E2457" s="763">
        <v>42361</v>
      </c>
      <c r="F2457" s="191" t="s">
        <v>402</v>
      </c>
      <c r="G2457" s="482" t="s">
        <v>1282</v>
      </c>
      <c r="H2457" s="192" t="s">
        <v>957</v>
      </c>
      <c r="I2457" s="255"/>
      <c r="J2457" s="255"/>
      <c r="K2457" s="593">
        <v>199400</v>
      </c>
      <c r="L2457" s="594" t="s">
        <v>259</v>
      </c>
      <c r="M2457" s="594" t="s">
        <v>371</v>
      </c>
      <c r="N2457" s="52" t="str">
        <f>IF(AND('331-CT'!$E$7=TH!H2457,OR(L2457="331",M2457="331")),"331",IF(AND(OR(L2457="131",M2457="131"),H2457='131-CT'!$E$7),"131",""))</f>
        <v/>
      </c>
      <c r="O2457" s="86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99"/>
    </row>
    <row r="2458" spans="1:27" s="210" customFormat="1" ht="15.75" customHeight="1">
      <c r="A2458" s="203" t="str">
        <f>IF(B2458&lt;&gt;"",IF(AND(B2458&gt;=_TM1,B2458&lt;=_TM2,OR(TH!L2458="1111",TH!M2458="1111")),TH!D2458,""),"")</f>
        <v>GBN</v>
      </c>
      <c r="B2458" s="36">
        <f>IF(C2458&lt;&gt;"",MONTH(C2458),"")</f>
        <v>12</v>
      </c>
      <c r="C2458" s="183">
        <f>E2458</f>
        <v>42361</v>
      </c>
      <c r="D2458" s="190" t="s">
        <v>1324</v>
      </c>
      <c r="E2458" s="725">
        <v>42361</v>
      </c>
      <c r="F2458" s="191" t="s">
        <v>1896</v>
      </c>
      <c r="G2458" s="482" t="s">
        <v>1907</v>
      </c>
      <c r="H2458" s="192" t="s">
        <v>1337</v>
      </c>
      <c r="I2458" s="255"/>
      <c r="J2458" s="255"/>
      <c r="K2458" s="593">
        <v>48000000</v>
      </c>
      <c r="L2458" s="193" t="s">
        <v>24</v>
      </c>
      <c r="M2458" s="594" t="s">
        <v>47</v>
      </c>
      <c r="N2458" s="52" t="str">
        <f>IF(AND('331-CT'!$E$7=TH!H2458,OR(L2458="331",M2458="331")),"331",IF(AND(OR(L2458="131",M2458="131"),H2458='131-CT'!$E$7),"131",""))</f>
        <v/>
      </c>
      <c r="O2458" s="86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99"/>
    </row>
    <row r="2459" spans="1:27" s="210" customFormat="1" ht="15.75" customHeight="1">
      <c r="A2459" s="203" t="str">
        <f>IF(B2459&lt;&gt;"",IF(AND(B2459&gt;=_TM1,B2459&lt;=_TM2,OR(TH!L2459="1111",TH!M2459="1111")),TH!D2459,""),"")</f>
        <v/>
      </c>
      <c r="B2459" s="36">
        <f>IF(C2459&lt;&gt;"",MONTH(C2459),"")</f>
        <v>12</v>
      </c>
      <c r="C2459" s="183">
        <f>E2459</f>
        <v>42361</v>
      </c>
      <c r="D2459" s="190" t="s">
        <v>1324</v>
      </c>
      <c r="E2459" s="725">
        <v>42361</v>
      </c>
      <c r="F2459" s="191" t="s">
        <v>1925</v>
      </c>
      <c r="G2459" s="482" t="s">
        <v>1907</v>
      </c>
      <c r="H2459" s="192" t="s">
        <v>1909</v>
      </c>
      <c r="I2459" s="255"/>
      <c r="J2459" s="255"/>
      <c r="K2459" s="38">
        <v>34385000</v>
      </c>
      <c r="L2459" s="193" t="s">
        <v>1899</v>
      </c>
      <c r="M2459" s="594" t="s">
        <v>24</v>
      </c>
      <c r="N2459" s="52" t="str">
        <f>IF(AND('331-CT'!$E$7=TH!H2459,OR(L2459="331",M2459="331")),"331",IF(AND(OR(L2459="131",M2459="131"),H2459='131-CT'!$E$7),"131",""))</f>
        <v/>
      </c>
      <c r="O2459" s="86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99"/>
    </row>
    <row r="2460" spans="1:27" s="210" customFormat="1" ht="15.75" customHeight="1">
      <c r="A2460" s="203" t="str">
        <f>IF(B2460&lt;&gt;"",IF(AND(B2460&gt;=_TM1,B2460&lt;=_TM2,OR(TH!L2460="1111",TH!M2460="1111")),TH!D2460,""),"")</f>
        <v/>
      </c>
      <c r="B2460" s="36">
        <f>IF(C2460&lt;&gt;"",MONTH(C2460),"")</f>
        <v>12</v>
      </c>
      <c r="C2460" s="183">
        <f>E2460</f>
        <v>42361</v>
      </c>
      <c r="D2460" s="190" t="s">
        <v>1324</v>
      </c>
      <c r="E2460" s="725">
        <v>42361</v>
      </c>
      <c r="F2460" s="191" t="s">
        <v>1924</v>
      </c>
      <c r="G2460" s="482" t="s">
        <v>1907</v>
      </c>
      <c r="H2460" s="192" t="s">
        <v>1909</v>
      </c>
      <c r="I2460" s="255"/>
      <c r="J2460" s="255"/>
      <c r="K2460" s="593">
        <v>11917957</v>
      </c>
      <c r="L2460" s="594" t="s">
        <v>81</v>
      </c>
      <c r="M2460" s="594" t="s">
        <v>24</v>
      </c>
      <c r="N2460" s="52" t="str">
        <f>IF(AND('331-CT'!$E$7=TH!H2460,OR(L2460="331",M2460="331")),"331",IF(AND(OR(L2460="131",M2460="131"),H2460='131-CT'!$E$7),"131",""))</f>
        <v/>
      </c>
      <c r="O2460" s="86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99"/>
    </row>
    <row r="2461" spans="1:27" s="210" customFormat="1" ht="15.75" customHeight="1">
      <c r="A2461" s="203" t="str">
        <f>IF(B2461&lt;&gt;"",IF(AND(B2461&gt;=_TM1,B2461&lt;=_TM2,OR(TH!L2461="1111",TH!M2461="1111")),TH!D2461,""),"")</f>
        <v/>
      </c>
      <c r="B2461" s="36">
        <f>IF(C2461&lt;&gt;"",MONTH(C2461),"")</f>
        <v>12</v>
      </c>
      <c r="C2461" s="183">
        <f>E2461</f>
        <v>42362</v>
      </c>
      <c r="D2461" s="183" t="s">
        <v>1319</v>
      </c>
      <c r="E2461" s="763">
        <v>42362</v>
      </c>
      <c r="F2461" s="188" t="s">
        <v>1320</v>
      </c>
      <c r="G2461" s="482" t="s">
        <v>332</v>
      </c>
      <c r="H2461" s="7" t="s">
        <v>1253</v>
      </c>
      <c r="I2461" s="255"/>
      <c r="J2461" s="255"/>
      <c r="K2461" s="593">
        <v>23114400</v>
      </c>
      <c r="L2461" s="594" t="s">
        <v>24</v>
      </c>
      <c r="M2461" s="594" t="s">
        <v>259</v>
      </c>
      <c r="N2461" s="52" t="str">
        <f>IF(AND('331-CT'!$E$7=TH!H2461,OR(L2461="331",M2461="331")),"331",IF(AND(OR(L2461="131",M2461="131"),H2461='131-CT'!$E$7),"131",""))</f>
        <v/>
      </c>
      <c r="O2461" s="86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>x</v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99"/>
    </row>
    <row r="2462" spans="1:27" s="210" customFormat="1" ht="15.75" customHeight="1">
      <c r="A2462" s="203" t="str">
        <f>IF(B2462&lt;&gt;"",IF(AND(B2462&gt;=_TM1,B2462&lt;=_TM2,OR(TH!L2462="1111",TH!M2462="1111")),TH!D2462,""),"")</f>
        <v/>
      </c>
      <c r="B2462" s="36">
        <f>IF(C2462&lt;&gt;"",MONTH(C2462),"")</f>
        <v>12</v>
      </c>
      <c r="C2462" s="183">
        <f>E2462</f>
        <v>42362</v>
      </c>
      <c r="D2462" s="183" t="s">
        <v>1319</v>
      </c>
      <c r="E2462" s="763">
        <v>42362</v>
      </c>
      <c r="F2462" s="188" t="s">
        <v>2024</v>
      </c>
      <c r="G2462" s="482" t="s">
        <v>332</v>
      </c>
      <c r="H2462" s="7" t="s">
        <v>1253</v>
      </c>
      <c r="I2462" s="255"/>
      <c r="J2462" s="255"/>
      <c r="K2462" s="593">
        <v>10</v>
      </c>
      <c r="L2462" s="594" t="s">
        <v>87</v>
      </c>
      <c r="M2462" s="594" t="s">
        <v>259</v>
      </c>
      <c r="N2462" s="52" t="str">
        <f>IF(AND('331-CT'!$E$7=TH!H2462,OR(L2462="331",M2462="331")),"331",IF(AND(OR(L2462="131",M2462="131"),H2462='131-CT'!$E$7),"131",""))</f>
        <v/>
      </c>
      <c r="O2462" s="86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99"/>
    </row>
    <row r="2463" spans="1:27" s="210" customFormat="1" ht="15.75" customHeight="1">
      <c r="A2463" s="203" t="str">
        <f>IF(B2463&lt;&gt;"",IF(AND(B2463&gt;=_TM1,B2463&lt;=_TM2,OR(TH!L2463="1111",TH!M2463="1111")),TH!D2463,""),"")</f>
        <v/>
      </c>
      <c r="B2463" s="36">
        <f>IF(C2463&lt;&gt;"",MONTH(C2463),"")</f>
        <v>12</v>
      </c>
      <c r="C2463" s="183">
        <f>E2463</f>
        <v>42362</v>
      </c>
      <c r="D2463" s="183" t="s">
        <v>1319</v>
      </c>
      <c r="E2463" s="763">
        <v>42362</v>
      </c>
      <c r="F2463" s="188" t="s">
        <v>1320</v>
      </c>
      <c r="G2463" s="482" t="s">
        <v>332</v>
      </c>
      <c r="H2463" s="7" t="s">
        <v>438</v>
      </c>
      <c r="I2463" s="255"/>
      <c r="J2463" s="255"/>
      <c r="K2463" s="593">
        <v>4888400</v>
      </c>
      <c r="L2463" s="594" t="s">
        <v>24</v>
      </c>
      <c r="M2463" s="594" t="s">
        <v>259</v>
      </c>
      <c r="N2463" s="52" t="str">
        <f>IF(AND('331-CT'!$E$7=TH!H2463,OR(L2463="331",M2463="331")),"331",IF(AND(OR(L2463="131",M2463="131"),H2463='131-CT'!$E$7),"131",""))</f>
        <v/>
      </c>
      <c r="O2463" s="86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>x</v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99"/>
    </row>
    <row r="2464" spans="1:27" s="210" customFormat="1" ht="15.75" customHeight="1">
      <c r="A2464" s="203" t="str">
        <f>IF(B2464&lt;&gt;"",IF(AND(B2464&gt;=_TM1,B2464&lt;=_TM2,OR(TH!L2464="1111",TH!M2464="1111")),TH!D2464,""),"")</f>
        <v>GBN</v>
      </c>
      <c r="B2464" s="36">
        <f>IF(C2464&lt;&gt;"",MONTH(C2464),"")</f>
        <v>12</v>
      </c>
      <c r="C2464" s="183">
        <f>E2464</f>
        <v>42362</v>
      </c>
      <c r="D2464" s="183" t="s">
        <v>1324</v>
      </c>
      <c r="E2464" s="763">
        <v>42362</v>
      </c>
      <c r="F2464" s="188" t="s">
        <v>1325</v>
      </c>
      <c r="G2464" s="482" t="s">
        <v>332</v>
      </c>
      <c r="H2464" s="7" t="s">
        <v>1333</v>
      </c>
      <c r="I2464" s="255"/>
      <c r="J2464" s="255"/>
      <c r="K2464" s="593">
        <v>23000000</v>
      </c>
      <c r="L2464" s="594" t="s">
        <v>47</v>
      </c>
      <c r="M2464" s="594" t="s">
        <v>24</v>
      </c>
      <c r="N2464" s="52" t="str">
        <f>IF(AND('331-CT'!$E$7=TH!H2464,OR(L2464="331",M2464="331")),"331",IF(AND(OR(L2464="131",M2464="131"),H2464='131-CT'!$E$7),"131",""))</f>
        <v/>
      </c>
      <c r="O2464" s="86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>x</v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99"/>
    </row>
    <row r="2465" spans="1:27" s="210" customFormat="1" ht="15.75" customHeight="1">
      <c r="A2465" s="203" t="str">
        <f>IF(B2465&lt;&gt;"",IF(AND(B2465&gt;=_TM1,B2465&lt;=_TM2,OR(TH!L2465="1111",TH!M2465="1111")),TH!D2465,""),"")</f>
        <v/>
      </c>
      <c r="B2465" s="36">
        <f>IF(C2465&lt;&gt;"",MONTH(C2465),"")</f>
        <v>12</v>
      </c>
      <c r="C2465" s="183">
        <f>E2465</f>
        <v>42363</v>
      </c>
      <c r="D2465" s="183" t="s">
        <v>1638</v>
      </c>
      <c r="E2465" s="763">
        <v>42363</v>
      </c>
      <c r="F2465" s="191" t="s">
        <v>844</v>
      </c>
      <c r="G2465" s="482" t="s">
        <v>1283</v>
      </c>
      <c r="H2465" s="7" t="s">
        <v>733</v>
      </c>
      <c r="I2465" s="255">
        <v>300</v>
      </c>
      <c r="J2465" s="255">
        <v>8775</v>
      </c>
      <c r="K2465" s="593">
        <f>ROUND(I2465*J2465,0)</f>
        <v>2632500</v>
      </c>
      <c r="L2465" s="594" t="s">
        <v>259</v>
      </c>
      <c r="M2465" s="594" t="s">
        <v>174</v>
      </c>
      <c r="N2465" s="52" t="str">
        <f>IF(AND('331-CT'!$E$7=TH!H2465,OR(L2465="331",M2465="331")),"331",IF(AND(OR(L2465="131",M2465="131"),H2465='131-CT'!$E$7),"131",""))</f>
        <v/>
      </c>
      <c r="O2465" s="86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99"/>
    </row>
    <row r="2466" spans="1:27" s="210" customFormat="1" ht="15.75" customHeight="1">
      <c r="A2466" s="203" t="str">
        <f>IF(B2466&lt;&gt;"",IF(AND(B2466&gt;=_TM1,B2466&lt;=_TM2,OR(TH!L2466="1111",TH!M2466="1111")),TH!D2466,""),"")</f>
        <v/>
      </c>
      <c r="B2466" s="36">
        <f>IF(C2466&lt;&gt;"",MONTH(C2466),"")</f>
        <v>12</v>
      </c>
      <c r="C2466" s="183">
        <f>E2466</f>
        <v>42363</v>
      </c>
      <c r="D2466" s="183" t="s">
        <v>1638</v>
      </c>
      <c r="E2466" s="763">
        <v>42363</v>
      </c>
      <c r="F2466" s="191" t="s">
        <v>624</v>
      </c>
      <c r="G2466" s="482" t="s">
        <v>1283</v>
      </c>
      <c r="H2466" s="7" t="s">
        <v>733</v>
      </c>
      <c r="I2466" s="255">
        <v>102</v>
      </c>
      <c r="J2466" s="255">
        <v>30237</v>
      </c>
      <c r="K2466" s="593">
        <f>ROUND(I2466*J2466,0)</f>
        <v>3084174</v>
      </c>
      <c r="L2466" s="594" t="s">
        <v>259</v>
      </c>
      <c r="M2466" s="594" t="s">
        <v>174</v>
      </c>
      <c r="N2466" s="52" t="str">
        <f>IF(AND('331-CT'!$E$7=TH!H2466,OR(L2466="331",M2466="331")),"331",IF(AND(OR(L2466="131",M2466="131"),H2466='131-CT'!$E$7),"131",""))</f>
        <v/>
      </c>
      <c r="O2466" s="86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99"/>
    </row>
    <row r="2467" spans="1:27" s="210" customFormat="1" ht="15.75" customHeight="1">
      <c r="A2467" s="203" t="str">
        <f>IF(B2467&lt;&gt;"",IF(AND(B2467&gt;=_TM1,B2467&lt;=_TM2,OR(TH!L2467="1111",TH!M2467="1111")),TH!D2467,""),"")</f>
        <v/>
      </c>
      <c r="B2467" s="36">
        <f>IF(C2467&lt;&gt;"",MONTH(C2467),"")</f>
        <v>12</v>
      </c>
      <c r="C2467" s="183">
        <f>E2467</f>
        <v>42363</v>
      </c>
      <c r="D2467" s="183" t="s">
        <v>1638</v>
      </c>
      <c r="E2467" s="763">
        <v>42363</v>
      </c>
      <c r="F2467" s="191" t="s">
        <v>1284</v>
      </c>
      <c r="G2467" s="482" t="s">
        <v>1283</v>
      </c>
      <c r="H2467" s="7" t="s">
        <v>733</v>
      </c>
      <c r="I2467" s="255">
        <v>17</v>
      </c>
      <c r="J2467" s="255">
        <v>45000</v>
      </c>
      <c r="K2467" s="593">
        <f>ROUND(I2467*J2467,0)</f>
        <v>765000</v>
      </c>
      <c r="L2467" s="594" t="s">
        <v>259</v>
      </c>
      <c r="M2467" s="594" t="s">
        <v>174</v>
      </c>
      <c r="N2467" s="52" t="str">
        <f>IF(AND('331-CT'!$E$7=TH!H2467,OR(L2467="331",M2467="331")),"331",IF(AND(OR(L2467="131",M2467="131"),H2467='131-CT'!$E$7),"131",""))</f>
        <v/>
      </c>
      <c r="O2467" s="86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99"/>
    </row>
    <row r="2468" spans="1:27" s="210" customFormat="1" ht="15.75" customHeight="1">
      <c r="A2468" s="203" t="str">
        <f>IF(B2468&lt;&gt;"",IF(AND(B2468&gt;=_TM1,B2468&lt;=_TM2,OR(TH!L2468="1111",TH!M2468="1111")),TH!D2468,""),"")</f>
        <v/>
      </c>
      <c r="B2468" s="36">
        <f>IF(C2468&lt;&gt;"",MONTH(C2468),"")</f>
        <v>12</v>
      </c>
      <c r="C2468" s="183">
        <f>E2468</f>
        <v>42363</v>
      </c>
      <c r="D2468" s="183" t="s">
        <v>1638</v>
      </c>
      <c r="E2468" s="763">
        <v>42363</v>
      </c>
      <c r="F2468" s="188" t="s">
        <v>402</v>
      </c>
      <c r="G2468" s="482" t="s">
        <v>1283</v>
      </c>
      <c r="H2468" s="7" t="s">
        <v>733</v>
      </c>
      <c r="I2468" s="255"/>
      <c r="J2468" s="255"/>
      <c r="K2468" s="593">
        <v>648167</v>
      </c>
      <c r="L2468" s="594" t="s">
        <v>259</v>
      </c>
      <c r="M2468" s="594" t="s">
        <v>371</v>
      </c>
      <c r="N2468" s="52" t="str">
        <f>IF(AND('331-CT'!$E$7=TH!H2468,OR(L2468="331",M2468="331")),"331",IF(AND(OR(L2468="131",M2468="131"),H2468='131-CT'!$E$7),"131",""))</f>
        <v/>
      </c>
      <c r="O2468" s="86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99"/>
    </row>
    <row r="2469" spans="1:27" s="210" customFormat="1" ht="15.75" customHeight="1">
      <c r="A2469" s="203" t="str">
        <f>IF(B2469&lt;&gt;"",IF(AND(B2469&gt;=_TM1,B2469&lt;=_TM2,OR(TH!L2469="1111",TH!M2469="1111")),TH!D2469,""),"")</f>
        <v/>
      </c>
      <c r="B2469" s="36">
        <f>IF(C2469&lt;&gt;"",MONTH(C2469),"")</f>
        <v>12</v>
      </c>
      <c r="C2469" s="183">
        <f>E2469</f>
        <v>42363</v>
      </c>
      <c r="D2469" s="183" t="s">
        <v>1639</v>
      </c>
      <c r="E2469" s="763">
        <v>42363</v>
      </c>
      <c r="F2469" s="191" t="s">
        <v>1285</v>
      </c>
      <c r="G2469" s="482" t="s">
        <v>1286</v>
      </c>
      <c r="H2469" s="192" t="s">
        <v>453</v>
      </c>
      <c r="I2469" s="255">
        <v>380</v>
      </c>
      <c r="J2469" s="255">
        <v>7900</v>
      </c>
      <c r="K2469" s="593">
        <f>ROUND(I2469*J2469,0)</f>
        <v>3002000</v>
      </c>
      <c r="L2469" s="594" t="s">
        <v>259</v>
      </c>
      <c r="M2469" s="594" t="s">
        <v>174</v>
      </c>
      <c r="N2469" s="52" t="str">
        <f>IF(AND('331-CT'!$E$7=TH!H2469,OR(L2469="331",M2469="331")),"331",IF(AND(OR(L2469="131",M2469="131"),H2469='131-CT'!$E$7),"131",""))</f>
        <v/>
      </c>
      <c r="O2469" s="86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99"/>
    </row>
    <row r="2470" spans="1:27" s="210" customFormat="1" ht="15.75" customHeight="1">
      <c r="A2470" s="203" t="str">
        <f>IF(B2470&lt;&gt;"",IF(AND(B2470&gt;=_TM1,B2470&lt;=_TM2,OR(TH!L2470="1111",TH!M2470="1111")),TH!D2470,""),"")</f>
        <v/>
      </c>
      <c r="B2470" s="36">
        <f>IF(C2470&lt;&gt;"",MONTH(C2470),"")</f>
        <v>12</v>
      </c>
      <c r="C2470" s="183">
        <f>E2470</f>
        <v>42363</v>
      </c>
      <c r="D2470" s="183" t="s">
        <v>1639</v>
      </c>
      <c r="E2470" s="763">
        <v>42363</v>
      </c>
      <c r="F2470" s="191" t="s">
        <v>402</v>
      </c>
      <c r="G2470" s="482" t="s">
        <v>1286</v>
      </c>
      <c r="H2470" s="192" t="s">
        <v>453</v>
      </c>
      <c r="I2470" s="255"/>
      <c r="J2470" s="255"/>
      <c r="K2470" s="593">
        <v>300200</v>
      </c>
      <c r="L2470" s="594" t="s">
        <v>259</v>
      </c>
      <c r="M2470" s="594" t="s">
        <v>371</v>
      </c>
      <c r="N2470" s="52" t="str">
        <f>IF(AND('331-CT'!$E$7=TH!H2470,OR(L2470="331",M2470="331")),"331",IF(AND(OR(L2470="131",M2470="131"),H2470='131-CT'!$E$7),"131",""))</f>
        <v/>
      </c>
      <c r="O2470" s="86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99"/>
    </row>
    <row r="2471" spans="1:27" s="210" customFormat="1" ht="15.75" customHeight="1">
      <c r="A2471" s="203" t="str">
        <f>IF(B2471&lt;&gt;"",IF(AND(B2471&gt;=_TM1,B2471&lt;=_TM2,OR(TH!L2471="1111",TH!M2471="1111")),TH!D2471,""),"")</f>
        <v/>
      </c>
      <c r="B2471" s="36">
        <f>IF(C2471&lt;&gt;"",MONTH(C2471),"")</f>
        <v>12</v>
      </c>
      <c r="C2471" s="183">
        <f>E2471</f>
        <v>42363</v>
      </c>
      <c r="D2471" s="183" t="s">
        <v>1640</v>
      </c>
      <c r="E2471" s="763">
        <v>42363</v>
      </c>
      <c r="F2471" s="191" t="s">
        <v>1103</v>
      </c>
      <c r="G2471" s="482" t="s">
        <v>1287</v>
      </c>
      <c r="H2471" s="7" t="s">
        <v>1003</v>
      </c>
      <c r="I2471" s="255">
        <v>218</v>
      </c>
      <c r="J2471" s="255">
        <v>6000</v>
      </c>
      <c r="K2471" s="593">
        <f>ROUND(I2471*J2471,0)</f>
        <v>1308000</v>
      </c>
      <c r="L2471" s="594" t="s">
        <v>259</v>
      </c>
      <c r="M2471" s="594" t="s">
        <v>174</v>
      </c>
      <c r="N2471" s="52" t="str">
        <f>IF(AND('331-CT'!$E$7=TH!H2471,OR(L2471="331",M2471="331")),"331",IF(AND(OR(L2471="131",M2471="131"),H2471='131-CT'!$E$7),"131",""))</f>
        <v/>
      </c>
      <c r="O2471" s="86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99"/>
    </row>
    <row r="2472" spans="1:27" s="210" customFormat="1" ht="15.75" customHeight="1">
      <c r="A2472" s="203" t="str">
        <f>IF(B2472&lt;&gt;"",IF(AND(B2472&gt;=_TM1,B2472&lt;=_TM2,OR(TH!L2472="1111",TH!M2472="1111")),TH!D2472,""),"")</f>
        <v/>
      </c>
      <c r="B2472" s="36">
        <f>IF(C2472&lt;&gt;"",MONTH(C2472),"")</f>
        <v>12</v>
      </c>
      <c r="C2472" s="183">
        <f>E2472</f>
        <v>42363</v>
      </c>
      <c r="D2472" s="183" t="s">
        <v>1640</v>
      </c>
      <c r="E2472" s="725">
        <v>42363</v>
      </c>
      <c r="F2472" s="188" t="s">
        <v>1106</v>
      </c>
      <c r="G2472" s="40" t="s">
        <v>1287</v>
      </c>
      <c r="H2472" s="7" t="s">
        <v>1003</v>
      </c>
      <c r="I2472" s="255">
        <v>300</v>
      </c>
      <c r="J2472" s="255">
        <v>6600</v>
      </c>
      <c r="K2472" s="593">
        <f>ROUND(I2472*J2472,0)</f>
        <v>1980000</v>
      </c>
      <c r="L2472" s="594" t="s">
        <v>259</v>
      </c>
      <c r="M2472" s="594" t="s">
        <v>174</v>
      </c>
      <c r="N2472" s="52" t="str">
        <f>IF(AND('331-CT'!$E$7=TH!H2472,OR(L2472="331",M2472="331")),"331",IF(AND(OR(L2472="131",M2472="131"),H2472='131-CT'!$E$7),"131",""))</f>
        <v/>
      </c>
      <c r="O2472" s="86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99"/>
    </row>
    <row r="2473" spans="1:27" s="210" customFormat="1" ht="15.75" customHeight="1">
      <c r="A2473" s="203" t="str">
        <f>IF(B2473&lt;&gt;"",IF(AND(B2473&gt;=_TM1,B2473&lt;=_TM2,OR(TH!L2473="1111",TH!M2473="1111")),TH!D2473,""),"")</f>
        <v/>
      </c>
      <c r="B2473" s="36">
        <f>IF(C2473&lt;&gt;"",MONTH(C2473),"")</f>
        <v>12</v>
      </c>
      <c r="C2473" s="183">
        <f>E2473</f>
        <v>42363</v>
      </c>
      <c r="D2473" s="183" t="s">
        <v>1640</v>
      </c>
      <c r="E2473" s="725">
        <v>42363</v>
      </c>
      <c r="F2473" s="296" t="s">
        <v>1107</v>
      </c>
      <c r="G2473" s="40" t="s">
        <v>1287</v>
      </c>
      <c r="H2473" s="7" t="s">
        <v>1003</v>
      </c>
      <c r="I2473" s="255">
        <v>513</v>
      </c>
      <c r="J2473" s="255">
        <v>11700</v>
      </c>
      <c r="K2473" s="593">
        <f>ROUND(I2473*J2473,0)</f>
        <v>6002100</v>
      </c>
      <c r="L2473" s="594" t="s">
        <v>259</v>
      </c>
      <c r="M2473" s="594" t="s">
        <v>174</v>
      </c>
      <c r="N2473" s="52" t="str">
        <f>IF(AND('331-CT'!$E$7=TH!H2473,OR(L2473="331",M2473="331")),"331",IF(AND(OR(L2473="131",M2473="131"),H2473='131-CT'!$E$7),"131",""))</f>
        <v/>
      </c>
      <c r="O2473" s="869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99"/>
    </row>
    <row r="2474" spans="1:27" s="210" customFormat="1" ht="15.75" customHeight="1">
      <c r="A2474" s="203" t="str">
        <f>IF(B2474&lt;&gt;"",IF(AND(B2474&gt;=_TM1,B2474&lt;=_TM2,OR(TH!L2474="1111",TH!M2474="1111")),TH!D2474,""),"")</f>
        <v/>
      </c>
      <c r="B2474" s="36">
        <f>IF(C2474&lt;&gt;"",MONTH(C2474),"")</f>
        <v>12</v>
      </c>
      <c r="C2474" s="183">
        <f>E2474</f>
        <v>42363</v>
      </c>
      <c r="D2474" s="183" t="s">
        <v>1640</v>
      </c>
      <c r="E2474" s="725">
        <v>42363</v>
      </c>
      <c r="F2474" s="40" t="s">
        <v>402</v>
      </c>
      <c r="G2474" s="40" t="s">
        <v>1287</v>
      </c>
      <c r="H2474" s="7" t="s">
        <v>1003</v>
      </c>
      <c r="I2474" s="255"/>
      <c r="J2474" s="255"/>
      <c r="K2474" s="593">
        <v>929010</v>
      </c>
      <c r="L2474" s="594" t="s">
        <v>259</v>
      </c>
      <c r="M2474" s="594" t="s">
        <v>371</v>
      </c>
      <c r="N2474" s="52" t="str">
        <f>IF(AND('331-CT'!$E$7=TH!H2474,OR(L2474="331",M2474="331")),"331",IF(AND(OR(L2474="131",M2474="131"),H2474='131-CT'!$E$7),"131",""))</f>
        <v/>
      </c>
      <c r="O2474" s="86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99"/>
    </row>
    <row r="2475" spans="1:27" s="210" customFormat="1" ht="15.75" customHeight="1">
      <c r="A2475" s="203" t="str">
        <f>IF(B2475&lt;&gt;"",IF(AND(B2475&gt;=_TM1,B2475&lt;=_TM2,OR(TH!L2475="1111",TH!M2475="1111")),TH!D2475,""),"")</f>
        <v/>
      </c>
      <c r="B2475" s="36">
        <f>IF(C2475&lt;&gt;"",MONTH(C2475),"")</f>
        <v>12</v>
      </c>
      <c r="C2475" s="183">
        <f>E2475</f>
        <v>42363</v>
      </c>
      <c r="D2475" s="183" t="s">
        <v>1319</v>
      </c>
      <c r="E2475" s="763">
        <v>42363</v>
      </c>
      <c r="F2475" s="188" t="s">
        <v>1321</v>
      </c>
      <c r="G2475" s="482" t="s">
        <v>332</v>
      </c>
      <c r="H2475" s="7"/>
      <c r="I2475" s="255"/>
      <c r="J2475" s="255"/>
      <c r="K2475" s="593">
        <v>3870</v>
      </c>
      <c r="L2475" s="594" t="s">
        <v>24</v>
      </c>
      <c r="M2475" s="594" t="s">
        <v>40</v>
      </c>
      <c r="N2475" s="52" t="str">
        <f>IF(AND('331-CT'!$E$7=TH!H2475,OR(L2475="331",M2475="331")),"331",IF(AND(OR(L2475="131",M2475="131"),H2475='131-CT'!$E$7),"131",""))</f>
        <v/>
      </c>
      <c r="O2475" s="86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>x</v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99"/>
    </row>
    <row r="2476" spans="1:27" s="210" customFormat="1" ht="15.75" customHeight="1">
      <c r="A2476" s="203" t="str">
        <f>IF(B2476&lt;&gt;"",IF(AND(B2476&gt;=_TM1,B2476&lt;=_TM2,OR(TH!L2476="1111",TH!M2476="1111")),TH!D2476,""),"")</f>
        <v>GBN</v>
      </c>
      <c r="B2476" s="36">
        <f>IF(C2476&lt;&gt;"",MONTH(C2476),"")</f>
        <v>12</v>
      </c>
      <c r="C2476" s="183">
        <f>E2476</f>
        <v>42363</v>
      </c>
      <c r="D2476" s="183" t="s">
        <v>1324</v>
      </c>
      <c r="E2476" s="763">
        <v>42363</v>
      </c>
      <c r="F2476" s="188" t="s">
        <v>1325</v>
      </c>
      <c r="G2476" s="482" t="s">
        <v>332</v>
      </c>
      <c r="H2476" s="7" t="s">
        <v>1333</v>
      </c>
      <c r="I2476" s="255"/>
      <c r="J2476" s="255"/>
      <c r="K2476" s="593">
        <v>5000000</v>
      </c>
      <c r="L2476" s="594" t="s">
        <v>47</v>
      </c>
      <c r="M2476" s="594" t="s">
        <v>24</v>
      </c>
      <c r="N2476" s="52" t="str">
        <f>IF(AND('331-CT'!$E$7=TH!H2476,OR(L2476="331",M2476="331")),"331",IF(AND(OR(L2476="131",M2476="131"),H2476='131-CT'!$E$7),"131",""))</f>
        <v/>
      </c>
      <c r="O2476" s="86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>x</v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99"/>
    </row>
    <row r="2477" spans="1:27" s="210" customFormat="1" ht="15.75" customHeight="1">
      <c r="A2477" s="203" t="str">
        <f>IF(B2477&lt;&gt;"",IF(AND(B2477&gt;=_TM1,B2477&lt;=_TM2,OR(TH!L2477="1111",TH!M2477="1111")),TH!D2477,""),"")</f>
        <v/>
      </c>
      <c r="B2477" s="36">
        <f>IF(C2477&lt;&gt;"",MONTH(C2477),"")</f>
        <v>12</v>
      </c>
      <c r="C2477" s="183">
        <f>E2477</f>
        <v>42364</v>
      </c>
      <c r="D2477" s="183" t="s">
        <v>1641</v>
      </c>
      <c r="E2477" s="725">
        <v>42364</v>
      </c>
      <c r="F2477" s="188" t="s">
        <v>441</v>
      </c>
      <c r="G2477" s="40" t="s">
        <v>1288</v>
      </c>
      <c r="H2477" s="7" t="s">
        <v>438</v>
      </c>
      <c r="I2477" s="255">
        <v>992</v>
      </c>
      <c r="J2477" s="255">
        <v>4400</v>
      </c>
      <c r="K2477" s="593">
        <f>ROUND(I2477*J2477,0)</f>
        <v>4364800</v>
      </c>
      <c r="L2477" s="594" t="s">
        <v>259</v>
      </c>
      <c r="M2477" s="594" t="s">
        <v>174</v>
      </c>
      <c r="N2477" s="52" t="str">
        <f>IF(AND('331-CT'!$E$7=TH!H2477,OR(L2477="331",M2477="331")),"331",IF(AND(OR(L2477="131",M2477="131"),H2477='131-CT'!$E$7),"131",""))</f>
        <v/>
      </c>
      <c r="O2477" s="86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99"/>
    </row>
    <row r="2478" spans="1:27" s="210" customFormat="1" ht="15.75" customHeight="1">
      <c r="A2478" s="203" t="str">
        <f>IF(B2478&lt;&gt;"",IF(AND(B2478&gt;=_TM1,B2478&lt;=_TM2,OR(TH!L2478="1111",TH!M2478="1111")),TH!D2478,""),"")</f>
        <v/>
      </c>
      <c r="B2478" s="36">
        <f>IF(C2478&lt;&gt;"",MONTH(C2478),"")</f>
        <v>12</v>
      </c>
      <c r="C2478" s="183">
        <f>E2478</f>
        <v>42364</v>
      </c>
      <c r="D2478" s="183" t="s">
        <v>1641</v>
      </c>
      <c r="E2478" s="762">
        <v>42364</v>
      </c>
      <c r="F2478" s="191" t="s">
        <v>1289</v>
      </c>
      <c r="G2478" s="40" t="s">
        <v>1288</v>
      </c>
      <c r="H2478" s="7" t="s">
        <v>438</v>
      </c>
      <c r="I2478" s="255">
        <v>305</v>
      </c>
      <c r="J2478" s="255">
        <v>7000</v>
      </c>
      <c r="K2478" s="593">
        <f>ROUND(I2478*J2478,0)</f>
        <v>2135000</v>
      </c>
      <c r="L2478" s="594" t="s">
        <v>259</v>
      </c>
      <c r="M2478" s="594" t="s">
        <v>174</v>
      </c>
      <c r="N2478" s="52" t="str">
        <f>IF(AND('331-CT'!$E$7=TH!H2478,OR(L2478="331",M2478="331")),"331",IF(AND(OR(L2478="131",M2478="131"),H2478='131-CT'!$E$7),"131",""))</f>
        <v/>
      </c>
      <c r="O2478" s="86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99"/>
    </row>
    <row r="2479" spans="1:27" s="210" customFormat="1" ht="15.75" customHeight="1">
      <c r="A2479" s="203" t="str">
        <f>IF(B2479&lt;&gt;"",IF(AND(B2479&gt;=_TM1,B2479&lt;=_TM2,OR(TH!L2479="1111",TH!M2479="1111")),TH!D2479,""),"")</f>
        <v/>
      </c>
      <c r="B2479" s="36">
        <f>IF(C2479&lt;&gt;"",MONTH(C2479),"")</f>
        <v>12</v>
      </c>
      <c r="C2479" s="183">
        <f>E2479</f>
        <v>42364</v>
      </c>
      <c r="D2479" s="183" t="s">
        <v>1641</v>
      </c>
      <c r="E2479" s="762">
        <v>42364</v>
      </c>
      <c r="F2479" s="191" t="s">
        <v>402</v>
      </c>
      <c r="G2479" s="40" t="s">
        <v>1288</v>
      </c>
      <c r="H2479" s="7" t="s">
        <v>438</v>
      </c>
      <c r="I2479" s="255"/>
      <c r="J2479" s="255"/>
      <c r="K2479" s="593">
        <v>649980</v>
      </c>
      <c r="L2479" s="594" t="s">
        <v>259</v>
      </c>
      <c r="M2479" s="594" t="s">
        <v>371</v>
      </c>
      <c r="N2479" s="52" t="str">
        <f>IF(AND('331-CT'!$E$7=TH!H2479,OR(L2479="331",M2479="331")),"331",IF(AND(OR(L2479="131",M2479="131"),H2479='131-CT'!$E$7),"131",""))</f>
        <v/>
      </c>
      <c r="O2479" s="86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99"/>
    </row>
    <row r="2480" spans="1:27" s="210" customFormat="1" ht="15.75" customHeight="1">
      <c r="A2480" s="203" t="str">
        <f>IF(B2480&lt;&gt;"",IF(AND(B2480&gt;=_TM1,B2480&lt;=_TM2,OR(TH!L2480="1111",TH!M2480="1111")),TH!D2480,""),"")</f>
        <v/>
      </c>
      <c r="B2480" s="36">
        <f>IF(C2480&lt;&gt;"",MONTH(C2480),"")</f>
        <v>12</v>
      </c>
      <c r="C2480" s="183">
        <f>E2480</f>
        <v>42366</v>
      </c>
      <c r="D2480" s="183" t="s">
        <v>1642</v>
      </c>
      <c r="E2480" s="762">
        <v>42366</v>
      </c>
      <c r="F2480" s="188" t="s">
        <v>413</v>
      </c>
      <c r="G2480" s="40" t="s">
        <v>1290</v>
      </c>
      <c r="H2480" s="7" t="s">
        <v>412</v>
      </c>
      <c r="I2480" s="255">
        <v>298</v>
      </c>
      <c r="J2480" s="255">
        <v>10500</v>
      </c>
      <c r="K2480" s="593">
        <f>ROUND(I2480*J2480,0)</f>
        <v>3129000</v>
      </c>
      <c r="L2480" s="594" t="s">
        <v>259</v>
      </c>
      <c r="M2480" s="594" t="s">
        <v>174</v>
      </c>
      <c r="N2480" s="52" t="str">
        <f>IF(AND('331-CT'!$E$7=TH!H2480,OR(L2480="331",M2480="331")),"331",IF(AND(OR(L2480="131",M2480="131"),H2480='131-CT'!$E$7),"131",""))</f>
        <v/>
      </c>
      <c r="O2480" s="86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99"/>
    </row>
    <row r="2481" spans="1:28" s="210" customFormat="1" ht="15.75" customHeight="1">
      <c r="A2481" s="203" t="str">
        <f>IF(B2481&lt;&gt;"",IF(AND(B2481&gt;=_TM1,B2481&lt;=_TM2,OR(TH!L2481="1111",TH!M2481="1111")),TH!D2481,""),"")</f>
        <v/>
      </c>
      <c r="B2481" s="36">
        <f>IF(C2481&lt;&gt;"",MONTH(C2481),"")</f>
        <v>12</v>
      </c>
      <c r="C2481" s="183">
        <f>E2481</f>
        <v>42366</v>
      </c>
      <c r="D2481" s="183" t="s">
        <v>1642</v>
      </c>
      <c r="E2481" s="762">
        <v>42366</v>
      </c>
      <c r="F2481" s="188" t="s">
        <v>413</v>
      </c>
      <c r="G2481" s="40" t="s">
        <v>1290</v>
      </c>
      <c r="H2481" s="7" t="s">
        <v>412</v>
      </c>
      <c r="I2481" s="255">
        <v>202</v>
      </c>
      <c r="J2481" s="255">
        <v>10500</v>
      </c>
      <c r="K2481" s="593">
        <f>ROUND(I2481*J2481,0)</f>
        <v>2121000</v>
      </c>
      <c r="L2481" s="594" t="s">
        <v>259</v>
      </c>
      <c r="M2481" s="594" t="s">
        <v>174</v>
      </c>
      <c r="N2481" s="52" t="str">
        <f>IF(AND('331-CT'!$E$7=TH!H2481,OR(L2481="331",M2481="331")),"331",IF(AND(OR(L2481="131",M2481="131"),H2481='131-CT'!$E$7),"131",""))</f>
        <v/>
      </c>
      <c r="O2481" s="86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99"/>
    </row>
    <row r="2482" spans="1:28" s="210" customFormat="1" ht="15.75" customHeight="1">
      <c r="A2482" s="203" t="str">
        <f>IF(B2482&lt;&gt;"",IF(AND(B2482&gt;=_TM1,B2482&lt;=_TM2,OR(TH!L2482="1111",TH!M2482="1111")),TH!D2482,""),"")</f>
        <v/>
      </c>
      <c r="B2482" s="36">
        <f>IF(C2482&lt;&gt;"",MONTH(C2482),"")</f>
        <v>12</v>
      </c>
      <c r="C2482" s="183">
        <f>E2482</f>
        <v>42366</v>
      </c>
      <c r="D2482" s="183" t="s">
        <v>1642</v>
      </c>
      <c r="E2482" s="762">
        <v>42366</v>
      </c>
      <c r="F2482" s="188" t="s">
        <v>413</v>
      </c>
      <c r="G2482" s="40" t="s">
        <v>1290</v>
      </c>
      <c r="H2482" s="7" t="s">
        <v>412</v>
      </c>
      <c r="I2482" s="255">
        <v>509</v>
      </c>
      <c r="J2482" s="255">
        <v>10500</v>
      </c>
      <c r="K2482" s="593">
        <f>ROUND(I2482*J2482,0)</f>
        <v>5344500</v>
      </c>
      <c r="L2482" s="594" t="s">
        <v>259</v>
      </c>
      <c r="M2482" s="594" t="s">
        <v>174</v>
      </c>
      <c r="N2482" s="52" t="str">
        <f>IF(AND('331-CT'!$E$7=TH!H2482,OR(L2482="331",M2482="331")),"331",IF(AND(OR(L2482="131",M2482="131"),H2482='131-CT'!$E$7),"131",""))</f>
        <v/>
      </c>
      <c r="O2482" s="86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99"/>
    </row>
    <row r="2483" spans="1:28" s="210" customFormat="1" ht="15.75" customHeight="1">
      <c r="A2483" s="203" t="str">
        <f>IF(B2483&lt;&gt;"",IF(AND(B2483&gt;=_TM1,B2483&lt;=_TM2,OR(TH!L2483="1111",TH!M2483="1111")),TH!D2483,""),"")</f>
        <v/>
      </c>
      <c r="B2483" s="36">
        <f>IF(C2483&lt;&gt;"",MONTH(C2483),"")</f>
        <v>12</v>
      </c>
      <c r="C2483" s="183">
        <f>E2483</f>
        <v>42366</v>
      </c>
      <c r="D2483" s="183" t="s">
        <v>1642</v>
      </c>
      <c r="E2483" s="762">
        <v>42366</v>
      </c>
      <c r="F2483" s="188" t="s">
        <v>413</v>
      </c>
      <c r="G2483" s="40" t="s">
        <v>1290</v>
      </c>
      <c r="H2483" s="7" t="s">
        <v>412</v>
      </c>
      <c r="I2483" s="255">
        <v>401</v>
      </c>
      <c r="J2483" s="255">
        <v>10000</v>
      </c>
      <c r="K2483" s="593">
        <f>ROUND(I2483*J2483,0)</f>
        <v>4010000</v>
      </c>
      <c r="L2483" s="594" t="s">
        <v>259</v>
      </c>
      <c r="M2483" s="594" t="s">
        <v>174</v>
      </c>
      <c r="N2483" s="52" t="str">
        <f>IF(AND('331-CT'!$E$7=TH!H2483,OR(L2483="331",M2483="331")),"331",IF(AND(OR(L2483="131",M2483="131"),H2483='131-CT'!$E$7),"131",""))</f>
        <v/>
      </c>
      <c r="O2483" s="86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99"/>
    </row>
    <row r="2484" spans="1:28" s="210" customFormat="1" ht="15.75" customHeight="1">
      <c r="A2484" s="203" t="str">
        <f>IF(B2484&lt;&gt;"",IF(AND(B2484&gt;=_TM1,B2484&lt;=_TM2,OR(TH!L2484="1111",TH!M2484="1111")),TH!D2484,""),"")</f>
        <v/>
      </c>
      <c r="B2484" s="36">
        <f>IF(C2484&lt;&gt;"",MONTH(C2484),"")</f>
        <v>12</v>
      </c>
      <c r="C2484" s="183">
        <f>E2484</f>
        <v>42366</v>
      </c>
      <c r="D2484" s="183" t="s">
        <v>1642</v>
      </c>
      <c r="E2484" s="762">
        <v>42366</v>
      </c>
      <c r="F2484" s="40" t="s">
        <v>402</v>
      </c>
      <c r="G2484" s="40" t="s">
        <v>1290</v>
      </c>
      <c r="H2484" s="7" t="s">
        <v>412</v>
      </c>
      <c r="I2484" s="255"/>
      <c r="J2484" s="255"/>
      <c r="K2484" s="593">
        <v>1460450</v>
      </c>
      <c r="L2484" s="594" t="s">
        <v>259</v>
      </c>
      <c r="M2484" s="594" t="s">
        <v>371</v>
      </c>
      <c r="N2484" s="52" t="str">
        <f>IF(AND('331-CT'!$E$7=TH!H2484,OR(L2484="331",M2484="331")),"331",IF(AND(OR(L2484="131",M2484="131"),H2484='131-CT'!$E$7),"131",""))</f>
        <v/>
      </c>
      <c r="O2484" s="86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99"/>
    </row>
    <row r="2485" spans="1:28" s="210" customFormat="1" ht="15.75" customHeight="1">
      <c r="A2485" s="203" t="str">
        <f>IF(B2485&lt;&gt;"",IF(AND(B2485&gt;=_TM1,B2485&lt;=_TM2,OR(TH!L2485="1111",TH!M2485="1111")),TH!D2485,""),"")</f>
        <v/>
      </c>
      <c r="B2485" s="36">
        <f>IF(C2485&lt;&gt;"",MONTH(C2485),"")</f>
        <v>12</v>
      </c>
      <c r="C2485" s="183">
        <f>E2485</f>
        <v>42366</v>
      </c>
      <c r="D2485" s="183" t="s">
        <v>1643</v>
      </c>
      <c r="E2485" s="762">
        <v>42366</v>
      </c>
      <c r="F2485" s="40" t="s">
        <v>2010</v>
      </c>
      <c r="G2485" s="40" t="s">
        <v>1291</v>
      </c>
      <c r="H2485" s="7" t="s">
        <v>957</v>
      </c>
      <c r="I2485" s="255">
        <v>2200</v>
      </c>
      <c r="J2485" s="255">
        <v>11300</v>
      </c>
      <c r="K2485" s="593">
        <f>ROUND(I2485*J2485,0)</f>
        <v>24860000</v>
      </c>
      <c r="L2485" s="594" t="s">
        <v>259</v>
      </c>
      <c r="M2485" s="594" t="s">
        <v>174</v>
      </c>
      <c r="N2485" s="52" t="str">
        <f>IF(AND('331-CT'!$E$7=TH!H2485,OR(L2485="331",M2485="331")),"331",IF(AND(OR(L2485="131",M2485="131"),H2485='131-CT'!$E$7),"131",""))</f>
        <v/>
      </c>
      <c r="O2485" s="86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99"/>
    </row>
    <row r="2486" spans="1:28" s="210" customFormat="1" ht="15.75" customHeight="1">
      <c r="A2486" s="203" t="str">
        <f>IF(B2486&lt;&gt;"",IF(AND(B2486&gt;=_TM1,B2486&lt;=_TM2,OR(TH!L2486="1111",TH!M2486="1111")),TH!D2486,""),"")</f>
        <v/>
      </c>
      <c r="B2486" s="36">
        <f>IF(C2486&lt;&gt;"",MONTH(C2486),"")</f>
        <v>12</v>
      </c>
      <c r="C2486" s="183">
        <f>E2486</f>
        <v>42366</v>
      </c>
      <c r="D2486" s="183" t="s">
        <v>1643</v>
      </c>
      <c r="E2486" s="762">
        <v>42366</v>
      </c>
      <c r="F2486" s="191" t="s">
        <v>402</v>
      </c>
      <c r="G2486" s="40" t="s">
        <v>1291</v>
      </c>
      <c r="H2486" s="7" t="s">
        <v>957</v>
      </c>
      <c r="I2486" s="255"/>
      <c r="J2486" s="255"/>
      <c r="K2486" s="593">
        <v>2486000</v>
      </c>
      <c r="L2486" s="594" t="s">
        <v>259</v>
      </c>
      <c r="M2486" s="594" t="s">
        <v>371</v>
      </c>
      <c r="N2486" s="52" t="str">
        <f>IF(AND('331-CT'!$E$7=TH!H2486,OR(L2486="331",M2486="331")),"331",IF(AND(OR(L2486="131",M2486="131"),H2486='131-CT'!$E$7),"131",""))</f>
        <v/>
      </c>
      <c r="O2486" s="86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99"/>
    </row>
    <row r="2487" spans="1:28" s="210" customFormat="1" ht="15.75" customHeight="1">
      <c r="A2487" s="203" t="str">
        <f>IF(B2487&lt;&gt;"",IF(AND(B2487&gt;=_TM1,B2487&lt;=_TM2,OR(TH!L2487="1111",TH!M2487="1111")),TH!D2487,""),"")</f>
        <v/>
      </c>
      <c r="B2487" s="36">
        <f>IF(C2487&lt;&gt;"",MONTH(C2487),"")</f>
        <v>12</v>
      </c>
      <c r="C2487" s="183">
        <f>E2487</f>
        <v>42366</v>
      </c>
      <c r="D2487" s="183" t="s">
        <v>1319</v>
      </c>
      <c r="E2487" s="763">
        <v>42366</v>
      </c>
      <c r="F2487" s="188" t="s">
        <v>1320</v>
      </c>
      <c r="G2487" s="482" t="s">
        <v>332</v>
      </c>
      <c r="H2487" s="7" t="s">
        <v>957</v>
      </c>
      <c r="I2487" s="255"/>
      <c r="J2487" s="255"/>
      <c r="K2487" s="593">
        <v>51076300</v>
      </c>
      <c r="L2487" s="594" t="s">
        <v>24</v>
      </c>
      <c r="M2487" s="594" t="s">
        <v>259</v>
      </c>
      <c r="N2487" s="52" t="str">
        <f>IF(AND('331-CT'!$E$7=TH!H2487,OR(L2487="331",M2487="331")),"331",IF(AND(OR(L2487="131",M2487="131"),H2487='131-CT'!$E$7),"131",""))</f>
        <v/>
      </c>
      <c r="O2487" s="86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>x</v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99"/>
    </row>
    <row r="2488" spans="1:28" s="210" customFormat="1" ht="15.75" customHeight="1">
      <c r="A2488" s="203" t="str">
        <f>IF(B2488&lt;&gt;"",IF(AND(B2488&gt;=_TM1,B2488&lt;=_TM2,OR(TH!L2488="1111",TH!M2488="1111")),TH!D2488,""),"")</f>
        <v/>
      </c>
      <c r="B2488" s="36">
        <f>IF(C2488&lt;&gt;"",MONTH(C2488),"")</f>
        <v>12</v>
      </c>
      <c r="C2488" s="183">
        <f>E2488</f>
        <v>42366</v>
      </c>
      <c r="D2488" s="183" t="s">
        <v>1324</v>
      </c>
      <c r="E2488" s="763">
        <v>42366</v>
      </c>
      <c r="F2488" s="296" t="s">
        <v>1326</v>
      </c>
      <c r="G2488" s="482" t="s">
        <v>332</v>
      </c>
      <c r="H2488" s="7" t="s">
        <v>1491</v>
      </c>
      <c r="I2488" s="255"/>
      <c r="J2488" s="255"/>
      <c r="K2488" s="593">
        <v>13000000</v>
      </c>
      <c r="L2488" s="594" t="s">
        <v>8</v>
      </c>
      <c r="M2488" s="594" t="s">
        <v>24</v>
      </c>
      <c r="N2488" s="52" t="str">
        <f>IF(AND('331-CT'!$E$7=TH!H2488,OR(L2488="331",M2488="331")),"331",IF(AND(OR(L2488="131",M2488="131"),H2488='131-CT'!$E$7),"131",""))</f>
        <v/>
      </c>
      <c r="O2488" s="86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>x</v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99"/>
    </row>
    <row r="2489" spans="1:28" s="210" customFormat="1" ht="15.75" customHeight="1">
      <c r="A2489" s="203" t="str">
        <f>IF(B2489&lt;&gt;"",IF(AND(B2489&gt;=_TM1,B2489&lt;=_TM2,OR(TH!L2489="1111",TH!M2489="1111")),TH!D2489,""),"")</f>
        <v>GBN</v>
      </c>
      <c r="B2489" s="36">
        <f>IF(C2489&lt;&gt;"",MONTH(C2489),"")</f>
        <v>12</v>
      </c>
      <c r="C2489" s="183">
        <f>E2489</f>
        <v>42366</v>
      </c>
      <c r="D2489" s="183" t="s">
        <v>1324</v>
      </c>
      <c r="E2489" s="763">
        <v>42366</v>
      </c>
      <c r="F2489" s="188" t="s">
        <v>1325</v>
      </c>
      <c r="G2489" s="482" t="s">
        <v>332</v>
      </c>
      <c r="H2489" s="7" t="s">
        <v>1337</v>
      </c>
      <c r="I2489" s="255"/>
      <c r="J2489" s="255"/>
      <c r="K2489" s="593">
        <v>38000000</v>
      </c>
      <c r="L2489" s="594" t="s">
        <v>47</v>
      </c>
      <c r="M2489" s="594" t="s">
        <v>24</v>
      </c>
      <c r="N2489" s="52" t="str">
        <f>IF(AND('331-CT'!$E$7=TH!H2489,OR(L2489="331",M2489="331")),"331",IF(AND(OR(L2489="131",M2489="131"),H2489='131-CT'!$E$7),"131",""))</f>
        <v/>
      </c>
      <c r="O2489" s="86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>x</v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99"/>
    </row>
    <row r="2490" spans="1:28" s="210" customFormat="1" ht="15.75" customHeight="1">
      <c r="A2490" s="203" t="str">
        <f>IF(B2490&lt;&gt;"",IF(AND(B2490&gt;=_TM1,B2490&lt;=_TM2,OR(TH!L2490="1111",TH!M2490="1111")),TH!D2490,""),"")</f>
        <v/>
      </c>
      <c r="B2490" s="36">
        <f>IF(C2490&lt;&gt;"",MONTH(C2490),"")</f>
        <v>12</v>
      </c>
      <c r="C2490" s="183">
        <f>E2490</f>
        <v>42366</v>
      </c>
      <c r="D2490" s="183" t="s">
        <v>1324</v>
      </c>
      <c r="E2490" s="763">
        <v>42366</v>
      </c>
      <c r="F2490" s="188" t="s">
        <v>1327</v>
      </c>
      <c r="G2490" s="482" t="s">
        <v>332</v>
      </c>
      <c r="H2490" s="7"/>
      <c r="I2490" s="255"/>
      <c r="J2490" s="255"/>
      <c r="K2490" s="593">
        <v>15000</v>
      </c>
      <c r="L2490" s="594" t="s">
        <v>83</v>
      </c>
      <c r="M2490" s="594" t="s">
        <v>24</v>
      </c>
      <c r="N2490" s="52" t="str">
        <f>IF(AND('331-CT'!$E$7=TH!H2490,OR(L2490="331",M2490="331")),"331",IF(AND(OR(L2490="131",M2490="131"),H2490='131-CT'!$E$7),"131",""))</f>
        <v/>
      </c>
      <c r="O2490" s="86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>x</v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>x</v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99"/>
    </row>
    <row r="2491" spans="1:28" s="210" customFormat="1" ht="15.75" customHeight="1">
      <c r="A2491" s="203" t="str">
        <f>IF(B2491&lt;&gt;"",IF(AND(B2491&gt;=_TM1,B2491&lt;=_TM2,OR(TH!L2491="1111",TH!M2491="1111")),TH!D2491,""),"")</f>
        <v/>
      </c>
      <c r="B2491" s="36">
        <f>IF(C2491&lt;&gt;"",MONTH(C2491),"")</f>
        <v>12</v>
      </c>
      <c r="C2491" s="183">
        <f>E2491</f>
        <v>42367</v>
      </c>
      <c r="D2491" s="183" t="s">
        <v>1644</v>
      </c>
      <c r="E2491" s="762">
        <v>42367</v>
      </c>
      <c r="F2491" s="188" t="s">
        <v>413</v>
      </c>
      <c r="G2491" s="40" t="s">
        <v>1292</v>
      </c>
      <c r="H2491" s="7" t="s">
        <v>412</v>
      </c>
      <c r="I2491" s="255">
        <v>310</v>
      </c>
      <c r="J2491" s="255">
        <v>10500</v>
      </c>
      <c r="K2491" s="593">
        <f>ROUND(I2491*J2491,0)</f>
        <v>3255000</v>
      </c>
      <c r="L2491" s="594" t="s">
        <v>259</v>
      </c>
      <c r="M2491" s="594" t="s">
        <v>174</v>
      </c>
      <c r="N2491" s="52" t="str">
        <f>IF(AND('331-CT'!$E$7=TH!H2491,OR(L2491="331",M2491="331")),"331",IF(AND(OR(L2491="131",M2491="131"),H2491='131-CT'!$E$7),"131",""))</f>
        <v/>
      </c>
      <c r="O2491" s="86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99"/>
    </row>
    <row r="2492" spans="1:28" s="210" customFormat="1" ht="15.75" customHeight="1">
      <c r="A2492" s="203" t="str">
        <f>IF(B2492&lt;&gt;"",IF(AND(B2492&gt;=_TM1,B2492&lt;=_TM2,OR(TH!L2492="1111",TH!M2492="1111")),TH!D2492,""),"")</f>
        <v/>
      </c>
      <c r="B2492" s="36">
        <f>IF(C2492&lt;&gt;"",MONTH(C2492),"")</f>
        <v>12</v>
      </c>
      <c r="C2492" s="183">
        <f>E2492</f>
        <v>42367</v>
      </c>
      <c r="D2492" s="183" t="s">
        <v>1644</v>
      </c>
      <c r="E2492" s="762">
        <v>42367</v>
      </c>
      <c r="F2492" s="40" t="s">
        <v>999</v>
      </c>
      <c r="G2492" s="40" t="s">
        <v>1292</v>
      </c>
      <c r="H2492" s="7" t="s">
        <v>412</v>
      </c>
      <c r="I2492" s="255">
        <v>408</v>
      </c>
      <c r="J2492" s="255">
        <v>6400</v>
      </c>
      <c r="K2492" s="593">
        <f>ROUND(I2492*J2492,0)</f>
        <v>2611200</v>
      </c>
      <c r="L2492" s="594" t="s">
        <v>259</v>
      </c>
      <c r="M2492" s="594" t="s">
        <v>174</v>
      </c>
      <c r="N2492" s="52" t="str">
        <f>IF(AND('331-CT'!$E$7=TH!H2492,OR(L2492="331",M2492="331")),"331",IF(AND(OR(L2492="131",M2492="131"),H2492='131-CT'!$E$7),"131",""))</f>
        <v/>
      </c>
      <c r="O2492" s="86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99"/>
    </row>
    <row r="2493" spans="1:28" s="836" customFormat="1" ht="15.75" customHeight="1">
      <c r="A2493" s="203" t="str">
        <f>IF(B2493&lt;&gt;"",IF(AND(B2493&gt;=_TM1,B2493&lt;=_TM2,OR(TH!L2493="1111",TH!M2493="1111")),TH!D2493,""),"")</f>
        <v/>
      </c>
      <c r="B2493" s="36">
        <f>IF(C2493&lt;&gt;"",MONTH(C2493),"")</f>
        <v>12</v>
      </c>
      <c r="C2493" s="183">
        <f>E2493</f>
        <v>42367</v>
      </c>
      <c r="D2493" s="183" t="s">
        <v>1644</v>
      </c>
      <c r="E2493" s="762">
        <v>42367</v>
      </c>
      <c r="F2493" s="40" t="s">
        <v>402</v>
      </c>
      <c r="G2493" s="40" t="s">
        <v>1292</v>
      </c>
      <c r="H2493" s="7" t="s">
        <v>412</v>
      </c>
      <c r="I2493" s="255"/>
      <c r="J2493" s="255"/>
      <c r="K2493" s="593">
        <v>586620</v>
      </c>
      <c r="L2493" s="594" t="s">
        <v>259</v>
      </c>
      <c r="M2493" s="594" t="s">
        <v>371</v>
      </c>
      <c r="N2493" s="52" t="str">
        <f>IF(AND('331-CT'!$E$7=TH!H2493,OR(L2493="331",M2493="331")),"331",IF(AND(OR(L2493="131",M2493="131"),H2493='131-CT'!$E$7),"131",""))</f>
        <v/>
      </c>
      <c r="O2493" s="86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99"/>
      <c r="AB2493" s="210"/>
    </row>
    <row r="2494" spans="1:28" s="210" customFormat="1" ht="15.75" customHeight="1">
      <c r="A2494" s="203" t="str">
        <f>IF(B2494&lt;&gt;"",IF(AND(B2494&gt;=_TM1,B2494&lt;=_TM2,OR(TH!L2494="1111",TH!M2494="1111")),TH!D2494,""),"")</f>
        <v/>
      </c>
      <c r="B2494" s="36">
        <f>IF(C2494&lt;&gt;"",MONTH(C2494),"")</f>
        <v>12</v>
      </c>
      <c r="C2494" s="183">
        <f>E2494</f>
        <v>42367</v>
      </c>
      <c r="D2494" s="183" t="s">
        <v>1645</v>
      </c>
      <c r="E2494" s="762">
        <v>42367</v>
      </c>
      <c r="F2494" s="191" t="s">
        <v>1088</v>
      </c>
      <c r="G2494" s="40" t="s">
        <v>1293</v>
      </c>
      <c r="H2494" s="7" t="s">
        <v>1090</v>
      </c>
      <c r="I2494" s="255">
        <v>250</v>
      </c>
      <c r="J2494" s="255">
        <v>8300</v>
      </c>
      <c r="K2494" s="593">
        <f>ROUND(I2494*J2494,0)</f>
        <v>2075000</v>
      </c>
      <c r="L2494" s="594" t="s">
        <v>259</v>
      </c>
      <c r="M2494" s="594" t="s">
        <v>174</v>
      </c>
      <c r="N2494" s="52" t="str">
        <f>IF(AND('331-CT'!$E$7=TH!H2494,OR(L2494="331",M2494="331")),"331",IF(AND(OR(L2494="131",M2494="131"),H2494='131-CT'!$E$7),"131",""))</f>
        <v/>
      </c>
      <c r="O2494" s="86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99"/>
    </row>
    <row r="2495" spans="1:28" s="210" customFormat="1" ht="15.75" customHeight="1">
      <c r="A2495" s="203" t="str">
        <f>IF(B2495&lt;&gt;"",IF(AND(B2495&gt;=_TM1,B2495&lt;=_TM2,OR(TH!L2495="1111",TH!M2495="1111")),TH!D2495,""),"")</f>
        <v/>
      </c>
      <c r="B2495" s="36">
        <f>IF(C2495&lt;&gt;"",MONTH(C2495),"")</f>
        <v>12</v>
      </c>
      <c r="C2495" s="183">
        <f>E2495</f>
        <v>42367</v>
      </c>
      <c r="D2495" s="183" t="s">
        <v>1645</v>
      </c>
      <c r="E2495" s="762">
        <v>42367</v>
      </c>
      <c r="F2495" s="188" t="s">
        <v>402</v>
      </c>
      <c r="G2495" s="40" t="s">
        <v>1293</v>
      </c>
      <c r="H2495" s="7" t="s">
        <v>1090</v>
      </c>
      <c r="I2495" s="255"/>
      <c r="J2495" s="255"/>
      <c r="K2495" s="593">
        <v>207500</v>
      </c>
      <c r="L2495" s="594" t="s">
        <v>259</v>
      </c>
      <c r="M2495" s="594" t="s">
        <v>371</v>
      </c>
      <c r="N2495" s="52" t="str">
        <f>IF(AND('331-CT'!$E$7=TH!H2495,OR(L2495="331",M2495="331")),"331",IF(AND(OR(L2495="131",M2495="131"),H2495='131-CT'!$E$7),"131",""))</f>
        <v/>
      </c>
      <c r="O2495" s="869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99"/>
    </row>
    <row r="2496" spans="1:28" s="210" customFormat="1" ht="15.75" customHeight="1">
      <c r="A2496" s="203" t="str">
        <f>IF(B2496&lt;&gt;"",IF(AND(B2496&gt;=_TM1,B2496&lt;=_TM2,OR(TH!L2496="1111",TH!M2496="1111")),TH!D2496,""),"")</f>
        <v/>
      </c>
      <c r="B2496" s="36">
        <f>IF(C2496&lt;&gt;"",MONTH(C2496),"")</f>
        <v>12</v>
      </c>
      <c r="C2496" s="183">
        <f>E2496</f>
        <v>42367</v>
      </c>
      <c r="D2496" s="183" t="s">
        <v>1646</v>
      </c>
      <c r="E2496" s="762">
        <v>42367</v>
      </c>
      <c r="F2496" s="40" t="s">
        <v>1294</v>
      </c>
      <c r="G2496" s="40" t="s">
        <v>1295</v>
      </c>
      <c r="H2496" s="7" t="s">
        <v>645</v>
      </c>
      <c r="I2496" s="255">
        <v>1000</v>
      </c>
      <c r="J2496" s="255">
        <v>4150</v>
      </c>
      <c r="K2496" s="593">
        <f>ROUND(I2496*J2496,0)</f>
        <v>4150000</v>
      </c>
      <c r="L2496" s="594" t="s">
        <v>259</v>
      </c>
      <c r="M2496" s="594" t="s">
        <v>174</v>
      </c>
      <c r="N2496" s="52" t="str">
        <f>IF(AND('331-CT'!$E$7=TH!H2496,OR(L2496="331",M2496="331")),"331",IF(AND(OR(L2496="131",M2496="131"),H2496='131-CT'!$E$7),"131",""))</f>
        <v/>
      </c>
      <c r="O2496" s="869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99"/>
    </row>
    <row r="2497" spans="1:27" s="210" customFormat="1" ht="15.75" customHeight="1">
      <c r="A2497" s="203" t="str">
        <f>IF(B2497&lt;&gt;"",IF(AND(B2497&gt;=_TM1,B2497&lt;=_TM2,OR(TH!L2497="1111",TH!M2497="1111")),TH!D2497,""),"")</f>
        <v/>
      </c>
      <c r="B2497" s="36">
        <f>IF(C2497&lt;&gt;"",MONTH(C2497),"")</f>
        <v>12</v>
      </c>
      <c r="C2497" s="183">
        <f>E2497</f>
        <v>42367</v>
      </c>
      <c r="D2497" s="183" t="s">
        <v>1646</v>
      </c>
      <c r="E2497" s="762">
        <v>42367</v>
      </c>
      <c r="F2497" s="40" t="s">
        <v>402</v>
      </c>
      <c r="G2497" s="40" t="s">
        <v>1295</v>
      </c>
      <c r="H2497" s="7" t="s">
        <v>645</v>
      </c>
      <c r="I2497" s="255"/>
      <c r="J2497" s="255"/>
      <c r="K2497" s="593">
        <v>415000</v>
      </c>
      <c r="L2497" s="594" t="s">
        <v>259</v>
      </c>
      <c r="M2497" s="594" t="s">
        <v>371</v>
      </c>
      <c r="N2497" s="52" t="str">
        <f>IF(AND('331-CT'!$E$7=TH!H2497,OR(L2497="331",M2497="331")),"331",IF(AND(OR(L2497="131",M2497="131"),H2497='131-CT'!$E$7),"131",""))</f>
        <v/>
      </c>
      <c r="O2497" s="86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99"/>
    </row>
    <row r="2498" spans="1:27" s="210" customFormat="1" ht="15.75" customHeight="1">
      <c r="A2498" s="203" t="str">
        <f>IF(B2498&lt;&gt;"",IF(AND(B2498&gt;=_TM1,B2498&lt;=_TM2,OR(TH!L2498="1111",TH!M2498="1111")),TH!D2498,""),"")</f>
        <v/>
      </c>
      <c r="B2498" s="36">
        <f>IF(C2498&lt;&gt;"",MONTH(C2498),"")</f>
        <v>12</v>
      </c>
      <c r="C2498" s="183">
        <f>E2498</f>
        <v>42367</v>
      </c>
      <c r="D2498" s="183" t="s">
        <v>1319</v>
      </c>
      <c r="E2498" s="763">
        <v>42367</v>
      </c>
      <c r="F2498" s="188" t="s">
        <v>1320</v>
      </c>
      <c r="G2498" s="482" t="s">
        <v>332</v>
      </c>
      <c r="H2498" s="192" t="s">
        <v>1090</v>
      </c>
      <c r="I2498" s="255"/>
      <c r="J2498" s="255"/>
      <c r="K2498" s="593">
        <v>2282500</v>
      </c>
      <c r="L2498" s="594" t="s">
        <v>24</v>
      </c>
      <c r="M2498" s="594" t="s">
        <v>259</v>
      </c>
      <c r="N2498" s="52" t="str">
        <f>IF(AND('331-CT'!$E$7=TH!H2498,OR(L2498="331",M2498="331")),"331",IF(AND(OR(L2498="131",M2498="131"),H2498='131-CT'!$E$7),"131",""))</f>
        <v/>
      </c>
      <c r="O2498" s="86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>x</v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99"/>
    </row>
    <row r="2499" spans="1:27" s="210" customFormat="1" ht="15.75" customHeight="1">
      <c r="A2499" s="203" t="str">
        <f>IF(B2499&lt;&gt;"",IF(AND(B2499&gt;=_TM1,B2499&lt;=_TM2,OR(TH!L2499="1111",TH!M2499="1111")),TH!D2499,""),"")</f>
        <v/>
      </c>
      <c r="B2499" s="36">
        <f>IF(C2499&lt;&gt;"",MONTH(C2499),"")</f>
        <v>12</v>
      </c>
      <c r="C2499" s="183">
        <f>E2499</f>
        <v>42367</v>
      </c>
      <c r="D2499" s="190" t="s">
        <v>2020</v>
      </c>
      <c r="E2499" s="725">
        <v>42367</v>
      </c>
      <c r="F2499" s="188" t="s">
        <v>337</v>
      </c>
      <c r="G2499" s="482" t="s">
        <v>974</v>
      </c>
      <c r="H2499" s="7" t="s">
        <v>357</v>
      </c>
      <c r="I2499" s="255">
        <v>48</v>
      </c>
      <c r="J2499" s="255">
        <v>42000</v>
      </c>
      <c r="K2499" s="593">
        <f>ROUND(I2499*J2499,0)</f>
        <v>2016000</v>
      </c>
      <c r="L2499" s="193" t="s">
        <v>161</v>
      </c>
      <c r="M2499" s="193" t="s">
        <v>8</v>
      </c>
      <c r="N2499" s="52" t="str">
        <f>IF(AND('331-CT'!$E$7=TH!H2499,OR(L2499="331",M2499="331")),"331",IF(AND(OR(L2499="131",M2499="131"),H2499='131-CT'!$E$7),"131",""))</f>
        <v/>
      </c>
      <c r="O2499" s="86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99"/>
    </row>
    <row r="2500" spans="1:27" s="210" customFormat="1" ht="15.75" customHeight="1">
      <c r="A2500" s="203" t="str">
        <f>IF(B2500&lt;&gt;"",IF(AND(B2500&gt;=_TM1,B2500&lt;=_TM2,OR(TH!L2500="1111",TH!M2500="1111")),TH!D2500,""),"")</f>
        <v/>
      </c>
      <c r="B2500" s="36">
        <f>IF(C2500&lt;&gt;"",MONTH(C2500),"")</f>
        <v>12</v>
      </c>
      <c r="C2500" s="183">
        <f>E2500</f>
        <v>42367</v>
      </c>
      <c r="D2500" s="190" t="s">
        <v>2020</v>
      </c>
      <c r="E2500" s="725">
        <v>42367</v>
      </c>
      <c r="F2500" s="188" t="s">
        <v>1366</v>
      </c>
      <c r="G2500" s="482" t="s">
        <v>974</v>
      </c>
      <c r="H2500" s="7" t="s">
        <v>357</v>
      </c>
      <c r="I2500" s="255"/>
      <c r="J2500" s="255"/>
      <c r="K2500" s="593">
        <v>201600</v>
      </c>
      <c r="L2500" s="193" t="s">
        <v>9</v>
      </c>
      <c r="M2500" s="193" t="s">
        <v>8</v>
      </c>
      <c r="N2500" s="52" t="str">
        <f>IF(AND('331-CT'!$E$7=TH!H2500,OR(L2500="331",M2500="331")),"331",IF(AND(OR(L2500="131",M2500="131"),H2500='131-CT'!$E$7),"131",""))</f>
        <v/>
      </c>
      <c r="O2500" s="86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99"/>
    </row>
    <row r="2501" spans="1:27" s="210" customFormat="1" ht="15.75" customHeight="1">
      <c r="A2501" s="203" t="str">
        <f>IF(B2501&lt;&gt;"",IF(AND(B2501&gt;=_TM1,B2501&lt;=_TM2,OR(TH!L2501="1111",TH!M2501="1111")),TH!D2501,""),"")</f>
        <v>NL/N</v>
      </c>
      <c r="B2501" s="36">
        <f>IF(C2501&lt;&gt;"",MONTH(C2501),"")</f>
        <v>12</v>
      </c>
      <c r="C2501" s="183">
        <f>E2501</f>
        <v>42367</v>
      </c>
      <c r="D2501" s="190" t="s">
        <v>2020</v>
      </c>
      <c r="E2501" s="725">
        <v>42367</v>
      </c>
      <c r="F2501" s="296" t="s">
        <v>1326</v>
      </c>
      <c r="G2501" s="482" t="s">
        <v>974</v>
      </c>
      <c r="H2501" s="7" t="s">
        <v>357</v>
      </c>
      <c r="I2501" s="255"/>
      <c r="J2501" s="255"/>
      <c r="K2501" s="593">
        <v>2217600</v>
      </c>
      <c r="L2501" s="193" t="s">
        <v>8</v>
      </c>
      <c r="M2501" s="193" t="s">
        <v>47</v>
      </c>
      <c r="N2501" s="52" t="str">
        <f>IF(AND('331-CT'!$E$7=TH!H2501,OR(L2501="331",M2501="331")),"331",IF(AND(OR(L2501="131",M2501="131"),H2501='131-CT'!$E$7),"131",""))</f>
        <v/>
      </c>
      <c r="O2501" s="86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99"/>
    </row>
    <row r="2502" spans="1:27" s="210" customFormat="1" ht="15.75" customHeight="1">
      <c r="A2502" s="203" t="str">
        <f>IF(B2502&lt;&gt;"",IF(AND(B2502&gt;=_TM1,B2502&lt;=_TM2,OR(TH!L2502="1111",TH!M2502="1111")),TH!D2502,""),"")</f>
        <v/>
      </c>
      <c r="B2502" s="36">
        <f>IF(C2502&lt;&gt;"",MONTH(C2502),"")</f>
        <v>12</v>
      </c>
      <c r="C2502" s="183">
        <f>E2502</f>
        <v>42368</v>
      </c>
      <c r="D2502" s="183" t="s">
        <v>1647</v>
      </c>
      <c r="E2502" s="763">
        <v>42368</v>
      </c>
      <c r="F2502" s="191" t="s">
        <v>1296</v>
      </c>
      <c r="G2502" s="482" t="s">
        <v>1297</v>
      </c>
      <c r="H2502" s="7" t="s">
        <v>733</v>
      </c>
      <c r="I2502" s="255">
        <v>114</v>
      </c>
      <c r="J2502" s="255">
        <v>79850</v>
      </c>
      <c r="K2502" s="593">
        <f>ROUND(I2502*J2502,0)</f>
        <v>9102900</v>
      </c>
      <c r="L2502" s="594" t="s">
        <v>259</v>
      </c>
      <c r="M2502" s="594" t="s">
        <v>174</v>
      </c>
      <c r="N2502" s="52" t="str">
        <f>IF(AND('331-CT'!$E$7=TH!H2502,OR(L2502="331",M2502="331")),"331",IF(AND(OR(L2502="131",M2502="131"),H2502='131-CT'!$E$7),"131",""))</f>
        <v/>
      </c>
      <c r="O2502" s="86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99"/>
    </row>
    <row r="2503" spans="1:27" s="210" customFormat="1" ht="15.75" customHeight="1">
      <c r="A2503" s="203" t="str">
        <f>IF(B2503&lt;&gt;"",IF(AND(B2503&gt;=_TM1,B2503&lt;=_TM2,OR(TH!L2503="1111",TH!M2503="1111")),TH!D2503,""),"")</f>
        <v/>
      </c>
      <c r="B2503" s="36">
        <f>IF(C2503&lt;&gt;"",MONTH(C2503),"")</f>
        <v>12</v>
      </c>
      <c r="C2503" s="183">
        <f>E2503</f>
        <v>42368</v>
      </c>
      <c r="D2503" s="183" t="s">
        <v>1647</v>
      </c>
      <c r="E2503" s="763">
        <v>42368</v>
      </c>
      <c r="F2503" s="191" t="s">
        <v>1298</v>
      </c>
      <c r="G2503" s="482" t="s">
        <v>1297</v>
      </c>
      <c r="H2503" s="7" t="s">
        <v>733</v>
      </c>
      <c r="I2503" s="255">
        <v>56</v>
      </c>
      <c r="J2503" s="255">
        <v>72360</v>
      </c>
      <c r="K2503" s="593">
        <f>ROUND(I2503*J2503,0)</f>
        <v>4052160</v>
      </c>
      <c r="L2503" s="594" t="s">
        <v>259</v>
      </c>
      <c r="M2503" s="594" t="s">
        <v>174</v>
      </c>
      <c r="N2503" s="52" t="str">
        <f>IF(AND('331-CT'!$E$7=TH!H2503,OR(L2503="331",M2503="331")),"331",IF(AND(OR(L2503="131",M2503="131"),H2503='131-CT'!$E$7),"131",""))</f>
        <v/>
      </c>
      <c r="O2503" s="86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99"/>
    </row>
    <row r="2504" spans="1:27" s="210" customFormat="1" ht="15.75" customHeight="1">
      <c r="A2504" s="203" t="str">
        <f>IF(B2504&lt;&gt;"",IF(AND(B2504&gt;=_TM1,B2504&lt;=_TM2,OR(TH!L2504="1111",TH!M2504="1111")),TH!D2504,""),"")</f>
        <v/>
      </c>
      <c r="B2504" s="36">
        <f>IF(C2504&lt;&gt;"",MONTH(C2504),"")</f>
        <v>12</v>
      </c>
      <c r="C2504" s="183">
        <f>E2504</f>
        <v>42368</v>
      </c>
      <c r="D2504" s="183" t="s">
        <v>1647</v>
      </c>
      <c r="E2504" s="763">
        <v>42368</v>
      </c>
      <c r="F2504" s="191" t="s">
        <v>927</v>
      </c>
      <c r="G2504" s="482" t="s">
        <v>1297</v>
      </c>
      <c r="H2504" s="7" t="s">
        <v>733</v>
      </c>
      <c r="I2504" s="255">
        <v>14</v>
      </c>
      <c r="J2504" s="255">
        <v>84823</v>
      </c>
      <c r="K2504" s="593">
        <f>ROUND(I2504*J2504,0)</f>
        <v>1187522</v>
      </c>
      <c r="L2504" s="594" t="s">
        <v>259</v>
      </c>
      <c r="M2504" s="594" t="s">
        <v>174</v>
      </c>
      <c r="N2504" s="52" t="str">
        <f>IF(AND('331-CT'!$E$7=TH!H2504,OR(L2504="331",M2504="331")),"331",IF(AND(OR(L2504="131",M2504="131"),H2504='131-CT'!$E$7),"131",""))</f>
        <v/>
      </c>
      <c r="O2504" s="86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99"/>
    </row>
    <row r="2505" spans="1:27" s="210" customFormat="1" ht="15.75" customHeight="1">
      <c r="A2505" s="203" t="str">
        <f>IF(B2505&lt;&gt;"",IF(AND(B2505&gt;=_TM1,B2505&lt;=_TM2,OR(TH!L2505="1111",TH!M2505="1111")),TH!D2505,""),"")</f>
        <v/>
      </c>
      <c r="B2505" s="36">
        <f>IF(C2505&lt;&gt;"",MONTH(C2505),"")</f>
        <v>12</v>
      </c>
      <c r="C2505" s="183">
        <f>E2505</f>
        <v>42368</v>
      </c>
      <c r="D2505" s="183" t="s">
        <v>1647</v>
      </c>
      <c r="E2505" s="763">
        <v>42368</v>
      </c>
      <c r="F2505" s="191" t="s">
        <v>737</v>
      </c>
      <c r="G2505" s="482" t="s">
        <v>1297</v>
      </c>
      <c r="H2505" s="7" t="s">
        <v>733</v>
      </c>
      <c r="I2505" s="255">
        <v>30</v>
      </c>
      <c r="J2505" s="255">
        <v>10546</v>
      </c>
      <c r="K2505" s="593">
        <f>ROUND(I2505*J2505,0)</f>
        <v>316380</v>
      </c>
      <c r="L2505" s="594" t="s">
        <v>259</v>
      </c>
      <c r="M2505" s="594" t="s">
        <v>174</v>
      </c>
      <c r="N2505" s="52" t="str">
        <f>IF(AND('331-CT'!$E$7=TH!H2505,OR(L2505="331",M2505="331")),"331",IF(AND(OR(L2505="131",M2505="131"),H2505='131-CT'!$E$7),"131",""))</f>
        <v/>
      </c>
      <c r="O2505" s="86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99"/>
    </row>
    <row r="2506" spans="1:27" s="210" customFormat="1" ht="15.75" customHeight="1">
      <c r="A2506" s="203" t="str">
        <f>IF(B2506&lt;&gt;"",IF(AND(B2506&gt;=_TM1,B2506&lt;=_TM2,OR(TH!L2506="1111",TH!M2506="1111")),TH!D2506,""),"")</f>
        <v/>
      </c>
      <c r="B2506" s="36">
        <f>IF(C2506&lt;&gt;"",MONTH(C2506),"")</f>
        <v>12</v>
      </c>
      <c r="C2506" s="183">
        <f>E2506</f>
        <v>42368</v>
      </c>
      <c r="D2506" s="183" t="s">
        <v>1647</v>
      </c>
      <c r="E2506" s="763">
        <v>42368</v>
      </c>
      <c r="F2506" s="191" t="s">
        <v>1299</v>
      </c>
      <c r="G2506" s="482" t="s">
        <v>1297</v>
      </c>
      <c r="H2506" s="7" t="s">
        <v>733</v>
      </c>
      <c r="I2506" s="255">
        <v>56</v>
      </c>
      <c r="J2506" s="255">
        <v>16050</v>
      </c>
      <c r="K2506" s="593">
        <f>ROUND(I2506*J2506,0)</f>
        <v>898800</v>
      </c>
      <c r="L2506" s="594" t="s">
        <v>259</v>
      </c>
      <c r="M2506" s="594" t="s">
        <v>174</v>
      </c>
      <c r="N2506" s="52" t="str">
        <f>IF(AND('331-CT'!$E$7=TH!H2506,OR(L2506="331",M2506="331")),"331",IF(AND(OR(L2506="131",M2506="131"),H2506='131-CT'!$E$7),"131",""))</f>
        <v/>
      </c>
      <c r="O2506" s="86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99"/>
    </row>
    <row r="2507" spans="1:27" s="210" customFormat="1" ht="15.75" customHeight="1">
      <c r="A2507" s="203" t="str">
        <f>IF(B2507&lt;&gt;"",IF(AND(B2507&gt;=_TM1,B2507&lt;=_TM2,OR(TH!L2507="1111",TH!M2507="1111")),TH!D2507,""),"")</f>
        <v/>
      </c>
      <c r="B2507" s="36">
        <f>IF(C2507&lt;&gt;"",MONTH(C2507),"")</f>
        <v>12</v>
      </c>
      <c r="C2507" s="183">
        <f>E2507</f>
        <v>42368</v>
      </c>
      <c r="D2507" s="183" t="s">
        <v>1647</v>
      </c>
      <c r="E2507" s="763">
        <v>42368</v>
      </c>
      <c r="F2507" s="191" t="s">
        <v>1300</v>
      </c>
      <c r="G2507" s="482" t="s">
        <v>1297</v>
      </c>
      <c r="H2507" s="7" t="s">
        <v>733</v>
      </c>
      <c r="I2507" s="255">
        <v>30</v>
      </c>
      <c r="J2507" s="255">
        <v>11536</v>
      </c>
      <c r="K2507" s="593">
        <f>ROUND(I2507*J2507,0)</f>
        <v>346080</v>
      </c>
      <c r="L2507" s="594" t="s">
        <v>259</v>
      </c>
      <c r="M2507" s="594" t="s">
        <v>174</v>
      </c>
      <c r="N2507" s="52" t="str">
        <f>IF(AND('331-CT'!$E$7=TH!H2507,OR(L2507="331",M2507="331")),"331",IF(AND(OR(L2507="131",M2507="131"),H2507='131-CT'!$E$7),"131",""))</f>
        <v/>
      </c>
      <c r="O2507" s="86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99"/>
    </row>
    <row r="2508" spans="1:27" s="210" customFormat="1" ht="15.75" customHeight="1">
      <c r="A2508" s="203" t="str">
        <f>IF(B2508&lt;&gt;"",IF(AND(B2508&gt;=_TM1,B2508&lt;=_TM2,OR(TH!L2508="1111",TH!M2508="1111")),TH!D2508,""),"")</f>
        <v/>
      </c>
      <c r="B2508" s="36">
        <f>IF(C2508&lt;&gt;"",MONTH(C2508),"")</f>
        <v>12</v>
      </c>
      <c r="C2508" s="183">
        <f>E2508</f>
        <v>42368</v>
      </c>
      <c r="D2508" s="183" t="s">
        <v>1647</v>
      </c>
      <c r="E2508" s="763">
        <v>42368</v>
      </c>
      <c r="F2508" s="191" t="s">
        <v>1301</v>
      </c>
      <c r="G2508" s="482" t="s">
        <v>1297</v>
      </c>
      <c r="H2508" s="7" t="s">
        <v>733</v>
      </c>
      <c r="I2508" s="255">
        <v>130</v>
      </c>
      <c r="J2508" s="255">
        <v>11859</v>
      </c>
      <c r="K2508" s="593">
        <f>ROUND(I2508*J2508,0)</f>
        <v>1541670</v>
      </c>
      <c r="L2508" s="594" t="s">
        <v>259</v>
      </c>
      <c r="M2508" s="594" t="s">
        <v>174</v>
      </c>
      <c r="N2508" s="52" t="str">
        <f>IF(AND('331-CT'!$E$7=TH!H2508,OR(L2508="331",M2508="331")),"331",IF(AND(OR(L2508="131",M2508="131"),H2508='131-CT'!$E$7),"131",""))</f>
        <v/>
      </c>
      <c r="O2508" s="86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99"/>
    </row>
    <row r="2509" spans="1:27" s="210" customFormat="1" ht="15.75" customHeight="1">
      <c r="A2509" s="203" t="str">
        <f>IF(B2509&lt;&gt;"",IF(AND(B2509&gt;=_TM1,B2509&lt;=_TM2,OR(TH!L2509="1111",TH!M2509="1111")),TH!D2509,""),"")</f>
        <v/>
      </c>
      <c r="B2509" s="36">
        <f>IF(C2509&lt;&gt;"",MONTH(C2509),"")</f>
        <v>12</v>
      </c>
      <c r="C2509" s="183">
        <f>E2509</f>
        <v>42368</v>
      </c>
      <c r="D2509" s="183" t="s">
        <v>1647</v>
      </c>
      <c r="E2509" s="763">
        <v>42368</v>
      </c>
      <c r="F2509" s="191" t="s">
        <v>1302</v>
      </c>
      <c r="G2509" s="482" t="s">
        <v>1297</v>
      </c>
      <c r="H2509" s="7" t="s">
        <v>733</v>
      </c>
      <c r="I2509" s="255">
        <v>7</v>
      </c>
      <c r="J2509" s="255">
        <v>10422</v>
      </c>
      <c r="K2509" s="593">
        <f>ROUND(I2509*J2509,0)</f>
        <v>72954</v>
      </c>
      <c r="L2509" s="594" t="s">
        <v>259</v>
      </c>
      <c r="M2509" s="594" t="s">
        <v>174</v>
      </c>
      <c r="N2509" s="52" t="str">
        <f>IF(AND('331-CT'!$E$7=TH!H2509,OR(L2509="331",M2509="331")),"331",IF(AND(OR(L2509="131",M2509="131"),H2509='131-CT'!$E$7),"131",""))</f>
        <v/>
      </c>
      <c r="O2509" s="86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99"/>
    </row>
    <row r="2510" spans="1:27" s="210" customFormat="1" ht="15.75" customHeight="1">
      <c r="A2510" s="203" t="str">
        <f>IF(B2510&lt;&gt;"",IF(AND(B2510&gt;=_TM1,B2510&lt;=_TM2,OR(TH!L2510="1111",TH!M2510="1111")),TH!D2510,""),"")</f>
        <v/>
      </c>
      <c r="B2510" s="36">
        <f>IF(C2510&lt;&gt;"",MONTH(C2510),"")</f>
        <v>12</v>
      </c>
      <c r="C2510" s="183">
        <f>E2510</f>
        <v>42368</v>
      </c>
      <c r="D2510" s="183" t="s">
        <v>1647</v>
      </c>
      <c r="E2510" s="763">
        <v>42368</v>
      </c>
      <c r="F2510" s="191" t="s">
        <v>402</v>
      </c>
      <c r="G2510" s="482" t="s">
        <v>1297</v>
      </c>
      <c r="H2510" s="7" t="s">
        <v>733</v>
      </c>
      <c r="I2510" s="255"/>
      <c r="J2510" s="255"/>
      <c r="K2510" s="593">
        <v>1751847</v>
      </c>
      <c r="L2510" s="594" t="s">
        <v>259</v>
      </c>
      <c r="M2510" s="594" t="s">
        <v>371</v>
      </c>
      <c r="N2510" s="52" t="str">
        <f>IF(AND('331-CT'!$E$7=TH!H2510,OR(L2510="331",M2510="331")),"331",IF(AND(OR(L2510="131",M2510="131"),H2510='131-CT'!$E$7),"131",""))</f>
        <v/>
      </c>
      <c r="O2510" s="86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99"/>
    </row>
    <row r="2511" spans="1:27" s="210" customFormat="1" ht="15.75" customHeight="1">
      <c r="A2511" s="203" t="str">
        <f>IF(B2511&lt;&gt;"",IF(AND(B2511&gt;=_TM1,B2511&lt;=_TM2,OR(TH!L2511="1111",TH!M2511="1111")),TH!D2511,""),"")</f>
        <v/>
      </c>
      <c r="B2511" s="36">
        <f>IF(C2511&lt;&gt;"",MONTH(C2511),"")</f>
        <v>12</v>
      </c>
      <c r="C2511" s="183">
        <f>E2511</f>
        <v>42368</v>
      </c>
      <c r="D2511" s="183" t="s">
        <v>1648</v>
      </c>
      <c r="E2511" s="762">
        <v>42368</v>
      </c>
      <c r="F2511" s="40" t="s">
        <v>454</v>
      </c>
      <c r="G2511" s="40" t="s">
        <v>1303</v>
      </c>
      <c r="H2511" s="7" t="s">
        <v>733</v>
      </c>
      <c r="I2511" s="255">
        <v>221</v>
      </c>
      <c r="J2511" s="255">
        <v>47449</v>
      </c>
      <c r="K2511" s="593">
        <f>ROUND(I2511*J2511,0)</f>
        <v>10486229</v>
      </c>
      <c r="L2511" s="594" t="s">
        <v>259</v>
      </c>
      <c r="M2511" s="594" t="s">
        <v>174</v>
      </c>
      <c r="N2511" s="52" t="str">
        <f>IF(AND('331-CT'!$E$7=TH!H2511,OR(L2511="331",M2511="331")),"331",IF(AND(OR(L2511="131",M2511="131"),H2511='131-CT'!$E$7),"131",""))</f>
        <v/>
      </c>
      <c r="O2511" s="86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99"/>
    </row>
    <row r="2512" spans="1:27" s="210" customFormat="1" ht="15.75" customHeight="1">
      <c r="A2512" s="203" t="str">
        <f>IF(B2512&lt;&gt;"",IF(AND(B2512&gt;=_TM1,B2512&lt;=_TM2,OR(TH!L2512="1111",TH!M2512="1111")),TH!D2512,""),"")</f>
        <v/>
      </c>
      <c r="B2512" s="36">
        <f>IF(C2512&lt;&gt;"",MONTH(C2512),"")</f>
        <v>12</v>
      </c>
      <c r="C2512" s="183">
        <f>E2512</f>
        <v>42368</v>
      </c>
      <c r="D2512" s="183" t="s">
        <v>1648</v>
      </c>
      <c r="E2512" s="762">
        <v>42368</v>
      </c>
      <c r="F2512" s="40" t="s">
        <v>1304</v>
      </c>
      <c r="G2512" s="40" t="s">
        <v>1303</v>
      </c>
      <c r="H2512" s="7" t="s">
        <v>733</v>
      </c>
      <c r="I2512" s="255">
        <v>103</v>
      </c>
      <c r="J2512" s="255">
        <v>29237</v>
      </c>
      <c r="K2512" s="593">
        <f>ROUND(I2512*J2512,0)</f>
        <v>3011411</v>
      </c>
      <c r="L2512" s="594" t="s">
        <v>259</v>
      </c>
      <c r="M2512" s="594" t="s">
        <v>174</v>
      </c>
      <c r="N2512" s="52" t="str">
        <f>IF(AND('331-CT'!$E$7=TH!H2512,OR(L2512="331",M2512="331")),"331",IF(AND(OR(L2512="131",M2512="131"),H2512='131-CT'!$E$7),"131",""))</f>
        <v/>
      </c>
      <c r="O2512" s="86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99"/>
    </row>
    <row r="2513" spans="1:28" s="210" customFormat="1" ht="15.75" customHeight="1">
      <c r="A2513" s="203" t="str">
        <f>IF(B2513&lt;&gt;"",IF(AND(B2513&gt;=_TM1,B2513&lt;=_TM2,OR(TH!L2513="1111",TH!M2513="1111")),TH!D2513,""),"")</f>
        <v/>
      </c>
      <c r="B2513" s="36">
        <f>IF(C2513&lt;&gt;"",MONTH(C2513),"")</f>
        <v>12</v>
      </c>
      <c r="C2513" s="183">
        <f>E2513</f>
        <v>42368</v>
      </c>
      <c r="D2513" s="183" t="s">
        <v>1648</v>
      </c>
      <c r="E2513" s="762">
        <v>42368</v>
      </c>
      <c r="F2513" s="40" t="s">
        <v>1302</v>
      </c>
      <c r="G2513" s="40" t="s">
        <v>1303</v>
      </c>
      <c r="H2513" s="7" t="s">
        <v>733</v>
      </c>
      <c r="I2513" s="255">
        <v>143</v>
      </c>
      <c r="J2513" s="255">
        <v>10422</v>
      </c>
      <c r="K2513" s="593">
        <f>ROUND(I2513*J2513,0)</f>
        <v>1490346</v>
      </c>
      <c r="L2513" s="594" t="s">
        <v>259</v>
      </c>
      <c r="M2513" s="594" t="s">
        <v>174</v>
      </c>
      <c r="N2513" s="52" t="str">
        <f>IF(AND('331-CT'!$E$7=TH!H2513,OR(L2513="331",M2513="331")),"331",IF(AND(OR(L2513="131",M2513="131"),H2513='131-CT'!$E$7),"131",""))</f>
        <v/>
      </c>
      <c r="O2513" s="869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99"/>
    </row>
    <row r="2514" spans="1:28" s="210" customFormat="1" ht="15.75" customHeight="1">
      <c r="A2514" s="203" t="str">
        <f>IF(B2514&lt;&gt;"",IF(AND(B2514&gt;=_TM1,B2514&lt;=_TM2,OR(TH!L2514="1111",TH!M2514="1111")),TH!D2514,""),"")</f>
        <v/>
      </c>
      <c r="B2514" s="36">
        <f>IF(C2514&lt;&gt;"",MONTH(C2514),"")</f>
        <v>12</v>
      </c>
      <c r="C2514" s="183">
        <f>E2514</f>
        <v>42368</v>
      </c>
      <c r="D2514" s="183" t="s">
        <v>1648</v>
      </c>
      <c r="E2514" s="762">
        <v>42368</v>
      </c>
      <c r="F2514" s="191" t="s">
        <v>402</v>
      </c>
      <c r="G2514" s="40" t="s">
        <v>1303</v>
      </c>
      <c r="H2514" s="7" t="s">
        <v>733</v>
      </c>
      <c r="I2514" s="255"/>
      <c r="J2514" s="255"/>
      <c r="K2514" s="593">
        <v>1498799</v>
      </c>
      <c r="L2514" s="594" t="s">
        <v>259</v>
      </c>
      <c r="M2514" s="594" t="s">
        <v>371</v>
      </c>
      <c r="N2514" s="52" t="str">
        <f>IF(AND('331-CT'!$E$7=TH!H2514,OR(L2514="331",M2514="331")),"331",IF(AND(OR(L2514="131",M2514="131"),H2514='131-CT'!$E$7),"131",""))</f>
        <v/>
      </c>
      <c r="O2514" s="86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99"/>
    </row>
    <row r="2515" spans="1:28" s="210" customFormat="1" ht="15.75" customHeight="1">
      <c r="A2515" s="203" t="str">
        <f>IF(B2515&lt;&gt;"",IF(AND(B2515&gt;=_TM1,B2515&lt;=_TM2,OR(TH!L2515="1111",TH!M2515="1111")),TH!D2515,""),"")</f>
        <v/>
      </c>
      <c r="B2515" s="36">
        <f>IF(C2515&lt;&gt;"",MONTH(C2515),"")</f>
        <v>12</v>
      </c>
      <c r="C2515" s="183">
        <f>E2515</f>
        <v>42368</v>
      </c>
      <c r="D2515" s="183" t="s">
        <v>1319</v>
      </c>
      <c r="E2515" s="763">
        <v>42368</v>
      </c>
      <c r="F2515" s="188" t="s">
        <v>1320</v>
      </c>
      <c r="G2515" s="482" t="s">
        <v>332</v>
      </c>
      <c r="H2515" s="7" t="s">
        <v>473</v>
      </c>
      <c r="I2515" s="255"/>
      <c r="J2515" s="255"/>
      <c r="K2515" s="593">
        <v>27972120</v>
      </c>
      <c r="L2515" s="594" t="s">
        <v>24</v>
      </c>
      <c r="M2515" s="594" t="s">
        <v>259</v>
      </c>
      <c r="N2515" s="52" t="str">
        <f>IF(AND('331-CT'!$E$7=TH!H2515,OR(L2515="331",M2515="331")),"331",IF(AND(OR(L2515="131",M2515="131"),H2515='131-CT'!$E$7),"131",""))</f>
        <v/>
      </c>
      <c r="O2515" s="86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>x</v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99"/>
    </row>
    <row r="2516" spans="1:28" s="210" customFormat="1" ht="15.75" customHeight="1">
      <c r="A2516" s="203" t="str">
        <f>IF(B2516&lt;&gt;"",IF(AND(B2516&gt;=_TM1,B2516&lt;=_TM2,OR(TH!L2516="1111",TH!M2516="1111")),TH!D2516,""),"")</f>
        <v/>
      </c>
      <c r="B2516" s="36">
        <f>IF(C2516&lt;&gt;"",MONTH(C2516),"")</f>
        <v>12</v>
      </c>
      <c r="C2516" s="183">
        <f>E2516</f>
        <v>42368</v>
      </c>
      <c r="D2516" s="183" t="s">
        <v>1319</v>
      </c>
      <c r="E2516" s="763">
        <v>42368</v>
      </c>
      <c r="F2516" s="188" t="s">
        <v>2024</v>
      </c>
      <c r="G2516" s="482" t="s">
        <v>332</v>
      </c>
      <c r="H2516" s="7" t="s">
        <v>473</v>
      </c>
      <c r="I2516" s="255"/>
      <c r="J2516" s="255"/>
      <c r="K2516" s="593">
        <v>250319</v>
      </c>
      <c r="L2516" s="594" t="s">
        <v>87</v>
      </c>
      <c r="M2516" s="594" t="s">
        <v>259</v>
      </c>
      <c r="N2516" s="52" t="str">
        <f>IF(AND('331-CT'!$E$7=TH!H2516,OR(L2516="331",M2516="331")),"331",IF(AND(OR(L2516="131",M2516="131"),H2516='131-CT'!$E$7),"131",""))</f>
        <v/>
      </c>
      <c r="O2516" s="86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99"/>
    </row>
    <row r="2517" spans="1:28" s="210" customFormat="1" ht="15.75" customHeight="1">
      <c r="A2517" s="203" t="str">
        <f>IF(B2517&lt;&gt;"",IF(AND(B2517&gt;=_TM1,B2517&lt;=_TM2,OR(TH!L2517="1111",TH!M2517="1111")),TH!D2517,""),"")</f>
        <v/>
      </c>
      <c r="B2517" s="36">
        <f>IF(C2517&lt;&gt;"",MONTH(C2517),"")</f>
        <v>12</v>
      </c>
      <c r="C2517" s="888">
        <f>E2517</f>
        <v>42369</v>
      </c>
      <c r="D2517" s="888" t="s">
        <v>334</v>
      </c>
      <c r="E2517" s="1147">
        <v>42369</v>
      </c>
      <c r="F2517" s="889" t="s">
        <v>1939</v>
      </c>
      <c r="G2517" s="890"/>
      <c r="H2517" s="891"/>
      <c r="I2517" s="892"/>
      <c r="J2517" s="892"/>
      <c r="K2517" s="893">
        <v>16715000</v>
      </c>
      <c r="L2517" s="894" t="s">
        <v>83</v>
      </c>
      <c r="M2517" s="894" t="s">
        <v>262</v>
      </c>
      <c r="N2517" s="52" t="str">
        <f>IF(AND('331-CT'!$E$7=TH!H2517,OR(L2517="331",M2517="331")),"331",IF(AND(OR(L2517="131",M2517="131"),H2517='131-CT'!$E$7),"131",""))</f>
        <v/>
      </c>
      <c r="O2517" s="86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>x</v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197"/>
      <c r="AB2517" s="197"/>
    </row>
    <row r="2518" spans="1:28" s="210" customFormat="1" ht="15.75" customHeight="1">
      <c r="A2518" s="203" t="str">
        <f>IF(B2518&lt;&gt;"",IF(AND(B2518&gt;=_TM1,B2518&lt;=_TM2,OR(TH!L2518="1111",TH!M2518="1111")),TH!D2518,""),"")</f>
        <v/>
      </c>
      <c r="B2518" s="36">
        <f>IF(C2518&lt;&gt;"",MONTH(C2518),"")</f>
        <v>12</v>
      </c>
      <c r="C2518" s="888">
        <f>E2518</f>
        <v>42369</v>
      </c>
      <c r="D2518" s="888" t="s">
        <v>334</v>
      </c>
      <c r="E2518" s="1147">
        <v>42369</v>
      </c>
      <c r="F2518" s="889" t="s">
        <v>1940</v>
      </c>
      <c r="G2518" s="890"/>
      <c r="H2518" s="891"/>
      <c r="I2518" s="892"/>
      <c r="J2518" s="892"/>
      <c r="K2518" s="893">
        <v>34635000</v>
      </c>
      <c r="L2518" s="894" t="s">
        <v>165</v>
      </c>
      <c r="M2518" s="894" t="s">
        <v>262</v>
      </c>
      <c r="N2518" s="52" t="str">
        <f>IF(AND('331-CT'!$E$7=TH!H2518,OR(L2518="331",M2518="331")),"331",IF(AND(OR(L2518="131",M2518="131"),H2518='131-CT'!$E$7),"131",""))</f>
        <v/>
      </c>
      <c r="O2518" s="86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197"/>
      <c r="AB2518" s="197"/>
    </row>
    <row r="2519" spans="1:28" s="210" customFormat="1" ht="15.75" customHeight="1">
      <c r="A2519" s="203" t="str">
        <f>IF(B2519&lt;&gt;"",IF(AND(B2519&gt;=_TM1,B2519&lt;=_TM2,OR(TH!L2519="1111",TH!M2519="1111")),TH!D2519,""),"")</f>
        <v>CTGS</v>
      </c>
      <c r="B2519" s="36">
        <f>IF(C2519&lt;&gt;"",MONTH(C2519),"")</f>
        <v>12</v>
      </c>
      <c r="C2519" s="888">
        <f>E2519</f>
        <v>42369</v>
      </c>
      <c r="D2519" s="888" t="s">
        <v>334</v>
      </c>
      <c r="E2519" s="1147">
        <v>42369</v>
      </c>
      <c r="F2519" s="889" t="str">
        <f>"Thanh toán tiền lương tháng "&amp;MONTH(E2519)&amp;"/"&amp;YEAR(E2519)</f>
        <v>Thanh toán tiền lương tháng 12/2015</v>
      </c>
      <c r="G2519" s="890"/>
      <c r="H2519" s="891"/>
      <c r="I2519" s="892"/>
      <c r="J2519" s="892"/>
      <c r="K2519" s="893">
        <f>K2517+K2518</f>
        <v>51350000</v>
      </c>
      <c r="L2519" s="894" t="s">
        <v>262</v>
      </c>
      <c r="M2519" s="894" t="s">
        <v>47</v>
      </c>
      <c r="N2519" s="52" t="str">
        <f>IF(AND('331-CT'!$E$7=TH!H2519,OR(L2519="331",M2519="331")),"331",IF(AND(OR(L2519="131",M2519="131"),H2519='131-CT'!$E$7),"131",""))</f>
        <v/>
      </c>
      <c r="O2519" s="869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197"/>
      <c r="AB2519" s="197"/>
    </row>
    <row r="2520" spans="1:28" s="210" customFormat="1" ht="15.75" customHeight="1">
      <c r="A2520" s="203" t="str">
        <f>IF(B2520&lt;&gt;"",IF(AND(B2520&gt;=_TM1,B2520&lt;=_TM2,OR(TH!L2520="1111",TH!M2520="1111")),TH!D2520,""),"")</f>
        <v/>
      </c>
      <c r="B2520" s="36">
        <f>IF(C2520&lt;&gt;"",MONTH(C2520),"")</f>
        <v>12</v>
      </c>
      <c r="C2520" s="183">
        <f>E2520</f>
        <v>42369</v>
      </c>
      <c r="D2520" s="183" t="s">
        <v>1649</v>
      </c>
      <c r="E2520" s="762">
        <v>42369</v>
      </c>
      <c r="F2520" s="40" t="s">
        <v>1305</v>
      </c>
      <c r="G2520" s="40" t="s">
        <v>1306</v>
      </c>
      <c r="H2520" s="7" t="s">
        <v>1307</v>
      </c>
      <c r="I2520" s="255">
        <v>340</v>
      </c>
      <c r="J2520" s="255">
        <v>32500</v>
      </c>
      <c r="K2520" s="593">
        <f>ROUND(I2520*J2520,0)</f>
        <v>11050000</v>
      </c>
      <c r="L2520" s="594" t="s">
        <v>259</v>
      </c>
      <c r="M2520" s="594" t="s">
        <v>174</v>
      </c>
      <c r="N2520" s="52" t="str">
        <f>IF(AND('331-CT'!$E$7=TH!H2520,OR(L2520="331",M2520="331")),"331",IF(AND(OR(L2520="131",M2520="131"),H2520='131-CT'!$E$7),"131",""))</f>
        <v/>
      </c>
      <c r="O2520" s="86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99"/>
    </row>
    <row r="2521" spans="1:28" s="210" customFormat="1" ht="15.75" customHeight="1">
      <c r="A2521" s="203" t="str">
        <f>IF(B2521&lt;&gt;"",IF(AND(B2521&gt;=_TM1,B2521&lt;=_TM2,OR(TH!L2521="1111",TH!M2521="1111")),TH!D2521,""),"")</f>
        <v/>
      </c>
      <c r="B2521" s="36">
        <f>IF(C2521&lt;&gt;"",MONTH(C2521),"")</f>
        <v>12</v>
      </c>
      <c r="C2521" s="183">
        <f>E2521</f>
        <v>42369</v>
      </c>
      <c r="D2521" s="183" t="s">
        <v>1649</v>
      </c>
      <c r="E2521" s="762">
        <v>42369</v>
      </c>
      <c r="F2521" s="40" t="s">
        <v>1308</v>
      </c>
      <c r="G2521" s="40" t="s">
        <v>1306</v>
      </c>
      <c r="H2521" s="7" t="s">
        <v>1307</v>
      </c>
      <c r="I2521" s="255">
        <v>208</v>
      </c>
      <c r="J2521" s="255">
        <v>35500</v>
      </c>
      <c r="K2521" s="593">
        <f>ROUND(I2521*J2521,0)</f>
        <v>7384000</v>
      </c>
      <c r="L2521" s="594" t="s">
        <v>259</v>
      </c>
      <c r="M2521" s="594" t="s">
        <v>174</v>
      </c>
      <c r="N2521" s="52" t="str">
        <f>IF(AND('331-CT'!$E$7=TH!H2521,OR(L2521="331",M2521="331")),"331",IF(AND(OR(L2521="131",M2521="131"),H2521='131-CT'!$E$7),"131",""))</f>
        <v/>
      </c>
      <c r="O2521" s="86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99"/>
    </row>
    <row r="2522" spans="1:28" s="210" customFormat="1" ht="15.75" customHeight="1">
      <c r="A2522" s="203" t="str">
        <f>IF(B2522&lt;&gt;"",IF(AND(B2522&gt;=_TM1,B2522&lt;=_TM2,OR(TH!L2522="1111",TH!M2522="1111")),TH!D2522,""),"")</f>
        <v/>
      </c>
      <c r="B2522" s="36">
        <f>IF(C2522&lt;&gt;"",MONTH(C2522),"")</f>
        <v>12</v>
      </c>
      <c r="C2522" s="183">
        <f>E2522</f>
        <v>42369</v>
      </c>
      <c r="D2522" s="183" t="s">
        <v>1649</v>
      </c>
      <c r="E2522" s="762">
        <v>42369</v>
      </c>
      <c r="F2522" s="40" t="s">
        <v>1309</v>
      </c>
      <c r="G2522" s="40" t="s">
        <v>1306</v>
      </c>
      <c r="H2522" s="7" t="s">
        <v>1307</v>
      </c>
      <c r="I2522" s="255">
        <v>249</v>
      </c>
      <c r="J2522" s="255">
        <v>31200</v>
      </c>
      <c r="K2522" s="593">
        <f>ROUND(I2522*J2522,0)</f>
        <v>7768800</v>
      </c>
      <c r="L2522" s="594" t="s">
        <v>259</v>
      </c>
      <c r="M2522" s="594" t="s">
        <v>174</v>
      </c>
      <c r="N2522" s="52" t="str">
        <f>IF(AND('331-CT'!$E$7=TH!H2522,OR(L2522="331",M2522="331")),"331",IF(AND(OR(L2522="131",M2522="131"),H2522='131-CT'!$E$7),"131",""))</f>
        <v/>
      </c>
      <c r="O2522" s="86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99"/>
    </row>
    <row r="2523" spans="1:28" s="210" customFormat="1" ht="15.75" customHeight="1">
      <c r="A2523" s="203" t="str">
        <f>IF(B2523&lt;&gt;"",IF(AND(B2523&gt;=_TM1,B2523&lt;=_TM2,OR(TH!L2523="1111",TH!M2523="1111")),TH!D2523,""),"")</f>
        <v/>
      </c>
      <c r="B2523" s="36">
        <f>IF(C2523&lt;&gt;"",MONTH(C2523),"")</f>
        <v>12</v>
      </c>
      <c r="C2523" s="183">
        <f>E2523</f>
        <v>42369</v>
      </c>
      <c r="D2523" s="183" t="s">
        <v>1649</v>
      </c>
      <c r="E2523" s="762">
        <v>42369</v>
      </c>
      <c r="F2523" s="40" t="s">
        <v>402</v>
      </c>
      <c r="G2523" s="40" t="s">
        <v>1306</v>
      </c>
      <c r="H2523" s="7" t="s">
        <v>1307</v>
      </c>
      <c r="I2523" s="255"/>
      <c r="J2523" s="255"/>
      <c r="K2523" s="593">
        <v>2620280</v>
      </c>
      <c r="L2523" s="594" t="s">
        <v>259</v>
      </c>
      <c r="M2523" s="594" t="s">
        <v>371</v>
      </c>
      <c r="N2523" s="52" t="str">
        <f>IF(AND('331-CT'!$E$7=TH!H2523,OR(L2523="331",M2523="331")),"331",IF(AND(OR(L2523="131",M2523="131"),H2523='131-CT'!$E$7),"131",""))</f>
        <v/>
      </c>
      <c r="O2523" s="86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99"/>
    </row>
    <row r="2524" spans="1:28" s="210" customFormat="1" ht="15.75" customHeight="1">
      <c r="A2524" s="203" t="str">
        <f>IF(B2524&lt;&gt;"",IF(AND(B2524&gt;=_TM1,B2524&lt;=_TM2,OR(TH!L2524="1111",TH!M2524="1111")),TH!D2524,""),"")</f>
        <v/>
      </c>
      <c r="B2524" s="36">
        <f>IF(C2524&lt;&gt;"",MONTH(C2524),"")</f>
        <v>12</v>
      </c>
      <c r="C2524" s="183">
        <f>E2524</f>
        <v>42369</v>
      </c>
      <c r="D2524" s="183" t="s">
        <v>1650</v>
      </c>
      <c r="E2524" s="762">
        <v>42369</v>
      </c>
      <c r="F2524" s="40" t="s">
        <v>1310</v>
      </c>
      <c r="G2524" s="40" t="s">
        <v>1311</v>
      </c>
      <c r="H2524" s="7" t="s">
        <v>1226</v>
      </c>
      <c r="I2524" s="255">
        <v>250</v>
      </c>
      <c r="J2524" s="255">
        <v>34398</v>
      </c>
      <c r="K2524" s="593">
        <f>ROUND(I2524*J2524,0)</f>
        <v>8599500</v>
      </c>
      <c r="L2524" s="594" t="s">
        <v>259</v>
      </c>
      <c r="M2524" s="594" t="s">
        <v>174</v>
      </c>
      <c r="N2524" s="52" t="str">
        <f>IF(AND('331-CT'!$E$7=TH!H2524,OR(L2524="331",M2524="331")),"331",IF(AND(OR(L2524="131",M2524="131"),H2524='131-CT'!$E$7),"131",""))</f>
        <v/>
      </c>
      <c r="O2524" s="86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99"/>
    </row>
    <row r="2525" spans="1:28" s="210" customFormat="1" ht="15.75" customHeight="1">
      <c r="A2525" s="203" t="str">
        <f>IF(B2525&lt;&gt;"",IF(AND(B2525&gt;=_TM1,B2525&lt;=_TM2,OR(TH!L2525="1111",TH!M2525="1111")),TH!D2525,""),"")</f>
        <v/>
      </c>
      <c r="B2525" s="36">
        <f>IF(C2525&lt;&gt;"",MONTH(C2525),"")</f>
        <v>12</v>
      </c>
      <c r="C2525" s="183">
        <f>E2525</f>
        <v>42369</v>
      </c>
      <c r="D2525" s="183" t="s">
        <v>1650</v>
      </c>
      <c r="E2525" s="762">
        <v>42369</v>
      </c>
      <c r="F2525" s="40" t="s">
        <v>1312</v>
      </c>
      <c r="G2525" s="40" t="s">
        <v>1311</v>
      </c>
      <c r="H2525" s="7" t="s">
        <v>1226</v>
      </c>
      <c r="I2525" s="255">
        <v>81</v>
      </c>
      <c r="J2525" s="255">
        <v>28839</v>
      </c>
      <c r="K2525" s="593">
        <f>ROUND(I2525*J2525,0)</f>
        <v>2335959</v>
      </c>
      <c r="L2525" s="594" t="s">
        <v>259</v>
      </c>
      <c r="M2525" s="594" t="s">
        <v>174</v>
      </c>
      <c r="N2525" s="52" t="str">
        <f>IF(AND('331-CT'!$E$7=TH!H2525,OR(L2525="331",M2525="331")),"331",IF(AND(OR(L2525="131",M2525="131"),H2525='131-CT'!$E$7),"131",""))</f>
        <v/>
      </c>
      <c r="O2525" s="86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99"/>
    </row>
    <row r="2526" spans="1:28" s="210" customFormat="1" ht="15.75" customHeight="1">
      <c r="A2526" s="203" t="str">
        <f>IF(B2526&lt;&gt;"",IF(AND(B2526&gt;=_TM1,B2526&lt;=_TM2,OR(TH!L2526="1111",TH!M2526="1111")),TH!D2526,""),"")</f>
        <v/>
      </c>
      <c r="B2526" s="36">
        <f>IF(C2526&lt;&gt;"",MONTH(C2526),"")</f>
        <v>12</v>
      </c>
      <c r="C2526" s="183">
        <f>E2526</f>
        <v>42369</v>
      </c>
      <c r="D2526" s="183" t="s">
        <v>1650</v>
      </c>
      <c r="E2526" s="763">
        <v>42369</v>
      </c>
      <c r="F2526" s="191" t="s">
        <v>1313</v>
      </c>
      <c r="G2526" s="482" t="s">
        <v>1311</v>
      </c>
      <c r="H2526" s="748" t="s">
        <v>1226</v>
      </c>
      <c r="I2526" s="255">
        <v>250</v>
      </c>
      <c r="J2526" s="255">
        <v>1117</v>
      </c>
      <c r="K2526" s="593">
        <f>ROUND(I2526*J2526,0)</f>
        <v>279250</v>
      </c>
      <c r="L2526" s="594" t="s">
        <v>259</v>
      </c>
      <c r="M2526" s="594" t="s">
        <v>174</v>
      </c>
      <c r="N2526" s="52" t="str">
        <f>IF(AND('331-CT'!$E$7=TH!H2526,OR(L2526="331",M2526="331")),"331",IF(AND(OR(L2526="131",M2526="131"),H2526='131-CT'!$E$7),"131",""))</f>
        <v/>
      </c>
      <c r="O2526" s="86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99"/>
    </row>
    <row r="2527" spans="1:28" s="210" customFormat="1" ht="15.75" customHeight="1">
      <c r="A2527" s="203" t="str">
        <f>IF(B2527&lt;&gt;"",IF(AND(B2527&gt;=_TM1,B2527&lt;=_TM2,OR(TH!L2527="1111",TH!M2527="1111")),TH!D2527,""),"")</f>
        <v/>
      </c>
      <c r="B2527" s="36">
        <f>IF(C2527&lt;&gt;"",MONTH(C2527),"")</f>
        <v>12</v>
      </c>
      <c r="C2527" s="183">
        <f>E2527</f>
        <v>42369</v>
      </c>
      <c r="D2527" s="183" t="s">
        <v>1650</v>
      </c>
      <c r="E2527" s="763">
        <v>42369</v>
      </c>
      <c r="F2527" s="191" t="s">
        <v>1314</v>
      </c>
      <c r="G2527" s="482" t="s">
        <v>1311</v>
      </c>
      <c r="H2527" s="748" t="s">
        <v>1226</v>
      </c>
      <c r="I2527" s="255">
        <v>1000</v>
      </c>
      <c r="J2527" s="255">
        <v>812</v>
      </c>
      <c r="K2527" s="593">
        <f>ROUND(I2527*J2527,0)</f>
        <v>812000</v>
      </c>
      <c r="L2527" s="594" t="s">
        <v>259</v>
      </c>
      <c r="M2527" s="594" t="s">
        <v>174</v>
      </c>
      <c r="N2527" s="52" t="str">
        <f>IF(AND('331-CT'!$E$7=TH!H2527,OR(L2527="331",M2527="331")),"331",IF(AND(OR(L2527="131",M2527="131"),H2527='131-CT'!$E$7),"131",""))</f>
        <v/>
      </c>
      <c r="O2527" s="86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99"/>
    </row>
    <row r="2528" spans="1:28" s="210" customFormat="1" ht="15.75" customHeight="1">
      <c r="A2528" s="203" t="str">
        <f>IF(B2528&lt;&gt;"",IF(AND(B2528&gt;=_TM1,B2528&lt;=_TM2,OR(TH!L2528="1111",TH!M2528="1111")),TH!D2528,""),"")</f>
        <v/>
      </c>
      <c r="B2528" s="36">
        <f>IF(C2528&lt;&gt;"",MONTH(C2528),"")</f>
        <v>12</v>
      </c>
      <c r="C2528" s="183">
        <f>E2528</f>
        <v>42369</v>
      </c>
      <c r="D2528" s="183" t="s">
        <v>1650</v>
      </c>
      <c r="E2528" s="763">
        <v>42369</v>
      </c>
      <c r="F2528" s="191" t="s">
        <v>1315</v>
      </c>
      <c r="G2528" s="482" t="s">
        <v>1311</v>
      </c>
      <c r="H2528" s="748" t="s">
        <v>1226</v>
      </c>
      <c r="I2528" s="255">
        <v>243</v>
      </c>
      <c r="J2528" s="255">
        <v>2017</v>
      </c>
      <c r="K2528" s="593">
        <f>ROUND(I2528*J2528,0)</f>
        <v>490131</v>
      </c>
      <c r="L2528" s="594" t="s">
        <v>259</v>
      </c>
      <c r="M2528" s="594" t="s">
        <v>174</v>
      </c>
      <c r="N2528" s="52" t="str">
        <f>IF(AND('331-CT'!$E$7=TH!H2528,OR(L2528="331",M2528="331")),"331",IF(AND(OR(L2528="131",M2528="131"),H2528='131-CT'!$E$7),"131",""))</f>
        <v/>
      </c>
      <c r="O2528" s="86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99"/>
    </row>
    <row r="2529" spans="1:27" s="210" customFormat="1" ht="15.75" customHeight="1">
      <c r="A2529" s="203" t="str">
        <f>IF(B2529&lt;&gt;"",IF(AND(B2529&gt;=_TM1,B2529&lt;=_TM2,OR(TH!L2529="1111",TH!M2529="1111")),TH!D2529,""),"")</f>
        <v/>
      </c>
      <c r="B2529" s="36">
        <f>IF(C2529&lt;&gt;"",MONTH(C2529),"")</f>
        <v>12</v>
      </c>
      <c r="C2529" s="183">
        <f>E2529</f>
        <v>42369</v>
      </c>
      <c r="D2529" s="183" t="s">
        <v>1650</v>
      </c>
      <c r="E2529" s="763">
        <v>42369</v>
      </c>
      <c r="F2529" s="191" t="s">
        <v>1316</v>
      </c>
      <c r="G2529" s="482" t="s">
        <v>1311</v>
      </c>
      <c r="H2529" s="748" t="s">
        <v>1226</v>
      </c>
      <c r="I2529" s="255">
        <v>162</v>
      </c>
      <c r="J2529" s="255">
        <v>662</v>
      </c>
      <c r="K2529" s="593">
        <f>ROUND(I2529*J2529,0)</f>
        <v>107244</v>
      </c>
      <c r="L2529" s="594" t="s">
        <v>259</v>
      </c>
      <c r="M2529" s="594" t="s">
        <v>174</v>
      </c>
      <c r="N2529" s="52" t="str">
        <f>IF(AND('331-CT'!$E$7=TH!H2529,OR(L2529="331",M2529="331")),"331",IF(AND(OR(L2529="131",M2529="131"),H2529='131-CT'!$E$7),"131",""))</f>
        <v/>
      </c>
      <c r="O2529" s="86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99"/>
    </row>
    <row r="2530" spans="1:27" s="210" customFormat="1" ht="15.75" customHeight="1">
      <c r="A2530" s="203" t="str">
        <f>IF(B2530&lt;&gt;"",IF(AND(B2530&gt;=_TM1,B2530&lt;=_TM2,OR(TH!L2530="1111",TH!M2530="1111")),TH!D2530,""),"")</f>
        <v/>
      </c>
      <c r="B2530" s="36">
        <f>IF(C2530&lt;&gt;"",MONTH(C2530),"")</f>
        <v>12</v>
      </c>
      <c r="C2530" s="183">
        <f>E2530</f>
        <v>42369</v>
      </c>
      <c r="D2530" s="183" t="s">
        <v>1650</v>
      </c>
      <c r="E2530" s="763">
        <v>42369</v>
      </c>
      <c r="F2530" s="191" t="s">
        <v>1317</v>
      </c>
      <c r="G2530" s="482" t="s">
        <v>1311</v>
      </c>
      <c r="H2530" s="748" t="s">
        <v>1226</v>
      </c>
      <c r="I2530" s="255">
        <v>648</v>
      </c>
      <c r="J2530" s="255">
        <v>493</v>
      </c>
      <c r="K2530" s="593">
        <f>ROUND(I2530*J2530,0)</f>
        <v>319464</v>
      </c>
      <c r="L2530" s="594" t="s">
        <v>259</v>
      </c>
      <c r="M2530" s="594" t="s">
        <v>174</v>
      </c>
      <c r="N2530" s="52" t="str">
        <f>IF(AND('331-CT'!$E$7=TH!H2530,OR(L2530="331",M2530="331")),"331",IF(AND(OR(L2530="131",M2530="131"),H2530='131-CT'!$E$7),"131",""))</f>
        <v/>
      </c>
      <c r="O2530" s="86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99"/>
    </row>
    <row r="2531" spans="1:27" s="210" customFormat="1" ht="15.75" customHeight="1">
      <c r="A2531" s="203" t="str">
        <f>IF(B2531&lt;&gt;"",IF(AND(B2531&gt;=_TM1,B2531&lt;=_TM2,OR(TH!L2531="1111",TH!M2531="1111")),TH!D2531,""),"")</f>
        <v/>
      </c>
      <c r="B2531" s="36">
        <f>IF(C2531&lt;&gt;"",MONTH(C2531),"")</f>
        <v>12</v>
      </c>
      <c r="C2531" s="183">
        <f>E2531</f>
        <v>42369</v>
      </c>
      <c r="D2531" s="183" t="s">
        <v>1650</v>
      </c>
      <c r="E2531" s="763">
        <v>42369</v>
      </c>
      <c r="F2531" s="191" t="s">
        <v>1318</v>
      </c>
      <c r="G2531" s="482" t="s">
        <v>1311</v>
      </c>
      <c r="H2531" s="748" t="s">
        <v>1226</v>
      </c>
      <c r="I2531" s="255">
        <v>500</v>
      </c>
      <c r="J2531" s="255">
        <v>3234</v>
      </c>
      <c r="K2531" s="593">
        <f>ROUND(I2531*J2531,0)</f>
        <v>1617000</v>
      </c>
      <c r="L2531" s="594" t="s">
        <v>259</v>
      </c>
      <c r="M2531" s="594" t="s">
        <v>174</v>
      </c>
      <c r="N2531" s="52" t="str">
        <f>IF(AND('331-CT'!$E$7=TH!H2531,OR(L2531="331",M2531="331")),"331",IF(AND(OR(L2531="131",M2531="131"),H2531='131-CT'!$E$7),"131",""))</f>
        <v/>
      </c>
      <c r="O2531" s="869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99"/>
    </row>
    <row r="2532" spans="1:27" s="210" customFormat="1" ht="15.75" customHeight="1">
      <c r="A2532" s="203" t="str">
        <f>IF(B2532&lt;&gt;"",IF(AND(B2532&gt;=_TM1,B2532&lt;=_TM2,OR(TH!L2532="1111",TH!M2532="1111")),TH!D2532,""),"")</f>
        <v/>
      </c>
      <c r="B2532" s="36">
        <f>IF(C2532&lt;&gt;"",MONTH(C2532),"")</f>
        <v>12</v>
      </c>
      <c r="C2532" s="183">
        <f>E2532</f>
        <v>42369</v>
      </c>
      <c r="D2532" s="183" t="s">
        <v>1650</v>
      </c>
      <c r="E2532" s="763">
        <v>42369</v>
      </c>
      <c r="F2532" s="191" t="s">
        <v>402</v>
      </c>
      <c r="G2532" s="482" t="s">
        <v>1311</v>
      </c>
      <c r="H2532" s="748" t="s">
        <v>1226</v>
      </c>
      <c r="I2532" s="255"/>
      <c r="J2532" s="255"/>
      <c r="K2532" s="593">
        <v>1456027</v>
      </c>
      <c r="L2532" s="594" t="s">
        <v>259</v>
      </c>
      <c r="M2532" s="594" t="s">
        <v>371</v>
      </c>
      <c r="N2532" s="52" t="str">
        <f>IF(AND('331-CT'!$E$7=TH!H2532,OR(L2532="331",M2532="331")),"331",IF(AND(OR(L2532="131",M2532="131"),H2532='131-CT'!$E$7),"131",""))</f>
        <v/>
      </c>
      <c r="O2532" s="86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99"/>
    </row>
    <row r="2533" spans="1:27" s="210" customFormat="1" ht="15.75" customHeight="1">
      <c r="A2533" s="203" t="str">
        <f>IF(B2533&lt;&gt;"",IF(AND(B2533&gt;=_TM1,B2533&lt;=_TM2,OR(TH!L2533="1111",TH!M2533="1111")),TH!D2533,""),"")</f>
        <v>GBC</v>
      </c>
      <c r="B2533" s="36">
        <f>IF(C2533&lt;&gt;"",MONTH(C2533),"")</f>
        <v>12</v>
      </c>
      <c r="C2533" s="183">
        <f>E2533</f>
        <v>42369</v>
      </c>
      <c r="D2533" s="190" t="s">
        <v>1319</v>
      </c>
      <c r="E2533" s="762">
        <v>42369</v>
      </c>
      <c r="F2533" s="191" t="s">
        <v>2026</v>
      </c>
      <c r="G2533" s="482"/>
      <c r="H2533" s="7" t="s">
        <v>762</v>
      </c>
      <c r="I2533" s="255"/>
      <c r="J2533" s="255"/>
      <c r="K2533" s="593">
        <v>10000000</v>
      </c>
      <c r="L2533" s="193" t="s">
        <v>56</v>
      </c>
      <c r="M2533" s="193" t="s">
        <v>47</v>
      </c>
      <c r="N2533" s="52" t="str">
        <f>IF(AND('331-CT'!$E$7=TH!H2533,OR(L2533="331",M2533="331")),"331",IF(AND(OR(L2533="131",M2533="131"),H2533='131-CT'!$E$7),"131",""))</f>
        <v/>
      </c>
      <c r="O2533" s="86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99"/>
    </row>
    <row r="2534" spans="1:27" s="210" customFormat="1" ht="15.75" customHeight="1">
      <c r="A2534" s="203" t="str">
        <f>IF(B2534&lt;&gt;"",IF(AND(B2534&gt;=_TM1,B2534&lt;=_TM2,OR(TH!L2534="1111",TH!M2534="1111")),TH!D2534,""),"")</f>
        <v>GBN</v>
      </c>
      <c r="B2534" s="36">
        <f>IF(C2534&lt;&gt;"",MONTH(C2534),"")</f>
        <v>12</v>
      </c>
      <c r="C2534" s="183">
        <f>E2534</f>
        <v>42369</v>
      </c>
      <c r="D2534" s="183" t="s">
        <v>1324</v>
      </c>
      <c r="E2534" s="763">
        <v>42369</v>
      </c>
      <c r="F2534" s="296" t="s">
        <v>1326</v>
      </c>
      <c r="G2534" s="482"/>
      <c r="H2534" s="831" t="s">
        <v>1930</v>
      </c>
      <c r="I2534" s="255"/>
      <c r="J2534" s="255"/>
      <c r="K2534" s="593">
        <v>838000</v>
      </c>
      <c r="L2534" s="594" t="s">
        <v>8</v>
      </c>
      <c r="M2534" s="594" t="s">
        <v>47</v>
      </c>
      <c r="N2534" s="52" t="str">
        <f>IF(AND('331-CT'!$E$7=TH!H2534,OR(L2534="331",M2534="331")),"331",IF(AND(OR(L2534="131",M2534="131"),H2534='131-CT'!$E$7),"131",""))</f>
        <v/>
      </c>
      <c r="O2534" s="86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99"/>
    </row>
    <row r="2535" spans="1:27" s="210" customFormat="1" ht="15.75" customHeight="1">
      <c r="A2535" s="203" t="str">
        <f>IF(B2535&lt;&gt;"",IF(AND(B2535&gt;=_TM1,B2535&lt;=_TM2,OR(TH!L2535="1111",TH!M2535="1111")),TH!D2535,""),"")</f>
        <v/>
      </c>
      <c r="B2535" s="36">
        <f>IF(C2535&lt;&gt;"",MONTH(C2535),"")</f>
        <v>12</v>
      </c>
      <c r="C2535" s="183">
        <f>E2535</f>
        <v>42369</v>
      </c>
      <c r="D2535" s="183" t="s">
        <v>1319</v>
      </c>
      <c r="E2535" s="763">
        <v>42369</v>
      </c>
      <c r="F2535" s="188" t="s">
        <v>1320</v>
      </c>
      <c r="G2535" s="482" t="s">
        <v>332</v>
      </c>
      <c r="H2535" s="7" t="s">
        <v>453</v>
      </c>
      <c r="I2535" s="255"/>
      <c r="J2535" s="255"/>
      <c r="K2535" s="593">
        <v>15920520</v>
      </c>
      <c r="L2535" s="594" t="s">
        <v>24</v>
      </c>
      <c r="M2535" s="594" t="s">
        <v>259</v>
      </c>
      <c r="N2535" s="52" t="str">
        <f>IF(AND('331-CT'!$E$7=TH!H2535,OR(L2535="331",M2535="331")),"331",IF(AND(OR(L2535="131",M2535="131"),H2535='131-CT'!$E$7),"131",""))</f>
        <v/>
      </c>
      <c r="O2535" s="86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>x</v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99"/>
    </row>
    <row r="2536" spans="1:27" s="210" customFormat="1" ht="15.75" customHeight="1">
      <c r="A2536" s="203" t="str">
        <f>IF(B2536&lt;&gt;"",IF(AND(B2536&gt;=_TM1,B2536&lt;=_TM2,OR(TH!L2536="1111",TH!M2536="1111")),TH!D2536,""),"")</f>
        <v>GBN</v>
      </c>
      <c r="B2536" s="36">
        <f>IF(C2536&lt;&gt;"",MONTH(C2536),"")</f>
        <v>12</v>
      </c>
      <c r="C2536" s="183">
        <f>E2536</f>
        <v>42369</v>
      </c>
      <c r="D2536" s="183" t="s">
        <v>1324</v>
      </c>
      <c r="E2536" s="763">
        <v>42369</v>
      </c>
      <c r="F2536" s="296" t="s">
        <v>1326</v>
      </c>
      <c r="G2536" s="482"/>
      <c r="H2536" s="831" t="s">
        <v>1929</v>
      </c>
      <c r="I2536" s="255"/>
      <c r="J2536" s="255"/>
      <c r="K2536" s="593">
        <v>3260378</v>
      </c>
      <c r="L2536" s="594" t="s">
        <v>8</v>
      </c>
      <c r="M2536" s="594" t="s">
        <v>47</v>
      </c>
      <c r="N2536" s="52" t="str">
        <f>IF(AND('331-CT'!$E$7=TH!H2536,OR(L2536="331",M2536="331")),"331",IF(AND(OR(L2536="131",M2536="131"),H2536='131-CT'!$E$7),"131",""))</f>
        <v/>
      </c>
      <c r="O2536" s="86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99"/>
    </row>
    <row r="2537" spans="1:27" s="210" customFormat="1" ht="15.75" customHeight="1">
      <c r="A2537" s="203" t="str">
        <f>IF(B2537&lt;&gt;"",IF(AND(B2537&gt;=_TM1,B2537&lt;=_TM2,OR(TH!L2537="1111",TH!M2537="1111")),TH!D2537,""),"")</f>
        <v/>
      </c>
      <c r="B2537" s="36">
        <f>IF(C2537&lt;&gt;"",MONTH(C2537),"")</f>
        <v>12</v>
      </c>
      <c r="C2537" s="183">
        <f>E2537</f>
        <v>42369</v>
      </c>
      <c r="D2537" s="183" t="s">
        <v>1324</v>
      </c>
      <c r="E2537" s="763">
        <v>42369</v>
      </c>
      <c r="F2537" s="296" t="s">
        <v>1326</v>
      </c>
      <c r="G2537" s="482" t="s">
        <v>332</v>
      </c>
      <c r="H2537" s="192" t="s">
        <v>1927</v>
      </c>
      <c r="I2537" s="255"/>
      <c r="J2537" s="255"/>
      <c r="K2537" s="593">
        <v>10000000</v>
      </c>
      <c r="L2537" s="594" t="s">
        <v>8</v>
      </c>
      <c r="M2537" s="594" t="s">
        <v>24</v>
      </c>
      <c r="N2537" s="52" t="str">
        <f>IF(AND('331-CT'!$E$7=TH!H2537,OR(L2537="331",M2537="331")),"331",IF(AND(OR(L2537="131",M2537="131"),H2537='131-CT'!$E$7),"131",""))</f>
        <v/>
      </c>
      <c r="O2537" s="86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>x</v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99"/>
    </row>
    <row r="2538" spans="1:27" s="210" customFormat="1" ht="15.75" customHeight="1">
      <c r="A2538" s="203" t="str">
        <f>IF(B2538&lt;&gt;"",IF(AND(B2538&gt;=_TM1,B2538&lt;=_TM2,OR(TH!L2538="1111",TH!M2538="1111")),TH!D2538,""),"")</f>
        <v>GBN</v>
      </c>
      <c r="B2538" s="36">
        <f>IF(C2538&lt;&gt;"",MONTH(C2538),"")</f>
        <v>12</v>
      </c>
      <c r="C2538" s="183">
        <f>E2538</f>
        <v>42369</v>
      </c>
      <c r="D2538" s="183" t="s">
        <v>1324</v>
      </c>
      <c r="E2538" s="763">
        <v>42369</v>
      </c>
      <c r="F2538" s="188" t="s">
        <v>1325</v>
      </c>
      <c r="G2538" s="482" t="s">
        <v>332</v>
      </c>
      <c r="H2538" s="7" t="s">
        <v>1337</v>
      </c>
      <c r="I2538" s="255"/>
      <c r="J2538" s="255"/>
      <c r="K2538" s="593">
        <v>20000000</v>
      </c>
      <c r="L2538" s="594" t="s">
        <v>47</v>
      </c>
      <c r="M2538" s="594" t="s">
        <v>24</v>
      </c>
      <c r="N2538" s="52" t="str">
        <f>IF(AND('331-CT'!$E$7=TH!H2538,OR(L2538="331",M2538="331")),"331",IF(AND(OR(L2538="131",M2538="131"),H2538='131-CT'!$E$7),"131",""))</f>
        <v/>
      </c>
      <c r="O2538" s="86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>x</v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799"/>
    </row>
    <row r="2539" spans="1:27" s="210" customFormat="1" ht="15.75" customHeight="1">
      <c r="A2539" s="203" t="str">
        <f>IF(B2539&lt;&gt;"",IF(AND(B2539&gt;=_TM1,B2539&lt;=_TM2,OR(TH!L2539="1111",TH!M2539="1111")),TH!D2539,""),"")</f>
        <v/>
      </c>
      <c r="B2539" s="36">
        <f>IF(C2539&lt;&gt;"",MONTH(C2539),"")</f>
        <v>12</v>
      </c>
      <c r="C2539" s="183">
        <f>E2539</f>
        <v>42369</v>
      </c>
      <c r="D2539" s="183" t="s">
        <v>1324</v>
      </c>
      <c r="E2539" s="763">
        <v>42369</v>
      </c>
      <c r="F2539" s="188" t="s">
        <v>1327</v>
      </c>
      <c r="G2539" s="482" t="s">
        <v>332</v>
      </c>
      <c r="H2539" s="7"/>
      <c r="I2539" s="255"/>
      <c r="J2539" s="255"/>
      <c r="K2539" s="593">
        <v>15000</v>
      </c>
      <c r="L2539" s="594" t="s">
        <v>83</v>
      </c>
      <c r="M2539" s="594" t="s">
        <v>24</v>
      </c>
      <c r="N2539" s="52" t="str">
        <f>IF(AND('331-CT'!$E$7=TH!H2539,OR(L2539="331",M2539="331")),"331",IF(AND(OR(L2539="131",M2539="131"),H2539='131-CT'!$E$7),"131",""))</f>
        <v/>
      </c>
      <c r="O2539" s="86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>x</v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>x</v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799"/>
    </row>
    <row r="2540" spans="1:27" s="210" customFormat="1" ht="15.75" customHeight="1">
      <c r="A2540" s="203" t="str">
        <f>IF(B2540&lt;&gt;"",IF(AND(B2540&gt;=_TM1,B2540&lt;=_TM2,OR(TH!L2540="1111",TH!M2540="1111")),TH!D2540,""),"")</f>
        <v/>
      </c>
      <c r="B2540" s="36">
        <f>IF(C2540&lt;&gt;"",MONTH(C2540),"")</f>
        <v>12</v>
      </c>
      <c r="C2540" s="183">
        <f>E2540</f>
        <v>42369</v>
      </c>
      <c r="D2540" s="183" t="s">
        <v>1324</v>
      </c>
      <c r="E2540" s="763">
        <v>42369</v>
      </c>
      <c r="F2540" s="188" t="s">
        <v>1343</v>
      </c>
      <c r="G2540" s="482" t="s">
        <v>332</v>
      </c>
      <c r="H2540" s="7"/>
      <c r="I2540" s="255"/>
      <c r="J2540" s="255"/>
      <c r="K2540" s="593">
        <v>30000</v>
      </c>
      <c r="L2540" s="594" t="s">
        <v>83</v>
      </c>
      <c r="M2540" s="594" t="s">
        <v>24</v>
      </c>
      <c r="N2540" s="52" t="str">
        <f>IF(AND('331-CT'!$E$7=TH!H2540,OR(L2540="331",M2540="331")),"331",IF(AND(OR(L2540="131",M2540="131"),H2540='131-CT'!$E$7),"131",""))</f>
        <v/>
      </c>
      <c r="O2540" s="86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>x</v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>x</v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799"/>
    </row>
    <row r="2541" spans="1:27" s="210" customFormat="1" ht="15.75" customHeight="1">
      <c r="A2541" s="203" t="str">
        <f>IF(B2541&lt;&gt;"",IF(AND(B2541&gt;=_TM1,B2541&lt;=_TM2,OR(TH!L2541="1111",TH!M2541="1111")),TH!D2541,""),"")</f>
        <v/>
      </c>
      <c r="B2541" s="36">
        <f>IF(C2541&lt;&gt;"",MONTH(C2541),"")</f>
        <v>12</v>
      </c>
      <c r="C2541" s="183">
        <f>E2541</f>
        <v>42369</v>
      </c>
      <c r="D2541" s="190" t="s">
        <v>334</v>
      </c>
      <c r="E2541" s="725">
        <v>42369</v>
      </c>
      <c r="F2541" s="191" t="s">
        <v>2023</v>
      </c>
      <c r="G2541" s="482"/>
      <c r="H2541" s="192" t="s">
        <v>2022</v>
      </c>
      <c r="I2541" s="255"/>
      <c r="J2541" s="255"/>
      <c r="K2541" s="593">
        <v>90627970</v>
      </c>
      <c r="L2541" s="594" t="s">
        <v>9</v>
      </c>
      <c r="M2541" s="594" t="s">
        <v>17</v>
      </c>
      <c r="N2541" s="52" t="str">
        <f>IF(AND('331-CT'!$E$7=TH!H2541,OR(L2541="331",M2541="331")),"331",IF(AND(OR(L2541="131",M2541="131"),H2541='131-CT'!$E$7),"131",""))</f>
        <v/>
      </c>
      <c r="O2541" s="86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799"/>
    </row>
    <row r="2542" spans="1:27" s="906" customFormat="1" ht="15.75" customHeight="1">
      <c r="A2542" s="203" t="str">
        <f>IF(B2542&lt;&gt;"",IF(AND(B2542&gt;=_TM1,B2542&lt;=_TM2,OR(TH!L2542="1111",TH!M2542="1111")),TH!D2542,""),"")</f>
        <v/>
      </c>
      <c r="B2542" s="898">
        <f t="shared" ref="B2493:B2566" si="3">IF(C2542&lt;&gt;"",MONTH(C2542),"")</f>
        <v>1</v>
      </c>
      <c r="C2542" s="899">
        <f t="shared" ref="C2521:C2594" si="4">E2542</f>
        <v>42006</v>
      </c>
      <c r="D2542" s="900" t="s">
        <v>1958</v>
      </c>
      <c r="E2542" s="901">
        <v>42006</v>
      </c>
      <c r="F2542" s="49" t="s">
        <v>1871</v>
      </c>
      <c r="G2542" s="902"/>
      <c r="H2542" s="903" t="s">
        <v>1946</v>
      </c>
      <c r="I2542" s="253">
        <v>500</v>
      </c>
      <c r="J2542" s="253">
        <v>9800</v>
      </c>
      <c r="K2542" s="904">
        <f>ROUND(I2542*J2542,0)</f>
        <v>4900000</v>
      </c>
      <c r="L2542" s="52" t="s">
        <v>165</v>
      </c>
      <c r="M2542" s="905" t="s">
        <v>161</v>
      </c>
      <c r="N2542" s="52" t="str">
        <f>IF(AND('331-CT'!$E$7=TH!H2542,OR(L2542="331",M2542="331")),"331",IF(AND(OR(L2542="131",M2542="131"),H2542='131-CT'!$E$7),"131",""))</f>
        <v/>
      </c>
      <c r="O2542" s="86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72"/>
    </row>
    <row r="2543" spans="1:27" s="906" customFormat="1" ht="15.75" customHeight="1">
      <c r="A2543" s="203" t="str">
        <f>IF(B2543&lt;&gt;"",IF(AND(B2543&gt;=_TM1,B2543&lt;=_TM2,OR(TH!L2543="1111",TH!M2543="1111")),TH!D2543,""),"")</f>
        <v/>
      </c>
      <c r="B2543" s="898">
        <f t="shared" si="3"/>
        <v>1</v>
      </c>
      <c r="C2543" s="899">
        <f t="shared" si="4"/>
        <v>42006</v>
      </c>
      <c r="D2543" s="900" t="s">
        <v>1958</v>
      </c>
      <c r="E2543" s="901">
        <v>42006</v>
      </c>
      <c r="F2543" s="49" t="s">
        <v>2017</v>
      </c>
      <c r="G2543" s="902"/>
      <c r="H2543" s="903" t="s">
        <v>1946</v>
      </c>
      <c r="I2543" s="253">
        <v>500</v>
      </c>
      <c r="J2543" s="253">
        <v>11000</v>
      </c>
      <c r="K2543" s="904">
        <f t="shared" ref="K2543:K2566" si="5">ROUND(I2543*J2543,0)</f>
        <v>5500000</v>
      </c>
      <c r="L2543" s="52" t="s">
        <v>165</v>
      </c>
      <c r="M2543" s="905" t="s">
        <v>161</v>
      </c>
      <c r="N2543" s="52" t="str">
        <f>IF(AND('331-CT'!$E$7=TH!H2543,OR(L2543="331",M2543="331")),"331",IF(AND(OR(L2543="131",M2543="131"),H2543='131-CT'!$E$7),"131",""))</f>
        <v/>
      </c>
      <c r="O2543" s="86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72"/>
    </row>
    <row r="2544" spans="1:27" s="906" customFormat="1" ht="15.75" customHeight="1">
      <c r="A2544" s="203" t="str">
        <f>IF(B2544&lt;&gt;"",IF(AND(B2544&gt;=_TM1,B2544&lt;=_TM2,OR(TH!L2544="1111",TH!M2544="1111")),TH!D2544,""),"")</f>
        <v/>
      </c>
      <c r="B2544" s="898">
        <f t="shared" si="3"/>
        <v>1</v>
      </c>
      <c r="C2544" s="899">
        <f t="shared" si="4"/>
        <v>42011</v>
      </c>
      <c r="D2544" s="900" t="s">
        <v>1958</v>
      </c>
      <c r="E2544" s="901">
        <v>42011</v>
      </c>
      <c r="F2544" s="907" t="s">
        <v>356</v>
      </c>
      <c r="G2544" s="902"/>
      <c r="H2544" s="903" t="s">
        <v>1946</v>
      </c>
      <c r="I2544" s="253">
        <v>100</v>
      </c>
      <c r="J2544" s="253">
        <v>21000</v>
      </c>
      <c r="K2544" s="904">
        <f t="shared" si="5"/>
        <v>2100000</v>
      </c>
      <c r="L2544" s="52" t="s">
        <v>165</v>
      </c>
      <c r="M2544" s="905" t="s">
        <v>161</v>
      </c>
      <c r="N2544" s="52" t="str">
        <f>IF(AND('331-CT'!$E$7=TH!H2544,OR(L2544="331",M2544="331")),"331",IF(AND(OR(L2544="131",M2544="131"),H2544='131-CT'!$E$7),"131",""))</f>
        <v/>
      </c>
      <c r="O2544" s="869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>x</v>
      </c>
      <c r="Z2544" s="52" t="str">
        <f>IF(AND(B2544&lt;=NKC!$N$8,B2544&gt;=NKC!$M$8),"x","")</f>
        <v/>
      </c>
      <c r="AA2544" s="772"/>
    </row>
    <row r="2545" spans="1:27" s="906" customFormat="1" ht="15.75" customHeight="1">
      <c r="A2545" s="203" t="str">
        <f>IF(B2545&lt;&gt;"",IF(AND(B2545&gt;=_TM1,B2545&lt;=_TM2,OR(TH!L2545="1111",TH!M2545="1111")),TH!D2545,""),"")</f>
        <v/>
      </c>
      <c r="B2545" s="898">
        <f t="shared" si="3"/>
        <v>1</v>
      </c>
      <c r="C2545" s="899">
        <f t="shared" si="4"/>
        <v>42032</v>
      </c>
      <c r="D2545" s="900" t="s">
        <v>1958</v>
      </c>
      <c r="E2545" s="901">
        <v>42032</v>
      </c>
      <c r="F2545" s="907" t="s">
        <v>337</v>
      </c>
      <c r="G2545" s="902"/>
      <c r="H2545" s="903" t="s">
        <v>1946</v>
      </c>
      <c r="I2545" s="253">
        <v>24</v>
      </c>
      <c r="J2545" s="253">
        <v>43000</v>
      </c>
      <c r="K2545" s="904">
        <f t="shared" si="5"/>
        <v>1032000</v>
      </c>
      <c r="L2545" s="52" t="s">
        <v>165</v>
      </c>
      <c r="M2545" s="905" t="s">
        <v>161</v>
      </c>
      <c r="N2545" s="52" t="str">
        <f>IF(AND('331-CT'!$E$7=TH!H2545,OR(L2545="331",M2545="331")),"331",IF(AND(OR(L2545="131",M2545="131"),H2545='131-CT'!$E$7),"131",""))</f>
        <v/>
      </c>
      <c r="O2545" s="86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772"/>
    </row>
    <row r="2546" spans="1:27" s="906" customFormat="1" ht="15.75" customHeight="1">
      <c r="A2546" s="203" t="str">
        <f>IF(B2546&lt;&gt;"",IF(AND(B2546&gt;=_TM1,B2546&lt;=_TM2,OR(TH!L2546="1111",TH!M2546="1111")),TH!D2546,""),"")</f>
        <v/>
      </c>
      <c r="B2546" s="898">
        <f t="shared" ref="B2546" si="6">IF(C2546&lt;&gt;"",MONTH(C2546),"")</f>
        <v>3</v>
      </c>
      <c r="C2546" s="899">
        <f t="shared" ref="C2546" si="7">E2546</f>
        <v>42077</v>
      </c>
      <c r="D2546" s="900" t="s">
        <v>1958</v>
      </c>
      <c r="E2546" s="901">
        <v>42077</v>
      </c>
      <c r="F2546" s="907" t="s">
        <v>337</v>
      </c>
      <c r="G2546" s="902"/>
      <c r="H2546" s="903" t="s">
        <v>1946</v>
      </c>
      <c r="I2546" s="253">
        <v>24</v>
      </c>
      <c r="J2546" s="253">
        <v>43000</v>
      </c>
      <c r="K2546" s="904">
        <f t="shared" ref="K2546" si="8">ROUND(I2546*J2546,0)</f>
        <v>1032000</v>
      </c>
      <c r="L2546" s="52" t="s">
        <v>165</v>
      </c>
      <c r="M2546" s="905" t="s">
        <v>161</v>
      </c>
      <c r="N2546" s="52" t="str">
        <f>IF(AND('331-CT'!$E$7=TH!H2546,OR(L2546="331",M2546="331")),"331",IF(AND(OR(L2546="131",M2546="131"),H2546='131-CT'!$E$7),"131",""))</f>
        <v/>
      </c>
      <c r="O2546" s="86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772"/>
    </row>
    <row r="2547" spans="1:27" s="906" customFormat="1" ht="15.75" customHeight="1">
      <c r="A2547" s="203" t="str">
        <f>IF(B2547&lt;&gt;"",IF(AND(B2547&gt;=_TM1,B2547&lt;=_TM2,OR(TH!L2547="1111",TH!M2547="1111")),TH!D2547,""),"")</f>
        <v/>
      </c>
      <c r="B2547" s="898">
        <f t="shared" si="3"/>
        <v>2</v>
      </c>
      <c r="C2547" s="899">
        <f t="shared" si="4"/>
        <v>42045</v>
      </c>
      <c r="D2547" s="900" t="s">
        <v>1958</v>
      </c>
      <c r="E2547" s="901">
        <v>42045</v>
      </c>
      <c r="F2547" s="907" t="s">
        <v>1372</v>
      </c>
      <c r="G2547" s="902"/>
      <c r="H2547" s="903" t="s">
        <v>1946</v>
      </c>
      <c r="I2547" s="253">
        <v>60</v>
      </c>
      <c r="J2547" s="253">
        <v>17500</v>
      </c>
      <c r="K2547" s="904">
        <f t="shared" si="5"/>
        <v>1050000</v>
      </c>
      <c r="L2547" s="52" t="s">
        <v>165</v>
      </c>
      <c r="M2547" s="905" t="s">
        <v>161</v>
      </c>
      <c r="N2547" s="52" t="str">
        <f>IF(AND('331-CT'!$E$7=TH!H2547,OR(L2547="331",M2547="331")),"331",IF(AND(OR(L2547="131",M2547="131"),H2547='131-CT'!$E$7),"131",""))</f>
        <v/>
      </c>
      <c r="O2547" s="86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772"/>
    </row>
    <row r="2548" spans="1:27" s="906" customFormat="1" ht="15.75" customHeight="1">
      <c r="A2548" s="203" t="str">
        <f>IF(B2548&lt;&gt;"",IF(AND(B2548&gt;=_TM1,B2548&lt;=_TM2,OR(TH!L2548="1111",TH!M2548="1111")),TH!D2548,""),"")</f>
        <v/>
      </c>
      <c r="B2548" s="898">
        <f t="shared" si="3"/>
        <v>4</v>
      </c>
      <c r="C2548" s="899">
        <f t="shared" si="4"/>
        <v>42104</v>
      </c>
      <c r="D2548" s="900" t="s">
        <v>1958</v>
      </c>
      <c r="E2548" s="901">
        <v>42104</v>
      </c>
      <c r="F2548" s="907" t="s">
        <v>337</v>
      </c>
      <c r="G2548" s="902"/>
      <c r="H2548" s="903" t="s">
        <v>1946</v>
      </c>
      <c r="I2548" s="253">
        <v>24</v>
      </c>
      <c r="J2548" s="253">
        <v>43000</v>
      </c>
      <c r="K2548" s="904">
        <f t="shared" si="5"/>
        <v>1032000</v>
      </c>
      <c r="L2548" s="52" t="s">
        <v>165</v>
      </c>
      <c r="M2548" s="905" t="s">
        <v>161</v>
      </c>
      <c r="N2548" s="52" t="str">
        <f>IF(AND('331-CT'!$E$7=TH!H2548,OR(L2548="331",M2548="331")),"331",IF(AND(OR(L2548="131",M2548="131"),H2548='131-CT'!$E$7),"131",""))</f>
        <v/>
      </c>
      <c r="O2548" s="86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772"/>
    </row>
    <row r="2549" spans="1:27" s="906" customFormat="1" ht="15.75" customHeight="1">
      <c r="A2549" s="203" t="str">
        <f>IF(B2549&lt;&gt;"",IF(AND(B2549&gt;=_TM1,B2549&lt;=_TM2,OR(TH!L2549="1111",TH!M2549="1111")),TH!D2549,""),"")</f>
        <v/>
      </c>
      <c r="B2549" s="898">
        <f t="shared" si="3"/>
        <v>5</v>
      </c>
      <c r="C2549" s="899">
        <f t="shared" si="4"/>
        <v>42154</v>
      </c>
      <c r="D2549" s="900" t="s">
        <v>1958</v>
      </c>
      <c r="E2549" s="901">
        <v>42154</v>
      </c>
      <c r="F2549" s="907" t="s">
        <v>337</v>
      </c>
      <c r="G2549" s="902"/>
      <c r="H2549" s="903" t="s">
        <v>1946</v>
      </c>
      <c r="I2549" s="253">
        <v>24</v>
      </c>
      <c r="J2549" s="253">
        <v>44000</v>
      </c>
      <c r="K2549" s="904">
        <f t="shared" si="5"/>
        <v>1056000</v>
      </c>
      <c r="L2549" s="52" t="s">
        <v>165</v>
      </c>
      <c r="M2549" s="905" t="s">
        <v>161</v>
      </c>
      <c r="N2549" s="52" t="str">
        <f>IF(AND('331-CT'!$E$7=TH!H2549,OR(L2549="331",M2549="331")),"331",IF(AND(OR(L2549="131",M2549="131"),H2549='131-CT'!$E$7),"131",""))</f>
        <v/>
      </c>
      <c r="O2549" s="86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772"/>
    </row>
    <row r="2550" spans="1:27" s="906" customFormat="1" ht="15.75" customHeight="1">
      <c r="A2550" s="203" t="str">
        <f>IF(B2550&lt;&gt;"",IF(AND(B2550&gt;=_TM1,B2550&lt;=_TM2,OR(TH!L2550="1111",TH!M2550="1111")),TH!D2550,""),"")</f>
        <v/>
      </c>
      <c r="B2550" s="898">
        <f t="shared" ref="B2550:B2554" si="9">IF(C2550&lt;&gt;"",MONTH(C2550),"")</f>
        <v>4</v>
      </c>
      <c r="C2550" s="899">
        <f t="shared" ref="C2550:C2554" si="10">E2550</f>
        <v>42095</v>
      </c>
      <c r="D2550" s="900" t="s">
        <v>1958</v>
      </c>
      <c r="E2550" s="901">
        <v>42095</v>
      </c>
      <c r="F2550" s="907" t="s">
        <v>1871</v>
      </c>
      <c r="G2550" s="902"/>
      <c r="H2550" s="903" t="s">
        <v>1946</v>
      </c>
      <c r="I2550" s="253">
        <v>1000</v>
      </c>
      <c r="J2550" s="253">
        <v>9800</v>
      </c>
      <c r="K2550" s="904">
        <f t="shared" ref="K2550:K2554" si="11">ROUND(I2550*J2550,0)</f>
        <v>9800000</v>
      </c>
      <c r="L2550" s="52" t="s">
        <v>165</v>
      </c>
      <c r="M2550" s="905" t="s">
        <v>161</v>
      </c>
      <c r="N2550" s="52" t="str">
        <f>IF(AND('331-CT'!$E$7=TH!H2550,OR(L2550="331",M2550="331")),"331",IF(AND(OR(L2550="131",M2550="131"),H2550='131-CT'!$E$7),"131",""))</f>
        <v/>
      </c>
      <c r="O2550" s="86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772"/>
    </row>
    <row r="2551" spans="1:27" s="906" customFormat="1" ht="15.75" customHeight="1">
      <c r="A2551" s="203" t="str">
        <f>IF(B2551&lt;&gt;"",IF(AND(B2551&gt;=_TM1,B2551&lt;=_TM2,OR(TH!L2551="1111",TH!M2551="1111")),TH!D2551,""),"")</f>
        <v/>
      </c>
      <c r="B2551" s="898">
        <f t="shared" si="9"/>
        <v>4</v>
      </c>
      <c r="C2551" s="899">
        <f t="shared" si="10"/>
        <v>42095</v>
      </c>
      <c r="D2551" s="900" t="s">
        <v>1958</v>
      </c>
      <c r="E2551" s="901">
        <v>42095</v>
      </c>
      <c r="F2551" s="907" t="s">
        <v>2017</v>
      </c>
      <c r="G2551" s="902"/>
      <c r="H2551" s="903" t="s">
        <v>1946</v>
      </c>
      <c r="I2551" s="253">
        <v>1000</v>
      </c>
      <c r="J2551" s="253">
        <v>11000</v>
      </c>
      <c r="K2551" s="904">
        <f t="shared" si="11"/>
        <v>11000000</v>
      </c>
      <c r="L2551" s="52" t="s">
        <v>165</v>
      </c>
      <c r="M2551" s="905" t="s">
        <v>161</v>
      </c>
      <c r="N2551" s="52" t="str">
        <f>IF(AND('331-CT'!$E$7=TH!H2551,OR(L2551="331",M2551="331")),"331",IF(AND(OR(L2551="131",M2551="131"),H2551='131-CT'!$E$7),"131",""))</f>
        <v/>
      </c>
      <c r="O2551" s="86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772"/>
    </row>
    <row r="2552" spans="1:27" s="906" customFormat="1" ht="15.75" customHeight="1">
      <c r="A2552" s="203" t="str">
        <f>IF(B2552&lt;&gt;"",IF(AND(B2552&gt;=_TM1,B2552&lt;=_TM2,OR(TH!L2552="1111",TH!M2552="1111")),TH!D2552,""),"")</f>
        <v/>
      </c>
      <c r="B2552" s="898">
        <f t="shared" ref="B2552:B2553" si="12">IF(C2552&lt;&gt;"",MONTH(C2552),"")</f>
        <v>4</v>
      </c>
      <c r="C2552" s="899">
        <f t="shared" ref="C2552:C2553" si="13">E2552</f>
        <v>42095</v>
      </c>
      <c r="D2552" s="900" t="s">
        <v>1958</v>
      </c>
      <c r="E2552" s="908">
        <v>42095</v>
      </c>
      <c r="F2552" s="907" t="s">
        <v>356</v>
      </c>
      <c r="G2552" s="902"/>
      <c r="H2552" s="903" t="s">
        <v>1946</v>
      </c>
      <c r="I2552" s="253">
        <v>100</v>
      </c>
      <c r="J2552" s="253">
        <v>21000</v>
      </c>
      <c r="K2552" s="904">
        <f t="shared" ref="K2552:K2553" si="14">ROUND(I2552*J2552,0)</f>
        <v>2100000</v>
      </c>
      <c r="L2552" s="52" t="s">
        <v>165</v>
      </c>
      <c r="M2552" s="905" t="s">
        <v>161</v>
      </c>
      <c r="N2552" s="52" t="str">
        <f>IF(AND('331-CT'!$E$7=TH!H2552,OR(L2552="331",M2552="331")),"331",IF(AND(OR(L2552="131",M2552="131"),H2552='131-CT'!$E$7),"131",""))</f>
        <v/>
      </c>
      <c r="O2552" s="86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>x</v>
      </c>
      <c r="Z2552" s="52" t="str">
        <f>IF(AND(B2552&lt;=NKC!$N$8,B2552&gt;=NKC!$M$8),"x","")</f>
        <v/>
      </c>
      <c r="AA2552" s="772"/>
    </row>
    <row r="2553" spans="1:27" s="906" customFormat="1" ht="15.75" customHeight="1">
      <c r="A2553" s="203" t="str">
        <f>IF(B2553&lt;&gt;"",IF(AND(B2553&gt;=_TM1,B2553&lt;=_TM2,OR(TH!L2553="1111",TH!M2553="1111")),TH!D2553,""),"")</f>
        <v/>
      </c>
      <c r="B2553" s="898">
        <f t="shared" si="12"/>
        <v>8</v>
      </c>
      <c r="C2553" s="899">
        <f t="shared" si="13"/>
        <v>42233</v>
      </c>
      <c r="D2553" s="900" t="s">
        <v>1958</v>
      </c>
      <c r="E2553" s="901">
        <v>42233</v>
      </c>
      <c r="F2553" s="907" t="s">
        <v>1455</v>
      </c>
      <c r="G2553" s="902"/>
      <c r="H2553" s="903" t="s">
        <v>1946</v>
      </c>
      <c r="I2553" s="253">
        <v>15560</v>
      </c>
      <c r="J2553" s="253">
        <v>810</v>
      </c>
      <c r="K2553" s="904">
        <f t="shared" si="14"/>
        <v>12603600</v>
      </c>
      <c r="L2553" s="52" t="s">
        <v>165</v>
      </c>
      <c r="M2553" s="905" t="s">
        <v>161</v>
      </c>
      <c r="N2553" s="52" t="str">
        <f>IF(AND('331-CT'!$E$7=TH!H2553,OR(L2553="331",M2553="331")),"331",IF(AND(OR(L2553="131",M2553="131"),H2553='131-CT'!$E$7),"131",""))</f>
        <v/>
      </c>
      <c r="O2553" s="86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772"/>
    </row>
    <row r="2554" spans="1:27" s="906" customFormat="1" ht="15.75" customHeight="1">
      <c r="A2554" s="203" t="str">
        <f>IF(B2554&lt;&gt;"",IF(AND(B2554&gt;=_TM1,B2554&lt;=_TM2,OR(TH!L2554="1111",TH!M2554="1111")),TH!D2554,""),"")</f>
        <v/>
      </c>
      <c r="B2554" s="898">
        <f t="shared" si="9"/>
        <v>8</v>
      </c>
      <c r="C2554" s="899">
        <f t="shared" si="10"/>
        <v>42242</v>
      </c>
      <c r="D2554" s="900" t="s">
        <v>1958</v>
      </c>
      <c r="E2554" s="908">
        <v>42242</v>
      </c>
      <c r="F2554" s="907" t="s">
        <v>1460</v>
      </c>
      <c r="G2554" s="902"/>
      <c r="H2554" s="903" t="s">
        <v>1946</v>
      </c>
      <c r="I2554" s="253">
        <v>200</v>
      </c>
      <c r="J2554" s="253">
        <v>19000</v>
      </c>
      <c r="K2554" s="904">
        <f t="shared" si="11"/>
        <v>3800000</v>
      </c>
      <c r="L2554" s="52" t="s">
        <v>165</v>
      </c>
      <c r="M2554" s="905" t="s">
        <v>161</v>
      </c>
      <c r="N2554" s="52" t="str">
        <f>IF(AND('331-CT'!$E$7=TH!H2554,OR(L2554="331",M2554="331")),"331",IF(AND(OR(L2554="131",M2554="131"),H2554='131-CT'!$E$7),"131",""))</f>
        <v/>
      </c>
      <c r="O2554" s="86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772"/>
    </row>
    <row r="2555" spans="1:27" s="906" customFormat="1" ht="15.75" customHeight="1">
      <c r="A2555" s="203" t="str">
        <f>IF(B2555&lt;&gt;"",IF(AND(B2555&gt;=_TM1,B2555&lt;=_TM2,OR(TH!L2555="1111",TH!M2555="1111")),TH!D2555,""),"")</f>
        <v/>
      </c>
      <c r="B2555" s="898">
        <f t="shared" si="3"/>
        <v>7</v>
      </c>
      <c r="C2555" s="899">
        <f t="shared" si="4"/>
        <v>42186</v>
      </c>
      <c r="D2555" s="900" t="s">
        <v>1958</v>
      </c>
      <c r="E2555" s="901">
        <v>42186</v>
      </c>
      <c r="F2555" s="907" t="s">
        <v>1871</v>
      </c>
      <c r="G2555" s="902"/>
      <c r="H2555" s="903" t="s">
        <v>1946</v>
      </c>
      <c r="I2555" s="253">
        <v>1000</v>
      </c>
      <c r="J2555" s="253">
        <v>9800</v>
      </c>
      <c r="K2555" s="904">
        <f t="shared" si="5"/>
        <v>9800000</v>
      </c>
      <c r="L2555" s="52" t="s">
        <v>165</v>
      </c>
      <c r="M2555" s="905" t="s">
        <v>161</v>
      </c>
      <c r="N2555" s="52" t="str">
        <f>IF(AND('331-CT'!$E$7=TH!H2555,OR(L2555="331",M2555="331")),"331",IF(AND(OR(L2555="131",M2555="131"),H2555='131-CT'!$E$7),"131",""))</f>
        <v/>
      </c>
      <c r="O2555" s="86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772"/>
    </row>
    <row r="2556" spans="1:27" s="906" customFormat="1" ht="15.75" customHeight="1">
      <c r="A2556" s="203" t="str">
        <f>IF(B2556&lt;&gt;"",IF(AND(B2556&gt;=_TM1,B2556&lt;=_TM2,OR(TH!L2556="1111",TH!M2556="1111")),TH!D2556,""),"")</f>
        <v/>
      </c>
      <c r="B2556" s="898">
        <f t="shared" si="3"/>
        <v>7</v>
      </c>
      <c r="C2556" s="899">
        <f t="shared" si="4"/>
        <v>42186</v>
      </c>
      <c r="D2556" s="900" t="s">
        <v>1958</v>
      </c>
      <c r="E2556" s="901">
        <v>42186</v>
      </c>
      <c r="F2556" s="907" t="s">
        <v>2017</v>
      </c>
      <c r="G2556" s="902"/>
      <c r="H2556" s="903" t="s">
        <v>1946</v>
      </c>
      <c r="I2556" s="253">
        <v>1000</v>
      </c>
      <c r="J2556" s="253">
        <v>11000</v>
      </c>
      <c r="K2556" s="904">
        <f t="shared" si="5"/>
        <v>11000000</v>
      </c>
      <c r="L2556" s="52" t="s">
        <v>165</v>
      </c>
      <c r="M2556" s="905" t="s">
        <v>161</v>
      </c>
      <c r="N2556" s="52" t="str">
        <f>IF(AND('331-CT'!$E$7=TH!H2556,OR(L2556="331",M2556="331")),"331",IF(AND(OR(L2556="131",M2556="131"),H2556='131-CT'!$E$7),"131",""))</f>
        <v/>
      </c>
      <c r="O2556" s="86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772"/>
    </row>
    <row r="2557" spans="1:27" s="906" customFormat="1" ht="15.75" customHeight="1">
      <c r="A2557" s="203" t="str">
        <f>IF(B2557&lt;&gt;"",IF(AND(B2557&gt;=_TM1,B2557&lt;=_TM2,OR(TH!L2557="1111",TH!M2557="1111")),TH!D2557,""),"")</f>
        <v/>
      </c>
      <c r="B2557" s="898">
        <f t="shared" si="3"/>
        <v>7</v>
      </c>
      <c r="C2557" s="899">
        <f t="shared" si="4"/>
        <v>42198</v>
      </c>
      <c r="D2557" s="900" t="s">
        <v>1958</v>
      </c>
      <c r="E2557" s="908">
        <v>42198</v>
      </c>
      <c r="F2557" s="907" t="s">
        <v>337</v>
      </c>
      <c r="G2557" s="902"/>
      <c r="H2557" s="903" t="s">
        <v>1946</v>
      </c>
      <c r="I2557" s="253">
        <v>24</v>
      </c>
      <c r="J2557" s="253">
        <v>44000</v>
      </c>
      <c r="K2557" s="904">
        <f t="shared" si="5"/>
        <v>1056000</v>
      </c>
      <c r="L2557" s="52" t="s">
        <v>165</v>
      </c>
      <c r="M2557" s="905" t="s">
        <v>161</v>
      </c>
      <c r="N2557" s="52" t="str">
        <f>IF(AND('331-CT'!$E$7=TH!H2557,OR(L2557="331",M2557="331")),"331",IF(AND(OR(L2557="131",M2557="131"),H2557='131-CT'!$E$7),"131",""))</f>
        <v/>
      </c>
      <c r="O2557" s="869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772"/>
    </row>
    <row r="2558" spans="1:27" s="906" customFormat="1" ht="15.75" customHeight="1">
      <c r="A2558" s="203" t="str">
        <f>IF(B2558&lt;&gt;"",IF(AND(B2558&gt;=_TM1,B2558&lt;=_TM2,OR(TH!L2558="1111",TH!M2558="1111")),TH!D2558,""),"")</f>
        <v/>
      </c>
      <c r="B2558" s="898">
        <f t="shared" si="3"/>
        <v>8</v>
      </c>
      <c r="C2558" s="899">
        <f t="shared" si="4"/>
        <v>42244</v>
      </c>
      <c r="D2558" s="900" t="s">
        <v>1958</v>
      </c>
      <c r="E2558" s="908">
        <v>42244</v>
      </c>
      <c r="F2558" s="907" t="s">
        <v>337</v>
      </c>
      <c r="G2558" s="902"/>
      <c r="H2558" s="903" t="s">
        <v>1946</v>
      </c>
      <c r="I2558" s="253">
        <v>24</v>
      </c>
      <c r="J2558" s="253">
        <v>43000</v>
      </c>
      <c r="K2558" s="904">
        <f t="shared" si="5"/>
        <v>1032000</v>
      </c>
      <c r="L2558" s="52" t="s">
        <v>165</v>
      </c>
      <c r="M2558" s="905" t="s">
        <v>161</v>
      </c>
      <c r="N2558" s="52" t="str">
        <f>IF(AND('331-CT'!$E$7=TH!H2558,OR(L2558="331",M2558="331")),"331",IF(AND(OR(L2558="131",M2558="131"),H2558='131-CT'!$E$7),"131",""))</f>
        <v/>
      </c>
      <c r="O2558" s="86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772"/>
    </row>
    <row r="2559" spans="1:27" s="906" customFormat="1" ht="15.75" customHeight="1">
      <c r="A2559" s="203" t="str">
        <f>IF(B2559&lt;&gt;"",IF(AND(B2559&gt;=_TM1,B2559&lt;=_TM2,OR(TH!L2559="1111",TH!M2559="1111")),TH!D2559,""),"")</f>
        <v/>
      </c>
      <c r="B2559" s="898">
        <f t="shared" ref="B2559:B2563" si="15">IF(C2559&lt;&gt;"",MONTH(C2559),"")</f>
        <v>7</v>
      </c>
      <c r="C2559" s="899">
        <f t="shared" ref="C2559:C2563" si="16">E2559</f>
        <v>42186</v>
      </c>
      <c r="D2559" s="900" t="s">
        <v>1958</v>
      </c>
      <c r="E2559" s="908">
        <v>42186</v>
      </c>
      <c r="F2559" s="907" t="s">
        <v>356</v>
      </c>
      <c r="G2559" s="902"/>
      <c r="H2559" s="903" t="s">
        <v>1946</v>
      </c>
      <c r="I2559" s="909">
        <v>150</v>
      </c>
      <c r="J2559" s="909">
        <v>18181</v>
      </c>
      <c r="K2559" s="904">
        <f t="shared" ref="K2559:K2563" si="17">ROUND(I2559*J2559,0)</f>
        <v>2727150</v>
      </c>
      <c r="L2559" s="52" t="s">
        <v>165</v>
      </c>
      <c r="M2559" s="905" t="s">
        <v>161</v>
      </c>
      <c r="N2559" s="52" t="str">
        <f>IF(AND('331-CT'!$E$7=TH!H2559,OR(L2559="331",M2559="331")),"331",IF(AND(OR(L2559="131",M2559="131"),H2559='131-CT'!$E$7),"131",""))</f>
        <v/>
      </c>
      <c r="O2559" s="86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>x</v>
      </c>
      <c r="Z2559" s="52" t="str">
        <f>IF(AND(B2559&lt;=NKC!$N$8,B2559&gt;=NKC!$M$8),"x","")</f>
        <v>x</v>
      </c>
      <c r="AA2559" s="772"/>
    </row>
    <row r="2560" spans="1:27" s="906" customFormat="1" ht="15.75" customHeight="1">
      <c r="A2560" s="203" t="str">
        <f>IF(B2560&lt;&gt;"",IF(AND(B2560&gt;=_TM1,B2560&lt;=_TM2,OR(TH!L2560="1111",TH!M2560="1111")),TH!D2560,""),"")</f>
        <v/>
      </c>
      <c r="B2560" s="898">
        <f t="shared" ref="B2560:B2562" si="18">IF(C2560&lt;&gt;"",MONTH(C2560),"")</f>
        <v>9</v>
      </c>
      <c r="C2560" s="899">
        <f t="shared" ref="C2560:C2562" si="19">E2560</f>
        <v>42248</v>
      </c>
      <c r="D2560" s="900" t="s">
        <v>1958</v>
      </c>
      <c r="E2560" s="908">
        <v>42248</v>
      </c>
      <c r="F2560" s="907" t="s">
        <v>1455</v>
      </c>
      <c r="G2560" s="902"/>
      <c r="H2560" s="903" t="s">
        <v>1946</v>
      </c>
      <c r="I2560" s="909">
        <v>22250</v>
      </c>
      <c r="J2560" s="909">
        <v>810</v>
      </c>
      <c r="K2560" s="904">
        <f t="shared" ref="K2560:K2562" si="20">ROUND(I2560*J2560,0)</f>
        <v>18022500</v>
      </c>
      <c r="L2560" s="52" t="s">
        <v>165</v>
      </c>
      <c r="M2560" s="905" t="s">
        <v>161</v>
      </c>
      <c r="N2560" s="52" t="str">
        <f>IF(AND('331-CT'!$E$7=TH!H2560,OR(L2560="331",M2560="331")),"331",IF(AND(OR(L2560="131",M2560="131"),H2560='131-CT'!$E$7),"131",""))</f>
        <v/>
      </c>
      <c r="O2560" s="86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772"/>
    </row>
    <row r="2561" spans="1:27" s="906" customFormat="1" ht="15.75" customHeight="1">
      <c r="A2561" s="203" t="str">
        <f>IF(B2561&lt;&gt;"",IF(AND(B2561&gt;=_TM1,B2561&lt;=_TM2,OR(TH!L2561="1111",TH!M2561="1111")),TH!D2561,""),"")</f>
        <v/>
      </c>
      <c r="B2561" s="898">
        <f t="shared" si="18"/>
        <v>9</v>
      </c>
      <c r="C2561" s="899">
        <f t="shared" si="19"/>
        <v>42248</v>
      </c>
      <c r="D2561" s="900" t="s">
        <v>1958</v>
      </c>
      <c r="E2561" s="908">
        <v>42248</v>
      </c>
      <c r="F2561" s="907" t="s">
        <v>1871</v>
      </c>
      <c r="G2561" s="902"/>
      <c r="H2561" s="903" t="s">
        <v>1946</v>
      </c>
      <c r="I2561" s="909">
        <v>500</v>
      </c>
      <c r="J2561" s="909">
        <v>9800</v>
      </c>
      <c r="K2561" s="904">
        <f t="shared" si="20"/>
        <v>4900000</v>
      </c>
      <c r="L2561" s="52" t="s">
        <v>165</v>
      </c>
      <c r="M2561" s="905" t="s">
        <v>161</v>
      </c>
      <c r="N2561" s="52" t="str">
        <f>IF(AND('331-CT'!$E$7=TH!H2561,OR(L2561="331",M2561="331")),"331",IF(AND(OR(L2561="131",M2561="131"),H2561='131-CT'!$E$7),"131",""))</f>
        <v/>
      </c>
      <c r="O2561" s="86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772"/>
    </row>
    <row r="2562" spans="1:27" s="906" customFormat="1" ht="15.75" customHeight="1">
      <c r="A2562" s="203" t="str">
        <f>IF(B2562&lt;&gt;"",IF(AND(B2562&gt;=_TM1,B2562&lt;=_TM2,OR(TH!L2562="1111",TH!M2562="1111")),TH!D2562,""),"")</f>
        <v/>
      </c>
      <c r="B2562" s="898">
        <f t="shared" si="18"/>
        <v>9</v>
      </c>
      <c r="C2562" s="899">
        <f t="shared" si="19"/>
        <v>42248</v>
      </c>
      <c r="D2562" s="900" t="s">
        <v>1958</v>
      </c>
      <c r="E2562" s="908">
        <v>42248</v>
      </c>
      <c r="F2562" s="907" t="s">
        <v>2017</v>
      </c>
      <c r="G2562" s="902"/>
      <c r="H2562" s="903" t="s">
        <v>1946</v>
      </c>
      <c r="I2562" s="909">
        <v>1000</v>
      </c>
      <c r="J2562" s="909">
        <v>11000</v>
      </c>
      <c r="K2562" s="904">
        <f t="shared" si="20"/>
        <v>11000000</v>
      </c>
      <c r="L2562" s="52" t="s">
        <v>165</v>
      </c>
      <c r="M2562" s="905" t="s">
        <v>161</v>
      </c>
      <c r="N2562" s="52" t="str">
        <f>IF(AND('331-CT'!$E$7=TH!H2562,OR(L2562="331",M2562="331")),"331",IF(AND(OR(L2562="131",M2562="131"),H2562='131-CT'!$E$7),"131",""))</f>
        <v/>
      </c>
      <c r="O2562" s="86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772"/>
    </row>
    <row r="2563" spans="1:27" s="906" customFormat="1" ht="15.75" customHeight="1">
      <c r="A2563" s="203" t="str">
        <f>IF(B2563&lt;&gt;"",IF(AND(B2563&gt;=_TM1,B2563&lt;=_TM2,OR(TH!L2563="1111",TH!M2563="1111")),TH!D2563,""),"")</f>
        <v/>
      </c>
      <c r="B2563" s="898">
        <f t="shared" si="15"/>
        <v>10</v>
      </c>
      <c r="C2563" s="899">
        <f t="shared" si="16"/>
        <v>42283</v>
      </c>
      <c r="D2563" s="900" t="s">
        <v>1958</v>
      </c>
      <c r="E2563" s="908">
        <v>42283</v>
      </c>
      <c r="F2563" s="907" t="s">
        <v>337</v>
      </c>
      <c r="G2563" s="902"/>
      <c r="H2563" s="903" t="s">
        <v>1946</v>
      </c>
      <c r="I2563" s="909">
        <v>24</v>
      </c>
      <c r="J2563" s="909">
        <v>43000</v>
      </c>
      <c r="K2563" s="904">
        <f t="shared" si="17"/>
        <v>1032000</v>
      </c>
      <c r="L2563" s="52" t="s">
        <v>165</v>
      </c>
      <c r="M2563" s="905" t="s">
        <v>161</v>
      </c>
      <c r="N2563" s="52" t="str">
        <f>IF(AND('331-CT'!$E$7=TH!H2563,OR(L2563="331",M2563="331")),"331",IF(AND(OR(L2563="131",M2563="131"),H2563='131-CT'!$E$7),"131",""))</f>
        <v/>
      </c>
      <c r="O2563" s="86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772"/>
    </row>
    <row r="2564" spans="1:27" s="906" customFormat="1" ht="15.75" customHeight="1">
      <c r="A2564" s="203" t="str">
        <f>IF(B2564&lt;&gt;"",IF(AND(B2564&gt;=_TM1,B2564&lt;=_TM2,OR(TH!L2564="1111",TH!M2564="1111")),TH!D2564,""),"")</f>
        <v/>
      </c>
      <c r="B2564" s="898">
        <f t="shared" si="3"/>
        <v>11</v>
      </c>
      <c r="C2564" s="899">
        <f t="shared" si="4"/>
        <v>42322</v>
      </c>
      <c r="D2564" s="900" t="s">
        <v>1958</v>
      </c>
      <c r="E2564" s="908">
        <v>42322</v>
      </c>
      <c r="F2564" s="907" t="s">
        <v>337</v>
      </c>
      <c r="G2564" s="902"/>
      <c r="H2564" s="903" t="s">
        <v>1946</v>
      </c>
      <c r="I2564" s="909">
        <v>24</v>
      </c>
      <c r="J2564" s="909">
        <v>43000</v>
      </c>
      <c r="K2564" s="904">
        <f t="shared" si="5"/>
        <v>1032000</v>
      </c>
      <c r="L2564" s="52" t="s">
        <v>165</v>
      </c>
      <c r="M2564" s="905" t="s">
        <v>161</v>
      </c>
      <c r="N2564" s="52" t="str">
        <f>IF(AND('331-CT'!$E$7=TH!H2564,OR(L2564="331",M2564="331")),"331",IF(AND(OR(L2564="131",M2564="131"),H2564='131-CT'!$E$7),"131",""))</f>
        <v/>
      </c>
      <c r="O2564" s="86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772"/>
    </row>
    <row r="2565" spans="1:27" s="906" customFormat="1" ht="15.75" customHeight="1">
      <c r="A2565" s="203" t="str">
        <f>IF(B2565&lt;&gt;"",IF(AND(B2565&gt;=_TM1,B2565&lt;=_TM2,OR(TH!L2565="1111",TH!M2565="1111")),TH!D2565,""),"")</f>
        <v/>
      </c>
      <c r="B2565" s="898">
        <f t="shared" si="3"/>
        <v>12</v>
      </c>
      <c r="C2565" s="899">
        <f t="shared" si="4"/>
        <v>42367</v>
      </c>
      <c r="D2565" s="900" t="s">
        <v>1958</v>
      </c>
      <c r="E2565" s="908">
        <v>42367</v>
      </c>
      <c r="F2565" s="907" t="s">
        <v>337</v>
      </c>
      <c r="G2565" s="902"/>
      <c r="H2565" s="903" t="s">
        <v>1946</v>
      </c>
      <c r="I2565" s="909">
        <v>48</v>
      </c>
      <c r="J2565" s="909">
        <v>42000</v>
      </c>
      <c r="K2565" s="904">
        <f t="shared" si="5"/>
        <v>2016000</v>
      </c>
      <c r="L2565" s="52" t="s">
        <v>165</v>
      </c>
      <c r="M2565" s="905" t="s">
        <v>161</v>
      </c>
      <c r="N2565" s="52" t="str">
        <f>IF(AND('331-CT'!$E$7=TH!H2565,OR(L2565="331",M2565="331")),"331",IF(AND(OR(L2565="131",M2565="131"),H2565='131-CT'!$E$7),"131",""))</f>
        <v/>
      </c>
      <c r="O2565" s="86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772"/>
    </row>
    <row r="2566" spans="1:27" s="906" customFormat="1" ht="15.75" customHeight="1">
      <c r="A2566" s="203" t="str">
        <f>IF(B2566&lt;&gt;"",IF(AND(B2566&gt;=_TM1,B2566&lt;=_TM2,OR(TH!L2566="1111",TH!M2566="1111")),TH!D2566,""),"")</f>
        <v/>
      </c>
      <c r="B2566" s="898">
        <f t="shared" si="3"/>
        <v>10</v>
      </c>
      <c r="C2566" s="899">
        <f t="shared" si="4"/>
        <v>42278</v>
      </c>
      <c r="D2566" s="900" t="s">
        <v>1958</v>
      </c>
      <c r="E2566" s="910">
        <v>42278</v>
      </c>
      <c r="F2566" s="911" t="s">
        <v>356</v>
      </c>
      <c r="G2566" s="902"/>
      <c r="H2566" s="903" t="s">
        <v>1946</v>
      </c>
      <c r="I2566" s="253">
        <v>150</v>
      </c>
      <c r="J2566" s="253">
        <v>18181</v>
      </c>
      <c r="K2566" s="904">
        <f t="shared" si="5"/>
        <v>2727150</v>
      </c>
      <c r="L2566" s="52" t="s">
        <v>165</v>
      </c>
      <c r="M2566" s="905" t="s">
        <v>161</v>
      </c>
      <c r="N2566" s="52" t="str">
        <f>IF(AND('331-CT'!$E$7=TH!H2566,OR(L2566="331",M2566="331")),"331",IF(AND(OR(L2566="131",M2566="131"),H2566='131-CT'!$E$7),"131",""))</f>
        <v/>
      </c>
      <c r="O2566" s="86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>x</v>
      </c>
      <c r="Z2566" s="52" t="str">
        <f>IF(AND(B2566&lt;=NKC!$N$8,B2566&gt;=NKC!$M$8),"x","")</f>
        <v/>
      </c>
      <c r="AA2566" s="772"/>
    </row>
    <row r="2567" spans="1:27" s="836" customFormat="1" ht="15.75" customHeight="1">
      <c r="A2567" s="203" t="str">
        <f>IF(B2567&lt;&gt;"",IF(AND(B2567&gt;=_TM1,B2567&lt;=_TM2,OR(TH!L2567="1111",TH!M2567="1111")),TH!D2567,""),"")</f>
        <v/>
      </c>
      <c r="B2567" s="826">
        <f t="shared" ref="B2567:B2627" si="21">IF(C2567&lt;&gt;"",MONTH(C2567),"")</f>
        <v>1</v>
      </c>
      <c r="C2567" s="827">
        <f t="shared" si="4"/>
        <v>42006</v>
      </c>
      <c r="D2567" s="828" t="s">
        <v>1959</v>
      </c>
      <c r="E2567" s="914">
        <v>42006</v>
      </c>
      <c r="F2567" s="829" t="s">
        <v>1937</v>
      </c>
      <c r="G2567" s="830"/>
      <c r="H2567" s="831" t="s">
        <v>1946</v>
      </c>
      <c r="I2567" s="832">
        <v>4502</v>
      </c>
      <c r="J2567" s="832">
        <v>7200</v>
      </c>
      <c r="K2567" s="833">
        <f t="shared" ref="K2567" si="22">ROUND(I2567*J2567,0)</f>
        <v>32414400</v>
      </c>
      <c r="L2567" s="915" t="s">
        <v>165</v>
      </c>
      <c r="M2567" s="834" t="s">
        <v>159</v>
      </c>
      <c r="N2567" s="52" t="str">
        <f>IF(AND('331-CT'!$E$7=TH!H2567,OR(L2567="331",M2567="331")),"331",IF(AND(OR(L2567="131",M2567="131"),H2567='131-CT'!$E$7),"131",""))</f>
        <v/>
      </c>
      <c r="O2567" s="86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35"/>
    </row>
    <row r="2568" spans="1:27" s="210" customFormat="1" ht="15.75" customHeight="1">
      <c r="A2568" s="203" t="str">
        <f>IF(B2568&lt;&gt;"",IF(AND(B2568&gt;=_TM1,B2568&lt;=_TM2,OR(TH!L2568="1111",TH!M2568="1111")),TH!D2568,""),"")</f>
        <v/>
      </c>
      <c r="B2568" s="36">
        <f t="shared" si="21"/>
        <v>1</v>
      </c>
      <c r="C2568" s="183">
        <f t="shared" si="4"/>
        <v>42014</v>
      </c>
      <c r="D2568" s="190" t="s">
        <v>1959</v>
      </c>
      <c r="E2568" s="763">
        <v>42014</v>
      </c>
      <c r="F2568" s="191" t="s">
        <v>1937</v>
      </c>
      <c r="G2568" s="482"/>
      <c r="H2568" s="7" t="s">
        <v>1946</v>
      </c>
      <c r="I2568" s="255">
        <v>17104</v>
      </c>
      <c r="J2568" s="255">
        <v>7300</v>
      </c>
      <c r="K2568" s="593">
        <f t="shared" ref="K2568:K2615" si="23">ROUND(I2568*J2568,0)</f>
        <v>124859200</v>
      </c>
      <c r="L2568" s="39" t="s">
        <v>165</v>
      </c>
      <c r="M2568" s="594" t="s">
        <v>159</v>
      </c>
      <c r="N2568" s="52" t="str">
        <f>IF(AND('331-CT'!$E$7=TH!H2568,OR(L2568="331",M2568="331")),"331",IF(AND(OR(L2568="131",M2568="131"),H2568='131-CT'!$E$7),"131",""))</f>
        <v/>
      </c>
      <c r="O2568" s="86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99"/>
    </row>
    <row r="2569" spans="1:27" s="210" customFormat="1" ht="15.75" customHeight="1">
      <c r="A2569" s="203" t="str">
        <f>IF(B2569&lt;&gt;"",IF(AND(B2569&gt;=_TM1,B2569&lt;=_TM2,OR(TH!L2569="1111",TH!M2569="1111")),TH!D2569,""),"")</f>
        <v/>
      </c>
      <c r="B2569" s="36">
        <f t="shared" si="21"/>
        <v>2</v>
      </c>
      <c r="C2569" s="183">
        <f t="shared" si="4"/>
        <v>42036</v>
      </c>
      <c r="D2569" s="190" t="s">
        <v>1959</v>
      </c>
      <c r="E2569" s="763">
        <v>42036</v>
      </c>
      <c r="F2569" s="191" t="s">
        <v>1937</v>
      </c>
      <c r="G2569" s="482"/>
      <c r="H2569" s="7" t="s">
        <v>1946</v>
      </c>
      <c r="I2569" s="255">
        <v>17275</v>
      </c>
      <c r="J2569" s="255">
        <v>7600</v>
      </c>
      <c r="K2569" s="593">
        <f t="shared" si="23"/>
        <v>131290000</v>
      </c>
      <c r="L2569" s="39" t="s">
        <v>165</v>
      </c>
      <c r="M2569" s="594" t="s">
        <v>159</v>
      </c>
      <c r="N2569" s="52" t="str">
        <f>IF(AND('331-CT'!$E$7=TH!H2569,OR(L2569="331",M2569="331")),"331",IF(AND(OR(L2569="131",M2569="131"),H2569='131-CT'!$E$7),"131",""))</f>
        <v/>
      </c>
      <c r="O2569" s="86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99"/>
    </row>
    <row r="2570" spans="1:27" s="210" customFormat="1" ht="15.75" customHeight="1">
      <c r="A2570" s="203" t="str">
        <f>IF(B2570&lt;&gt;"",IF(AND(B2570&gt;=_TM1,B2570&lt;=_TM2,OR(TH!L2570="1111",TH!M2570="1111")),TH!D2570,""),"")</f>
        <v/>
      </c>
      <c r="B2570" s="36">
        <f t="shared" si="21"/>
        <v>3</v>
      </c>
      <c r="C2570" s="183">
        <f t="shared" si="4"/>
        <v>42064</v>
      </c>
      <c r="D2570" s="190" t="s">
        <v>1959</v>
      </c>
      <c r="E2570" s="725">
        <v>42064</v>
      </c>
      <c r="F2570" s="188" t="s">
        <v>1947</v>
      </c>
      <c r="G2570" s="482"/>
      <c r="H2570" s="7" t="s">
        <v>1946</v>
      </c>
      <c r="I2570" s="750">
        <v>2730</v>
      </c>
      <c r="J2570" s="255">
        <v>9200</v>
      </c>
      <c r="K2570" s="593">
        <f t="shared" si="23"/>
        <v>25116000</v>
      </c>
      <c r="L2570" s="39" t="s">
        <v>165</v>
      </c>
      <c r="M2570" s="594" t="s">
        <v>159</v>
      </c>
      <c r="N2570" s="52" t="str">
        <f>IF(AND('331-CT'!$E$7=TH!H2570,OR(L2570="331",M2570="331")),"331",IF(AND(OR(L2570="131",M2570="131"),H2570='131-CT'!$E$7),"131",""))</f>
        <v/>
      </c>
      <c r="O2570" s="86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99"/>
    </row>
    <row r="2571" spans="1:27" s="210" customFormat="1" ht="15.75" customHeight="1">
      <c r="A2571" s="203" t="str">
        <f>IF(B2571&lt;&gt;"",IF(AND(B2571&gt;=_TM1,B2571&lt;=_TM2,OR(TH!L2571="1111",TH!M2571="1111")),TH!D2571,""),"")</f>
        <v/>
      </c>
      <c r="B2571" s="36">
        <f t="shared" si="21"/>
        <v>3</v>
      </c>
      <c r="C2571" s="183">
        <f t="shared" si="4"/>
        <v>42078</v>
      </c>
      <c r="D2571" s="190" t="s">
        <v>1959</v>
      </c>
      <c r="E2571" s="725">
        <v>42078</v>
      </c>
      <c r="F2571" s="188" t="s">
        <v>1936</v>
      </c>
      <c r="G2571" s="482"/>
      <c r="H2571" s="7" t="s">
        <v>1946</v>
      </c>
      <c r="I2571" s="750">
        <v>5000</v>
      </c>
      <c r="J2571" s="255">
        <v>9600</v>
      </c>
      <c r="K2571" s="593">
        <f t="shared" si="23"/>
        <v>48000000</v>
      </c>
      <c r="L2571" s="39" t="s">
        <v>165</v>
      </c>
      <c r="M2571" s="594" t="s">
        <v>159</v>
      </c>
      <c r="N2571" s="52" t="str">
        <f>IF(AND('331-CT'!$E$7=TH!H2571,OR(L2571="331",M2571="331")),"331",IF(AND(OR(L2571="131",M2571="131"),H2571='131-CT'!$E$7),"131",""))</f>
        <v/>
      </c>
      <c r="O2571" s="86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99"/>
    </row>
    <row r="2572" spans="1:27" s="836" customFormat="1" ht="15.75" customHeight="1">
      <c r="A2572" s="203" t="str">
        <f>IF(B2572&lt;&gt;"",IF(AND(B2572&gt;=_TM1,B2572&lt;=_TM2,OR(TH!L2572="1111",TH!M2572="1111")),TH!D2572,""),"")</f>
        <v/>
      </c>
      <c r="B2572" s="826">
        <f t="shared" si="21"/>
        <v>4</v>
      </c>
      <c r="C2572" s="827">
        <f t="shared" si="4"/>
        <v>42095</v>
      </c>
      <c r="D2572" s="828" t="s">
        <v>1959</v>
      </c>
      <c r="E2572" s="885">
        <v>42095</v>
      </c>
      <c r="F2572" s="837" t="s">
        <v>1937</v>
      </c>
      <c r="G2572" s="830"/>
      <c r="H2572" s="831" t="s">
        <v>1946</v>
      </c>
      <c r="I2572" s="832">
        <v>30663</v>
      </c>
      <c r="J2572" s="832">
        <v>7800</v>
      </c>
      <c r="K2572" s="833">
        <f t="shared" si="23"/>
        <v>239171400</v>
      </c>
      <c r="L2572" s="915" t="s">
        <v>165</v>
      </c>
      <c r="M2572" s="834" t="s">
        <v>159</v>
      </c>
      <c r="N2572" s="52" t="str">
        <f>IF(AND('331-CT'!$E$7=TH!H2572,OR(L2572="331",M2572="331")),"331",IF(AND(OR(L2572="131",M2572="131"),H2572='131-CT'!$E$7),"131",""))</f>
        <v/>
      </c>
      <c r="O2572" s="86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35"/>
    </row>
    <row r="2573" spans="1:27" s="210" customFormat="1" ht="15.75" customHeight="1">
      <c r="A2573" s="203" t="str">
        <f>IF(B2573&lt;&gt;"",IF(AND(B2573&gt;=_TM1,B2573&lt;=_TM2,OR(TH!L2573="1111",TH!M2573="1111")),TH!D2573,""),"")</f>
        <v/>
      </c>
      <c r="B2573" s="36">
        <f t="shared" si="21"/>
        <v>4</v>
      </c>
      <c r="C2573" s="183">
        <f t="shared" si="4"/>
        <v>42114</v>
      </c>
      <c r="D2573" s="190" t="s">
        <v>1959</v>
      </c>
      <c r="E2573" s="725">
        <v>42114</v>
      </c>
      <c r="F2573" s="40" t="s">
        <v>1937</v>
      </c>
      <c r="G2573" s="482"/>
      <c r="H2573" s="7" t="s">
        <v>1946</v>
      </c>
      <c r="I2573" s="255">
        <v>4500</v>
      </c>
      <c r="J2573" s="255">
        <v>8500</v>
      </c>
      <c r="K2573" s="593">
        <f t="shared" si="23"/>
        <v>38250000</v>
      </c>
      <c r="L2573" s="39" t="s">
        <v>165</v>
      </c>
      <c r="M2573" s="594" t="s">
        <v>159</v>
      </c>
      <c r="N2573" s="52" t="str">
        <f>IF(AND('331-CT'!$E$7=TH!H2573,OR(L2573="331",M2573="331")),"331",IF(AND(OR(L2573="131",M2573="131"),H2573='131-CT'!$E$7),"131",""))</f>
        <v/>
      </c>
      <c r="O2573" s="86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799"/>
    </row>
    <row r="2574" spans="1:27" s="210" customFormat="1" ht="15.75" customHeight="1">
      <c r="A2574" s="203" t="str">
        <f>IF(B2574&lt;&gt;"",IF(AND(B2574&gt;=_TM1,B2574&lt;=_TM2,OR(TH!L2574="1111",TH!M2574="1111")),TH!D2574,""),"")</f>
        <v/>
      </c>
      <c r="B2574" s="36">
        <f t="shared" si="21"/>
        <v>4</v>
      </c>
      <c r="C2574" s="183">
        <f t="shared" si="4"/>
        <v>42114</v>
      </c>
      <c r="D2574" s="190" t="s">
        <v>1959</v>
      </c>
      <c r="E2574" s="725">
        <v>42114</v>
      </c>
      <c r="F2574" s="40" t="s">
        <v>1937</v>
      </c>
      <c r="G2574" s="482"/>
      <c r="H2574" s="7" t="s">
        <v>1946</v>
      </c>
      <c r="I2574" s="255">
        <v>1320</v>
      </c>
      <c r="J2574" s="255">
        <v>9000</v>
      </c>
      <c r="K2574" s="593">
        <f t="shared" si="23"/>
        <v>11880000</v>
      </c>
      <c r="L2574" s="39" t="s">
        <v>165</v>
      </c>
      <c r="M2574" s="594" t="s">
        <v>159</v>
      </c>
      <c r="N2574" s="52" t="str">
        <f>IF(AND('331-CT'!$E$7=TH!H2574,OR(L2574="331",M2574="331")),"331",IF(AND(OR(L2574="131",M2574="131"),H2574='131-CT'!$E$7),"131",""))</f>
        <v/>
      </c>
      <c r="O2574" s="86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799"/>
    </row>
    <row r="2575" spans="1:27" s="210" customFormat="1" ht="15.75" customHeight="1">
      <c r="A2575" s="203" t="str">
        <f>IF(B2575&lt;&gt;"",IF(AND(B2575&gt;=_TM1,B2575&lt;=_TM2,OR(TH!L2575="1111",TH!M2575="1111")),TH!D2575,""),"")</f>
        <v/>
      </c>
      <c r="B2575" s="36">
        <f t="shared" ref="B2575" si="24">IF(C2575&lt;&gt;"",MONTH(C2575),"")</f>
        <v>4</v>
      </c>
      <c r="C2575" s="183">
        <f t="shared" ref="C2575" si="25">E2575</f>
        <v>42119</v>
      </c>
      <c r="D2575" s="190" t="s">
        <v>1959</v>
      </c>
      <c r="E2575" s="763">
        <v>42119</v>
      </c>
      <c r="F2575" s="191" t="s">
        <v>1937</v>
      </c>
      <c r="G2575" s="482"/>
      <c r="H2575" s="7" t="s">
        <v>1946</v>
      </c>
      <c r="I2575" s="255">
        <v>7683</v>
      </c>
      <c r="J2575" s="255">
        <v>9200</v>
      </c>
      <c r="K2575" s="593">
        <f t="shared" ref="K2575" si="26">ROUND(I2575*J2575,0)</f>
        <v>70683600</v>
      </c>
      <c r="L2575" s="39" t="s">
        <v>165</v>
      </c>
      <c r="M2575" s="594" t="s">
        <v>159</v>
      </c>
      <c r="N2575" s="52" t="str">
        <f>IF(AND('331-CT'!$E$7=TH!H2575,OR(L2575="331",M2575="331")),"331",IF(AND(OR(L2575="131",M2575="131"),H2575='131-CT'!$E$7),"131",""))</f>
        <v/>
      </c>
      <c r="O2575" s="869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799"/>
    </row>
    <row r="2576" spans="1:27" s="210" customFormat="1" ht="15.75" customHeight="1">
      <c r="A2576" s="203" t="str">
        <f>IF(B2576&lt;&gt;"",IF(AND(B2576&gt;=_TM1,B2576&lt;=_TM2,OR(TH!L2576="1111",TH!M2576="1111")),TH!D2576,""),"")</f>
        <v/>
      </c>
      <c r="B2576" s="36">
        <f t="shared" si="21"/>
        <v>4</v>
      </c>
      <c r="C2576" s="183">
        <f t="shared" si="4"/>
        <v>42123</v>
      </c>
      <c r="D2576" s="190" t="s">
        <v>1959</v>
      </c>
      <c r="E2576" s="763">
        <v>42123</v>
      </c>
      <c r="F2576" s="191" t="s">
        <v>1936</v>
      </c>
      <c r="G2576" s="482"/>
      <c r="H2576" s="7" t="s">
        <v>1946</v>
      </c>
      <c r="I2576" s="255">
        <v>8746</v>
      </c>
      <c r="J2576" s="255">
        <v>9600</v>
      </c>
      <c r="K2576" s="593">
        <f t="shared" si="23"/>
        <v>83961600</v>
      </c>
      <c r="L2576" s="39" t="s">
        <v>165</v>
      </c>
      <c r="M2576" s="594" t="s">
        <v>159</v>
      </c>
      <c r="N2576" s="52" t="str">
        <f>IF(AND('331-CT'!$E$7=TH!H2576,OR(L2576="331",M2576="331")),"331",IF(AND(OR(L2576="131",M2576="131"),H2576='131-CT'!$E$7),"131",""))</f>
        <v/>
      </c>
      <c r="O2576" s="86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799"/>
    </row>
    <row r="2577" spans="1:27" s="210" customFormat="1" ht="15.75" customHeight="1">
      <c r="A2577" s="203" t="str">
        <f>IF(B2577&lt;&gt;"",IF(AND(B2577&gt;=_TM1,B2577&lt;=_TM2,OR(TH!L2577="1111",TH!M2577="1111")),TH!D2577,""),"")</f>
        <v/>
      </c>
      <c r="B2577" s="36">
        <f t="shared" si="21"/>
        <v>5</v>
      </c>
      <c r="C2577" s="183">
        <f t="shared" si="4"/>
        <v>42127</v>
      </c>
      <c r="D2577" s="190" t="s">
        <v>1959</v>
      </c>
      <c r="E2577" s="763">
        <v>42127</v>
      </c>
      <c r="F2577" s="191" t="s">
        <v>1378</v>
      </c>
      <c r="G2577" s="482"/>
      <c r="H2577" s="7" t="s">
        <v>1946</v>
      </c>
      <c r="I2577" s="255">
        <v>1980</v>
      </c>
      <c r="J2577" s="255">
        <v>9100</v>
      </c>
      <c r="K2577" s="593">
        <f t="shared" si="23"/>
        <v>18018000</v>
      </c>
      <c r="L2577" s="39" t="s">
        <v>165</v>
      </c>
      <c r="M2577" s="594" t="s">
        <v>159</v>
      </c>
      <c r="N2577" s="52" t="str">
        <f>IF(AND('331-CT'!$E$7=TH!H2577,OR(L2577="331",M2577="331")),"331",IF(AND(OR(L2577="131",M2577="131"),H2577='131-CT'!$E$7),"131",""))</f>
        <v/>
      </c>
      <c r="O2577" s="86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99"/>
    </row>
    <row r="2578" spans="1:27" s="210" customFormat="1" ht="15.75" customHeight="1">
      <c r="A2578" s="203" t="str">
        <f>IF(B2578&lt;&gt;"",IF(AND(B2578&gt;=_TM1,B2578&lt;=_TM2,OR(TH!L2578="1111",TH!M2578="1111")),TH!D2578,""),"")</f>
        <v/>
      </c>
      <c r="B2578" s="36">
        <f t="shared" si="21"/>
        <v>5</v>
      </c>
      <c r="C2578" s="183">
        <f t="shared" si="4"/>
        <v>42134</v>
      </c>
      <c r="D2578" s="190" t="s">
        <v>1959</v>
      </c>
      <c r="E2578" s="763">
        <v>42134</v>
      </c>
      <c r="F2578" s="191" t="s">
        <v>1380</v>
      </c>
      <c r="G2578" s="482"/>
      <c r="H2578" s="7" t="s">
        <v>1946</v>
      </c>
      <c r="I2578" s="255">
        <v>2200</v>
      </c>
      <c r="J2578" s="255">
        <v>8000</v>
      </c>
      <c r="K2578" s="593">
        <f t="shared" si="23"/>
        <v>17600000</v>
      </c>
      <c r="L2578" s="39" t="s">
        <v>165</v>
      </c>
      <c r="M2578" s="594" t="s">
        <v>159</v>
      </c>
      <c r="N2578" s="52" t="str">
        <f>IF(AND('331-CT'!$E$7=TH!H2578,OR(L2578="331",M2578="331")),"331",IF(AND(OR(L2578="131",M2578="131"),H2578='131-CT'!$E$7),"131",""))</f>
        <v/>
      </c>
      <c r="O2578" s="86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>x</v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99"/>
    </row>
    <row r="2579" spans="1:27" s="210" customFormat="1" ht="15.75" customHeight="1">
      <c r="A2579" s="203" t="str">
        <f>IF(B2579&lt;&gt;"",IF(AND(B2579&gt;=_TM1,B2579&lt;=_TM2,OR(TH!L2579="1111",TH!M2579="1111")),TH!D2579,""),"")</f>
        <v/>
      </c>
      <c r="B2579" s="36">
        <f t="shared" si="21"/>
        <v>5</v>
      </c>
      <c r="C2579" s="183">
        <f t="shared" si="4"/>
        <v>42141</v>
      </c>
      <c r="D2579" s="190" t="s">
        <v>1959</v>
      </c>
      <c r="E2579" s="763">
        <v>42141</v>
      </c>
      <c r="F2579" s="191" t="s">
        <v>1359</v>
      </c>
      <c r="G2579" s="482"/>
      <c r="H2579" s="7" t="s">
        <v>1946</v>
      </c>
      <c r="I2579" s="255">
        <v>5000</v>
      </c>
      <c r="J2579" s="255">
        <v>7800</v>
      </c>
      <c r="K2579" s="593">
        <f t="shared" si="23"/>
        <v>39000000</v>
      </c>
      <c r="L2579" s="39" t="s">
        <v>165</v>
      </c>
      <c r="M2579" s="594" t="s">
        <v>159</v>
      </c>
      <c r="N2579" s="52" t="str">
        <f>IF(AND('331-CT'!$E$7=TH!H2579,OR(L2579="331",M2579="331")),"331",IF(AND(OR(L2579="131",M2579="131"),H2579='131-CT'!$E$7),"131",""))</f>
        <v/>
      </c>
      <c r="O2579" s="86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99"/>
    </row>
    <row r="2580" spans="1:27" s="210" customFormat="1" ht="15.75" customHeight="1">
      <c r="A2580" s="203" t="str">
        <f>IF(B2580&lt;&gt;"",IF(AND(B2580&gt;=_TM1,B2580&lt;=_TM2,OR(TH!L2580="1111",TH!M2580="1111")),TH!D2580,""),"")</f>
        <v/>
      </c>
      <c r="B2580" s="36">
        <f t="shared" si="21"/>
        <v>5</v>
      </c>
      <c r="C2580" s="183">
        <f t="shared" si="4"/>
        <v>42141</v>
      </c>
      <c r="D2580" s="190" t="s">
        <v>1959</v>
      </c>
      <c r="E2580" s="763">
        <v>42141</v>
      </c>
      <c r="F2580" s="191" t="s">
        <v>1360</v>
      </c>
      <c r="G2580" s="482"/>
      <c r="H2580" s="7" t="s">
        <v>1946</v>
      </c>
      <c r="I2580" s="255">
        <v>6400</v>
      </c>
      <c r="J2580" s="255">
        <v>7800</v>
      </c>
      <c r="K2580" s="593">
        <f t="shared" si="23"/>
        <v>49920000</v>
      </c>
      <c r="L2580" s="39" t="s">
        <v>165</v>
      </c>
      <c r="M2580" s="594" t="s">
        <v>159</v>
      </c>
      <c r="N2580" s="52" t="str">
        <f>IF(AND('331-CT'!$E$7=TH!H2580,OR(L2580="331",M2580="331")),"331",IF(AND(OR(L2580="131",M2580="131"),H2580='131-CT'!$E$7),"131",""))</f>
        <v/>
      </c>
      <c r="O2580" s="86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799"/>
    </row>
    <row r="2581" spans="1:27" s="210" customFormat="1" ht="15.75" customHeight="1">
      <c r="A2581" s="203" t="str">
        <f>IF(B2581&lt;&gt;"",IF(AND(B2581&gt;=_TM1,B2581&lt;=_TM2,OR(TH!L2581="1111",TH!M2581="1111")),TH!D2581,""),"")</f>
        <v/>
      </c>
      <c r="B2581" s="36">
        <f t="shared" si="21"/>
        <v>5</v>
      </c>
      <c r="C2581" s="183">
        <f t="shared" si="4"/>
        <v>42141</v>
      </c>
      <c r="D2581" s="190" t="s">
        <v>1959</v>
      </c>
      <c r="E2581" s="763">
        <v>42141</v>
      </c>
      <c r="F2581" s="191" t="s">
        <v>1361</v>
      </c>
      <c r="G2581" s="482"/>
      <c r="H2581" s="7" t="s">
        <v>1946</v>
      </c>
      <c r="I2581" s="255">
        <v>4200</v>
      </c>
      <c r="J2581" s="255">
        <v>10500</v>
      </c>
      <c r="K2581" s="593">
        <f t="shared" si="23"/>
        <v>44100000</v>
      </c>
      <c r="L2581" s="39" t="s">
        <v>165</v>
      </c>
      <c r="M2581" s="594" t="s">
        <v>159</v>
      </c>
      <c r="N2581" s="52" t="str">
        <f>IF(AND('331-CT'!$E$7=TH!H2581,OR(L2581="331",M2581="331")),"331",IF(AND(OR(L2581="131",M2581="131"),H2581='131-CT'!$E$7),"131",""))</f>
        <v/>
      </c>
      <c r="O2581" s="86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799"/>
    </row>
    <row r="2582" spans="1:27" s="210" customFormat="1" ht="15.75" customHeight="1">
      <c r="A2582" s="203" t="str">
        <f>IF(B2582&lt;&gt;"",IF(AND(B2582&gt;=_TM1,B2582&lt;=_TM2,OR(TH!L2582="1111",TH!M2582="1111")),TH!D2582,""),"")</f>
        <v/>
      </c>
      <c r="B2582" s="36">
        <f t="shared" si="21"/>
        <v>5</v>
      </c>
      <c r="C2582" s="183">
        <f t="shared" si="4"/>
        <v>42141</v>
      </c>
      <c r="D2582" s="190" t="s">
        <v>1959</v>
      </c>
      <c r="E2582" s="763">
        <v>42141</v>
      </c>
      <c r="F2582" s="188" t="s">
        <v>1362</v>
      </c>
      <c r="G2582" s="482"/>
      <c r="H2582" s="7" t="s">
        <v>1946</v>
      </c>
      <c r="I2582" s="255">
        <v>2152</v>
      </c>
      <c r="J2582" s="255">
        <v>9100</v>
      </c>
      <c r="K2582" s="593">
        <f t="shared" si="23"/>
        <v>19583200</v>
      </c>
      <c r="L2582" s="39" t="s">
        <v>165</v>
      </c>
      <c r="M2582" s="594" t="s">
        <v>159</v>
      </c>
      <c r="N2582" s="52" t="str">
        <f>IF(AND('331-CT'!$E$7=TH!H2582,OR(L2582="331",M2582="331")),"331",IF(AND(OR(L2582="131",M2582="131"),H2582='131-CT'!$E$7),"131",""))</f>
        <v/>
      </c>
      <c r="O2582" s="86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799"/>
    </row>
    <row r="2583" spans="1:27" s="210" customFormat="1" ht="15.75" customHeight="1">
      <c r="A2583" s="203" t="str">
        <f>IF(B2583&lt;&gt;"",IF(AND(B2583&gt;=_TM1,B2583&lt;=_TM2,OR(TH!L2583="1111",TH!M2583="1111")),TH!D2583,""),"")</f>
        <v/>
      </c>
      <c r="B2583" s="36">
        <f t="shared" si="21"/>
        <v>5</v>
      </c>
      <c r="C2583" s="183">
        <f t="shared" si="4"/>
        <v>42141</v>
      </c>
      <c r="D2583" s="190" t="s">
        <v>1959</v>
      </c>
      <c r="E2583" s="763">
        <v>42141</v>
      </c>
      <c r="F2583" s="188" t="s">
        <v>1363</v>
      </c>
      <c r="G2583" s="482"/>
      <c r="H2583" s="7" t="s">
        <v>1946</v>
      </c>
      <c r="I2583" s="255">
        <v>3230</v>
      </c>
      <c r="J2583" s="255">
        <v>9100</v>
      </c>
      <c r="K2583" s="593">
        <f t="shared" si="23"/>
        <v>29393000</v>
      </c>
      <c r="L2583" s="39" t="s">
        <v>165</v>
      </c>
      <c r="M2583" s="594" t="s">
        <v>159</v>
      </c>
      <c r="N2583" s="52" t="str">
        <f>IF(AND('331-CT'!$E$7=TH!H2583,OR(L2583="331",M2583="331")),"331",IF(AND(OR(L2583="131",M2583="131"),H2583='131-CT'!$E$7),"131",""))</f>
        <v/>
      </c>
      <c r="O2583" s="86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799"/>
    </row>
    <row r="2584" spans="1:27" s="210" customFormat="1" ht="15.75" customHeight="1">
      <c r="A2584" s="203" t="str">
        <f>IF(B2584&lt;&gt;"",IF(AND(B2584&gt;=_TM1,B2584&lt;=_TM2,OR(TH!L2584="1111",TH!M2584="1111")),TH!D2584,""),"")</f>
        <v/>
      </c>
      <c r="B2584" s="36">
        <f t="shared" si="21"/>
        <v>5</v>
      </c>
      <c r="C2584" s="183">
        <f t="shared" si="4"/>
        <v>42145</v>
      </c>
      <c r="D2584" s="190" t="s">
        <v>1959</v>
      </c>
      <c r="E2584" s="763">
        <v>42145</v>
      </c>
      <c r="F2584" s="188" t="s">
        <v>1357</v>
      </c>
      <c r="G2584" s="482"/>
      <c r="H2584" s="7" t="s">
        <v>1946</v>
      </c>
      <c r="I2584" s="255">
        <v>1928</v>
      </c>
      <c r="J2584" s="255">
        <v>7300</v>
      </c>
      <c r="K2584" s="593">
        <f t="shared" si="23"/>
        <v>14074400</v>
      </c>
      <c r="L2584" s="39" t="s">
        <v>165</v>
      </c>
      <c r="M2584" s="594" t="s">
        <v>159</v>
      </c>
      <c r="N2584" s="52" t="str">
        <f>IF(AND('331-CT'!$E$7=TH!H2584,OR(L2584="331",M2584="331")),"331",IF(AND(OR(L2584="131",M2584="131"),H2584='131-CT'!$E$7),"131",""))</f>
        <v/>
      </c>
      <c r="O2584" s="86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799"/>
    </row>
    <row r="2585" spans="1:27" s="210" customFormat="1" ht="15.75" customHeight="1">
      <c r="A2585" s="203" t="str">
        <f>IF(B2585&lt;&gt;"",IF(AND(B2585&gt;=_TM1,B2585&lt;=_TM2,OR(TH!L2585="1111",TH!M2585="1111")),TH!D2585,""),"")</f>
        <v/>
      </c>
      <c r="B2585" s="36">
        <f t="shared" si="21"/>
        <v>5</v>
      </c>
      <c r="C2585" s="183">
        <f t="shared" si="4"/>
        <v>42149</v>
      </c>
      <c r="D2585" s="190" t="s">
        <v>1959</v>
      </c>
      <c r="E2585" s="763">
        <v>42149</v>
      </c>
      <c r="F2585" s="191" t="s">
        <v>1357</v>
      </c>
      <c r="G2585" s="482"/>
      <c r="H2585" s="7" t="s">
        <v>1946</v>
      </c>
      <c r="I2585" s="255">
        <v>2096</v>
      </c>
      <c r="J2585" s="255">
        <v>7300</v>
      </c>
      <c r="K2585" s="593">
        <f t="shared" si="23"/>
        <v>15300800</v>
      </c>
      <c r="L2585" s="39" t="s">
        <v>165</v>
      </c>
      <c r="M2585" s="594" t="s">
        <v>159</v>
      </c>
      <c r="N2585" s="52" t="str">
        <f>IF(AND('331-CT'!$E$7=TH!H2585,OR(L2585="331",M2585="331")),"331",IF(AND(OR(L2585="131",M2585="131"),H2585='131-CT'!$E$7),"131",""))</f>
        <v/>
      </c>
      <c r="O2585" s="86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799"/>
    </row>
    <row r="2586" spans="1:27" s="210" customFormat="1" ht="15.75" customHeight="1">
      <c r="A2586" s="203" t="str">
        <f>IF(B2586&lt;&gt;"",IF(AND(B2586&gt;=_TM1,B2586&lt;=_TM2,OR(TH!L2586="1111",TH!M2586="1111")),TH!D2586,""),"")</f>
        <v/>
      </c>
      <c r="B2586" s="36">
        <f t="shared" si="21"/>
        <v>5</v>
      </c>
      <c r="C2586" s="183">
        <f t="shared" si="4"/>
        <v>42151</v>
      </c>
      <c r="D2586" s="190" t="s">
        <v>1959</v>
      </c>
      <c r="E2586" s="763">
        <v>42151</v>
      </c>
      <c r="F2586" s="191" t="s">
        <v>1357</v>
      </c>
      <c r="G2586" s="482"/>
      <c r="H2586" s="7" t="s">
        <v>1946</v>
      </c>
      <c r="I2586" s="255">
        <v>2096</v>
      </c>
      <c r="J2586" s="255">
        <v>7300</v>
      </c>
      <c r="K2586" s="593">
        <f t="shared" si="23"/>
        <v>15300800</v>
      </c>
      <c r="L2586" s="39" t="s">
        <v>165</v>
      </c>
      <c r="M2586" s="594" t="s">
        <v>159</v>
      </c>
      <c r="N2586" s="52" t="str">
        <f>IF(AND('331-CT'!$E$7=TH!H2586,OR(L2586="331",M2586="331")),"331",IF(AND(OR(L2586="131",M2586="131"),H2586='131-CT'!$E$7),"131",""))</f>
        <v/>
      </c>
      <c r="O2586" s="86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799"/>
    </row>
    <row r="2587" spans="1:27" s="210" customFormat="1" ht="15.75" customHeight="1">
      <c r="A2587" s="203" t="str">
        <f>IF(B2587&lt;&gt;"",IF(AND(B2587&gt;=_TM1,B2587&lt;=_TM2,OR(TH!L2587="1111",TH!M2587="1111")),TH!D2587,""),"")</f>
        <v/>
      </c>
      <c r="B2587" s="36">
        <f t="shared" si="21"/>
        <v>6</v>
      </c>
      <c r="C2587" s="183">
        <f t="shared" si="4"/>
        <v>42156</v>
      </c>
      <c r="D2587" s="190" t="s">
        <v>1959</v>
      </c>
      <c r="E2587" s="763">
        <v>42156</v>
      </c>
      <c r="F2587" s="191" t="s">
        <v>1398</v>
      </c>
      <c r="G2587" s="482"/>
      <c r="H2587" s="7" t="s">
        <v>1946</v>
      </c>
      <c r="I2587" s="255">
        <v>1850</v>
      </c>
      <c r="J2587" s="255">
        <v>9100</v>
      </c>
      <c r="K2587" s="593">
        <f t="shared" si="23"/>
        <v>16835000</v>
      </c>
      <c r="L2587" s="39" t="s">
        <v>165</v>
      </c>
      <c r="M2587" s="594" t="s">
        <v>159</v>
      </c>
      <c r="N2587" s="52" t="str">
        <f>IF(AND('331-CT'!$E$7=TH!H2587,OR(L2587="331",M2587="331")),"331",IF(AND(OR(L2587="131",M2587="131"),H2587='131-CT'!$E$7),"131",""))</f>
        <v/>
      </c>
      <c r="O2587" s="86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799"/>
    </row>
    <row r="2588" spans="1:27" s="210" customFormat="1" ht="15.75" customHeight="1">
      <c r="A2588" s="203" t="str">
        <f>IF(B2588&lt;&gt;"",IF(AND(B2588&gt;=_TM1,B2588&lt;=_TM2,OR(TH!L2588="1111",TH!M2588="1111")),TH!D2588,""),"")</f>
        <v/>
      </c>
      <c r="B2588" s="36">
        <f t="shared" si="21"/>
        <v>6</v>
      </c>
      <c r="C2588" s="183">
        <f t="shared" si="4"/>
        <v>42160</v>
      </c>
      <c r="D2588" s="190" t="s">
        <v>1959</v>
      </c>
      <c r="E2588" s="763">
        <v>42160</v>
      </c>
      <c r="F2588" s="191" t="s">
        <v>1402</v>
      </c>
      <c r="G2588" s="482"/>
      <c r="H2588" s="7" t="s">
        <v>1946</v>
      </c>
      <c r="I2588" s="255">
        <v>1808</v>
      </c>
      <c r="J2588" s="255">
        <v>9000</v>
      </c>
      <c r="K2588" s="593">
        <f t="shared" si="23"/>
        <v>16272000</v>
      </c>
      <c r="L2588" s="39" t="s">
        <v>165</v>
      </c>
      <c r="M2588" s="594" t="s">
        <v>159</v>
      </c>
      <c r="N2588" s="52" t="str">
        <f>IF(AND('331-CT'!$E$7=TH!H2588,OR(L2588="331",M2588="331")),"331",IF(AND(OR(L2588="131",M2588="131"),H2588='131-CT'!$E$7),"131",""))</f>
        <v/>
      </c>
      <c r="O2588" s="86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799"/>
    </row>
    <row r="2589" spans="1:27" s="210" customFormat="1" ht="15.75" customHeight="1">
      <c r="A2589" s="203" t="str">
        <f>IF(B2589&lt;&gt;"",IF(AND(B2589&gt;=_TM1,B2589&lt;=_TM2,OR(TH!L2589="1111",TH!M2589="1111")),TH!D2589,""),"")</f>
        <v/>
      </c>
      <c r="B2589" s="36">
        <f t="shared" si="21"/>
        <v>6</v>
      </c>
      <c r="C2589" s="183">
        <f t="shared" si="4"/>
        <v>42165</v>
      </c>
      <c r="D2589" s="190" t="s">
        <v>1959</v>
      </c>
      <c r="E2589" s="763">
        <v>42165</v>
      </c>
      <c r="F2589" s="191" t="s">
        <v>1357</v>
      </c>
      <c r="G2589" s="482"/>
      <c r="H2589" s="7" t="s">
        <v>1946</v>
      </c>
      <c r="I2589" s="255">
        <v>2450</v>
      </c>
      <c r="J2589" s="255">
        <v>7300</v>
      </c>
      <c r="K2589" s="593">
        <f t="shared" si="23"/>
        <v>17885000</v>
      </c>
      <c r="L2589" s="39" t="s">
        <v>165</v>
      </c>
      <c r="M2589" s="594" t="s">
        <v>159</v>
      </c>
      <c r="N2589" s="52" t="str">
        <f>IF(AND('331-CT'!$E$7=TH!H2589,OR(L2589="331",M2589="331")),"331",IF(AND(OR(L2589="131",M2589="131"),H2589='131-CT'!$E$7),"131",""))</f>
        <v/>
      </c>
      <c r="O2589" s="869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99"/>
    </row>
    <row r="2590" spans="1:27" s="210" customFormat="1" ht="15.75" customHeight="1">
      <c r="A2590" s="203" t="str">
        <f>IF(B2590&lt;&gt;"",IF(AND(B2590&gt;=_TM1,B2590&lt;=_TM2,OR(TH!L2590="1111",TH!M2590="1111")),TH!D2590,""),"")</f>
        <v/>
      </c>
      <c r="B2590" s="36">
        <f t="shared" si="21"/>
        <v>6</v>
      </c>
      <c r="C2590" s="183">
        <f t="shared" si="4"/>
        <v>42168</v>
      </c>
      <c r="D2590" s="190" t="s">
        <v>1959</v>
      </c>
      <c r="E2590" s="763">
        <v>42168</v>
      </c>
      <c r="F2590" s="191" t="s">
        <v>1357</v>
      </c>
      <c r="G2590" s="482"/>
      <c r="H2590" s="7" t="s">
        <v>1946</v>
      </c>
      <c r="I2590" s="255">
        <v>2490</v>
      </c>
      <c r="J2590" s="255">
        <v>7300</v>
      </c>
      <c r="K2590" s="593">
        <f t="shared" si="23"/>
        <v>18177000</v>
      </c>
      <c r="L2590" s="39" t="s">
        <v>165</v>
      </c>
      <c r="M2590" s="594" t="s">
        <v>159</v>
      </c>
      <c r="N2590" s="52" t="str">
        <f>IF(AND('331-CT'!$E$7=TH!H2590,OR(L2590="331",M2590="331")),"331",IF(AND(OR(L2590="131",M2590="131"),H2590='131-CT'!$E$7),"131",""))</f>
        <v/>
      </c>
      <c r="O2590" s="869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99"/>
    </row>
    <row r="2591" spans="1:27" s="210" customFormat="1" ht="15.75" customHeight="1">
      <c r="A2591" s="203" t="str">
        <f>IF(B2591&lt;&gt;"",IF(AND(B2591&gt;=_TM1,B2591&lt;=_TM2,OR(TH!L2591="1111",TH!M2591="1111")),TH!D2591,""),"")</f>
        <v/>
      </c>
      <c r="B2591" s="36">
        <f t="shared" si="21"/>
        <v>6</v>
      </c>
      <c r="C2591" s="183">
        <f t="shared" si="4"/>
        <v>42170</v>
      </c>
      <c r="D2591" s="190" t="s">
        <v>1959</v>
      </c>
      <c r="E2591" s="763">
        <v>42170</v>
      </c>
      <c r="F2591" s="191" t="s">
        <v>1357</v>
      </c>
      <c r="G2591" s="482"/>
      <c r="H2591" s="7" t="s">
        <v>1946</v>
      </c>
      <c r="I2591" s="255">
        <v>2360</v>
      </c>
      <c r="J2591" s="255">
        <v>7300</v>
      </c>
      <c r="K2591" s="593">
        <f t="shared" si="23"/>
        <v>17228000</v>
      </c>
      <c r="L2591" s="39" t="s">
        <v>165</v>
      </c>
      <c r="M2591" s="594" t="s">
        <v>159</v>
      </c>
      <c r="N2591" s="52" t="str">
        <f>IF(AND('331-CT'!$E$7=TH!H2591,OR(L2591="331",M2591="331")),"331",IF(AND(OR(L2591="131",M2591="131"),H2591='131-CT'!$E$7),"131",""))</f>
        <v/>
      </c>
      <c r="O2591" s="86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99"/>
    </row>
    <row r="2592" spans="1:27" s="210" customFormat="1" ht="15.75" customHeight="1">
      <c r="A2592" s="203" t="str">
        <f>IF(B2592&lt;&gt;"",IF(AND(B2592&gt;=_TM1,B2592&lt;=_TM2,OR(TH!L2592="1111",TH!M2592="1111")),TH!D2592,""),"")</f>
        <v/>
      </c>
      <c r="B2592" s="36">
        <f t="shared" si="21"/>
        <v>6</v>
      </c>
      <c r="C2592" s="183">
        <f t="shared" si="4"/>
        <v>42172</v>
      </c>
      <c r="D2592" s="190" t="s">
        <v>1959</v>
      </c>
      <c r="E2592" s="763">
        <v>42172</v>
      </c>
      <c r="F2592" s="191" t="s">
        <v>1402</v>
      </c>
      <c r="G2592" s="482"/>
      <c r="H2592" s="7" t="s">
        <v>1946</v>
      </c>
      <c r="I2592" s="255">
        <v>1322</v>
      </c>
      <c r="J2592" s="255">
        <v>9000</v>
      </c>
      <c r="K2592" s="593">
        <f t="shared" si="23"/>
        <v>11898000</v>
      </c>
      <c r="L2592" s="39" t="s">
        <v>165</v>
      </c>
      <c r="M2592" s="594" t="s">
        <v>159</v>
      </c>
      <c r="N2592" s="52" t="str">
        <f>IF(AND('331-CT'!$E$7=TH!H2592,OR(L2592="331",M2592="331")),"331",IF(AND(OR(L2592="131",M2592="131"),H2592='131-CT'!$E$7),"131",""))</f>
        <v/>
      </c>
      <c r="O2592" s="869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99"/>
    </row>
    <row r="2593" spans="1:27" s="210" customFormat="1" ht="15.75" customHeight="1">
      <c r="A2593" s="203" t="str">
        <f>IF(B2593&lt;&gt;"",IF(AND(B2593&gt;=_TM1,B2593&lt;=_TM2,OR(TH!L2593="1111",TH!M2593="1111")),TH!D2593,""),"")</f>
        <v/>
      </c>
      <c r="B2593" s="36">
        <f t="shared" si="21"/>
        <v>6</v>
      </c>
      <c r="C2593" s="183">
        <f t="shared" si="4"/>
        <v>42177</v>
      </c>
      <c r="D2593" s="190" t="s">
        <v>1959</v>
      </c>
      <c r="E2593" s="763">
        <v>42177</v>
      </c>
      <c r="F2593" s="191" t="s">
        <v>1402</v>
      </c>
      <c r="G2593" s="482"/>
      <c r="H2593" s="7" t="s">
        <v>1946</v>
      </c>
      <c r="I2593" s="255">
        <v>860</v>
      </c>
      <c r="J2593" s="255">
        <v>9000</v>
      </c>
      <c r="K2593" s="593">
        <f t="shared" si="23"/>
        <v>7740000</v>
      </c>
      <c r="L2593" s="39" t="s">
        <v>165</v>
      </c>
      <c r="M2593" s="594" t="s">
        <v>159</v>
      </c>
      <c r="N2593" s="52" t="str">
        <f>IF(AND('331-CT'!$E$7=TH!H2593,OR(L2593="331",M2593="331")),"331",IF(AND(OR(L2593="131",M2593="131"),H2593='131-CT'!$E$7),"131",""))</f>
        <v/>
      </c>
      <c r="O2593" s="86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99"/>
    </row>
    <row r="2594" spans="1:27" s="210" customFormat="1" ht="15.75" customHeight="1">
      <c r="A2594" s="203" t="str">
        <f>IF(B2594&lt;&gt;"",IF(AND(B2594&gt;=_TM1,B2594&lt;=_TM2,OR(TH!L2594="1111",TH!M2594="1111")),TH!D2594,""),"")</f>
        <v/>
      </c>
      <c r="B2594" s="36">
        <f t="shared" si="21"/>
        <v>6</v>
      </c>
      <c r="C2594" s="183">
        <f t="shared" si="4"/>
        <v>42177</v>
      </c>
      <c r="D2594" s="190" t="s">
        <v>1959</v>
      </c>
      <c r="E2594" s="763">
        <v>42177</v>
      </c>
      <c r="F2594" s="191" t="s">
        <v>1398</v>
      </c>
      <c r="G2594" s="482"/>
      <c r="H2594" s="7" t="s">
        <v>1946</v>
      </c>
      <c r="I2594" s="255">
        <v>573</v>
      </c>
      <c r="J2594" s="255">
        <v>9100</v>
      </c>
      <c r="K2594" s="593">
        <f t="shared" si="23"/>
        <v>5214300</v>
      </c>
      <c r="L2594" s="39" t="s">
        <v>165</v>
      </c>
      <c r="M2594" s="594" t="s">
        <v>159</v>
      </c>
      <c r="N2594" s="52" t="str">
        <f>IF(AND('331-CT'!$E$7=TH!H2594,OR(L2594="331",M2594="331")),"331",IF(AND(OR(L2594="131",M2594="131"),H2594='131-CT'!$E$7),"131",""))</f>
        <v/>
      </c>
      <c r="O2594" s="869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99"/>
    </row>
    <row r="2595" spans="1:27" s="836" customFormat="1" ht="15.75" customHeight="1">
      <c r="A2595" s="203" t="str">
        <f>IF(B2595&lt;&gt;"",IF(AND(B2595&gt;=_TM1,B2595&lt;=_TM2,OR(TH!L2595="1111",TH!M2595="1111")),TH!D2595,""),"")</f>
        <v/>
      </c>
      <c r="B2595" s="826">
        <f t="shared" si="21"/>
        <v>7</v>
      </c>
      <c r="C2595" s="827">
        <f t="shared" ref="C2595:C2657" si="27">E2595</f>
        <v>42186</v>
      </c>
      <c r="D2595" s="828" t="s">
        <v>1959</v>
      </c>
      <c r="E2595" s="914">
        <v>42186</v>
      </c>
      <c r="F2595" s="829" t="s">
        <v>1402</v>
      </c>
      <c r="G2595" s="830"/>
      <c r="H2595" s="831" t="s">
        <v>1946</v>
      </c>
      <c r="I2595" s="832">
        <v>1771</v>
      </c>
      <c r="J2595" s="832">
        <v>9000</v>
      </c>
      <c r="K2595" s="833">
        <f t="shared" si="23"/>
        <v>15939000</v>
      </c>
      <c r="L2595" s="915" t="s">
        <v>165</v>
      </c>
      <c r="M2595" s="834" t="s">
        <v>159</v>
      </c>
      <c r="N2595" s="52" t="str">
        <f>IF(AND('331-CT'!$E$7=TH!H2595,OR(L2595="331",M2595="331")),"331",IF(AND(OR(L2595="131",M2595="131"),H2595='131-CT'!$E$7),"131",""))</f>
        <v/>
      </c>
      <c r="O2595" s="86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35"/>
    </row>
    <row r="2596" spans="1:27" s="210" customFormat="1" ht="15.75" customHeight="1">
      <c r="A2596" s="203" t="str">
        <f>IF(B2596&lt;&gt;"",IF(AND(B2596&gt;=_TM1,B2596&lt;=_TM2,OR(TH!L2596="1111",TH!M2596="1111")),TH!D2596,""),"")</f>
        <v/>
      </c>
      <c r="B2596" s="36">
        <f t="shared" si="21"/>
        <v>7</v>
      </c>
      <c r="C2596" s="183">
        <f t="shared" si="27"/>
        <v>42186</v>
      </c>
      <c r="D2596" s="190" t="s">
        <v>1959</v>
      </c>
      <c r="E2596" s="763">
        <v>42186</v>
      </c>
      <c r="F2596" s="191" t="s">
        <v>1937</v>
      </c>
      <c r="G2596" s="482"/>
      <c r="H2596" s="7" t="s">
        <v>1946</v>
      </c>
      <c r="I2596" s="255">
        <v>3000</v>
      </c>
      <c r="J2596" s="255">
        <v>7800</v>
      </c>
      <c r="K2596" s="593">
        <f t="shared" si="23"/>
        <v>23400000</v>
      </c>
      <c r="L2596" s="39" t="s">
        <v>165</v>
      </c>
      <c r="M2596" s="594" t="s">
        <v>159</v>
      </c>
      <c r="N2596" s="52" t="str">
        <f>IF(AND('331-CT'!$E$7=TH!H2596,OR(L2596="331",M2596="331")),"331",IF(AND(OR(L2596="131",M2596="131"),H2596='131-CT'!$E$7),"131",""))</f>
        <v/>
      </c>
      <c r="O2596" s="86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799"/>
    </row>
    <row r="2597" spans="1:27" s="210" customFormat="1" ht="15.75" customHeight="1">
      <c r="A2597" s="203" t="str">
        <f>IF(B2597&lt;&gt;"",IF(AND(B2597&gt;=_TM1,B2597&lt;=_TM2,OR(TH!L2597="1111",TH!M2597="1111")),TH!D2597,""),"")</f>
        <v/>
      </c>
      <c r="B2597" s="36">
        <f t="shared" si="21"/>
        <v>7</v>
      </c>
      <c r="C2597" s="183">
        <f t="shared" si="27"/>
        <v>42190</v>
      </c>
      <c r="D2597" s="190" t="s">
        <v>1959</v>
      </c>
      <c r="E2597" s="763">
        <v>42190</v>
      </c>
      <c r="F2597" s="191" t="s">
        <v>1357</v>
      </c>
      <c r="G2597" s="482"/>
      <c r="H2597" s="7" t="s">
        <v>1946</v>
      </c>
      <c r="I2597" s="256">
        <v>4927</v>
      </c>
      <c r="J2597" s="256">
        <v>7300</v>
      </c>
      <c r="K2597" s="593">
        <f t="shared" si="23"/>
        <v>35967100</v>
      </c>
      <c r="L2597" s="39" t="s">
        <v>165</v>
      </c>
      <c r="M2597" s="594" t="s">
        <v>159</v>
      </c>
      <c r="N2597" s="52" t="str">
        <f>IF(AND('331-CT'!$E$7=TH!H2597,OR(L2597="331",M2597="331")),"331",IF(AND(OR(L2597="131",M2597="131"),H2597='131-CT'!$E$7),"131",""))</f>
        <v/>
      </c>
      <c r="O2597" s="86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799"/>
    </row>
    <row r="2598" spans="1:27" s="210" customFormat="1" ht="15.75" customHeight="1">
      <c r="A2598" s="203" t="str">
        <f>IF(B2598&lt;&gt;"",IF(AND(B2598&gt;=_TM1,B2598&lt;=_TM2,OR(TH!L2598="1111",TH!M2598="1111")),TH!D2598,""),"")</f>
        <v/>
      </c>
      <c r="B2598" s="36">
        <f t="shared" si="21"/>
        <v>7</v>
      </c>
      <c r="C2598" s="183">
        <f t="shared" si="27"/>
        <v>42190</v>
      </c>
      <c r="D2598" s="190" t="s">
        <v>1959</v>
      </c>
      <c r="E2598" s="763">
        <v>42190</v>
      </c>
      <c r="F2598" s="191" t="s">
        <v>1398</v>
      </c>
      <c r="G2598" s="482"/>
      <c r="H2598" s="7" t="s">
        <v>1946</v>
      </c>
      <c r="I2598" s="255">
        <v>767</v>
      </c>
      <c r="J2598" s="255">
        <v>9100</v>
      </c>
      <c r="K2598" s="593">
        <f t="shared" si="23"/>
        <v>6979700</v>
      </c>
      <c r="L2598" s="39" t="s">
        <v>165</v>
      </c>
      <c r="M2598" s="594" t="s">
        <v>159</v>
      </c>
      <c r="N2598" s="52" t="str">
        <f>IF(AND('331-CT'!$E$7=TH!H2598,OR(L2598="331",M2598="331")),"331",IF(AND(OR(L2598="131",M2598="131"),H2598='131-CT'!$E$7),"131",""))</f>
        <v/>
      </c>
      <c r="O2598" s="86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799"/>
    </row>
    <row r="2599" spans="1:27" s="210" customFormat="1" ht="15.75" customHeight="1">
      <c r="A2599" s="203" t="str">
        <f>IF(B2599&lt;&gt;"",IF(AND(B2599&gt;=_TM1,B2599&lt;=_TM2,OR(TH!L2599="1111",TH!M2599="1111")),TH!D2599,""),"")</f>
        <v/>
      </c>
      <c r="B2599" s="36">
        <f t="shared" si="21"/>
        <v>7</v>
      </c>
      <c r="C2599" s="183">
        <f t="shared" si="27"/>
        <v>42196</v>
      </c>
      <c r="D2599" s="190" t="s">
        <v>1959</v>
      </c>
      <c r="E2599" s="763">
        <v>42196</v>
      </c>
      <c r="F2599" s="191" t="s">
        <v>1402</v>
      </c>
      <c r="G2599" s="482"/>
      <c r="H2599" s="7" t="s">
        <v>1946</v>
      </c>
      <c r="I2599" s="255">
        <v>2755</v>
      </c>
      <c r="J2599" s="255">
        <v>9000</v>
      </c>
      <c r="K2599" s="593">
        <f t="shared" si="23"/>
        <v>24795000</v>
      </c>
      <c r="L2599" s="39" t="s">
        <v>165</v>
      </c>
      <c r="M2599" s="594" t="s">
        <v>159</v>
      </c>
      <c r="N2599" s="52" t="str">
        <f>IF(AND('331-CT'!$E$7=TH!H2599,OR(L2599="331",M2599="331")),"331",IF(AND(OR(L2599="131",M2599="131"),H2599='131-CT'!$E$7),"131",""))</f>
        <v/>
      </c>
      <c r="O2599" s="86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799"/>
    </row>
    <row r="2600" spans="1:27" s="210" customFormat="1" ht="15.75" customHeight="1">
      <c r="A2600" s="203" t="str">
        <f>IF(B2600&lt;&gt;"",IF(AND(B2600&gt;=_TM1,B2600&lt;=_TM2,OR(TH!L2600="1111",TH!M2600="1111")),TH!D2600,""),"")</f>
        <v/>
      </c>
      <c r="B2600" s="36">
        <f t="shared" si="21"/>
        <v>7</v>
      </c>
      <c r="C2600" s="183">
        <f t="shared" si="27"/>
        <v>42196</v>
      </c>
      <c r="D2600" s="190" t="s">
        <v>1959</v>
      </c>
      <c r="E2600" s="763">
        <v>42196</v>
      </c>
      <c r="F2600" s="191" t="s">
        <v>1357</v>
      </c>
      <c r="G2600" s="482"/>
      <c r="H2600" s="7" t="s">
        <v>1946</v>
      </c>
      <c r="I2600" s="255">
        <v>2450</v>
      </c>
      <c r="J2600" s="255">
        <v>7300</v>
      </c>
      <c r="K2600" s="593">
        <f t="shared" si="23"/>
        <v>17885000</v>
      </c>
      <c r="L2600" s="39" t="s">
        <v>165</v>
      </c>
      <c r="M2600" s="594" t="s">
        <v>159</v>
      </c>
      <c r="N2600" s="52" t="str">
        <f>IF(AND('331-CT'!$E$7=TH!H2600,OR(L2600="331",M2600="331")),"331",IF(AND(OR(L2600="131",M2600="131"),H2600='131-CT'!$E$7),"131",""))</f>
        <v/>
      </c>
      <c r="O2600" s="869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799"/>
    </row>
    <row r="2601" spans="1:27" s="210" customFormat="1" ht="15.75" customHeight="1">
      <c r="A2601" s="203" t="str">
        <f>IF(B2601&lt;&gt;"",IF(AND(B2601&gt;=_TM1,B2601&lt;=_TM2,OR(TH!L2601="1111",TH!M2601="1111")),TH!D2601,""),"")</f>
        <v/>
      </c>
      <c r="B2601" s="36">
        <f t="shared" si="21"/>
        <v>7</v>
      </c>
      <c r="C2601" s="183">
        <f t="shared" si="27"/>
        <v>42200</v>
      </c>
      <c r="D2601" s="190" t="s">
        <v>1959</v>
      </c>
      <c r="E2601" s="725">
        <v>42200</v>
      </c>
      <c r="F2601" s="40" t="s">
        <v>1357</v>
      </c>
      <c r="G2601" s="482"/>
      <c r="H2601" s="7" t="s">
        <v>1946</v>
      </c>
      <c r="I2601" s="255">
        <v>2490</v>
      </c>
      <c r="J2601" s="255">
        <v>7300</v>
      </c>
      <c r="K2601" s="593">
        <f t="shared" si="23"/>
        <v>18177000</v>
      </c>
      <c r="L2601" s="39" t="s">
        <v>165</v>
      </c>
      <c r="M2601" s="594" t="s">
        <v>159</v>
      </c>
      <c r="N2601" s="52" t="str">
        <f>IF(AND('331-CT'!$E$7=TH!H2601,OR(L2601="331",M2601="331")),"331",IF(AND(OR(L2601="131",M2601="131"),H2601='131-CT'!$E$7),"131",""))</f>
        <v/>
      </c>
      <c r="O2601" s="869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799"/>
    </row>
    <row r="2602" spans="1:27" s="210" customFormat="1" ht="15.75" customHeight="1">
      <c r="A2602" s="203" t="str">
        <f>IF(B2602&lt;&gt;"",IF(AND(B2602&gt;=_TM1,B2602&lt;=_TM2,OR(TH!L2602="1111",TH!M2602="1111")),TH!D2602,""),"")</f>
        <v/>
      </c>
      <c r="B2602" s="36">
        <f t="shared" si="21"/>
        <v>7</v>
      </c>
      <c r="C2602" s="183">
        <f t="shared" si="27"/>
        <v>42203</v>
      </c>
      <c r="D2602" s="190" t="s">
        <v>1959</v>
      </c>
      <c r="E2602" s="725">
        <v>42203</v>
      </c>
      <c r="F2602" s="40" t="s">
        <v>1357</v>
      </c>
      <c r="G2602" s="482"/>
      <c r="H2602" s="7" t="s">
        <v>1946</v>
      </c>
      <c r="I2602" s="255">
        <v>2485</v>
      </c>
      <c r="J2602" s="255">
        <v>7300</v>
      </c>
      <c r="K2602" s="593">
        <f t="shared" si="23"/>
        <v>18140500</v>
      </c>
      <c r="L2602" s="39" t="s">
        <v>165</v>
      </c>
      <c r="M2602" s="594" t="s">
        <v>159</v>
      </c>
      <c r="N2602" s="52" t="str">
        <f>IF(AND('331-CT'!$E$7=TH!H2602,OR(L2602="331",M2602="331")),"331",IF(AND(OR(L2602="131",M2602="131"),H2602='131-CT'!$E$7),"131",""))</f>
        <v/>
      </c>
      <c r="O2602" s="869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799"/>
    </row>
    <row r="2603" spans="1:27" s="210" customFormat="1" ht="15.75" customHeight="1">
      <c r="A2603" s="203" t="str">
        <f>IF(B2603&lt;&gt;"",IF(AND(B2603&gt;=_TM1,B2603&lt;=_TM2,OR(TH!L2603="1111",TH!M2603="1111")),TH!D2603,""),"")</f>
        <v/>
      </c>
      <c r="B2603" s="36">
        <f t="shared" si="21"/>
        <v>7</v>
      </c>
      <c r="C2603" s="183">
        <f t="shared" si="27"/>
        <v>42207</v>
      </c>
      <c r="D2603" s="190" t="s">
        <v>1959</v>
      </c>
      <c r="E2603" s="725">
        <v>42207</v>
      </c>
      <c r="F2603" s="40" t="s">
        <v>1357</v>
      </c>
      <c r="G2603" s="482"/>
      <c r="H2603" s="7" t="s">
        <v>1946</v>
      </c>
      <c r="I2603" s="255">
        <v>2470</v>
      </c>
      <c r="J2603" s="255">
        <v>7300</v>
      </c>
      <c r="K2603" s="593">
        <f t="shared" si="23"/>
        <v>18031000</v>
      </c>
      <c r="L2603" s="39" t="s">
        <v>165</v>
      </c>
      <c r="M2603" s="594" t="s">
        <v>159</v>
      </c>
      <c r="N2603" s="52" t="str">
        <f>IF(AND('331-CT'!$E$7=TH!H2603,OR(L2603="331",M2603="331")),"331",IF(AND(OR(L2603="131",M2603="131"),H2603='131-CT'!$E$7),"131",""))</f>
        <v/>
      </c>
      <c r="O2603" s="869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799"/>
    </row>
    <row r="2604" spans="1:27" s="210" customFormat="1" ht="15.75" customHeight="1">
      <c r="A2604" s="203" t="str">
        <f>IF(B2604&lt;&gt;"",IF(AND(B2604&gt;=_TM1,B2604&lt;=_TM2,OR(TH!L2604="1111",TH!M2604="1111")),TH!D2604,""),"")</f>
        <v/>
      </c>
      <c r="B2604" s="36">
        <f t="shared" si="21"/>
        <v>7</v>
      </c>
      <c r="C2604" s="183">
        <f t="shared" si="27"/>
        <v>42211</v>
      </c>
      <c r="D2604" s="190" t="s">
        <v>1959</v>
      </c>
      <c r="E2604" s="725">
        <v>42211</v>
      </c>
      <c r="F2604" s="40" t="s">
        <v>1357</v>
      </c>
      <c r="G2604" s="482"/>
      <c r="H2604" s="7" t="s">
        <v>1946</v>
      </c>
      <c r="I2604" s="255">
        <v>2465</v>
      </c>
      <c r="J2604" s="255">
        <v>7300</v>
      </c>
      <c r="K2604" s="593">
        <f t="shared" si="23"/>
        <v>17994500</v>
      </c>
      <c r="L2604" s="39" t="s">
        <v>165</v>
      </c>
      <c r="M2604" s="594" t="s">
        <v>159</v>
      </c>
      <c r="N2604" s="52" t="str">
        <f>IF(AND('331-CT'!$E$7=TH!H2604,OR(L2604="331",M2604="331")),"331",IF(AND(OR(L2604="131",M2604="131"),H2604='131-CT'!$E$7),"131",""))</f>
        <v/>
      </c>
      <c r="O2604" s="869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799"/>
    </row>
    <row r="2605" spans="1:27" s="210" customFormat="1" ht="15.75" customHeight="1">
      <c r="A2605" s="203" t="str">
        <f>IF(B2605&lt;&gt;"",IF(AND(B2605&gt;=_TM1,B2605&lt;=_TM2,OR(TH!L2605="1111",TH!M2605="1111")),TH!D2605,""),"")</f>
        <v/>
      </c>
      <c r="B2605" s="36">
        <f t="shared" si="21"/>
        <v>7</v>
      </c>
      <c r="C2605" s="183">
        <f t="shared" si="27"/>
        <v>42211</v>
      </c>
      <c r="D2605" s="190" t="s">
        <v>1959</v>
      </c>
      <c r="E2605" s="725">
        <v>42211</v>
      </c>
      <c r="F2605" s="40" t="s">
        <v>1402</v>
      </c>
      <c r="G2605" s="482"/>
      <c r="H2605" s="7" t="s">
        <v>1946</v>
      </c>
      <c r="I2605" s="255">
        <v>3622</v>
      </c>
      <c r="J2605" s="255">
        <v>9000</v>
      </c>
      <c r="K2605" s="593">
        <f t="shared" si="23"/>
        <v>32598000</v>
      </c>
      <c r="L2605" s="39" t="s">
        <v>165</v>
      </c>
      <c r="M2605" s="594" t="s">
        <v>159</v>
      </c>
      <c r="N2605" s="52" t="str">
        <f>IF(AND('331-CT'!$E$7=TH!H2605,OR(L2605="331",M2605="331")),"331",IF(AND(OR(L2605="131",M2605="131"),H2605='131-CT'!$E$7),"131",""))</f>
        <v/>
      </c>
      <c r="O2605" s="869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799"/>
    </row>
    <row r="2606" spans="1:27" s="210" customFormat="1" ht="15.75" customHeight="1">
      <c r="A2606" s="203" t="str">
        <f>IF(B2606&lt;&gt;"",IF(AND(B2606&gt;=_TM1,B2606&lt;=_TM2,OR(TH!L2606="1111",TH!M2606="1111")),TH!D2606,""),"")</f>
        <v/>
      </c>
      <c r="B2606" s="36">
        <f t="shared" si="21"/>
        <v>8</v>
      </c>
      <c r="C2606" s="183">
        <f t="shared" si="27"/>
        <v>42217</v>
      </c>
      <c r="D2606" s="190" t="s">
        <v>1959</v>
      </c>
      <c r="E2606" s="725">
        <v>42217</v>
      </c>
      <c r="F2606" s="191" t="s">
        <v>1398</v>
      </c>
      <c r="G2606" s="482"/>
      <c r="H2606" s="7" t="s">
        <v>1946</v>
      </c>
      <c r="I2606" s="255">
        <v>1256</v>
      </c>
      <c r="J2606" s="255">
        <v>9100</v>
      </c>
      <c r="K2606" s="593">
        <f t="shared" si="23"/>
        <v>11429600</v>
      </c>
      <c r="L2606" s="39" t="s">
        <v>165</v>
      </c>
      <c r="M2606" s="594" t="s">
        <v>159</v>
      </c>
      <c r="N2606" s="52" t="str">
        <f>IF(AND('331-CT'!$E$7=TH!H2606,OR(L2606="331",M2606="331")),"331",IF(AND(OR(L2606="131",M2606="131"),H2606='131-CT'!$E$7),"131",""))</f>
        <v/>
      </c>
      <c r="O2606" s="869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799"/>
    </row>
    <row r="2607" spans="1:27" s="210" customFormat="1" ht="15.75" customHeight="1">
      <c r="A2607" s="203" t="str">
        <f>IF(B2607&lt;&gt;"",IF(AND(B2607&gt;=_TM1,B2607&lt;=_TM2,OR(TH!L2607="1111",TH!M2607="1111")),TH!D2607,""),"")</f>
        <v/>
      </c>
      <c r="B2607" s="36">
        <f t="shared" si="21"/>
        <v>8</v>
      </c>
      <c r="C2607" s="183">
        <f t="shared" si="27"/>
        <v>42217</v>
      </c>
      <c r="D2607" s="190" t="s">
        <v>1959</v>
      </c>
      <c r="E2607" s="725">
        <v>42217</v>
      </c>
      <c r="F2607" s="191" t="s">
        <v>1402</v>
      </c>
      <c r="G2607" s="482"/>
      <c r="H2607" s="7" t="s">
        <v>1946</v>
      </c>
      <c r="I2607" s="255">
        <v>2752</v>
      </c>
      <c r="J2607" s="255">
        <v>9000</v>
      </c>
      <c r="K2607" s="593">
        <f t="shared" si="23"/>
        <v>24768000</v>
      </c>
      <c r="L2607" s="39" t="s">
        <v>165</v>
      </c>
      <c r="M2607" s="594" t="s">
        <v>159</v>
      </c>
      <c r="N2607" s="52" t="str">
        <f>IF(AND('331-CT'!$E$7=TH!H2607,OR(L2607="331",M2607="331")),"331",IF(AND(OR(L2607="131",M2607="131"),H2607='131-CT'!$E$7),"131",""))</f>
        <v/>
      </c>
      <c r="O2607" s="869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799"/>
    </row>
    <row r="2608" spans="1:27" s="210" customFormat="1" ht="15.75" customHeight="1">
      <c r="A2608" s="203" t="str">
        <f>IF(B2608&lt;&gt;"",IF(AND(B2608&gt;=_TM1,B2608&lt;=_TM2,OR(TH!L2608="1111",TH!M2608="1111")),TH!D2608,""),"")</f>
        <v/>
      </c>
      <c r="B2608" s="36">
        <f t="shared" si="21"/>
        <v>8</v>
      </c>
      <c r="C2608" s="183">
        <f t="shared" si="27"/>
        <v>42223</v>
      </c>
      <c r="D2608" s="190" t="s">
        <v>1959</v>
      </c>
      <c r="E2608" s="725">
        <v>42223</v>
      </c>
      <c r="F2608" s="191" t="s">
        <v>1357</v>
      </c>
      <c r="G2608" s="482"/>
      <c r="H2608" s="7" t="s">
        <v>1946</v>
      </c>
      <c r="I2608" s="255">
        <v>2450</v>
      </c>
      <c r="J2608" s="255">
        <v>7300</v>
      </c>
      <c r="K2608" s="593">
        <f t="shared" si="23"/>
        <v>17885000</v>
      </c>
      <c r="L2608" s="39" t="s">
        <v>165</v>
      </c>
      <c r="M2608" s="594" t="s">
        <v>159</v>
      </c>
      <c r="N2608" s="52" t="str">
        <f>IF(AND('331-CT'!$E$7=TH!H2608,OR(L2608="331",M2608="331")),"331",IF(AND(OR(L2608="131",M2608="131"),H2608='131-CT'!$E$7),"131",""))</f>
        <v/>
      </c>
      <c r="O2608" s="869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799"/>
    </row>
    <row r="2609" spans="1:27" s="210" customFormat="1" ht="15.75" customHeight="1">
      <c r="A2609" s="203" t="str">
        <f>IF(B2609&lt;&gt;"",IF(AND(B2609&gt;=_TM1,B2609&lt;=_TM2,OR(TH!L2609="1111",TH!M2609="1111")),TH!D2609,""),"")</f>
        <v/>
      </c>
      <c r="B2609" s="36">
        <f t="shared" si="21"/>
        <v>8</v>
      </c>
      <c r="C2609" s="183">
        <f t="shared" si="27"/>
        <v>42223</v>
      </c>
      <c r="D2609" s="190" t="s">
        <v>1959</v>
      </c>
      <c r="E2609" s="725">
        <v>42223</v>
      </c>
      <c r="F2609" s="191" t="s">
        <v>1398</v>
      </c>
      <c r="G2609" s="482"/>
      <c r="H2609" s="7" t="s">
        <v>1946</v>
      </c>
      <c r="I2609" s="255">
        <v>2477</v>
      </c>
      <c r="J2609" s="255">
        <v>9100</v>
      </c>
      <c r="K2609" s="593">
        <f t="shared" si="23"/>
        <v>22540700</v>
      </c>
      <c r="L2609" s="39" t="s">
        <v>165</v>
      </c>
      <c r="M2609" s="594" t="s">
        <v>159</v>
      </c>
      <c r="N2609" s="52" t="str">
        <f>IF(AND('331-CT'!$E$7=TH!H2609,OR(L2609="331",M2609="331")),"331",IF(AND(OR(L2609="131",M2609="131"),H2609='131-CT'!$E$7),"131",""))</f>
        <v/>
      </c>
      <c r="O2609" s="869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799"/>
    </row>
    <row r="2610" spans="1:27" s="210" customFormat="1" ht="15.75" customHeight="1">
      <c r="A2610" s="203" t="str">
        <f>IF(B2610&lt;&gt;"",IF(AND(B2610&gt;=_TM1,B2610&lt;=_TM2,OR(TH!L2610="1111",TH!M2610="1111")),TH!D2610,""),"")</f>
        <v/>
      </c>
      <c r="B2610" s="36">
        <f t="shared" si="21"/>
        <v>8</v>
      </c>
      <c r="C2610" s="183">
        <f t="shared" si="27"/>
        <v>42223</v>
      </c>
      <c r="D2610" s="190" t="s">
        <v>1959</v>
      </c>
      <c r="E2610" s="725">
        <v>42223</v>
      </c>
      <c r="F2610" s="191" t="s">
        <v>1402</v>
      </c>
      <c r="G2610" s="482"/>
      <c r="H2610" s="7" t="s">
        <v>1946</v>
      </c>
      <c r="I2610" s="255">
        <v>849</v>
      </c>
      <c r="J2610" s="255">
        <v>9000</v>
      </c>
      <c r="K2610" s="593">
        <f t="shared" si="23"/>
        <v>7641000</v>
      </c>
      <c r="L2610" s="39" t="s">
        <v>165</v>
      </c>
      <c r="M2610" s="594" t="s">
        <v>159</v>
      </c>
      <c r="N2610" s="52" t="str">
        <f>IF(AND('331-CT'!$E$7=TH!H2610,OR(L2610="331",M2610="331")),"331",IF(AND(OR(L2610="131",M2610="131"),H2610='131-CT'!$E$7),"131",""))</f>
        <v/>
      </c>
      <c r="O2610" s="869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799"/>
    </row>
    <row r="2611" spans="1:27" s="210" customFormat="1" ht="15.75" customHeight="1">
      <c r="A2611" s="203" t="str">
        <f>IF(B2611&lt;&gt;"",IF(AND(B2611&gt;=_TM1,B2611&lt;=_TM2,OR(TH!L2611="1111",TH!M2611="1111")),TH!D2611,""),"")</f>
        <v/>
      </c>
      <c r="B2611" s="36">
        <f t="shared" si="21"/>
        <v>8</v>
      </c>
      <c r="C2611" s="183">
        <f t="shared" si="27"/>
        <v>42228</v>
      </c>
      <c r="D2611" s="190" t="s">
        <v>1959</v>
      </c>
      <c r="E2611" s="773">
        <v>42228</v>
      </c>
      <c r="F2611" s="188" t="s">
        <v>1357</v>
      </c>
      <c r="G2611" s="482"/>
      <c r="H2611" s="7" t="s">
        <v>1946</v>
      </c>
      <c r="I2611" s="255">
        <v>2455</v>
      </c>
      <c r="J2611" s="255">
        <v>7300</v>
      </c>
      <c r="K2611" s="593">
        <f t="shared" si="23"/>
        <v>17921500</v>
      </c>
      <c r="L2611" s="39" t="s">
        <v>165</v>
      </c>
      <c r="M2611" s="594" t="s">
        <v>159</v>
      </c>
      <c r="N2611" s="52" t="str">
        <f>IF(AND('331-CT'!$E$7=TH!H2611,OR(L2611="331",M2611="331")),"331",IF(AND(OR(L2611="131",M2611="131"),H2611='131-CT'!$E$7),"131",""))</f>
        <v/>
      </c>
      <c r="O2611" s="869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799"/>
    </row>
    <row r="2612" spans="1:27" s="210" customFormat="1" ht="15.75" customHeight="1">
      <c r="A2612" s="203" t="str">
        <f>IF(B2612&lt;&gt;"",IF(AND(B2612&gt;=_TM1,B2612&lt;=_TM2,OR(TH!L2612="1111",TH!M2612="1111")),TH!D2612,""),"")</f>
        <v/>
      </c>
      <c r="B2612" s="36">
        <f t="shared" si="21"/>
        <v>8</v>
      </c>
      <c r="C2612" s="183">
        <f t="shared" si="27"/>
        <v>42231</v>
      </c>
      <c r="D2612" s="190" t="s">
        <v>1959</v>
      </c>
      <c r="E2612" s="763">
        <v>42231</v>
      </c>
      <c r="F2612" s="188" t="s">
        <v>1357</v>
      </c>
      <c r="G2612" s="482"/>
      <c r="H2612" s="7" t="s">
        <v>1946</v>
      </c>
      <c r="I2612" s="255">
        <v>1918</v>
      </c>
      <c r="J2612" s="255">
        <v>7300</v>
      </c>
      <c r="K2612" s="593">
        <f t="shared" si="23"/>
        <v>14001400</v>
      </c>
      <c r="L2612" s="39" t="s">
        <v>165</v>
      </c>
      <c r="M2612" s="594" t="s">
        <v>159</v>
      </c>
      <c r="N2612" s="52" t="str">
        <f>IF(AND('331-CT'!$E$7=TH!H2612,OR(L2612="331",M2612="331")),"331",IF(AND(OR(L2612="131",M2612="131"),H2612='131-CT'!$E$7),"131",""))</f>
        <v/>
      </c>
      <c r="O2612" s="869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799"/>
    </row>
    <row r="2613" spans="1:27" s="210" customFormat="1" ht="15.75" customHeight="1">
      <c r="A2613" s="203" t="str">
        <f>IF(B2613&lt;&gt;"",IF(AND(B2613&gt;=_TM1,B2613&lt;=_TM2,OR(TH!L2613="1111",TH!M2613="1111")),TH!D2613,""),"")</f>
        <v/>
      </c>
      <c r="B2613" s="36">
        <f t="shared" si="21"/>
        <v>8</v>
      </c>
      <c r="C2613" s="183">
        <f t="shared" si="27"/>
        <v>42234</v>
      </c>
      <c r="D2613" s="190" t="s">
        <v>1959</v>
      </c>
      <c r="E2613" s="763">
        <v>42234</v>
      </c>
      <c r="F2613" s="40" t="s">
        <v>1357</v>
      </c>
      <c r="G2613" s="482"/>
      <c r="H2613" s="7" t="s">
        <v>1946</v>
      </c>
      <c r="I2613" s="255">
        <v>2486</v>
      </c>
      <c r="J2613" s="255">
        <v>7300</v>
      </c>
      <c r="K2613" s="593">
        <f t="shared" si="23"/>
        <v>18147800</v>
      </c>
      <c r="L2613" s="39" t="s">
        <v>165</v>
      </c>
      <c r="M2613" s="594" t="s">
        <v>159</v>
      </c>
      <c r="N2613" s="52" t="str">
        <f>IF(AND('331-CT'!$E$7=TH!H2613,OR(L2613="331",M2613="331")),"331",IF(AND(OR(L2613="131",M2613="131"),H2613='131-CT'!$E$7),"131",""))</f>
        <v/>
      </c>
      <c r="O2613" s="869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799"/>
    </row>
    <row r="2614" spans="1:27" s="210" customFormat="1" ht="15.75" customHeight="1">
      <c r="A2614" s="203" t="str">
        <f>IF(B2614&lt;&gt;"",IF(AND(B2614&gt;=_TM1,B2614&lt;=_TM2,OR(TH!L2614="1111",TH!M2614="1111")),TH!D2614,""),"")</f>
        <v/>
      </c>
      <c r="B2614" s="36">
        <f t="shared" si="21"/>
        <v>8</v>
      </c>
      <c r="C2614" s="183">
        <f t="shared" si="27"/>
        <v>42237</v>
      </c>
      <c r="D2614" s="190" t="s">
        <v>1959</v>
      </c>
      <c r="E2614" s="763">
        <v>42237</v>
      </c>
      <c r="F2614" s="188" t="s">
        <v>1357</v>
      </c>
      <c r="G2614" s="482"/>
      <c r="H2614" s="7" t="s">
        <v>1946</v>
      </c>
      <c r="I2614" s="255">
        <v>2346</v>
      </c>
      <c r="J2614" s="255">
        <v>7300</v>
      </c>
      <c r="K2614" s="593">
        <f t="shared" si="23"/>
        <v>17125800</v>
      </c>
      <c r="L2614" s="39" t="s">
        <v>165</v>
      </c>
      <c r="M2614" s="594" t="s">
        <v>159</v>
      </c>
      <c r="N2614" s="52" t="str">
        <f>IF(AND('331-CT'!$E$7=TH!H2614,OR(L2614="331",M2614="331")),"331",IF(AND(OR(L2614="131",M2614="131"),H2614='131-CT'!$E$7),"131",""))</f>
        <v/>
      </c>
      <c r="O2614" s="869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799"/>
    </row>
    <row r="2615" spans="1:27" s="210" customFormat="1" ht="15.75" customHeight="1">
      <c r="A2615" s="203" t="str">
        <f>IF(B2615&lt;&gt;"",IF(AND(B2615&gt;=_TM1,B2615&lt;=_TM2,OR(TH!L2615="1111",TH!M2615="1111")),TH!D2615,""),"")</f>
        <v/>
      </c>
      <c r="B2615" s="36">
        <f t="shared" si="21"/>
        <v>8</v>
      </c>
      <c r="C2615" s="183">
        <f t="shared" si="27"/>
        <v>42240</v>
      </c>
      <c r="D2615" s="190" t="s">
        <v>1959</v>
      </c>
      <c r="E2615" s="763">
        <v>42240</v>
      </c>
      <c r="F2615" s="40" t="s">
        <v>1357</v>
      </c>
      <c r="G2615" s="482"/>
      <c r="H2615" s="7" t="s">
        <v>1946</v>
      </c>
      <c r="I2615" s="255">
        <v>2358</v>
      </c>
      <c r="J2615" s="255">
        <v>7300</v>
      </c>
      <c r="K2615" s="593">
        <f t="shared" si="23"/>
        <v>17213400</v>
      </c>
      <c r="L2615" s="39" t="s">
        <v>165</v>
      </c>
      <c r="M2615" s="594" t="s">
        <v>159</v>
      </c>
      <c r="N2615" s="52" t="str">
        <f>IF(AND('331-CT'!$E$7=TH!H2615,OR(L2615="331",M2615="331")),"331",IF(AND(OR(L2615="131",M2615="131"),H2615='131-CT'!$E$7),"131",""))</f>
        <v/>
      </c>
      <c r="O2615" s="869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799"/>
    </row>
    <row r="2616" spans="1:27" s="210" customFormat="1" ht="15.75" customHeight="1">
      <c r="A2616" s="203" t="str">
        <f>IF(B2616&lt;&gt;"",IF(AND(B2616&gt;=_TM1,B2616&lt;=_TM2,OR(TH!L2616="1111",TH!M2616="1111")),TH!D2616,""),"")</f>
        <v/>
      </c>
      <c r="B2616" s="36">
        <f t="shared" si="21"/>
        <v>8</v>
      </c>
      <c r="C2616" s="183">
        <f t="shared" si="27"/>
        <v>42243</v>
      </c>
      <c r="D2616" s="190" t="s">
        <v>1959</v>
      </c>
      <c r="E2616" s="763">
        <v>42243</v>
      </c>
      <c r="F2616" s="40" t="s">
        <v>1357</v>
      </c>
      <c r="G2616" s="482"/>
      <c r="H2616" s="7" t="s">
        <v>1946</v>
      </c>
      <c r="I2616" s="255">
        <v>1886</v>
      </c>
      <c r="J2616" s="255">
        <v>7300</v>
      </c>
      <c r="K2616" s="593">
        <f t="shared" ref="K2616:K2663" si="28">ROUND(I2616*J2616,0)</f>
        <v>13767800</v>
      </c>
      <c r="L2616" s="39" t="s">
        <v>165</v>
      </c>
      <c r="M2616" s="594" t="s">
        <v>159</v>
      </c>
      <c r="N2616" s="52" t="str">
        <f>IF(AND('331-CT'!$E$7=TH!H2616,OR(L2616="331",M2616="331")),"331",IF(AND(OR(L2616="131",M2616="131"),H2616='131-CT'!$E$7),"131",""))</f>
        <v/>
      </c>
      <c r="O2616" s="869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799"/>
    </row>
    <row r="2617" spans="1:27" s="210" customFormat="1" ht="15.75" customHeight="1">
      <c r="A2617" s="203" t="str">
        <f>IF(B2617&lt;&gt;"",IF(AND(B2617&gt;=_TM1,B2617&lt;=_TM2,OR(TH!L2617="1111",TH!M2617="1111")),TH!D2617,""),"")</f>
        <v/>
      </c>
      <c r="B2617" s="36">
        <f t="shared" si="21"/>
        <v>9</v>
      </c>
      <c r="C2617" s="183">
        <f t="shared" si="27"/>
        <v>42248</v>
      </c>
      <c r="D2617" s="190" t="s">
        <v>1959</v>
      </c>
      <c r="E2617" s="763">
        <v>42248</v>
      </c>
      <c r="F2617" s="40" t="s">
        <v>1357</v>
      </c>
      <c r="G2617" s="482"/>
      <c r="H2617" s="7" t="s">
        <v>1946</v>
      </c>
      <c r="I2617" s="255">
        <v>1762</v>
      </c>
      <c r="J2617" s="255">
        <v>7300</v>
      </c>
      <c r="K2617" s="593">
        <f t="shared" si="28"/>
        <v>12862600</v>
      </c>
      <c r="L2617" s="39" t="s">
        <v>165</v>
      </c>
      <c r="M2617" s="594" t="s">
        <v>159</v>
      </c>
      <c r="N2617" s="52" t="str">
        <f>IF(AND('331-CT'!$E$7=TH!H2617,OR(L2617="331",M2617="331")),"331",IF(AND(OR(L2617="131",M2617="131"),H2617='131-CT'!$E$7),"131",""))</f>
        <v/>
      </c>
      <c r="O2617" s="869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799"/>
    </row>
    <row r="2618" spans="1:27" s="210" customFormat="1" ht="15.75" customHeight="1">
      <c r="A2618" s="203" t="str">
        <f>IF(B2618&lt;&gt;"",IF(AND(B2618&gt;=_TM1,B2618&lt;=_TM2,OR(TH!L2618="1111",TH!M2618="1111")),TH!D2618,""),"")</f>
        <v/>
      </c>
      <c r="B2618" s="36">
        <f t="shared" si="21"/>
        <v>9</v>
      </c>
      <c r="C2618" s="183">
        <f t="shared" si="27"/>
        <v>42249</v>
      </c>
      <c r="D2618" s="190" t="s">
        <v>1959</v>
      </c>
      <c r="E2618" s="763">
        <v>42249</v>
      </c>
      <c r="F2618" s="40" t="s">
        <v>1357</v>
      </c>
      <c r="G2618" s="482"/>
      <c r="H2618" s="7" t="s">
        <v>1946</v>
      </c>
      <c r="I2618" s="255">
        <v>1796</v>
      </c>
      <c r="J2618" s="255">
        <v>7300</v>
      </c>
      <c r="K2618" s="593">
        <f t="shared" si="28"/>
        <v>13110800</v>
      </c>
      <c r="L2618" s="39" t="s">
        <v>165</v>
      </c>
      <c r="M2618" s="594" t="s">
        <v>159</v>
      </c>
      <c r="N2618" s="52" t="str">
        <f>IF(AND('331-CT'!$E$7=TH!H2618,OR(L2618="331",M2618="331")),"331",IF(AND(OR(L2618="131",M2618="131"),H2618='131-CT'!$E$7),"131",""))</f>
        <v/>
      </c>
      <c r="O2618" s="869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799"/>
    </row>
    <row r="2619" spans="1:27" s="210" customFormat="1" ht="15.75" customHeight="1">
      <c r="A2619" s="203" t="str">
        <f>IF(B2619&lt;&gt;"",IF(AND(B2619&gt;=_TM1,B2619&lt;=_TM2,OR(TH!L2619="1111",TH!M2619="1111")),TH!D2619,""),"")</f>
        <v/>
      </c>
      <c r="B2619" s="36">
        <f t="shared" si="21"/>
        <v>9</v>
      </c>
      <c r="C2619" s="183">
        <f t="shared" si="27"/>
        <v>42252</v>
      </c>
      <c r="D2619" s="190" t="s">
        <v>1959</v>
      </c>
      <c r="E2619" s="763">
        <v>42252</v>
      </c>
      <c r="F2619" s="40" t="s">
        <v>1357</v>
      </c>
      <c r="G2619" s="482"/>
      <c r="H2619" s="7" t="s">
        <v>1946</v>
      </c>
      <c r="I2619" s="255">
        <v>2077</v>
      </c>
      <c r="J2619" s="255">
        <v>7300</v>
      </c>
      <c r="K2619" s="593">
        <f t="shared" si="28"/>
        <v>15162100</v>
      </c>
      <c r="L2619" s="39" t="s">
        <v>165</v>
      </c>
      <c r="M2619" s="594" t="s">
        <v>159</v>
      </c>
      <c r="N2619" s="52" t="str">
        <f>IF(AND('331-CT'!$E$7=TH!H2619,OR(L2619="331",M2619="331")),"331",IF(AND(OR(L2619="131",M2619="131"),H2619='131-CT'!$E$7),"131",""))</f>
        <v/>
      </c>
      <c r="O2619" s="869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799"/>
    </row>
    <row r="2620" spans="1:27" s="210" customFormat="1" ht="15.75" customHeight="1">
      <c r="A2620" s="203" t="str">
        <f>IF(B2620&lt;&gt;"",IF(AND(B2620&gt;=_TM1,B2620&lt;=_TM2,OR(TH!L2620="1111",TH!M2620="1111")),TH!D2620,""),"")</f>
        <v/>
      </c>
      <c r="B2620" s="36">
        <f t="shared" si="21"/>
        <v>9</v>
      </c>
      <c r="C2620" s="183">
        <f t="shared" si="27"/>
        <v>42255</v>
      </c>
      <c r="D2620" s="190" t="s">
        <v>1959</v>
      </c>
      <c r="E2620" s="773">
        <v>42255</v>
      </c>
      <c r="F2620" s="188" t="s">
        <v>1357</v>
      </c>
      <c r="G2620" s="482"/>
      <c r="H2620" s="7" t="s">
        <v>1946</v>
      </c>
      <c r="I2620" s="255">
        <v>2244</v>
      </c>
      <c r="J2620" s="255">
        <v>7300</v>
      </c>
      <c r="K2620" s="593">
        <f t="shared" si="28"/>
        <v>16381200</v>
      </c>
      <c r="L2620" s="39" t="s">
        <v>165</v>
      </c>
      <c r="M2620" s="594" t="s">
        <v>159</v>
      </c>
      <c r="N2620" s="52" t="str">
        <f>IF(AND('331-CT'!$E$7=TH!H2620,OR(L2620="331",M2620="331")),"331",IF(AND(OR(L2620="131",M2620="131"),H2620='131-CT'!$E$7),"131",""))</f>
        <v/>
      </c>
      <c r="O2620" s="869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799"/>
    </row>
    <row r="2621" spans="1:27" s="210" customFormat="1" ht="15.75" customHeight="1">
      <c r="A2621" s="203" t="str">
        <f>IF(B2621&lt;&gt;"",IF(AND(B2621&gt;=_TM1,B2621&lt;=_TM2,OR(TH!L2621="1111",TH!M2621="1111")),TH!D2621,""),"")</f>
        <v/>
      </c>
      <c r="B2621" s="36">
        <f t="shared" si="21"/>
        <v>9</v>
      </c>
      <c r="C2621" s="183">
        <f t="shared" si="27"/>
        <v>42255</v>
      </c>
      <c r="D2621" s="190" t="s">
        <v>1959</v>
      </c>
      <c r="E2621" s="773">
        <v>42255</v>
      </c>
      <c r="F2621" s="188" t="s">
        <v>1398</v>
      </c>
      <c r="G2621" s="482"/>
      <c r="H2621" s="7" t="s">
        <v>1946</v>
      </c>
      <c r="I2621" s="255">
        <v>2700</v>
      </c>
      <c r="J2621" s="255">
        <v>9100</v>
      </c>
      <c r="K2621" s="593">
        <f t="shared" si="28"/>
        <v>24570000</v>
      </c>
      <c r="L2621" s="39" t="s">
        <v>165</v>
      </c>
      <c r="M2621" s="594" t="s">
        <v>159</v>
      </c>
      <c r="N2621" s="52" t="str">
        <f>IF(AND('331-CT'!$E$7=TH!H2621,OR(L2621="331",M2621="331")),"331",IF(AND(OR(L2621="131",M2621="131"),H2621='131-CT'!$E$7),"131",""))</f>
        <v/>
      </c>
      <c r="O2621" s="869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799"/>
    </row>
    <row r="2622" spans="1:27" s="210" customFormat="1" ht="15.75" customHeight="1">
      <c r="A2622" s="203" t="str">
        <f>IF(B2622&lt;&gt;"",IF(AND(B2622&gt;=_TM1,B2622&lt;=_TM2,OR(TH!L2622="1111",TH!M2622="1111")),TH!D2622,""),"")</f>
        <v/>
      </c>
      <c r="B2622" s="36">
        <f t="shared" si="21"/>
        <v>9</v>
      </c>
      <c r="C2622" s="183">
        <f t="shared" si="27"/>
        <v>42255</v>
      </c>
      <c r="D2622" s="190" t="s">
        <v>1959</v>
      </c>
      <c r="E2622" s="763">
        <v>42255</v>
      </c>
      <c r="F2622" s="191" t="s">
        <v>1402</v>
      </c>
      <c r="G2622" s="482"/>
      <c r="H2622" s="7" t="s">
        <v>1946</v>
      </c>
      <c r="I2622" s="255">
        <v>1554</v>
      </c>
      <c r="J2622" s="255">
        <v>9000</v>
      </c>
      <c r="K2622" s="593">
        <f t="shared" si="28"/>
        <v>13986000</v>
      </c>
      <c r="L2622" s="39" t="s">
        <v>165</v>
      </c>
      <c r="M2622" s="594" t="s">
        <v>159</v>
      </c>
      <c r="N2622" s="52" t="str">
        <f>IF(AND('331-CT'!$E$7=TH!H2622,OR(L2622="331",M2622="331")),"331",IF(AND(OR(L2622="131",M2622="131"),H2622='131-CT'!$E$7),"131",""))</f>
        <v/>
      </c>
      <c r="O2622" s="869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799"/>
    </row>
    <row r="2623" spans="1:27" s="210" customFormat="1" ht="15.75" customHeight="1">
      <c r="A2623" s="203" t="str">
        <f>IF(B2623&lt;&gt;"",IF(AND(B2623&gt;=_TM1,B2623&lt;=_TM2,OR(TH!L2623="1111",TH!M2623="1111")),TH!D2623,""),"")</f>
        <v/>
      </c>
      <c r="B2623" s="36">
        <f t="shared" si="21"/>
        <v>9</v>
      </c>
      <c r="C2623" s="183">
        <f t="shared" si="27"/>
        <v>42260</v>
      </c>
      <c r="D2623" s="190" t="s">
        <v>1959</v>
      </c>
      <c r="E2623" s="763">
        <v>42260</v>
      </c>
      <c r="F2623" s="191" t="s">
        <v>1398</v>
      </c>
      <c r="G2623" s="482"/>
      <c r="H2623" s="7" t="s">
        <v>1946</v>
      </c>
      <c r="I2623" s="255">
        <v>1275</v>
      </c>
      <c r="J2623" s="255">
        <v>9100</v>
      </c>
      <c r="K2623" s="593">
        <f t="shared" si="28"/>
        <v>11602500</v>
      </c>
      <c r="L2623" s="39" t="s">
        <v>165</v>
      </c>
      <c r="M2623" s="594" t="s">
        <v>159</v>
      </c>
      <c r="N2623" s="52" t="str">
        <f>IF(AND('331-CT'!$E$7=TH!H2623,OR(L2623="331",M2623="331")),"331",IF(AND(OR(L2623="131",M2623="131"),H2623='131-CT'!$E$7),"131",""))</f>
        <v/>
      </c>
      <c r="O2623" s="869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799"/>
    </row>
    <row r="2624" spans="1:27" s="210" customFormat="1" ht="15.75" customHeight="1">
      <c r="A2624" s="203" t="str">
        <f>IF(B2624&lt;&gt;"",IF(AND(B2624&gt;=_TM1,B2624&lt;=_TM2,OR(TH!L2624="1111",TH!M2624="1111")),TH!D2624,""),"")</f>
        <v/>
      </c>
      <c r="B2624" s="36">
        <f t="shared" si="21"/>
        <v>9</v>
      </c>
      <c r="C2624" s="183">
        <f t="shared" si="27"/>
        <v>42260</v>
      </c>
      <c r="D2624" s="190" t="s">
        <v>1959</v>
      </c>
      <c r="E2624" s="763">
        <v>42260</v>
      </c>
      <c r="F2624" s="444" t="s">
        <v>1402</v>
      </c>
      <c r="G2624" s="40"/>
      <c r="H2624" s="7" t="s">
        <v>1946</v>
      </c>
      <c r="I2624" s="255">
        <v>3028</v>
      </c>
      <c r="J2624" s="255">
        <v>9000</v>
      </c>
      <c r="K2624" s="593">
        <f t="shared" si="28"/>
        <v>27252000</v>
      </c>
      <c r="L2624" s="39" t="s">
        <v>165</v>
      </c>
      <c r="M2624" s="594" t="s">
        <v>159</v>
      </c>
      <c r="N2624" s="52" t="str">
        <f>IF(AND('331-CT'!$E$7=TH!H2624,OR(L2624="331",M2624="331")),"331",IF(AND(OR(L2624="131",M2624="131"),H2624='131-CT'!$E$7),"131",""))</f>
        <v/>
      </c>
      <c r="O2624" s="869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799"/>
    </row>
    <row r="2625" spans="1:27" s="210" customFormat="1" ht="15.75" customHeight="1">
      <c r="A2625" s="203" t="str">
        <f>IF(B2625&lt;&gt;"",IF(AND(B2625&gt;=_TM1,B2625&lt;=_TM2,OR(TH!L2625="1111",TH!M2625="1111")),TH!D2625,""),"")</f>
        <v/>
      </c>
      <c r="B2625" s="36">
        <f t="shared" si="21"/>
        <v>9</v>
      </c>
      <c r="C2625" s="183">
        <f t="shared" si="27"/>
        <v>42264</v>
      </c>
      <c r="D2625" s="190" t="s">
        <v>1959</v>
      </c>
      <c r="E2625" s="763">
        <v>42264</v>
      </c>
      <c r="F2625" s="191" t="s">
        <v>1380</v>
      </c>
      <c r="G2625" s="482"/>
      <c r="H2625" s="7" t="s">
        <v>1946</v>
      </c>
      <c r="I2625" s="255">
        <v>11655</v>
      </c>
      <c r="J2625" s="255">
        <v>7400</v>
      </c>
      <c r="K2625" s="593">
        <f t="shared" si="28"/>
        <v>86247000</v>
      </c>
      <c r="L2625" s="39" t="s">
        <v>165</v>
      </c>
      <c r="M2625" s="594" t="s">
        <v>159</v>
      </c>
      <c r="N2625" s="52" t="str">
        <f>IF(AND('331-CT'!$E$7=TH!H2625,OR(L2625="331",M2625="331")),"331",IF(AND(OR(L2625="131",M2625="131"),H2625='131-CT'!$E$7),"131",""))</f>
        <v/>
      </c>
      <c r="O2625" s="869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>x</v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799"/>
    </row>
    <row r="2626" spans="1:27" s="210" customFormat="1" ht="15.75" customHeight="1">
      <c r="A2626" s="203" t="str">
        <f>IF(B2626&lt;&gt;"",IF(AND(B2626&gt;=_TM1,B2626&lt;=_TM2,OR(TH!L2626="1111",TH!M2626="1111")),TH!D2626,""),"")</f>
        <v/>
      </c>
      <c r="B2626" s="36">
        <f t="shared" si="21"/>
        <v>9</v>
      </c>
      <c r="C2626" s="183">
        <f t="shared" si="27"/>
        <v>42264</v>
      </c>
      <c r="D2626" s="190" t="s">
        <v>1959</v>
      </c>
      <c r="E2626" s="773">
        <v>42264</v>
      </c>
      <c r="F2626" s="188" t="s">
        <v>1398</v>
      </c>
      <c r="G2626" s="595"/>
      <c r="H2626" s="7" t="s">
        <v>1946</v>
      </c>
      <c r="I2626" s="255">
        <v>1871</v>
      </c>
      <c r="J2626" s="255">
        <v>9100</v>
      </c>
      <c r="K2626" s="593">
        <f t="shared" si="28"/>
        <v>17026100</v>
      </c>
      <c r="L2626" s="39" t="s">
        <v>165</v>
      </c>
      <c r="M2626" s="594" t="s">
        <v>159</v>
      </c>
      <c r="N2626" s="52" t="str">
        <f>IF(AND('331-CT'!$E$7=TH!H2626,OR(L2626="331",M2626="331")),"331",IF(AND(OR(L2626="131",M2626="131"),H2626='131-CT'!$E$7),"131",""))</f>
        <v/>
      </c>
      <c r="O2626" s="869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799"/>
    </row>
    <row r="2627" spans="1:27" s="210" customFormat="1" ht="15.75" customHeight="1">
      <c r="A2627" s="203" t="str">
        <f>IF(B2627&lt;&gt;"",IF(AND(B2627&gt;=_TM1,B2627&lt;=_TM2,OR(TH!L2627="1111",TH!M2627="1111")),TH!D2627,""),"")</f>
        <v/>
      </c>
      <c r="B2627" s="36">
        <f t="shared" si="21"/>
        <v>9</v>
      </c>
      <c r="C2627" s="183">
        <f t="shared" si="27"/>
        <v>42264</v>
      </c>
      <c r="D2627" s="190" t="s">
        <v>1959</v>
      </c>
      <c r="E2627" s="763">
        <v>42264</v>
      </c>
      <c r="F2627" s="191" t="s">
        <v>1402</v>
      </c>
      <c r="G2627" s="482"/>
      <c r="H2627" s="7" t="s">
        <v>1946</v>
      </c>
      <c r="I2627" s="256">
        <v>2553</v>
      </c>
      <c r="J2627" s="256">
        <v>9000</v>
      </c>
      <c r="K2627" s="593">
        <f t="shared" si="28"/>
        <v>22977000</v>
      </c>
      <c r="L2627" s="39" t="s">
        <v>165</v>
      </c>
      <c r="M2627" s="594" t="s">
        <v>159</v>
      </c>
      <c r="N2627" s="52" t="str">
        <f>IF(AND('331-CT'!$E$7=TH!H2627,OR(L2627="331",M2627="331")),"331",IF(AND(OR(L2627="131",M2627="131"),H2627='131-CT'!$E$7),"131",""))</f>
        <v/>
      </c>
      <c r="O2627" s="869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799"/>
    </row>
    <row r="2628" spans="1:27" s="210" customFormat="1" ht="15.75" customHeight="1">
      <c r="A2628" s="203" t="str">
        <f>IF(B2628&lt;&gt;"",IF(AND(B2628&gt;=_TM1,B2628&lt;=_TM2,OR(TH!L2628="1111",TH!M2628="1111")),TH!D2628,""),"")</f>
        <v/>
      </c>
      <c r="B2628" s="36">
        <f t="shared" ref="B2628:B2677" si="29">IF(C2628&lt;&gt;"",MONTH(C2628),"")</f>
        <v>9</v>
      </c>
      <c r="C2628" s="183">
        <f t="shared" si="27"/>
        <v>42267</v>
      </c>
      <c r="D2628" s="190" t="s">
        <v>1959</v>
      </c>
      <c r="E2628" s="763">
        <v>42267</v>
      </c>
      <c r="F2628" s="191" t="s">
        <v>1398</v>
      </c>
      <c r="G2628" s="482"/>
      <c r="H2628" s="7" t="s">
        <v>1946</v>
      </c>
      <c r="I2628" s="256">
        <v>1169</v>
      </c>
      <c r="J2628" s="256">
        <v>9100</v>
      </c>
      <c r="K2628" s="593">
        <f t="shared" si="28"/>
        <v>10637900</v>
      </c>
      <c r="L2628" s="39" t="s">
        <v>165</v>
      </c>
      <c r="M2628" s="594" t="s">
        <v>159</v>
      </c>
      <c r="N2628" s="52" t="str">
        <f>IF(AND('331-CT'!$E$7=TH!H2628,OR(L2628="331",M2628="331")),"331",IF(AND(OR(L2628="131",M2628="131"),H2628='131-CT'!$E$7),"131",""))</f>
        <v/>
      </c>
      <c r="O2628" s="869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799"/>
    </row>
    <row r="2629" spans="1:27" s="210" customFormat="1" ht="15.75" customHeight="1">
      <c r="A2629" s="203" t="str">
        <f>IF(B2629&lt;&gt;"",IF(AND(B2629&gt;=_TM1,B2629&lt;=_TM2,OR(TH!L2629="1111",TH!M2629="1111")),TH!D2629,""),"")</f>
        <v/>
      </c>
      <c r="B2629" s="36">
        <f t="shared" si="29"/>
        <v>9</v>
      </c>
      <c r="C2629" s="183">
        <f t="shared" si="27"/>
        <v>42267</v>
      </c>
      <c r="D2629" s="190" t="s">
        <v>1959</v>
      </c>
      <c r="E2629" s="763">
        <v>42267</v>
      </c>
      <c r="F2629" s="40" t="s">
        <v>1402</v>
      </c>
      <c r="G2629" s="40"/>
      <c r="H2629" s="7" t="s">
        <v>1946</v>
      </c>
      <c r="I2629" s="255">
        <v>1716</v>
      </c>
      <c r="J2629" s="255">
        <v>9000</v>
      </c>
      <c r="K2629" s="593">
        <f t="shared" si="28"/>
        <v>15444000</v>
      </c>
      <c r="L2629" s="39" t="s">
        <v>165</v>
      </c>
      <c r="M2629" s="594" t="s">
        <v>159</v>
      </c>
      <c r="N2629" s="52" t="str">
        <f>IF(AND('331-CT'!$E$7=TH!H2629,OR(L2629="331",M2629="331")),"331",IF(AND(OR(L2629="131",M2629="131"),H2629='131-CT'!$E$7),"131",""))</f>
        <v/>
      </c>
      <c r="O2629" s="869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799"/>
    </row>
    <row r="2630" spans="1:27" s="210" customFormat="1" ht="15.75" customHeight="1">
      <c r="A2630" s="203" t="str">
        <f>IF(B2630&lt;&gt;"",IF(AND(B2630&gt;=_TM1,B2630&lt;=_TM2,OR(TH!L2630="1111",TH!M2630="1111")),TH!D2630,""),"")</f>
        <v/>
      </c>
      <c r="B2630" s="36">
        <f t="shared" si="29"/>
        <v>9</v>
      </c>
      <c r="C2630" s="183">
        <f t="shared" si="27"/>
        <v>42270</v>
      </c>
      <c r="D2630" s="190" t="s">
        <v>1959</v>
      </c>
      <c r="E2630" s="763">
        <v>42270</v>
      </c>
      <c r="F2630" s="188" t="s">
        <v>1357</v>
      </c>
      <c r="G2630" s="40"/>
      <c r="H2630" s="7" t="s">
        <v>1946</v>
      </c>
      <c r="I2630" s="255">
        <v>1936</v>
      </c>
      <c r="J2630" s="255">
        <v>7300</v>
      </c>
      <c r="K2630" s="593">
        <f t="shared" si="28"/>
        <v>14132800</v>
      </c>
      <c r="L2630" s="39" t="s">
        <v>165</v>
      </c>
      <c r="M2630" s="594" t="s">
        <v>159</v>
      </c>
      <c r="N2630" s="52" t="str">
        <f>IF(AND('331-CT'!$E$7=TH!H2630,OR(L2630="331",M2630="331")),"331",IF(AND(OR(L2630="131",M2630="131"),H2630='131-CT'!$E$7),"131",""))</f>
        <v/>
      </c>
      <c r="O2630" s="869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799"/>
    </row>
    <row r="2631" spans="1:27" s="210" customFormat="1" ht="15.75" customHeight="1">
      <c r="A2631" s="203" t="str">
        <f>IF(B2631&lt;&gt;"",IF(AND(B2631&gt;=_TM1,B2631&lt;=_TM2,OR(TH!L2631="1111",TH!M2631="1111")),TH!D2631,""),"")</f>
        <v/>
      </c>
      <c r="B2631" s="36">
        <f t="shared" si="29"/>
        <v>9</v>
      </c>
      <c r="C2631" s="183">
        <f t="shared" si="27"/>
        <v>42270</v>
      </c>
      <c r="D2631" s="190" t="s">
        <v>1959</v>
      </c>
      <c r="E2631" s="763">
        <v>42270</v>
      </c>
      <c r="F2631" s="188" t="s">
        <v>1402</v>
      </c>
      <c r="G2631" s="40"/>
      <c r="H2631" s="7" t="s">
        <v>1946</v>
      </c>
      <c r="I2631" s="255">
        <v>3662</v>
      </c>
      <c r="J2631" s="255">
        <v>9000</v>
      </c>
      <c r="K2631" s="593">
        <f t="shared" si="28"/>
        <v>32958000</v>
      </c>
      <c r="L2631" s="39" t="s">
        <v>165</v>
      </c>
      <c r="M2631" s="594" t="s">
        <v>159</v>
      </c>
      <c r="N2631" s="52" t="str">
        <f>IF(AND('331-CT'!$E$7=TH!H2631,OR(L2631="331",M2631="331")),"331",IF(AND(OR(L2631="131",M2631="131"),H2631='131-CT'!$E$7),"131",""))</f>
        <v/>
      </c>
      <c r="O2631" s="86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799"/>
    </row>
    <row r="2632" spans="1:27" s="210" customFormat="1" ht="15.75" customHeight="1">
      <c r="A2632" s="203" t="str">
        <f>IF(B2632&lt;&gt;"",IF(AND(B2632&gt;=_TM1,B2632&lt;=_TM2,OR(TH!L2632="1111",TH!M2632="1111")),TH!D2632,""),"")</f>
        <v/>
      </c>
      <c r="B2632" s="36">
        <f t="shared" si="29"/>
        <v>9</v>
      </c>
      <c r="C2632" s="183">
        <f t="shared" si="27"/>
        <v>42272</v>
      </c>
      <c r="D2632" s="190" t="s">
        <v>1959</v>
      </c>
      <c r="E2632" s="763">
        <v>42272</v>
      </c>
      <c r="F2632" s="188" t="s">
        <v>1357</v>
      </c>
      <c r="G2632" s="40"/>
      <c r="H2632" s="7" t="s">
        <v>1946</v>
      </c>
      <c r="I2632" s="255">
        <v>1936</v>
      </c>
      <c r="J2632" s="255">
        <v>7300</v>
      </c>
      <c r="K2632" s="593">
        <f t="shared" si="28"/>
        <v>14132800</v>
      </c>
      <c r="L2632" s="39" t="s">
        <v>165</v>
      </c>
      <c r="M2632" s="594" t="s">
        <v>159</v>
      </c>
      <c r="N2632" s="52" t="str">
        <f>IF(AND('331-CT'!$E$7=TH!H2632,OR(L2632="331",M2632="331")),"331",IF(AND(OR(L2632="131",M2632="131"),H2632='131-CT'!$E$7),"131",""))</f>
        <v/>
      </c>
      <c r="O2632" s="86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799"/>
    </row>
    <row r="2633" spans="1:27" s="210" customFormat="1" ht="15.75" customHeight="1">
      <c r="A2633" s="203" t="str">
        <f>IF(B2633&lt;&gt;"",IF(AND(B2633&gt;=_TM1,B2633&lt;=_TM2,OR(TH!L2633="1111",TH!M2633="1111")),TH!D2633,""),"")</f>
        <v/>
      </c>
      <c r="B2633" s="36">
        <f t="shared" si="29"/>
        <v>9</v>
      </c>
      <c r="C2633" s="183">
        <f t="shared" si="27"/>
        <v>42272</v>
      </c>
      <c r="D2633" s="190" t="s">
        <v>1959</v>
      </c>
      <c r="E2633" s="763">
        <v>42272</v>
      </c>
      <c r="F2633" s="40" t="s">
        <v>1380</v>
      </c>
      <c r="G2633" s="40"/>
      <c r="H2633" s="7" t="s">
        <v>1946</v>
      </c>
      <c r="I2633" s="255">
        <v>739</v>
      </c>
      <c r="J2633" s="255">
        <v>9800</v>
      </c>
      <c r="K2633" s="593">
        <f t="shared" si="28"/>
        <v>7242200</v>
      </c>
      <c r="L2633" s="39" t="s">
        <v>165</v>
      </c>
      <c r="M2633" s="594" t="s">
        <v>159</v>
      </c>
      <c r="N2633" s="52" t="str">
        <f>IF(AND('331-CT'!$E$7=TH!H2633,OR(L2633="331",M2633="331")),"331",IF(AND(OR(L2633="131",M2633="131"),H2633='131-CT'!$E$7),"131",""))</f>
        <v/>
      </c>
      <c r="O2633" s="86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>x</v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799"/>
    </row>
    <row r="2634" spans="1:27" s="836" customFormat="1" ht="15.75" customHeight="1">
      <c r="A2634" s="203" t="str">
        <f>IF(B2634&lt;&gt;"",IF(AND(B2634&gt;=_TM1,B2634&lt;=_TM2,OR(TH!L2634="1111",TH!M2634="1111")),TH!D2634,""),"")</f>
        <v/>
      </c>
      <c r="B2634" s="826">
        <f t="shared" si="29"/>
        <v>10</v>
      </c>
      <c r="C2634" s="827">
        <f t="shared" si="27"/>
        <v>42278</v>
      </c>
      <c r="D2634" s="828" t="s">
        <v>1959</v>
      </c>
      <c r="E2634" s="914">
        <v>42278</v>
      </c>
      <c r="F2634" s="839" t="s">
        <v>1445</v>
      </c>
      <c r="G2634" s="839"/>
      <c r="H2634" s="831" t="s">
        <v>1946</v>
      </c>
      <c r="I2634" s="832">
        <v>9427</v>
      </c>
      <c r="J2634" s="832">
        <v>9200</v>
      </c>
      <c r="K2634" s="833">
        <f t="shared" si="28"/>
        <v>86728400</v>
      </c>
      <c r="L2634" s="915" t="s">
        <v>165</v>
      </c>
      <c r="M2634" s="834" t="s">
        <v>159</v>
      </c>
      <c r="N2634" s="52" t="str">
        <f>IF(AND('331-CT'!$E$7=TH!H2634,OR(L2634="331",M2634="331")),"331",IF(AND(OR(L2634="131",M2634="131"),H2634='131-CT'!$E$7),"131",""))</f>
        <v/>
      </c>
      <c r="O2634" s="86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35"/>
    </row>
    <row r="2635" spans="1:27" s="210" customFormat="1" ht="15.75" customHeight="1">
      <c r="A2635" s="203" t="str">
        <f>IF(B2635&lt;&gt;"",IF(AND(B2635&gt;=_TM1,B2635&lt;=_TM2,OR(TH!L2635="1111",TH!M2635="1111")),TH!D2635,""),"")</f>
        <v/>
      </c>
      <c r="B2635" s="36">
        <f t="shared" si="29"/>
        <v>10</v>
      </c>
      <c r="C2635" s="183">
        <f t="shared" si="27"/>
        <v>42278</v>
      </c>
      <c r="D2635" s="190" t="s">
        <v>1959</v>
      </c>
      <c r="E2635" s="763">
        <v>42278</v>
      </c>
      <c r="F2635" s="40" t="s">
        <v>1380</v>
      </c>
      <c r="G2635" s="40"/>
      <c r="H2635" s="7" t="s">
        <v>1946</v>
      </c>
      <c r="I2635" s="255">
        <v>1857</v>
      </c>
      <c r="J2635" s="255">
        <v>8700</v>
      </c>
      <c r="K2635" s="593">
        <f t="shared" si="28"/>
        <v>16155900</v>
      </c>
      <c r="L2635" s="39" t="s">
        <v>165</v>
      </c>
      <c r="M2635" s="594" t="s">
        <v>159</v>
      </c>
      <c r="N2635" s="52" t="str">
        <f>IF(AND('331-CT'!$E$7=TH!H2635,OR(L2635="331",M2635="331")),"331",IF(AND(OR(L2635="131",M2635="131"),H2635='131-CT'!$E$7),"131",""))</f>
        <v/>
      </c>
      <c r="O2635" s="86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>x</v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99"/>
    </row>
    <row r="2636" spans="1:27" s="210" customFormat="1" ht="15.75" customHeight="1">
      <c r="A2636" s="203" t="str">
        <f>IF(B2636&lt;&gt;"",IF(AND(B2636&gt;=_TM1,B2636&lt;=_TM2,OR(TH!L2636="1111",TH!M2636="1111")),TH!D2636,""),"")</f>
        <v/>
      </c>
      <c r="B2636" s="36">
        <f t="shared" si="29"/>
        <v>10</v>
      </c>
      <c r="C2636" s="183">
        <f t="shared" si="27"/>
        <v>42283</v>
      </c>
      <c r="D2636" s="190" t="s">
        <v>1959</v>
      </c>
      <c r="E2636" s="763">
        <v>42283</v>
      </c>
      <c r="F2636" s="40" t="s">
        <v>1380</v>
      </c>
      <c r="G2636" s="40"/>
      <c r="H2636" s="7" t="s">
        <v>1946</v>
      </c>
      <c r="I2636" s="255">
        <v>3025</v>
      </c>
      <c r="J2636" s="255">
        <v>7400</v>
      </c>
      <c r="K2636" s="593">
        <f t="shared" si="28"/>
        <v>22385000</v>
      </c>
      <c r="L2636" s="39" t="s">
        <v>165</v>
      </c>
      <c r="M2636" s="594" t="s">
        <v>159</v>
      </c>
      <c r="N2636" s="52" t="str">
        <f>IF(AND('331-CT'!$E$7=TH!H2636,OR(L2636="331",M2636="331")),"331",IF(AND(OR(L2636="131",M2636="131"),H2636='131-CT'!$E$7),"131",""))</f>
        <v/>
      </c>
      <c r="O2636" s="86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>x</v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799"/>
    </row>
    <row r="2637" spans="1:27" s="210" customFormat="1" ht="15.75" customHeight="1">
      <c r="A2637" s="203" t="str">
        <f>IF(B2637&lt;&gt;"",IF(AND(B2637&gt;=_TM1,B2637&lt;=_TM2,OR(TH!L2637="1111",TH!M2637="1111")),TH!D2637,""),"")</f>
        <v/>
      </c>
      <c r="B2637" s="36">
        <f t="shared" si="29"/>
        <v>10</v>
      </c>
      <c r="C2637" s="183">
        <f t="shared" si="27"/>
        <v>42283</v>
      </c>
      <c r="D2637" s="190" t="s">
        <v>1959</v>
      </c>
      <c r="E2637" s="763">
        <v>42283</v>
      </c>
      <c r="F2637" s="40" t="s">
        <v>1445</v>
      </c>
      <c r="G2637" s="40"/>
      <c r="H2637" s="7" t="s">
        <v>1946</v>
      </c>
      <c r="I2637" s="255">
        <v>3530</v>
      </c>
      <c r="J2637" s="255">
        <v>9200</v>
      </c>
      <c r="K2637" s="593">
        <f t="shared" si="28"/>
        <v>32476000</v>
      </c>
      <c r="L2637" s="39" t="s">
        <v>165</v>
      </c>
      <c r="M2637" s="594" t="s">
        <v>159</v>
      </c>
      <c r="N2637" s="52" t="str">
        <f>IF(AND('331-CT'!$E$7=TH!H2637,OR(L2637="331",M2637="331")),"331",IF(AND(OR(L2637="131",M2637="131"),H2637='131-CT'!$E$7),"131",""))</f>
        <v/>
      </c>
      <c r="O2637" s="86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99"/>
    </row>
    <row r="2638" spans="1:27" s="210" customFormat="1" ht="15.75" customHeight="1">
      <c r="A2638" s="203" t="str">
        <f>IF(B2638&lt;&gt;"",IF(AND(B2638&gt;=_TM1,B2638&lt;=_TM2,OR(TH!L2638="1111",TH!M2638="1111")),TH!D2638,""),"")</f>
        <v/>
      </c>
      <c r="B2638" s="36">
        <f t="shared" si="29"/>
        <v>10</v>
      </c>
      <c r="C2638" s="183">
        <f t="shared" si="27"/>
        <v>42286</v>
      </c>
      <c r="D2638" s="190" t="s">
        <v>1959</v>
      </c>
      <c r="E2638" s="763">
        <v>42286</v>
      </c>
      <c r="F2638" s="40" t="s">
        <v>1378</v>
      </c>
      <c r="G2638" s="40"/>
      <c r="H2638" s="7" t="s">
        <v>1946</v>
      </c>
      <c r="I2638" s="255">
        <v>4716</v>
      </c>
      <c r="J2638" s="255">
        <v>9200</v>
      </c>
      <c r="K2638" s="593">
        <f t="shared" si="28"/>
        <v>43387200</v>
      </c>
      <c r="L2638" s="39" t="s">
        <v>165</v>
      </c>
      <c r="M2638" s="594" t="s">
        <v>159</v>
      </c>
      <c r="N2638" s="52" t="str">
        <f>IF(AND('331-CT'!$E$7=TH!H2638,OR(L2638="331",M2638="331")),"331",IF(AND(OR(L2638="131",M2638="131"),H2638='131-CT'!$E$7),"131",""))</f>
        <v/>
      </c>
      <c r="O2638" s="86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99"/>
    </row>
    <row r="2639" spans="1:27" s="210" customFormat="1" ht="15.75" customHeight="1">
      <c r="A2639" s="203" t="str">
        <f>IF(B2639&lt;&gt;"",IF(AND(B2639&gt;=_TM1,B2639&lt;=_TM2,OR(TH!L2639="1111",TH!M2639="1111")),TH!D2639,""),"")</f>
        <v/>
      </c>
      <c r="B2639" s="36">
        <f t="shared" si="29"/>
        <v>10</v>
      </c>
      <c r="C2639" s="183">
        <f t="shared" si="27"/>
        <v>42286</v>
      </c>
      <c r="D2639" s="190" t="s">
        <v>1959</v>
      </c>
      <c r="E2639" s="763">
        <v>42286</v>
      </c>
      <c r="F2639" s="40" t="s">
        <v>1937</v>
      </c>
      <c r="G2639" s="40"/>
      <c r="H2639" s="7" t="s">
        <v>1946</v>
      </c>
      <c r="I2639" s="255">
        <v>7000</v>
      </c>
      <c r="J2639" s="255">
        <v>7800</v>
      </c>
      <c r="K2639" s="593">
        <f t="shared" si="28"/>
        <v>54600000</v>
      </c>
      <c r="L2639" s="39" t="s">
        <v>165</v>
      </c>
      <c r="M2639" s="594" t="s">
        <v>159</v>
      </c>
      <c r="N2639" s="52" t="str">
        <f>IF(AND('331-CT'!$E$7=TH!H2639,OR(L2639="331",M2639="331")),"331",IF(AND(OR(L2639="131",M2639="131"),H2639='131-CT'!$E$7),"131",""))</f>
        <v/>
      </c>
      <c r="O2639" s="86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99"/>
    </row>
    <row r="2640" spans="1:27" s="210" customFormat="1" ht="15.75" customHeight="1">
      <c r="A2640" s="203" t="str">
        <f>IF(B2640&lt;&gt;"",IF(AND(B2640&gt;=_TM1,B2640&lt;=_TM2,OR(TH!L2640="1111",TH!M2640="1111")),TH!D2640,""),"")</f>
        <v/>
      </c>
      <c r="B2640" s="36">
        <f t="shared" si="29"/>
        <v>10</v>
      </c>
      <c r="C2640" s="183">
        <f t="shared" si="27"/>
        <v>42292</v>
      </c>
      <c r="D2640" s="190" t="s">
        <v>1959</v>
      </c>
      <c r="E2640" s="763">
        <v>42292</v>
      </c>
      <c r="F2640" s="40" t="s">
        <v>1357</v>
      </c>
      <c r="G2640" s="40"/>
      <c r="H2640" s="7" t="s">
        <v>1946</v>
      </c>
      <c r="I2640" s="255">
        <v>4152</v>
      </c>
      <c r="J2640" s="255">
        <v>7300</v>
      </c>
      <c r="K2640" s="593">
        <f t="shared" si="28"/>
        <v>30309600</v>
      </c>
      <c r="L2640" s="39" t="s">
        <v>165</v>
      </c>
      <c r="M2640" s="594" t="s">
        <v>159</v>
      </c>
      <c r="N2640" s="52" t="str">
        <f>IF(AND('331-CT'!$E$7=TH!H2640,OR(L2640="331",M2640="331")),"331",IF(AND(OR(L2640="131",M2640="131"),H2640='131-CT'!$E$7),"131",""))</f>
        <v/>
      </c>
      <c r="O2640" s="86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99"/>
    </row>
    <row r="2641" spans="1:27" s="210" customFormat="1" ht="15.75" customHeight="1">
      <c r="A2641" s="203" t="str">
        <f>IF(B2641&lt;&gt;"",IF(AND(B2641&gt;=_TM1,B2641&lt;=_TM2,OR(TH!L2641="1111",TH!M2641="1111")),TH!D2641,""),"")</f>
        <v/>
      </c>
      <c r="B2641" s="36">
        <f t="shared" si="29"/>
        <v>10</v>
      </c>
      <c r="C2641" s="183">
        <f t="shared" si="27"/>
        <v>42294</v>
      </c>
      <c r="D2641" s="190" t="s">
        <v>1959</v>
      </c>
      <c r="E2641" s="763">
        <v>42294</v>
      </c>
      <c r="F2641" s="40" t="s">
        <v>1357</v>
      </c>
      <c r="G2641" s="40"/>
      <c r="H2641" s="7" t="s">
        <v>1946</v>
      </c>
      <c r="I2641" s="255">
        <v>2416</v>
      </c>
      <c r="J2641" s="255">
        <v>7300</v>
      </c>
      <c r="K2641" s="593">
        <f t="shared" si="28"/>
        <v>17636800</v>
      </c>
      <c r="L2641" s="39" t="s">
        <v>165</v>
      </c>
      <c r="M2641" s="594" t="s">
        <v>159</v>
      </c>
      <c r="N2641" s="52" t="str">
        <f>IF(AND('331-CT'!$E$7=TH!H2641,OR(L2641="331",M2641="331")),"331",IF(AND(OR(L2641="131",M2641="131"),H2641='131-CT'!$E$7),"131",""))</f>
        <v/>
      </c>
      <c r="O2641" s="86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99"/>
    </row>
    <row r="2642" spans="1:27" s="210" customFormat="1" ht="15.75" customHeight="1">
      <c r="A2642" s="203" t="str">
        <f>IF(B2642&lt;&gt;"",IF(AND(B2642&gt;=_TM1,B2642&lt;=_TM2,OR(TH!L2642="1111",TH!M2642="1111")),TH!D2642,""),"")</f>
        <v/>
      </c>
      <c r="B2642" s="36">
        <f t="shared" si="29"/>
        <v>10</v>
      </c>
      <c r="C2642" s="183">
        <f t="shared" si="27"/>
        <v>42296</v>
      </c>
      <c r="D2642" s="190" t="s">
        <v>1959</v>
      </c>
      <c r="E2642" s="763">
        <v>42296</v>
      </c>
      <c r="F2642" s="40" t="s">
        <v>1357</v>
      </c>
      <c r="G2642" s="40"/>
      <c r="H2642" s="7" t="s">
        <v>1946</v>
      </c>
      <c r="I2642" s="255">
        <v>2480</v>
      </c>
      <c r="J2642" s="255">
        <v>7300</v>
      </c>
      <c r="K2642" s="593">
        <f t="shared" si="28"/>
        <v>18104000</v>
      </c>
      <c r="L2642" s="39" t="s">
        <v>165</v>
      </c>
      <c r="M2642" s="594" t="s">
        <v>159</v>
      </c>
      <c r="N2642" s="52" t="str">
        <f>IF(AND('331-CT'!$E$7=TH!H2642,OR(L2642="331",M2642="331")),"331",IF(AND(OR(L2642="131",M2642="131"),H2642='131-CT'!$E$7),"131",""))</f>
        <v/>
      </c>
      <c r="O2642" s="86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99"/>
    </row>
    <row r="2643" spans="1:27" s="210" customFormat="1" ht="15.75" customHeight="1">
      <c r="A2643" s="203" t="str">
        <f>IF(B2643&lt;&gt;"",IF(AND(B2643&gt;=_TM1,B2643&lt;=_TM2,OR(TH!L2643="1111",TH!M2643="1111")),TH!D2643,""),"")</f>
        <v/>
      </c>
      <c r="B2643" s="36">
        <f t="shared" si="29"/>
        <v>10</v>
      </c>
      <c r="C2643" s="183">
        <f t="shared" si="27"/>
        <v>42298</v>
      </c>
      <c r="D2643" s="190" t="s">
        <v>1959</v>
      </c>
      <c r="E2643" s="763">
        <v>42298</v>
      </c>
      <c r="F2643" s="40" t="s">
        <v>1357</v>
      </c>
      <c r="G2643" s="40"/>
      <c r="H2643" s="7" t="s">
        <v>1946</v>
      </c>
      <c r="I2643" s="255">
        <v>2000</v>
      </c>
      <c r="J2643" s="255">
        <v>7300</v>
      </c>
      <c r="K2643" s="593">
        <f t="shared" si="28"/>
        <v>14600000</v>
      </c>
      <c r="L2643" s="39" t="s">
        <v>165</v>
      </c>
      <c r="M2643" s="594" t="s">
        <v>159</v>
      </c>
      <c r="N2643" s="52" t="str">
        <f>IF(AND('331-CT'!$E$7=TH!H2643,OR(L2643="331",M2643="331")),"331",IF(AND(OR(L2643="131",M2643="131"),H2643='131-CT'!$E$7),"131",""))</f>
        <v/>
      </c>
      <c r="O2643" s="86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99"/>
    </row>
    <row r="2644" spans="1:27" s="210" customFormat="1" ht="15.75" customHeight="1">
      <c r="A2644" s="203" t="str">
        <f>IF(B2644&lt;&gt;"",IF(AND(B2644&gt;=_TM1,B2644&lt;=_TM2,OR(TH!L2644="1111",TH!M2644="1111")),TH!D2644,""),"")</f>
        <v/>
      </c>
      <c r="B2644" s="36">
        <f t="shared" si="29"/>
        <v>10</v>
      </c>
      <c r="C2644" s="183">
        <f t="shared" si="27"/>
        <v>42298</v>
      </c>
      <c r="D2644" s="190" t="s">
        <v>1959</v>
      </c>
      <c r="E2644" s="763">
        <v>42298</v>
      </c>
      <c r="F2644" s="40" t="s">
        <v>1497</v>
      </c>
      <c r="G2644" s="40"/>
      <c r="H2644" s="7" t="s">
        <v>1946</v>
      </c>
      <c r="I2644" s="255">
        <v>17355</v>
      </c>
      <c r="J2644" s="255">
        <v>9000</v>
      </c>
      <c r="K2644" s="593">
        <f t="shared" si="28"/>
        <v>156195000</v>
      </c>
      <c r="L2644" s="39" t="s">
        <v>165</v>
      </c>
      <c r="M2644" s="594" t="s">
        <v>159</v>
      </c>
      <c r="N2644" s="52" t="str">
        <f>IF(AND('331-CT'!$E$7=TH!H2644,OR(L2644="331",M2644="331")),"331",IF(AND(OR(L2644="131",M2644="131"),H2644='131-CT'!$E$7),"131",""))</f>
        <v/>
      </c>
      <c r="O2644" s="86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99"/>
    </row>
    <row r="2645" spans="1:27" s="210" customFormat="1" ht="15.75" customHeight="1">
      <c r="A2645" s="203" t="str">
        <f>IF(B2645&lt;&gt;"",IF(AND(B2645&gt;=_TM1,B2645&lt;=_TM2,OR(TH!L2645="1111",TH!M2645="1111")),TH!D2645,""),"")</f>
        <v/>
      </c>
      <c r="B2645" s="36">
        <f t="shared" si="29"/>
        <v>10</v>
      </c>
      <c r="C2645" s="183">
        <f t="shared" si="27"/>
        <v>42302</v>
      </c>
      <c r="D2645" s="190" t="s">
        <v>1959</v>
      </c>
      <c r="E2645" s="763">
        <v>42302</v>
      </c>
      <c r="F2645" s="40" t="s">
        <v>1497</v>
      </c>
      <c r="G2645" s="40"/>
      <c r="H2645" s="7" t="s">
        <v>1946</v>
      </c>
      <c r="I2645" s="255">
        <v>12104</v>
      </c>
      <c r="J2645" s="255">
        <v>9100</v>
      </c>
      <c r="K2645" s="593">
        <f t="shared" si="28"/>
        <v>110146400</v>
      </c>
      <c r="L2645" s="39" t="s">
        <v>165</v>
      </c>
      <c r="M2645" s="594" t="s">
        <v>159</v>
      </c>
      <c r="N2645" s="52" t="str">
        <f>IF(AND('331-CT'!$E$7=TH!H2645,OR(L2645="331",M2645="331")),"331",IF(AND(OR(L2645="131",M2645="131"),H2645='131-CT'!$E$7),"131",""))</f>
        <v/>
      </c>
      <c r="O2645" s="86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99"/>
    </row>
    <row r="2646" spans="1:27" s="210" customFormat="1" ht="15.75" customHeight="1">
      <c r="A2646" s="203" t="str">
        <f>IF(B2646&lt;&gt;"",IF(AND(B2646&gt;=_TM1,B2646&lt;=_TM2,OR(TH!L2646="1111",TH!M2646="1111")),TH!D2646,""),"")</f>
        <v/>
      </c>
      <c r="B2646" s="36">
        <f t="shared" si="29"/>
        <v>10</v>
      </c>
      <c r="C2646" s="183">
        <f t="shared" si="27"/>
        <v>42302</v>
      </c>
      <c r="D2646" s="190" t="s">
        <v>1959</v>
      </c>
      <c r="E2646" s="763">
        <v>42302</v>
      </c>
      <c r="F2646" s="40" t="s">
        <v>1499</v>
      </c>
      <c r="G2646" s="40"/>
      <c r="H2646" s="7" t="s">
        <v>1946</v>
      </c>
      <c r="I2646" s="255">
        <v>5460</v>
      </c>
      <c r="J2646" s="255">
        <v>9500</v>
      </c>
      <c r="K2646" s="593">
        <f t="shared" si="28"/>
        <v>51870000</v>
      </c>
      <c r="L2646" s="39" t="s">
        <v>165</v>
      </c>
      <c r="M2646" s="594" t="s">
        <v>159</v>
      </c>
      <c r="N2646" s="52" t="str">
        <f>IF(AND('331-CT'!$E$7=TH!H2646,OR(L2646="331",M2646="331")),"331",IF(AND(OR(L2646="131",M2646="131"),H2646='131-CT'!$E$7),"131",""))</f>
        <v/>
      </c>
      <c r="O2646" s="86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99"/>
    </row>
    <row r="2647" spans="1:27" s="210" customFormat="1" ht="15.75" customHeight="1">
      <c r="A2647" s="203" t="str">
        <f>IF(B2647&lt;&gt;"",IF(AND(B2647&gt;=_TM1,B2647&lt;=_TM2,OR(TH!L2647="1111",TH!M2647="1111")),TH!D2647,""),"")</f>
        <v/>
      </c>
      <c r="B2647" s="36">
        <f t="shared" si="29"/>
        <v>10</v>
      </c>
      <c r="C2647" s="183">
        <f t="shared" si="27"/>
        <v>42302</v>
      </c>
      <c r="D2647" s="190" t="s">
        <v>1959</v>
      </c>
      <c r="E2647" s="763">
        <v>42302</v>
      </c>
      <c r="F2647" s="40" t="s">
        <v>1357</v>
      </c>
      <c r="G2647" s="40"/>
      <c r="H2647" s="7" t="s">
        <v>1946</v>
      </c>
      <c r="I2647" s="255">
        <v>2400</v>
      </c>
      <c r="J2647" s="255">
        <v>7300</v>
      </c>
      <c r="K2647" s="593">
        <f t="shared" si="28"/>
        <v>17520000</v>
      </c>
      <c r="L2647" s="39" t="s">
        <v>165</v>
      </c>
      <c r="M2647" s="594" t="s">
        <v>159</v>
      </c>
      <c r="N2647" s="52" t="str">
        <f>IF(AND('331-CT'!$E$7=TH!H2647,OR(L2647="331",M2647="331")),"331",IF(AND(OR(L2647="131",M2647="131"),H2647='131-CT'!$E$7),"131",""))</f>
        <v/>
      </c>
      <c r="O2647" s="86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99"/>
    </row>
    <row r="2648" spans="1:27" s="210" customFormat="1" ht="15.75" customHeight="1">
      <c r="A2648" s="203" t="str">
        <f>IF(B2648&lt;&gt;"",IF(AND(B2648&gt;=_TM1,B2648&lt;=_TM2,OR(TH!L2648="1111",TH!M2648="1111")),TH!D2648,""),"")</f>
        <v/>
      </c>
      <c r="B2648" s="36">
        <f t="shared" si="29"/>
        <v>10</v>
      </c>
      <c r="C2648" s="183">
        <f t="shared" si="27"/>
        <v>42306</v>
      </c>
      <c r="D2648" s="190" t="s">
        <v>1959</v>
      </c>
      <c r="E2648" s="763">
        <v>42306</v>
      </c>
      <c r="F2648" s="40" t="s">
        <v>1357</v>
      </c>
      <c r="G2648" s="40"/>
      <c r="H2648" s="7" t="s">
        <v>1946</v>
      </c>
      <c r="I2648" s="255">
        <v>2337</v>
      </c>
      <c r="J2648" s="255">
        <v>7300</v>
      </c>
      <c r="K2648" s="593">
        <f t="shared" si="28"/>
        <v>17060100</v>
      </c>
      <c r="L2648" s="39" t="s">
        <v>165</v>
      </c>
      <c r="M2648" s="594" t="s">
        <v>159</v>
      </c>
      <c r="N2648" s="52" t="str">
        <f>IF(AND('331-CT'!$E$7=TH!H2648,OR(L2648="331",M2648="331")),"331",IF(AND(OR(L2648="131",M2648="131"),H2648='131-CT'!$E$7),"131",""))</f>
        <v/>
      </c>
      <c r="O2648" s="86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99"/>
    </row>
    <row r="2649" spans="1:27" s="210" customFormat="1" ht="15.75" customHeight="1">
      <c r="A2649" s="203" t="str">
        <f>IF(B2649&lt;&gt;"",IF(AND(B2649&gt;=_TM1,B2649&lt;=_TM2,OR(TH!L2649="1111",TH!M2649="1111")),TH!D2649,""),"")</f>
        <v/>
      </c>
      <c r="B2649" s="36">
        <f t="shared" si="29"/>
        <v>11</v>
      </c>
      <c r="C2649" s="183">
        <f t="shared" si="27"/>
        <v>42309</v>
      </c>
      <c r="D2649" s="190" t="s">
        <v>1959</v>
      </c>
      <c r="E2649" s="763">
        <v>42309</v>
      </c>
      <c r="F2649" s="40" t="s">
        <v>1357</v>
      </c>
      <c r="G2649" s="40"/>
      <c r="H2649" s="7" t="s">
        <v>1946</v>
      </c>
      <c r="I2649" s="255">
        <v>2411</v>
      </c>
      <c r="J2649" s="255">
        <v>7300</v>
      </c>
      <c r="K2649" s="593">
        <f t="shared" si="28"/>
        <v>17600300</v>
      </c>
      <c r="L2649" s="39" t="s">
        <v>165</v>
      </c>
      <c r="M2649" s="594" t="s">
        <v>159</v>
      </c>
      <c r="N2649" s="52" t="str">
        <f>IF(AND('331-CT'!$E$7=TH!H2649,OR(L2649="331",M2649="331")),"331",IF(AND(OR(L2649="131",M2649="131"),H2649='131-CT'!$E$7),"131",""))</f>
        <v/>
      </c>
      <c r="O2649" s="86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99"/>
    </row>
    <row r="2650" spans="1:27" s="210" customFormat="1" ht="15.75" customHeight="1">
      <c r="A2650" s="203" t="str">
        <f>IF(B2650&lt;&gt;"",IF(AND(B2650&gt;=_TM1,B2650&lt;=_TM2,OR(TH!L2650="1111",TH!M2650="1111")),TH!D2650,""),"")</f>
        <v/>
      </c>
      <c r="B2650" s="36">
        <f t="shared" si="29"/>
        <v>11</v>
      </c>
      <c r="C2650" s="183">
        <f t="shared" si="27"/>
        <v>42311</v>
      </c>
      <c r="D2650" s="190" t="s">
        <v>1959</v>
      </c>
      <c r="E2650" s="763">
        <v>42311</v>
      </c>
      <c r="F2650" s="188" t="s">
        <v>1380</v>
      </c>
      <c r="G2650" s="40"/>
      <c r="H2650" s="7" t="s">
        <v>1946</v>
      </c>
      <c r="I2650" s="255">
        <v>5628</v>
      </c>
      <c r="J2650" s="255">
        <v>7600</v>
      </c>
      <c r="K2650" s="593">
        <f t="shared" si="28"/>
        <v>42772800</v>
      </c>
      <c r="L2650" s="39" t="s">
        <v>165</v>
      </c>
      <c r="M2650" s="594" t="s">
        <v>159</v>
      </c>
      <c r="N2650" s="52" t="str">
        <f>IF(AND('331-CT'!$E$7=TH!H2650,OR(L2650="331",M2650="331")),"331",IF(AND(OR(L2650="131",M2650="131"),H2650='131-CT'!$E$7),"131",""))</f>
        <v/>
      </c>
      <c r="O2650" s="86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>x</v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99"/>
    </row>
    <row r="2651" spans="1:27" s="210" customFormat="1" ht="15.75" customHeight="1">
      <c r="A2651" s="203" t="str">
        <f>IF(B2651&lt;&gt;"",IF(AND(B2651&gt;=_TM1,B2651&lt;=_TM2,OR(TH!L2651="1111",TH!M2651="1111")),TH!D2651,""),"")</f>
        <v/>
      </c>
      <c r="B2651" s="36">
        <f t="shared" si="29"/>
        <v>11</v>
      </c>
      <c r="C2651" s="183">
        <f t="shared" si="27"/>
        <v>42311</v>
      </c>
      <c r="D2651" s="190" t="s">
        <v>1959</v>
      </c>
      <c r="E2651" s="763">
        <v>42311</v>
      </c>
      <c r="F2651" s="40" t="s">
        <v>1378</v>
      </c>
      <c r="G2651" s="40"/>
      <c r="H2651" s="7" t="s">
        <v>1946</v>
      </c>
      <c r="I2651" s="255">
        <v>2583</v>
      </c>
      <c r="J2651" s="255">
        <v>9000</v>
      </c>
      <c r="K2651" s="593">
        <f t="shared" si="28"/>
        <v>23247000</v>
      </c>
      <c r="L2651" s="39" t="s">
        <v>165</v>
      </c>
      <c r="M2651" s="594" t="s">
        <v>159</v>
      </c>
      <c r="N2651" s="52" t="str">
        <f>IF(AND('331-CT'!$E$7=TH!H2651,OR(L2651="331",M2651="331")),"331",IF(AND(OR(L2651="131",M2651="131"),H2651='131-CT'!$E$7),"131",""))</f>
        <v/>
      </c>
      <c r="O2651" s="86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99"/>
    </row>
    <row r="2652" spans="1:27" s="210" customFormat="1" ht="15.75" customHeight="1">
      <c r="A2652" s="203" t="str">
        <f>IF(B2652&lt;&gt;"",IF(AND(B2652&gt;=_TM1,B2652&lt;=_TM2,OR(TH!L2652="1111",TH!M2652="1111")),TH!D2652,""),"")</f>
        <v/>
      </c>
      <c r="B2652" s="36">
        <f t="shared" si="29"/>
        <v>11</v>
      </c>
      <c r="C2652" s="183">
        <f t="shared" si="27"/>
        <v>42311</v>
      </c>
      <c r="D2652" s="190" t="s">
        <v>1959</v>
      </c>
      <c r="E2652" s="763">
        <v>42311</v>
      </c>
      <c r="F2652" s="40" t="s">
        <v>1357</v>
      </c>
      <c r="G2652" s="40"/>
      <c r="H2652" s="7" t="s">
        <v>1946</v>
      </c>
      <c r="I2652" s="255">
        <v>2415</v>
      </c>
      <c r="J2652" s="255">
        <v>7300</v>
      </c>
      <c r="K2652" s="593">
        <f t="shared" si="28"/>
        <v>17629500</v>
      </c>
      <c r="L2652" s="39" t="s">
        <v>165</v>
      </c>
      <c r="M2652" s="594" t="s">
        <v>159</v>
      </c>
      <c r="N2652" s="52" t="str">
        <f>IF(AND('331-CT'!$E$7=TH!H2652,OR(L2652="331",M2652="331")),"331",IF(AND(OR(L2652="131",M2652="131"),H2652='131-CT'!$E$7),"131",""))</f>
        <v/>
      </c>
      <c r="O2652" s="86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99"/>
    </row>
    <row r="2653" spans="1:27" s="210" customFormat="1" ht="15.75" customHeight="1">
      <c r="A2653" s="203" t="str">
        <f>IF(B2653&lt;&gt;"",IF(AND(B2653&gt;=_TM1,B2653&lt;=_TM2,OR(TH!L2653="1111",TH!M2653="1111")),TH!D2653,""),"")</f>
        <v/>
      </c>
      <c r="B2653" s="36">
        <f t="shared" si="29"/>
        <v>11</v>
      </c>
      <c r="C2653" s="183">
        <f t="shared" si="27"/>
        <v>42315</v>
      </c>
      <c r="D2653" s="190" t="s">
        <v>1959</v>
      </c>
      <c r="E2653" s="763">
        <v>42315</v>
      </c>
      <c r="F2653" s="40" t="s">
        <v>1380</v>
      </c>
      <c r="G2653" s="40"/>
      <c r="H2653" s="7" t="s">
        <v>1946</v>
      </c>
      <c r="I2653" s="255">
        <v>6851</v>
      </c>
      <c r="J2653" s="255">
        <v>7600</v>
      </c>
      <c r="K2653" s="593">
        <f t="shared" si="28"/>
        <v>52067600</v>
      </c>
      <c r="L2653" s="39" t="s">
        <v>165</v>
      </c>
      <c r="M2653" s="594" t="s">
        <v>159</v>
      </c>
      <c r="N2653" s="52" t="str">
        <f>IF(AND('331-CT'!$E$7=TH!H2653,OR(L2653="331",M2653="331")),"331",IF(AND(OR(L2653="131",M2653="131"),H2653='131-CT'!$E$7),"131",""))</f>
        <v/>
      </c>
      <c r="O2653" s="86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>x</v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99"/>
    </row>
    <row r="2654" spans="1:27" s="210" customFormat="1" ht="15.75" customHeight="1">
      <c r="A2654" s="203" t="str">
        <f>IF(B2654&lt;&gt;"",IF(AND(B2654&gt;=_TM1,B2654&lt;=_TM2,OR(TH!L2654="1111",TH!M2654="1111")),TH!D2654,""),"")</f>
        <v/>
      </c>
      <c r="B2654" s="36">
        <f t="shared" si="29"/>
        <v>11</v>
      </c>
      <c r="C2654" s="183">
        <f t="shared" si="27"/>
        <v>42315</v>
      </c>
      <c r="D2654" s="190" t="s">
        <v>1959</v>
      </c>
      <c r="E2654" s="763">
        <v>42315</v>
      </c>
      <c r="F2654" s="40" t="s">
        <v>1357</v>
      </c>
      <c r="G2654" s="40"/>
      <c r="H2654" s="7" t="s">
        <v>1946</v>
      </c>
      <c r="I2654" s="255">
        <v>1268</v>
      </c>
      <c r="J2654" s="255">
        <v>7300</v>
      </c>
      <c r="K2654" s="593">
        <f t="shared" si="28"/>
        <v>9256400</v>
      </c>
      <c r="L2654" s="39" t="s">
        <v>165</v>
      </c>
      <c r="M2654" s="594" t="s">
        <v>159</v>
      </c>
      <c r="N2654" s="52" t="str">
        <f>IF(AND('331-CT'!$E$7=TH!H2654,OR(L2654="331",M2654="331")),"331",IF(AND(OR(L2654="131",M2654="131"),H2654='131-CT'!$E$7),"131",""))</f>
        <v/>
      </c>
      <c r="O2654" s="86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99"/>
    </row>
    <row r="2655" spans="1:27" s="210" customFormat="1" ht="15.75" customHeight="1">
      <c r="A2655" s="203" t="str">
        <f>IF(B2655&lt;&gt;"",IF(AND(B2655&gt;=_TM1,B2655&lt;=_TM2,OR(TH!L2655="1111",TH!M2655="1111")),TH!D2655,""),"")</f>
        <v/>
      </c>
      <c r="B2655" s="36">
        <f t="shared" si="29"/>
        <v>11</v>
      </c>
      <c r="C2655" s="183">
        <f t="shared" si="27"/>
        <v>42315</v>
      </c>
      <c r="D2655" s="190" t="s">
        <v>1959</v>
      </c>
      <c r="E2655" s="763">
        <v>42315</v>
      </c>
      <c r="F2655" s="188" t="s">
        <v>1497</v>
      </c>
      <c r="G2655" s="40"/>
      <c r="H2655" s="7" t="s">
        <v>1946</v>
      </c>
      <c r="I2655" s="255">
        <v>549</v>
      </c>
      <c r="J2655" s="255">
        <v>8800</v>
      </c>
      <c r="K2655" s="593">
        <f t="shared" si="28"/>
        <v>4831200</v>
      </c>
      <c r="L2655" s="39" t="s">
        <v>165</v>
      </c>
      <c r="M2655" s="594" t="s">
        <v>159</v>
      </c>
      <c r="N2655" s="52" t="str">
        <f>IF(AND('331-CT'!$E$7=TH!H2655,OR(L2655="331",M2655="331")),"331",IF(AND(OR(L2655="131",M2655="131"),H2655='131-CT'!$E$7),"131",""))</f>
        <v/>
      </c>
      <c r="O2655" s="86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99"/>
    </row>
    <row r="2656" spans="1:27" s="210" customFormat="1" ht="15.75" customHeight="1">
      <c r="A2656" s="203" t="str">
        <f>IF(B2656&lt;&gt;"",IF(AND(B2656&gt;=_TM1,B2656&lt;=_TM2,OR(TH!L2656="1111",TH!M2656="1111")),TH!D2656,""),"")</f>
        <v/>
      </c>
      <c r="B2656" s="36">
        <f t="shared" si="29"/>
        <v>11</v>
      </c>
      <c r="C2656" s="183">
        <f t="shared" si="27"/>
        <v>42320</v>
      </c>
      <c r="D2656" s="190" t="s">
        <v>1959</v>
      </c>
      <c r="E2656" s="773">
        <v>42320</v>
      </c>
      <c r="F2656" s="188" t="s">
        <v>1499</v>
      </c>
      <c r="G2656" s="595"/>
      <c r="H2656" s="7" t="s">
        <v>1946</v>
      </c>
      <c r="I2656" s="255">
        <v>883</v>
      </c>
      <c r="J2656" s="255">
        <v>9200</v>
      </c>
      <c r="K2656" s="593">
        <f t="shared" si="28"/>
        <v>8123600</v>
      </c>
      <c r="L2656" s="39" t="s">
        <v>165</v>
      </c>
      <c r="M2656" s="594" t="s">
        <v>159</v>
      </c>
      <c r="N2656" s="52" t="str">
        <f>IF(AND('331-CT'!$E$7=TH!H2656,OR(L2656="331",M2656="331")),"331",IF(AND(OR(L2656="131",M2656="131"),H2656='131-CT'!$E$7),"131",""))</f>
        <v/>
      </c>
      <c r="O2656" s="86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99"/>
    </row>
    <row r="2657" spans="1:28" s="210" customFormat="1" ht="15.75" customHeight="1">
      <c r="A2657" s="203" t="str">
        <f>IF(B2657&lt;&gt;"",IF(AND(B2657&gt;=_TM1,B2657&lt;=_TM2,OR(TH!L2657="1111",TH!M2657="1111")),TH!D2657,""),"")</f>
        <v/>
      </c>
      <c r="B2657" s="36">
        <f t="shared" si="29"/>
        <v>11</v>
      </c>
      <c r="C2657" s="183">
        <f t="shared" si="27"/>
        <v>42320</v>
      </c>
      <c r="D2657" s="190" t="s">
        <v>1959</v>
      </c>
      <c r="E2657" s="763">
        <v>42320</v>
      </c>
      <c r="F2657" s="191" t="s">
        <v>1499</v>
      </c>
      <c r="G2657" s="482"/>
      <c r="H2657" s="7" t="s">
        <v>1946</v>
      </c>
      <c r="I2657" s="255">
        <v>880</v>
      </c>
      <c r="J2657" s="255">
        <v>9400</v>
      </c>
      <c r="K2657" s="593">
        <f t="shared" si="28"/>
        <v>8272000</v>
      </c>
      <c r="L2657" s="39" t="s">
        <v>165</v>
      </c>
      <c r="M2657" s="594" t="s">
        <v>159</v>
      </c>
      <c r="N2657" s="52" t="str">
        <f>IF(AND('331-CT'!$E$7=TH!H2657,OR(L2657="331",M2657="331")),"331",IF(AND(OR(L2657="131",M2657="131"),H2657='131-CT'!$E$7),"131",""))</f>
        <v/>
      </c>
      <c r="O2657" s="86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99"/>
    </row>
    <row r="2658" spans="1:28" s="210" customFormat="1" ht="15.75" customHeight="1">
      <c r="A2658" s="203" t="str">
        <f>IF(B2658&lt;&gt;"",IF(AND(B2658&gt;=_TM1,B2658&lt;=_TM2,OR(TH!L2658="1111",TH!M2658="1111")),TH!D2658,""),"")</f>
        <v/>
      </c>
      <c r="B2658" s="36">
        <f t="shared" si="29"/>
        <v>11</v>
      </c>
      <c r="C2658" s="183">
        <f t="shared" ref="C2658:C2707" si="30">E2658</f>
        <v>42320</v>
      </c>
      <c r="D2658" s="190" t="s">
        <v>1959</v>
      </c>
      <c r="E2658" s="763">
        <v>42320</v>
      </c>
      <c r="F2658" s="191" t="s">
        <v>1380</v>
      </c>
      <c r="G2658" s="482"/>
      <c r="H2658" s="7" t="s">
        <v>1946</v>
      </c>
      <c r="I2658" s="255">
        <v>4811</v>
      </c>
      <c r="J2658" s="255">
        <v>7600</v>
      </c>
      <c r="K2658" s="593">
        <f t="shared" si="28"/>
        <v>36563600</v>
      </c>
      <c r="L2658" s="39" t="s">
        <v>165</v>
      </c>
      <c r="M2658" s="594" t="s">
        <v>159</v>
      </c>
      <c r="N2658" s="52" t="str">
        <f>IF(AND('331-CT'!$E$7=TH!H2658,OR(L2658="331",M2658="331")),"331",IF(AND(OR(L2658="131",M2658="131"),H2658='131-CT'!$E$7),"131",""))</f>
        <v/>
      </c>
      <c r="O2658" s="86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>x</v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99"/>
    </row>
    <row r="2659" spans="1:28" s="210" customFormat="1" ht="15.75" customHeight="1">
      <c r="A2659" s="203" t="str">
        <f>IF(B2659&lt;&gt;"",IF(AND(B2659&gt;=_TM1,B2659&lt;=_TM2,OR(TH!L2659="1111",TH!M2659="1111")),TH!D2659,""),"")</f>
        <v/>
      </c>
      <c r="B2659" s="36">
        <f t="shared" si="29"/>
        <v>11</v>
      </c>
      <c r="C2659" s="183">
        <f t="shared" si="30"/>
        <v>42320</v>
      </c>
      <c r="D2659" s="190" t="s">
        <v>1959</v>
      </c>
      <c r="E2659" s="763">
        <v>42320</v>
      </c>
      <c r="F2659" s="191" t="s">
        <v>1357</v>
      </c>
      <c r="G2659" s="482"/>
      <c r="H2659" s="7" t="s">
        <v>1946</v>
      </c>
      <c r="I2659" s="255">
        <v>1896</v>
      </c>
      <c r="J2659" s="255">
        <v>7300</v>
      </c>
      <c r="K2659" s="593">
        <f t="shared" si="28"/>
        <v>13840800</v>
      </c>
      <c r="L2659" s="39" t="s">
        <v>165</v>
      </c>
      <c r="M2659" s="594" t="s">
        <v>159</v>
      </c>
      <c r="N2659" s="52" t="str">
        <f>IF(AND('331-CT'!$E$7=TH!H2659,OR(L2659="331",M2659="331")),"331",IF(AND(OR(L2659="131",M2659="131"),H2659='131-CT'!$E$7),"131",""))</f>
        <v/>
      </c>
      <c r="O2659" s="86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799"/>
    </row>
    <row r="2660" spans="1:28" s="210" customFormat="1" ht="15.75" customHeight="1">
      <c r="A2660" s="203" t="str">
        <f>IF(B2660&lt;&gt;"",IF(AND(B2660&gt;=_TM1,B2660&lt;=_TM2,OR(TH!L2660="1111",TH!M2660="1111")),TH!D2660,""),"")</f>
        <v/>
      </c>
      <c r="B2660" s="36">
        <f t="shared" si="29"/>
        <v>11</v>
      </c>
      <c r="C2660" s="183">
        <f t="shared" si="30"/>
        <v>42325</v>
      </c>
      <c r="D2660" s="190" t="s">
        <v>1959</v>
      </c>
      <c r="E2660" s="763">
        <v>42325</v>
      </c>
      <c r="F2660" s="191" t="s">
        <v>1357</v>
      </c>
      <c r="G2660" s="482"/>
      <c r="H2660" s="7" t="s">
        <v>1946</v>
      </c>
      <c r="I2660" s="255">
        <v>1090</v>
      </c>
      <c r="J2660" s="255">
        <v>7300</v>
      </c>
      <c r="K2660" s="593">
        <f t="shared" si="28"/>
        <v>7957000</v>
      </c>
      <c r="L2660" s="39" t="s">
        <v>165</v>
      </c>
      <c r="M2660" s="594" t="s">
        <v>159</v>
      </c>
      <c r="N2660" s="52" t="str">
        <f>IF(AND('331-CT'!$E$7=TH!H2660,OR(L2660="331",M2660="331")),"331",IF(AND(OR(L2660="131",M2660="131"),H2660='131-CT'!$E$7),"131",""))</f>
        <v/>
      </c>
      <c r="O2660" s="86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799"/>
    </row>
    <row r="2661" spans="1:28" s="210" customFormat="1" ht="15.75" customHeight="1">
      <c r="A2661" s="203" t="str">
        <f>IF(B2661&lt;&gt;"",IF(AND(B2661&gt;=_TM1,B2661&lt;=_TM2,OR(TH!L2661="1111",TH!M2661="1111")),TH!D2661,""),"")</f>
        <v/>
      </c>
      <c r="B2661" s="36">
        <f t="shared" si="29"/>
        <v>11</v>
      </c>
      <c r="C2661" s="183">
        <f t="shared" si="30"/>
        <v>42325</v>
      </c>
      <c r="D2661" s="190" t="s">
        <v>1959</v>
      </c>
      <c r="E2661" s="763">
        <v>42325</v>
      </c>
      <c r="F2661" s="40" t="s">
        <v>1380</v>
      </c>
      <c r="G2661" s="40"/>
      <c r="H2661" s="7" t="s">
        <v>1946</v>
      </c>
      <c r="I2661" s="255">
        <v>7534</v>
      </c>
      <c r="J2661" s="255">
        <v>7600</v>
      </c>
      <c r="K2661" s="593">
        <f t="shared" si="28"/>
        <v>57258400</v>
      </c>
      <c r="L2661" s="39" t="s">
        <v>165</v>
      </c>
      <c r="M2661" s="594" t="s">
        <v>159</v>
      </c>
      <c r="N2661" s="52" t="str">
        <f>IF(AND('331-CT'!$E$7=TH!H2661,OR(L2661="331",M2661="331")),"331",IF(AND(OR(L2661="131",M2661="131"),H2661='131-CT'!$E$7),"131",""))</f>
        <v/>
      </c>
      <c r="O2661" s="86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>x</v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799"/>
    </row>
    <row r="2662" spans="1:28" s="210" customFormat="1" ht="15.75" customHeight="1">
      <c r="A2662" s="203" t="str">
        <f>IF(B2662&lt;&gt;"",IF(AND(B2662&gt;=_TM1,B2662&lt;=_TM2,OR(TH!L2662="1111",TH!M2662="1111")),TH!D2662,""),"")</f>
        <v/>
      </c>
      <c r="B2662" s="36">
        <f t="shared" si="29"/>
        <v>11</v>
      </c>
      <c r="C2662" s="183">
        <f t="shared" si="30"/>
        <v>42329</v>
      </c>
      <c r="D2662" s="190" t="s">
        <v>1959</v>
      </c>
      <c r="E2662" s="763">
        <v>42329</v>
      </c>
      <c r="F2662" s="40" t="s">
        <v>1499</v>
      </c>
      <c r="G2662" s="40"/>
      <c r="H2662" s="7" t="s">
        <v>1946</v>
      </c>
      <c r="I2662" s="255">
        <v>1800</v>
      </c>
      <c r="J2662" s="255">
        <v>9000</v>
      </c>
      <c r="K2662" s="593">
        <f t="shared" si="28"/>
        <v>16200000</v>
      </c>
      <c r="L2662" s="39" t="s">
        <v>165</v>
      </c>
      <c r="M2662" s="594" t="s">
        <v>159</v>
      </c>
      <c r="N2662" s="52" t="str">
        <f>IF(AND('331-CT'!$E$7=TH!H2662,OR(L2662="331",M2662="331")),"331",IF(AND(OR(L2662="131",M2662="131"),H2662='131-CT'!$E$7),"131",""))</f>
        <v/>
      </c>
      <c r="O2662" s="86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799"/>
    </row>
    <row r="2663" spans="1:28" s="210" customFormat="1" ht="15.75" customHeight="1">
      <c r="A2663" s="203" t="str">
        <f>IF(B2663&lt;&gt;"",IF(AND(B2663&gt;=_TM1,B2663&lt;=_TM2,OR(TH!L2663="1111",TH!M2663="1111")),TH!D2663,""),"")</f>
        <v/>
      </c>
      <c r="B2663" s="36">
        <f t="shared" si="29"/>
        <v>11</v>
      </c>
      <c r="C2663" s="183">
        <f t="shared" si="30"/>
        <v>42333</v>
      </c>
      <c r="D2663" s="190" t="s">
        <v>1959</v>
      </c>
      <c r="E2663" s="763">
        <v>42333</v>
      </c>
      <c r="F2663" s="444" t="s">
        <v>1378</v>
      </c>
      <c r="G2663" s="40"/>
      <c r="H2663" s="7" t="s">
        <v>1946</v>
      </c>
      <c r="I2663" s="255">
        <v>7399</v>
      </c>
      <c r="J2663" s="255">
        <v>9000</v>
      </c>
      <c r="K2663" s="593">
        <f t="shared" si="28"/>
        <v>66591000</v>
      </c>
      <c r="L2663" s="39" t="s">
        <v>165</v>
      </c>
      <c r="M2663" s="594" t="s">
        <v>159</v>
      </c>
      <c r="N2663" s="52" t="str">
        <f>IF(AND('331-CT'!$E$7=TH!H2663,OR(L2663="331",M2663="331")),"331",IF(AND(OR(L2663="131",M2663="131"),H2663='131-CT'!$E$7),"131",""))</f>
        <v/>
      </c>
      <c r="O2663" s="86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799"/>
    </row>
    <row r="2664" spans="1:28" s="210" customFormat="1" ht="15.75" customHeight="1">
      <c r="A2664" s="203" t="str">
        <f>IF(B2664&lt;&gt;"",IF(AND(B2664&gt;=_TM1,B2664&lt;=_TM2,OR(TH!L2664="1111",TH!M2664="1111")),TH!D2664,""),"")</f>
        <v/>
      </c>
      <c r="B2664" s="36">
        <f t="shared" ref="B2664" si="31">IF(C2664&lt;&gt;"",MONTH(C2664),"")</f>
        <v>12</v>
      </c>
      <c r="C2664" s="183">
        <f t="shared" ref="C2664" si="32">E2664</f>
        <v>42339</v>
      </c>
      <c r="D2664" s="190" t="s">
        <v>1959</v>
      </c>
      <c r="E2664" s="763">
        <v>42339</v>
      </c>
      <c r="F2664" s="40" t="s">
        <v>1380</v>
      </c>
      <c r="G2664" s="40"/>
      <c r="H2664" s="7" t="s">
        <v>1946</v>
      </c>
      <c r="I2664" s="255">
        <v>1323</v>
      </c>
      <c r="J2664" s="255">
        <v>8600</v>
      </c>
      <c r="K2664" s="593">
        <f t="shared" ref="K2664" si="33">ROUND(I2664*J2664,0)</f>
        <v>11377800</v>
      </c>
      <c r="L2664" s="39" t="s">
        <v>165</v>
      </c>
      <c r="M2664" s="594" t="s">
        <v>159</v>
      </c>
      <c r="N2664" s="52" t="str">
        <f>IF(AND('331-CT'!$E$7=TH!H2664,OR(L2664="331",M2664="331")),"331",IF(AND(OR(L2664="131",M2664="131"),H2664='131-CT'!$E$7),"131",""))</f>
        <v/>
      </c>
      <c r="O2664" s="86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>x</v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799"/>
    </row>
    <row r="2665" spans="1:28" s="836" customFormat="1" ht="15.75" customHeight="1">
      <c r="A2665" s="203" t="str">
        <f>IF(B2665&lt;&gt;"",IF(AND(B2665&gt;=_TM1,B2665&lt;=_TM2,OR(TH!L2665="1111",TH!M2665="1111")),TH!D2665,""),"")</f>
        <v/>
      </c>
      <c r="B2665" s="826">
        <f t="shared" si="29"/>
        <v>1</v>
      </c>
      <c r="C2665" s="827">
        <f t="shared" si="30"/>
        <v>42010</v>
      </c>
      <c r="D2665" s="828" t="s">
        <v>2013</v>
      </c>
      <c r="E2665" s="914">
        <v>42010</v>
      </c>
      <c r="F2665" s="829" t="s">
        <v>398</v>
      </c>
      <c r="G2665" s="830" t="s">
        <v>399</v>
      </c>
      <c r="H2665" s="838" t="s">
        <v>2014</v>
      </c>
      <c r="I2665" s="832">
        <v>936</v>
      </c>
      <c r="J2665" s="832">
        <v>6786.2992119664887</v>
      </c>
      <c r="K2665" s="833">
        <f>ROUND(I2665*J2665,0)</f>
        <v>6351976</v>
      </c>
      <c r="L2665" s="886" t="s">
        <v>167</v>
      </c>
      <c r="M2665" s="886" t="s">
        <v>165</v>
      </c>
      <c r="N2665" s="52" t="str">
        <f>IF(AND('331-CT'!$E$7=TH!H2665,OR(L2665="331",M2665="331")),"331",IF(AND(OR(L2665="131",M2665="131"),H2665='131-CT'!$E$7),"131",""))</f>
        <v/>
      </c>
      <c r="O2665" s="86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35"/>
    </row>
    <row r="2666" spans="1:28" s="906" customFormat="1" ht="15.75" customHeight="1">
      <c r="A2666" s="203" t="str">
        <f>IF(B2666&lt;&gt;"",IF(AND(B2666&gt;=_TM1,B2666&lt;=_TM2,OR(TH!L2666="1111",TH!M2666="1111")),TH!D2666,""),"")</f>
        <v/>
      </c>
      <c r="B2666" s="898">
        <f t="shared" si="29"/>
        <v>1</v>
      </c>
      <c r="C2666" s="899">
        <f t="shared" si="30"/>
        <v>42010</v>
      </c>
      <c r="D2666" s="900" t="s">
        <v>2013</v>
      </c>
      <c r="E2666" s="908">
        <v>42010</v>
      </c>
      <c r="F2666" s="907" t="s">
        <v>401</v>
      </c>
      <c r="G2666" s="902" t="s">
        <v>399</v>
      </c>
      <c r="H2666" s="913" t="s">
        <v>2014</v>
      </c>
      <c r="I2666" s="253">
        <v>316</v>
      </c>
      <c r="J2666" s="253">
        <v>8027.6962025316452</v>
      </c>
      <c r="K2666" s="904">
        <f t="shared" ref="K2666:K2730" si="34">ROUND(I2666*J2666,0)</f>
        <v>2536752</v>
      </c>
      <c r="L2666" s="869" t="s">
        <v>167</v>
      </c>
      <c r="M2666" s="869" t="s">
        <v>165</v>
      </c>
      <c r="N2666" s="52" t="str">
        <f>IF(AND('331-CT'!$E$7=TH!H2666,OR(L2666="331",M2666="331")),"331",IF(AND(OR(L2666="131",M2666="131"),H2666='131-CT'!$E$7),"131",""))</f>
        <v/>
      </c>
      <c r="O2666" s="86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772"/>
      <c r="AB2666" s="918"/>
    </row>
    <row r="2667" spans="1:28" s="906" customFormat="1" ht="15.75" customHeight="1">
      <c r="A2667" s="203" t="str">
        <f>IF(B2667&lt;&gt;"",IF(AND(B2667&gt;=_TM1,B2667&lt;=_TM2,OR(TH!L2667="1111",TH!M2667="1111")),TH!D2667,""),"")</f>
        <v/>
      </c>
      <c r="B2667" s="898">
        <f t="shared" si="29"/>
        <v>1</v>
      </c>
      <c r="C2667" s="899">
        <f t="shared" si="30"/>
        <v>42011</v>
      </c>
      <c r="D2667" s="900" t="s">
        <v>2013</v>
      </c>
      <c r="E2667" s="908">
        <v>42011</v>
      </c>
      <c r="F2667" s="907" t="s">
        <v>403</v>
      </c>
      <c r="G2667" s="902" t="s">
        <v>404</v>
      </c>
      <c r="H2667" s="913" t="s">
        <v>2014</v>
      </c>
      <c r="I2667" s="253">
        <v>500</v>
      </c>
      <c r="J2667" s="253">
        <v>7448.3779999999997</v>
      </c>
      <c r="K2667" s="904">
        <f t="shared" si="34"/>
        <v>3724189</v>
      </c>
      <c r="L2667" s="869" t="s">
        <v>167</v>
      </c>
      <c r="M2667" s="869" t="s">
        <v>165</v>
      </c>
      <c r="N2667" s="52" t="str">
        <f>IF(AND('331-CT'!$E$7=TH!H2667,OR(L2667="331",M2667="331")),"331",IF(AND(OR(L2667="131",M2667="131"),H2667='131-CT'!$E$7),"131",""))</f>
        <v/>
      </c>
      <c r="O2667" s="86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772"/>
      <c r="AB2667" s="918"/>
    </row>
    <row r="2668" spans="1:28" s="906" customFormat="1" ht="15.75" customHeight="1">
      <c r="A2668" s="203" t="str">
        <f>IF(B2668&lt;&gt;"",IF(AND(B2668&gt;=_TM1,B2668&lt;=_TM2,OR(TH!L2668="1111",TH!M2668="1111")),TH!D2668,""),"")</f>
        <v/>
      </c>
      <c r="B2668" s="898">
        <f t="shared" si="29"/>
        <v>1</v>
      </c>
      <c r="C2668" s="899">
        <f t="shared" si="30"/>
        <v>42011</v>
      </c>
      <c r="D2668" s="900" t="s">
        <v>2013</v>
      </c>
      <c r="E2668" s="908">
        <v>42011</v>
      </c>
      <c r="F2668" s="907" t="s">
        <v>405</v>
      </c>
      <c r="G2668" s="902" t="s">
        <v>406</v>
      </c>
      <c r="H2668" s="913" t="s">
        <v>2014</v>
      </c>
      <c r="I2668" s="253">
        <v>660</v>
      </c>
      <c r="J2668" s="253">
        <v>10344.968181818182</v>
      </c>
      <c r="K2668" s="904">
        <f t="shared" si="34"/>
        <v>6827679</v>
      </c>
      <c r="L2668" s="869" t="s">
        <v>167</v>
      </c>
      <c r="M2668" s="869" t="s">
        <v>165</v>
      </c>
      <c r="N2668" s="52" t="str">
        <f>IF(AND('331-CT'!$E$7=TH!H2668,OR(L2668="331",M2668="331")),"331",IF(AND(OR(L2668="131",M2668="131"),H2668='131-CT'!$E$7),"131",""))</f>
        <v/>
      </c>
      <c r="O2668" s="86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772"/>
      <c r="AB2668" s="918"/>
    </row>
    <row r="2669" spans="1:28" s="906" customFormat="1" ht="15.75" customHeight="1">
      <c r="A2669" s="203" t="str">
        <f>IF(B2669&lt;&gt;"",IF(AND(B2669&gt;=_TM1,B2669&lt;=_TM2,OR(TH!L2669="1111",TH!M2669="1111")),TH!D2669,""),"")</f>
        <v/>
      </c>
      <c r="B2669" s="898">
        <f t="shared" si="29"/>
        <v>1</v>
      </c>
      <c r="C2669" s="899">
        <f t="shared" si="30"/>
        <v>42011</v>
      </c>
      <c r="D2669" s="900" t="s">
        <v>2013</v>
      </c>
      <c r="E2669" s="908">
        <v>42011</v>
      </c>
      <c r="F2669" s="907" t="s">
        <v>408</v>
      </c>
      <c r="G2669" s="902" t="s">
        <v>406</v>
      </c>
      <c r="H2669" s="913" t="s">
        <v>2014</v>
      </c>
      <c r="I2669" s="253">
        <v>661</v>
      </c>
      <c r="J2669" s="253">
        <v>9434.61119515885</v>
      </c>
      <c r="K2669" s="904">
        <f t="shared" si="34"/>
        <v>6236278</v>
      </c>
      <c r="L2669" s="869" t="s">
        <v>167</v>
      </c>
      <c r="M2669" s="869" t="s">
        <v>165</v>
      </c>
      <c r="N2669" s="52" t="str">
        <f>IF(AND('331-CT'!$E$7=TH!H2669,OR(L2669="331",M2669="331")),"331",IF(AND(OR(L2669="131",M2669="131"),H2669='131-CT'!$E$7),"131",""))</f>
        <v/>
      </c>
      <c r="O2669" s="86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772"/>
      <c r="AB2669" s="918"/>
    </row>
    <row r="2670" spans="1:28" s="906" customFormat="1" ht="15.75" customHeight="1">
      <c r="A2670" s="203" t="str">
        <f>IF(B2670&lt;&gt;"",IF(AND(B2670&gt;=_TM1,B2670&lt;=_TM2,OR(TH!L2670="1111",TH!M2670="1111")),TH!D2670,""),"")</f>
        <v/>
      </c>
      <c r="B2670" s="898">
        <f t="shared" si="29"/>
        <v>1</v>
      </c>
      <c r="C2670" s="899">
        <f t="shared" si="30"/>
        <v>42012</v>
      </c>
      <c r="D2670" s="900" t="s">
        <v>2013</v>
      </c>
      <c r="E2670" s="908">
        <v>42012</v>
      </c>
      <c r="F2670" s="907" t="s">
        <v>409</v>
      </c>
      <c r="G2670" s="902" t="s">
        <v>410</v>
      </c>
      <c r="H2670" s="913" t="s">
        <v>2014</v>
      </c>
      <c r="I2670" s="253">
        <v>7200</v>
      </c>
      <c r="J2670" s="253">
        <v>6124.2212499999996</v>
      </c>
      <c r="K2670" s="904">
        <f t="shared" si="34"/>
        <v>44094393</v>
      </c>
      <c r="L2670" s="869" t="s">
        <v>167</v>
      </c>
      <c r="M2670" s="869" t="s">
        <v>165</v>
      </c>
      <c r="N2670" s="52" t="str">
        <f>IF(AND('331-CT'!$E$7=TH!H2670,OR(L2670="331",M2670="331")),"331",IF(AND(OR(L2670="131",M2670="131"),H2670='131-CT'!$E$7),"131",""))</f>
        <v/>
      </c>
      <c r="O2670" s="86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772"/>
      <c r="AB2670" s="918"/>
    </row>
    <row r="2671" spans="1:28" s="906" customFormat="1" ht="15.75" customHeight="1">
      <c r="A2671" s="203" t="str">
        <f>IF(B2671&lt;&gt;"",IF(AND(B2671&gt;=_TM1,B2671&lt;=_TM2,OR(TH!L2671="1111",TH!M2671="1111")),TH!D2671,""),"")</f>
        <v/>
      </c>
      <c r="B2671" s="898">
        <f t="shared" si="29"/>
        <v>1</v>
      </c>
      <c r="C2671" s="899">
        <f t="shared" si="30"/>
        <v>42017</v>
      </c>
      <c r="D2671" s="900" t="s">
        <v>2013</v>
      </c>
      <c r="E2671" s="908">
        <v>42017</v>
      </c>
      <c r="F2671" s="907" t="s">
        <v>413</v>
      </c>
      <c r="G2671" s="902" t="s">
        <v>411</v>
      </c>
      <c r="H2671" s="913" t="s">
        <v>2014</v>
      </c>
      <c r="I2671" s="253">
        <v>503</v>
      </c>
      <c r="J2671" s="253">
        <v>7862.1749502982111</v>
      </c>
      <c r="K2671" s="904">
        <f t="shared" si="34"/>
        <v>3954674</v>
      </c>
      <c r="L2671" s="869" t="s">
        <v>167</v>
      </c>
      <c r="M2671" s="869" t="s">
        <v>165</v>
      </c>
      <c r="N2671" s="52" t="str">
        <f>IF(AND('331-CT'!$E$7=TH!H2671,OR(L2671="331",M2671="331")),"331",IF(AND(OR(L2671="131",M2671="131"),H2671='131-CT'!$E$7),"131",""))</f>
        <v/>
      </c>
      <c r="O2671" s="86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772"/>
      <c r="AB2671" s="918"/>
    </row>
    <row r="2672" spans="1:28" s="906" customFormat="1" ht="15.75" customHeight="1">
      <c r="A2672" s="203" t="str">
        <f>IF(B2672&lt;&gt;"",IF(AND(B2672&gt;=_TM1,B2672&lt;=_TM2,OR(TH!L2672="1111",TH!M2672="1111")),TH!D2672,""),"")</f>
        <v/>
      </c>
      <c r="B2672" s="898">
        <f t="shared" si="29"/>
        <v>1</v>
      </c>
      <c r="C2672" s="899">
        <f t="shared" si="30"/>
        <v>42017</v>
      </c>
      <c r="D2672" s="900" t="s">
        <v>2013</v>
      </c>
      <c r="E2672" s="908">
        <v>42017</v>
      </c>
      <c r="F2672" s="907" t="s">
        <v>413</v>
      </c>
      <c r="G2672" s="902" t="s">
        <v>411</v>
      </c>
      <c r="H2672" s="913" t="s">
        <v>2014</v>
      </c>
      <c r="I2672" s="253">
        <v>499</v>
      </c>
      <c r="J2672" s="253">
        <v>7862.1743486973946</v>
      </c>
      <c r="K2672" s="904">
        <f t="shared" si="34"/>
        <v>3923225</v>
      </c>
      <c r="L2672" s="869" t="s">
        <v>167</v>
      </c>
      <c r="M2672" s="869" t="s">
        <v>165</v>
      </c>
      <c r="N2672" s="52" t="str">
        <f>IF(AND('331-CT'!$E$7=TH!H2672,OR(L2672="331",M2672="331")),"331",IF(AND(OR(L2672="131",M2672="131"),H2672='131-CT'!$E$7),"131",""))</f>
        <v/>
      </c>
      <c r="O2672" s="86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772"/>
    </row>
    <row r="2673" spans="1:27" s="906" customFormat="1" ht="15.75" customHeight="1">
      <c r="A2673" s="203" t="str">
        <f>IF(B2673&lt;&gt;"",IF(AND(B2673&gt;=_TM1,B2673&lt;=_TM2,OR(TH!L2673="1111",TH!M2673="1111")),TH!D2673,""),"")</f>
        <v/>
      </c>
      <c r="B2673" s="898">
        <f t="shared" si="29"/>
        <v>1</v>
      </c>
      <c r="C2673" s="899">
        <f t="shared" si="30"/>
        <v>42018</v>
      </c>
      <c r="D2673" s="900" t="s">
        <v>2013</v>
      </c>
      <c r="E2673" s="908">
        <v>42018</v>
      </c>
      <c r="F2673" s="907" t="s">
        <v>414</v>
      </c>
      <c r="G2673" s="902" t="s">
        <v>415</v>
      </c>
      <c r="H2673" s="913" t="s">
        <v>2014</v>
      </c>
      <c r="I2673" s="253">
        <v>27</v>
      </c>
      <c r="J2673" s="253">
        <v>24496.85185185185</v>
      </c>
      <c r="K2673" s="904">
        <f t="shared" si="34"/>
        <v>661415</v>
      </c>
      <c r="L2673" s="869" t="s">
        <v>167</v>
      </c>
      <c r="M2673" s="869" t="s">
        <v>165</v>
      </c>
      <c r="N2673" s="52" t="str">
        <f>IF(AND('331-CT'!$E$7=TH!H2673,OR(L2673="331",M2673="331")),"331",IF(AND(OR(L2673="131",M2673="131"),H2673='131-CT'!$E$7),"131",""))</f>
        <v/>
      </c>
      <c r="O2673" s="86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772"/>
    </row>
    <row r="2674" spans="1:27" s="906" customFormat="1" ht="15.75" customHeight="1">
      <c r="A2674" s="203" t="str">
        <f>IF(B2674&lt;&gt;"",IF(AND(B2674&gt;=_TM1,B2674&lt;=_TM2,OR(TH!L2674="1111",TH!M2674="1111")),TH!D2674,""),"")</f>
        <v/>
      </c>
      <c r="B2674" s="898">
        <f t="shared" si="29"/>
        <v>1</v>
      </c>
      <c r="C2674" s="899">
        <f t="shared" si="30"/>
        <v>42018</v>
      </c>
      <c r="D2674" s="900" t="s">
        <v>2013</v>
      </c>
      <c r="E2674" s="908">
        <v>42018</v>
      </c>
      <c r="F2674" s="907" t="s">
        <v>417</v>
      </c>
      <c r="G2674" s="902" t="s">
        <v>415</v>
      </c>
      <c r="H2674" s="913" t="s">
        <v>2014</v>
      </c>
      <c r="I2674" s="253">
        <v>67</v>
      </c>
      <c r="J2674" s="253">
        <v>20193.358208955226</v>
      </c>
      <c r="K2674" s="904">
        <f t="shared" si="34"/>
        <v>1352955</v>
      </c>
      <c r="L2674" s="869" t="s">
        <v>167</v>
      </c>
      <c r="M2674" s="869" t="s">
        <v>165</v>
      </c>
      <c r="N2674" s="52" t="str">
        <f>IF(AND('331-CT'!$E$7=TH!H2674,OR(L2674="331",M2674="331")),"331",IF(AND(OR(L2674="131",M2674="131"),H2674='131-CT'!$E$7),"131",""))</f>
        <v/>
      </c>
      <c r="O2674" s="86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772"/>
    </row>
    <row r="2675" spans="1:27" s="906" customFormat="1" ht="15.75" customHeight="1">
      <c r="A2675" s="203" t="str">
        <f>IF(B2675&lt;&gt;"",IF(AND(B2675&gt;=_TM1,B2675&lt;=_TM2,OR(TH!L2675="1111",TH!M2675="1111")),TH!D2675,""),"")</f>
        <v/>
      </c>
      <c r="B2675" s="898">
        <f t="shared" si="29"/>
        <v>1</v>
      </c>
      <c r="C2675" s="899">
        <f t="shared" si="30"/>
        <v>42018</v>
      </c>
      <c r="D2675" s="900" t="s">
        <v>2013</v>
      </c>
      <c r="E2675" s="908">
        <v>42018</v>
      </c>
      <c r="F2675" s="907" t="s">
        <v>418</v>
      </c>
      <c r="G2675" s="902" t="s">
        <v>415</v>
      </c>
      <c r="H2675" s="913" t="s">
        <v>2014</v>
      </c>
      <c r="I2675" s="253">
        <v>85</v>
      </c>
      <c r="J2675" s="253">
        <v>14317.423529411764</v>
      </c>
      <c r="K2675" s="904">
        <f t="shared" si="34"/>
        <v>1216981</v>
      </c>
      <c r="L2675" s="869" t="s">
        <v>167</v>
      </c>
      <c r="M2675" s="869" t="s">
        <v>165</v>
      </c>
      <c r="N2675" s="52" t="str">
        <f>IF(AND('331-CT'!$E$7=TH!H2675,OR(L2675="331",M2675="331")),"331",IF(AND(OR(L2675="131",M2675="131"),H2675='131-CT'!$E$7),"131",""))</f>
        <v/>
      </c>
      <c r="O2675" s="86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772"/>
    </row>
    <row r="2676" spans="1:27" s="906" customFormat="1" ht="15.75" customHeight="1">
      <c r="A2676" s="203" t="str">
        <f>IF(B2676&lt;&gt;"",IF(AND(B2676&gt;=_TM1,B2676&lt;=_TM2,OR(TH!L2676="1111",TH!M2676="1111")),TH!D2676,""),"")</f>
        <v/>
      </c>
      <c r="B2676" s="898">
        <f t="shared" si="29"/>
        <v>1</v>
      </c>
      <c r="C2676" s="899">
        <f t="shared" si="30"/>
        <v>42018</v>
      </c>
      <c r="D2676" s="900" t="s">
        <v>2013</v>
      </c>
      <c r="E2676" s="908">
        <v>42018</v>
      </c>
      <c r="F2676" s="907" t="s">
        <v>419</v>
      </c>
      <c r="G2676" s="902" t="s">
        <v>415</v>
      </c>
      <c r="H2676" s="913" t="s">
        <v>2014</v>
      </c>
      <c r="I2676" s="253">
        <v>572</v>
      </c>
      <c r="J2676" s="253">
        <v>7862.1748251748249</v>
      </c>
      <c r="K2676" s="904">
        <f t="shared" si="34"/>
        <v>4497164</v>
      </c>
      <c r="L2676" s="869" t="s">
        <v>167</v>
      </c>
      <c r="M2676" s="869" t="s">
        <v>165</v>
      </c>
      <c r="N2676" s="52" t="str">
        <f>IF(AND('331-CT'!$E$7=TH!H2676,OR(L2676="331",M2676="331")),"331",IF(AND(OR(L2676="131",M2676="131"),H2676='131-CT'!$E$7),"131",""))</f>
        <v/>
      </c>
      <c r="O2676" s="86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772"/>
    </row>
    <row r="2677" spans="1:27" s="906" customFormat="1" ht="15.75" customHeight="1">
      <c r="A2677" s="203" t="str">
        <f>IF(B2677&lt;&gt;"",IF(AND(B2677&gt;=_TM1,B2677&lt;=_TM2,OR(TH!L2677="1111",TH!M2677="1111")),TH!D2677,""),"")</f>
        <v/>
      </c>
      <c r="B2677" s="898">
        <f t="shared" si="29"/>
        <v>1</v>
      </c>
      <c r="C2677" s="899">
        <f t="shared" si="30"/>
        <v>42018</v>
      </c>
      <c r="D2677" s="900" t="s">
        <v>2013</v>
      </c>
      <c r="E2677" s="908">
        <v>42018</v>
      </c>
      <c r="F2677" s="907" t="s">
        <v>1652</v>
      </c>
      <c r="G2677" s="902" t="s">
        <v>415</v>
      </c>
      <c r="H2677" s="913" t="s">
        <v>2014</v>
      </c>
      <c r="I2677" s="253">
        <v>358</v>
      </c>
      <c r="J2677" s="253">
        <v>1241.3938547486034</v>
      </c>
      <c r="K2677" s="904">
        <f t="shared" si="34"/>
        <v>444419</v>
      </c>
      <c r="L2677" s="869" t="s">
        <v>167</v>
      </c>
      <c r="M2677" s="869" t="s">
        <v>165</v>
      </c>
      <c r="N2677" s="52" t="str">
        <f>IF(AND('331-CT'!$E$7=TH!H2677,OR(L2677="331",M2677="331")),"331",IF(AND(OR(L2677="131",M2677="131"),H2677='131-CT'!$E$7),"131",""))</f>
        <v/>
      </c>
      <c r="O2677" s="86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772"/>
    </row>
    <row r="2678" spans="1:27" s="906" customFormat="1" ht="15.75" customHeight="1">
      <c r="A2678" s="203" t="str">
        <f>IF(B2678&lt;&gt;"",IF(AND(B2678&gt;=_TM1,B2678&lt;=_TM2,OR(TH!L2678="1111",TH!M2678="1111")),TH!D2678,""),"")</f>
        <v/>
      </c>
      <c r="B2678" s="898">
        <f t="shared" ref="B2678:B2741" si="35">IF(C2678&lt;&gt;"",MONTH(C2678),"")</f>
        <v>1</v>
      </c>
      <c r="C2678" s="899">
        <f t="shared" si="30"/>
        <v>42018</v>
      </c>
      <c r="D2678" s="900" t="s">
        <v>2013</v>
      </c>
      <c r="E2678" s="908">
        <v>42018</v>
      </c>
      <c r="F2678" s="907" t="s">
        <v>1653</v>
      </c>
      <c r="G2678" s="902" t="s">
        <v>415</v>
      </c>
      <c r="H2678" s="913" t="s">
        <v>2014</v>
      </c>
      <c r="I2678" s="253">
        <v>1144</v>
      </c>
      <c r="J2678" s="253">
        <v>910.3566433566433</v>
      </c>
      <c r="K2678" s="904">
        <f t="shared" si="34"/>
        <v>1041448</v>
      </c>
      <c r="L2678" s="869" t="s">
        <v>167</v>
      </c>
      <c r="M2678" s="869" t="s">
        <v>165</v>
      </c>
      <c r="N2678" s="52" t="str">
        <f>IF(AND('331-CT'!$E$7=TH!H2678,OR(L2678="331",M2678="331")),"331",IF(AND(OR(L2678="131",M2678="131"),H2678='131-CT'!$E$7),"131",""))</f>
        <v/>
      </c>
      <c r="O2678" s="86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772"/>
    </row>
    <row r="2679" spans="1:27" s="906" customFormat="1" ht="15.75" customHeight="1">
      <c r="A2679" s="203" t="str">
        <f>IF(B2679&lt;&gt;"",IF(AND(B2679&gt;=_TM1,B2679&lt;=_TM2,OR(TH!L2679="1111",TH!M2679="1111")),TH!D2679,""),"")</f>
        <v/>
      </c>
      <c r="B2679" s="898">
        <f t="shared" si="35"/>
        <v>1</v>
      </c>
      <c r="C2679" s="899">
        <f t="shared" si="30"/>
        <v>42024</v>
      </c>
      <c r="D2679" s="900" t="s">
        <v>2013</v>
      </c>
      <c r="E2679" s="908">
        <v>42024</v>
      </c>
      <c r="F2679" s="907" t="s">
        <v>420</v>
      </c>
      <c r="G2679" s="902" t="s">
        <v>421</v>
      </c>
      <c r="H2679" s="913" t="s">
        <v>2014</v>
      </c>
      <c r="I2679" s="253">
        <v>220</v>
      </c>
      <c r="J2679" s="253">
        <v>9931.1636363636371</v>
      </c>
      <c r="K2679" s="904">
        <f t="shared" si="34"/>
        <v>2184856</v>
      </c>
      <c r="L2679" s="869" t="s">
        <v>167</v>
      </c>
      <c r="M2679" s="869" t="s">
        <v>165</v>
      </c>
      <c r="N2679" s="52" t="str">
        <f>IF(AND('331-CT'!$E$7=TH!H2679,OR(L2679="331",M2679="331")),"331",IF(AND(OR(L2679="131",M2679="131"),H2679='131-CT'!$E$7),"131",""))</f>
        <v/>
      </c>
      <c r="O2679" s="86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772"/>
    </row>
    <row r="2680" spans="1:27" s="906" customFormat="1" ht="15.75" customHeight="1">
      <c r="A2680" s="203" t="str">
        <f>IF(B2680&lt;&gt;"",IF(AND(B2680&gt;=_TM1,B2680&lt;=_TM2,OR(TH!L2680="1111",TH!M2680="1111")),TH!D2680,""),"")</f>
        <v/>
      </c>
      <c r="B2680" s="898">
        <f t="shared" si="35"/>
        <v>1</v>
      </c>
      <c r="C2680" s="899">
        <f t="shared" si="30"/>
        <v>42024</v>
      </c>
      <c r="D2680" s="900" t="s">
        <v>2013</v>
      </c>
      <c r="E2680" s="908">
        <v>42024</v>
      </c>
      <c r="F2680" s="907" t="s">
        <v>405</v>
      </c>
      <c r="G2680" s="902" t="s">
        <v>423</v>
      </c>
      <c r="H2680" s="913" t="s">
        <v>2014</v>
      </c>
      <c r="I2680" s="253">
        <v>455</v>
      </c>
      <c r="J2680" s="253">
        <v>10344.967032967033</v>
      </c>
      <c r="K2680" s="904">
        <f t="shared" si="34"/>
        <v>4706960</v>
      </c>
      <c r="L2680" s="869" t="s">
        <v>167</v>
      </c>
      <c r="M2680" s="869" t="s">
        <v>165</v>
      </c>
      <c r="N2680" s="52" t="str">
        <f>IF(AND('331-CT'!$E$7=TH!H2680,OR(L2680="331",M2680="331")),"331",IF(AND(OR(L2680="131",M2680="131"),H2680='131-CT'!$E$7),"131",""))</f>
        <v/>
      </c>
      <c r="O2680" s="86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772"/>
    </row>
    <row r="2681" spans="1:27" s="906" customFormat="1" ht="15.75" customHeight="1">
      <c r="A2681" s="203" t="str">
        <f>IF(B2681&lt;&gt;"",IF(AND(B2681&gt;=_TM1,B2681&lt;=_TM2,OR(TH!L2681="1111",TH!M2681="1111")),TH!D2681,""),"")</f>
        <v/>
      </c>
      <c r="B2681" s="898">
        <f t="shared" si="35"/>
        <v>1</v>
      </c>
      <c r="C2681" s="899">
        <f t="shared" si="30"/>
        <v>42024</v>
      </c>
      <c r="D2681" s="900" t="s">
        <v>2013</v>
      </c>
      <c r="E2681" s="908">
        <v>42024</v>
      </c>
      <c r="F2681" s="907" t="s">
        <v>408</v>
      </c>
      <c r="G2681" s="902" t="s">
        <v>423</v>
      </c>
      <c r="H2681" s="913" t="s">
        <v>2014</v>
      </c>
      <c r="I2681" s="253">
        <v>51</v>
      </c>
      <c r="J2681" s="253">
        <v>9434.5882352941171</v>
      </c>
      <c r="K2681" s="904">
        <f t="shared" si="34"/>
        <v>481164</v>
      </c>
      <c r="L2681" s="869" t="s">
        <v>167</v>
      </c>
      <c r="M2681" s="869" t="s">
        <v>165</v>
      </c>
      <c r="N2681" s="52" t="str">
        <f>IF(AND('331-CT'!$E$7=TH!H2681,OR(L2681="331",M2681="331")),"331",IF(AND(OR(L2681="131",M2681="131"),H2681='131-CT'!$E$7),"131",""))</f>
        <v/>
      </c>
      <c r="O2681" s="86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772"/>
    </row>
    <row r="2682" spans="1:27" s="906" customFormat="1" ht="15.75" customHeight="1">
      <c r="A2682" s="203" t="str">
        <f>IF(B2682&lt;&gt;"",IF(AND(B2682&gt;=_TM1,B2682&lt;=_TM2,OR(TH!L2682="1111",TH!M2682="1111")),TH!D2682,""),"")</f>
        <v/>
      </c>
      <c r="B2682" s="898">
        <f t="shared" si="35"/>
        <v>1</v>
      </c>
      <c r="C2682" s="899">
        <f t="shared" si="30"/>
        <v>42024</v>
      </c>
      <c r="D2682" s="900" t="s">
        <v>2013</v>
      </c>
      <c r="E2682" s="908">
        <v>42024</v>
      </c>
      <c r="F2682" s="907" t="s">
        <v>424</v>
      </c>
      <c r="G2682" s="902" t="s">
        <v>425</v>
      </c>
      <c r="H2682" s="913" t="s">
        <v>2014</v>
      </c>
      <c r="I2682" s="253">
        <v>1934</v>
      </c>
      <c r="J2682" s="253">
        <v>8689.773009307135</v>
      </c>
      <c r="K2682" s="904">
        <f t="shared" si="34"/>
        <v>16806021</v>
      </c>
      <c r="L2682" s="869" t="s">
        <v>167</v>
      </c>
      <c r="M2682" s="869" t="s">
        <v>165</v>
      </c>
      <c r="N2682" s="52" t="str">
        <f>IF(AND('331-CT'!$E$7=TH!H2682,OR(L2682="331",M2682="331")),"331",IF(AND(OR(L2682="131",M2682="131"),H2682='131-CT'!$E$7),"131",""))</f>
        <v/>
      </c>
      <c r="O2682" s="86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772"/>
    </row>
    <row r="2683" spans="1:27" s="906" customFormat="1" ht="15.75" customHeight="1">
      <c r="A2683" s="203" t="str">
        <f>IF(B2683&lt;&gt;"",IF(AND(B2683&gt;=_TM1,B2683&lt;=_TM2,OR(TH!L2683="1111",TH!M2683="1111")),TH!D2683,""),"")</f>
        <v/>
      </c>
      <c r="B2683" s="898">
        <f t="shared" si="35"/>
        <v>1</v>
      </c>
      <c r="C2683" s="899">
        <f t="shared" si="30"/>
        <v>42025</v>
      </c>
      <c r="D2683" s="900" t="s">
        <v>2013</v>
      </c>
      <c r="E2683" s="908">
        <v>42025</v>
      </c>
      <c r="F2683" s="907" t="s">
        <v>426</v>
      </c>
      <c r="G2683" s="902" t="s">
        <v>427</v>
      </c>
      <c r="H2683" s="913" t="s">
        <v>2014</v>
      </c>
      <c r="I2683" s="253">
        <v>105</v>
      </c>
      <c r="J2683" s="253">
        <v>12082.914285714285</v>
      </c>
      <c r="K2683" s="904">
        <f t="shared" si="34"/>
        <v>1268706</v>
      </c>
      <c r="L2683" s="869" t="s">
        <v>167</v>
      </c>
      <c r="M2683" s="869" t="s">
        <v>165</v>
      </c>
      <c r="N2683" s="52" t="str">
        <f>IF(AND('331-CT'!$E$7=TH!H2683,OR(L2683="331",M2683="331")),"331",IF(AND(OR(L2683="131",M2683="131"),H2683='131-CT'!$E$7),"131",""))</f>
        <v/>
      </c>
      <c r="O2683" s="86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772"/>
    </row>
    <row r="2684" spans="1:27" s="906" customFormat="1" ht="15.75" customHeight="1">
      <c r="A2684" s="203" t="str">
        <f>IF(B2684&lt;&gt;"",IF(AND(B2684&gt;=_TM1,B2684&lt;=_TM2,OR(TH!L2684="1111",TH!M2684="1111")),TH!D2684,""),"")</f>
        <v/>
      </c>
      <c r="B2684" s="898">
        <f t="shared" si="35"/>
        <v>1</v>
      </c>
      <c r="C2684" s="899">
        <f t="shared" si="30"/>
        <v>42025</v>
      </c>
      <c r="D2684" s="900" t="s">
        <v>2013</v>
      </c>
      <c r="E2684" s="908">
        <v>42025</v>
      </c>
      <c r="F2684" s="907" t="s">
        <v>428</v>
      </c>
      <c r="G2684" s="902" t="s">
        <v>427</v>
      </c>
      <c r="H2684" s="913" t="s">
        <v>2014</v>
      </c>
      <c r="I2684" s="253">
        <v>32</v>
      </c>
      <c r="J2684" s="253">
        <v>10179.40625</v>
      </c>
      <c r="K2684" s="904">
        <f t="shared" si="34"/>
        <v>325741</v>
      </c>
      <c r="L2684" s="869" t="s">
        <v>167</v>
      </c>
      <c r="M2684" s="869" t="s">
        <v>165</v>
      </c>
      <c r="N2684" s="52" t="str">
        <f>IF(AND('331-CT'!$E$7=TH!H2684,OR(L2684="331",M2684="331")),"331",IF(AND(OR(L2684="131",M2684="131"),H2684='131-CT'!$E$7),"131",""))</f>
        <v/>
      </c>
      <c r="O2684" s="86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772"/>
    </row>
    <row r="2685" spans="1:27" s="906" customFormat="1" ht="15.75" customHeight="1">
      <c r="A2685" s="203" t="str">
        <f>IF(B2685&lt;&gt;"",IF(AND(B2685&gt;=_TM1,B2685&lt;=_TM2,OR(TH!L2685="1111",TH!M2685="1111")),TH!D2685,""),"")</f>
        <v/>
      </c>
      <c r="B2685" s="898">
        <f t="shared" si="35"/>
        <v>1</v>
      </c>
      <c r="C2685" s="899">
        <f t="shared" si="30"/>
        <v>42025</v>
      </c>
      <c r="D2685" s="900" t="s">
        <v>2013</v>
      </c>
      <c r="E2685" s="908">
        <v>42025</v>
      </c>
      <c r="F2685" s="907" t="s">
        <v>405</v>
      </c>
      <c r="G2685" s="902" t="s">
        <v>427</v>
      </c>
      <c r="H2685" s="913" t="s">
        <v>2014</v>
      </c>
      <c r="I2685" s="253">
        <v>102</v>
      </c>
      <c r="J2685" s="253">
        <v>10344.970588235294</v>
      </c>
      <c r="K2685" s="904">
        <f t="shared" si="34"/>
        <v>1055187</v>
      </c>
      <c r="L2685" s="869" t="s">
        <v>167</v>
      </c>
      <c r="M2685" s="869" t="s">
        <v>165</v>
      </c>
      <c r="N2685" s="52" t="str">
        <f>IF(AND('331-CT'!$E$7=TH!H2685,OR(L2685="331",M2685="331")),"331",IF(AND(OR(L2685="131",M2685="131"),H2685='131-CT'!$E$7),"131",""))</f>
        <v/>
      </c>
      <c r="O2685" s="86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772"/>
    </row>
    <row r="2686" spans="1:27" s="906" customFormat="1" ht="15.75" customHeight="1">
      <c r="A2686" s="203" t="str">
        <f>IF(B2686&lt;&gt;"",IF(AND(B2686&gt;=_TM1,B2686&lt;=_TM2,OR(TH!L2686="1111",TH!M2686="1111")),TH!D2686,""),"")</f>
        <v/>
      </c>
      <c r="B2686" s="898">
        <f t="shared" si="35"/>
        <v>1</v>
      </c>
      <c r="C2686" s="899">
        <f t="shared" si="30"/>
        <v>42025</v>
      </c>
      <c r="D2686" s="900" t="s">
        <v>2013</v>
      </c>
      <c r="E2686" s="908">
        <v>42025</v>
      </c>
      <c r="F2686" s="907" t="s">
        <v>429</v>
      </c>
      <c r="G2686" s="902" t="s">
        <v>427</v>
      </c>
      <c r="H2686" s="913" t="s">
        <v>2014</v>
      </c>
      <c r="I2686" s="253">
        <v>102</v>
      </c>
      <c r="J2686" s="253">
        <v>11089.806029311092</v>
      </c>
      <c r="K2686" s="904">
        <f t="shared" si="34"/>
        <v>1131160</v>
      </c>
      <c r="L2686" s="869" t="s">
        <v>167</v>
      </c>
      <c r="M2686" s="869" t="s">
        <v>165</v>
      </c>
      <c r="N2686" s="52" t="str">
        <f>IF(AND('331-CT'!$E$7=TH!H2686,OR(L2686="331",M2686="331")),"331",IF(AND(OR(L2686="131",M2686="131"),H2686='131-CT'!$E$7),"131",""))</f>
        <v/>
      </c>
      <c r="O2686" s="86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772"/>
    </row>
    <row r="2687" spans="1:27" s="906" customFormat="1" ht="15.75" customHeight="1">
      <c r="A2687" s="203" t="str">
        <f>IF(B2687&lt;&gt;"",IF(AND(B2687&gt;=_TM1,B2687&lt;=_TM2,OR(TH!L2687="1111",TH!M2687="1111")),TH!D2687,""),"")</f>
        <v/>
      </c>
      <c r="B2687" s="898">
        <f t="shared" si="35"/>
        <v>1</v>
      </c>
      <c r="C2687" s="899">
        <f t="shared" si="30"/>
        <v>42025</v>
      </c>
      <c r="D2687" s="900" t="s">
        <v>2013</v>
      </c>
      <c r="E2687" s="908">
        <v>42025</v>
      </c>
      <c r="F2687" s="907" t="s">
        <v>430</v>
      </c>
      <c r="G2687" s="902" t="s">
        <v>427</v>
      </c>
      <c r="H2687" s="913" t="s">
        <v>2014</v>
      </c>
      <c r="I2687" s="253">
        <v>40</v>
      </c>
      <c r="J2687" s="253">
        <v>7365.6174373782624</v>
      </c>
      <c r="K2687" s="904">
        <f t="shared" si="34"/>
        <v>294625</v>
      </c>
      <c r="L2687" s="869" t="s">
        <v>167</v>
      </c>
      <c r="M2687" s="869" t="s">
        <v>165</v>
      </c>
      <c r="N2687" s="52" t="str">
        <f>IF(AND('331-CT'!$E$7=TH!H2687,OR(L2687="331",M2687="331")),"331",IF(AND(OR(L2687="131",M2687="131"),H2687='131-CT'!$E$7),"131",""))</f>
        <v/>
      </c>
      <c r="O2687" s="86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772"/>
    </row>
    <row r="2688" spans="1:27" s="906" customFormat="1" ht="15.75" customHeight="1">
      <c r="A2688" s="203" t="str">
        <f>IF(B2688&lt;&gt;"",IF(AND(B2688&gt;=_TM1,B2688&lt;=_TM2,OR(TH!L2688="1111",TH!M2688="1111")),TH!D2688,""),"")</f>
        <v/>
      </c>
      <c r="B2688" s="898">
        <f t="shared" si="35"/>
        <v>1</v>
      </c>
      <c r="C2688" s="899">
        <f t="shared" si="30"/>
        <v>42025</v>
      </c>
      <c r="D2688" s="900" t="s">
        <v>2013</v>
      </c>
      <c r="E2688" s="908">
        <v>42025</v>
      </c>
      <c r="F2688" s="49" t="s">
        <v>424</v>
      </c>
      <c r="G2688" s="49" t="s">
        <v>427</v>
      </c>
      <c r="H2688" s="913" t="s">
        <v>2014</v>
      </c>
      <c r="I2688" s="253">
        <v>298</v>
      </c>
      <c r="J2688" s="253">
        <v>8689.7733811766011</v>
      </c>
      <c r="K2688" s="904">
        <f t="shared" si="34"/>
        <v>2589552</v>
      </c>
      <c r="L2688" s="869" t="s">
        <v>167</v>
      </c>
      <c r="M2688" s="869" t="s">
        <v>165</v>
      </c>
      <c r="N2688" s="52" t="str">
        <f>IF(AND('331-CT'!$E$7=TH!H2688,OR(L2688="331",M2688="331")),"331",IF(AND(OR(L2688="131",M2688="131"),H2688='131-CT'!$E$7),"131",""))</f>
        <v/>
      </c>
      <c r="O2688" s="86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772"/>
    </row>
    <row r="2689" spans="1:27" s="906" customFormat="1" ht="15.75" customHeight="1">
      <c r="A2689" s="203" t="str">
        <f>IF(B2689&lt;&gt;"",IF(AND(B2689&gt;=_TM1,B2689&lt;=_TM2,OR(TH!L2689="1111",TH!M2689="1111")),TH!D2689,""),"")</f>
        <v/>
      </c>
      <c r="B2689" s="898">
        <f t="shared" si="35"/>
        <v>1</v>
      </c>
      <c r="C2689" s="899">
        <f t="shared" si="30"/>
        <v>42025</v>
      </c>
      <c r="D2689" s="900" t="s">
        <v>2013</v>
      </c>
      <c r="E2689" s="908">
        <v>42025</v>
      </c>
      <c r="F2689" s="911" t="s">
        <v>431</v>
      </c>
      <c r="G2689" s="49" t="s">
        <v>427</v>
      </c>
      <c r="H2689" s="913" t="s">
        <v>2014</v>
      </c>
      <c r="I2689" s="253">
        <v>51</v>
      </c>
      <c r="J2689" s="253">
        <v>8772.533127663999</v>
      </c>
      <c r="K2689" s="904">
        <f t="shared" si="34"/>
        <v>447399</v>
      </c>
      <c r="L2689" s="869" t="s">
        <v>167</v>
      </c>
      <c r="M2689" s="869" t="s">
        <v>165</v>
      </c>
      <c r="N2689" s="52" t="str">
        <f>IF(AND('331-CT'!$E$7=TH!H2689,OR(L2689="331",M2689="331")),"331",IF(AND(OR(L2689="131",M2689="131"),H2689='131-CT'!$E$7),"131",""))</f>
        <v/>
      </c>
      <c r="O2689" s="86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772"/>
    </row>
    <row r="2690" spans="1:27" s="906" customFormat="1" ht="15.75" customHeight="1">
      <c r="A2690" s="203" t="str">
        <f>IF(B2690&lt;&gt;"",IF(AND(B2690&gt;=_TM1,B2690&lt;=_TM2,OR(TH!L2690="1111",TH!M2690="1111")),TH!D2690,""),"")</f>
        <v/>
      </c>
      <c r="B2690" s="898">
        <f t="shared" si="35"/>
        <v>1</v>
      </c>
      <c r="C2690" s="899">
        <f t="shared" si="30"/>
        <v>42025</v>
      </c>
      <c r="D2690" s="900" t="s">
        <v>2013</v>
      </c>
      <c r="E2690" s="908">
        <v>42025</v>
      </c>
      <c r="F2690" s="49" t="s">
        <v>432</v>
      </c>
      <c r="G2690" s="49" t="s">
        <v>427</v>
      </c>
      <c r="H2690" s="913" t="s">
        <v>2014</v>
      </c>
      <c r="I2690" s="253">
        <v>380</v>
      </c>
      <c r="J2690" s="253">
        <v>10924.2865363363</v>
      </c>
      <c r="K2690" s="904">
        <f t="shared" si="34"/>
        <v>4151229</v>
      </c>
      <c r="L2690" s="869" t="s">
        <v>167</v>
      </c>
      <c r="M2690" s="869" t="s">
        <v>165</v>
      </c>
      <c r="N2690" s="52" t="str">
        <f>IF(AND('331-CT'!$E$7=TH!H2690,OR(L2690="331",M2690="331")),"331",IF(AND(OR(L2690="131",M2690="131"),H2690='131-CT'!$E$7),"131",""))</f>
        <v/>
      </c>
      <c r="O2690" s="86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772"/>
    </row>
    <row r="2691" spans="1:27" s="906" customFormat="1" ht="15.75" customHeight="1">
      <c r="A2691" s="203" t="str">
        <f>IF(B2691&lt;&gt;"",IF(AND(B2691&gt;=_TM1,B2691&lt;=_TM2,OR(TH!L2691="1111",TH!M2691="1111")),TH!D2691,""),"")</f>
        <v/>
      </c>
      <c r="B2691" s="898">
        <f t="shared" si="35"/>
        <v>1</v>
      </c>
      <c r="C2691" s="899">
        <f t="shared" si="30"/>
        <v>42026</v>
      </c>
      <c r="D2691" s="900" t="s">
        <v>2013</v>
      </c>
      <c r="E2691" s="908">
        <v>42026</v>
      </c>
      <c r="F2691" s="49" t="s">
        <v>433</v>
      </c>
      <c r="G2691" s="49" t="s">
        <v>434</v>
      </c>
      <c r="H2691" s="913" t="s">
        <v>2014</v>
      </c>
      <c r="I2691" s="253">
        <v>733</v>
      </c>
      <c r="J2691" s="253">
        <v>9517.3708460505622</v>
      </c>
      <c r="K2691" s="904">
        <f t="shared" si="34"/>
        <v>6976233</v>
      </c>
      <c r="L2691" s="869" t="s">
        <v>167</v>
      </c>
      <c r="M2691" s="869" t="s">
        <v>165</v>
      </c>
      <c r="N2691" s="52" t="str">
        <f>IF(AND('331-CT'!$E$7=TH!H2691,OR(L2691="331",M2691="331")),"331",IF(AND(OR(L2691="131",M2691="131"),H2691='131-CT'!$E$7),"131",""))</f>
        <v/>
      </c>
      <c r="O2691" s="86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772"/>
    </row>
    <row r="2692" spans="1:27" s="906" customFormat="1" ht="15.75" customHeight="1">
      <c r="A2692" s="203" t="str">
        <f>IF(B2692&lt;&gt;"",IF(AND(B2692&gt;=_TM1,B2692&lt;=_TM2,OR(TH!L2692="1111",TH!M2692="1111")),TH!D2692,""),"")</f>
        <v/>
      </c>
      <c r="B2692" s="898">
        <f t="shared" si="35"/>
        <v>1</v>
      </c>
      <c r="C2692" s="899">
        <f t="shared" si="30"/>
        <v>42026</v>
      </c>
      <c r="D2692" s="900" t="s">
        <v>2013</v>
      </c>
      <c r="E2692" s="908">
        <v>42026</v>
      </c>
      <c r="F2692" s="49" t="s">
        <v>436</v>
      </c>
      <c r="G2692" s="49" t="s">
        <v>437</v>
      </c>
      <c r="H2692" s="913" t="s">
        <v>2014</v>
      </c>
      <c r="I2692" s="253">
        <v>120</v>
      </c>
      <c r="J2692" s="253">
        <v>7282.8576908908663</v>
      </c>
      <c r="K2692" s="904">
        <f t="shared" si="34"/>
        <v>873943</v>
      </c>
      <c r="L2692" s="869" t="s">
        <v>167</v>
      </c>
      <c r="M2692" s="869" t="s">
        <v>165</v>
      </c>
      <c r="N2692" s="52" t="str">
        <f>IF(AND('331-CT'!$E$7=TH!H2692,OR(L2692="331",M2692="331")),"331",IF(AND(OR(L2692="131",M2692="131"),H2692='131-CT'!$E$7),"131",""))</f>
        <v/>
      </c>
      <c r="O2692" s="86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772"/>
    </row>
    <row r="2693" spans="1:27" s="906" customFormat="1" ht="15.75" customHeight="1">
      <c r="A2693" s="203" t="str">
        <f>IF(B2693&lt;&gt;"",IF(AND(B2693&gt;=_TM1,B2693&lt;=_TM2,OR(TH!L2693="1111",TH!M2693="1111")),TH!D2693,""),"")</f>
        <v/>
      </c>
      <c r="B2693" s="898">
        <f t="shared" si="35"/>
        <v>1</v>
      </c>
      <c r="C2693" s="899">
        <f t="shared" si="30"/>
        <v>42026</v>
      </c>
      <c r="D2693" s="900" t="s">
        <v>2013</v>
      </c>
      <c r="E2693" s="908">
        <v>42026</v>
      </c>
      <c r="F2693" s="49" t="s">
        <v>439</v>
      </c>
      <c r="G2693" s="49" t="s">
        <v>437</v>
      </c>
      <c r="H2693" s="913" t="s">
        <v>2014</v>
      </c>
      <c r="I2693" s="253">
        <v>499</v>
      </c>
      <c r="J2693" s="253">
        <v>5296.6237751933577</v>
      </c>
      <c r="K2693" s="904">
        <f t="shared" si="34"/>
        <v>2643015</v>
      </c>
      <c r="L2693" s="869" t="s">
        <v>167</v>
      </c>
      <c r="M2693" s="869" t="s">
        <v>165</v>
      </c>
      <c r="N2693" s="52" t="str">
        <f>IF(AND('331-CT'!$E$7=TH!H2693,OR(L2693="331",M2693="331")),"331",IF(AND(OR(L2693="131",M2693="131"),H2693='131-CT'!$E$7),"131",""))</f>
        <v/>
      </c>
      <c r="O2693" s="86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772"/>
    </row>
    <row r="2694" spans="1:27" s="906" customFormat="1" ht="15.75" customHeight="1">
      <c r="A2694" s="203" t="str">
        <f>IF(B2694&lt;&gt;"",IF(AND(B2694&gt;=_TM1,B2694&lt;=_TM2,OR(TH!L2694="1111",TH!M2694="1111")),TH!D2694,""),"")</f>
        <v/>
      </c>
      <c r="B2694" s="898">
        <f t="shared" si="35"/>
        <v>1</v>
      </c>
      <c r="C2694" s="899">
        <f t="shared" si="30"/>
        <v>42026</v>
      </c>
      <c r="D2694" s="900" t="s">
        <v>2013</v>
      </c>
      <c r="E2694" s="908">
        <v>42026</v>
      </c>
      <c r="F2694" s="49" t="s">
        <v>440</v>
      </c>
      <c r="G2694" s="49" t="s">
        <v>437</v>
      </c>
      <c r="H2694" s="913" t="s">
        <v>2014</v>
      </c>
      <c r="I2694" s="253">
        <v>295</v>
      </c>
      <c r="J2694" s="253">
        <v>3889.7080849076215</v>
      </c>
      <c r="K2694" s="904">
        <f t="shared" si="34"/>
        <v>1147464</v>
      </c>
      <c r="L2694" s="869" t="s">
        <v>167</v>
      </c>
      <c r="M2694" s="869" t="s">
        <v>165</v>
      </c>
      <c r="N2694" s="52" t="str">
        <f>IF(AND('331-CT'!$E$7=TH!H2694,OR(L2694="331",M2694="331")),"331",IF(AND(OR(L2694="131",M2694="131"),H2694='131-CT'!$E$7),"131",""))</f>
        <v/>
      </c>
      <c r="O2694" s="86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772"/>
    </row>
    <row r="2695" spans="1:27" s="906" customFormat="1" ht="15.75" customHeight="1">
      <c r="A2695" s="203" t="str">
        <f>IF(B2695&lt;&gt;"",IF(AND(B2695&gt;=_TM1,B2695&lt;=_TM2,OR(TH!L2695="1111",TH!M2695="1111")),TH!D2695,""),"")</f>
        <v/>
      </c>
      <c r="B2695" s="898">
        <f t="shared" si="35"/>
        <v>1</v>
      </c>
      <c r="C2695" s="899">
        <f t="shared" si="30"/>
        <v>42026</v>
      </c>
      <c r="D2695" s="900" t="s">
        <v>2013</v>
      </c>
      <c r="E2695" s="908">
        <v>42026</v>
      </c>
      <c r="F2695" s="49" t="s">
        <v>441</v>
      </c>
      <c r="G2695" s="49" t="s">
        <v>437</v>
      </c>
      <c r="H2695" s="913" t="s">
        <v>2014</v>
      </c>
      <c r="I2695" s="253">
        <v>1506</v>
      </c>
      <c r="J2695" s="253">
        <v>4220.7470708572064</v>
      </c>
      <c r="K2695" s="904">
        <f t="shared" si="34"/>
        <v>6356445</v>
      </c>
      <c r="L2695" s="869" t="s">
        <v>167</v>
      </c>
      <c r="M2695" s="869" t="s">
        <v>165</v>
      </c>
      <c r="N2695" s="52" t="str">
        <f>IF(AND('331-CT'!$E$7=TH!H2695,OR(L2695="331",M2695="331")),"331",IF(AND(OR(L2695="131",M2695="131"),H2695='131-CT'!$E$7),"131",""))</f>
        <v/>
      </c>
      <c r="O2695" s="86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772"/>
    </row>
    <row r="2696" spans="1:27" s="906" customFormat="1" ht="15.75" customHeight="1">
      <c r="A2696" s="203" t="str">
        <f>IF(B2696&lt;&gt;"",IF(AND(B2696&gt;=_TM1,B2696&lt;=_TM2,OR(TH!L2696="1111",TH!M2696="1111")),TH!D2696,""),"")</f>
        <v/>
      </c>
      <c r="B2696" s="898">
        <f t="shared" si="35"/>
        <v>1</v>
      </c>
      <c r="C2696" s="899">
        <f t="shared" si="30"/>
        <v>42026</v>
      </c>
      <c r="D2696" s="900" t="s">
        <v>2013</v>
      </c>
      <c r="E2696" s="908">
        <v>42026</v>
      </c>
      <c r="F2696" s="49" t="s">
        <v>442</v>
      </c>
      <c r="G2696" s="49" t="s">
        <v>443</v>
      </c>
      <c r="H2696" s="913" t="s">
        <v>2014</v>
      </c>
      <c r="I2696" s="253">
        <v>504</v>
      </c>
      <c r="J2696" s="253">
        <v>9682.8903390253563</v>
      </c>
      <c r="K2696" s="904">
        <f t="shared" si="34"/>
        <v>4880177</v>
      </c>
      <c r="L2696" s="869" t="s">
        <v>167</v>
      </c>
      <c r="M2696" s="869" t="s">
        <v>165</v>
      </c>
      <c r="N2696" s="52" t="str">
        <f>IF(AND('331-CT'!$E$7=TH!H2696,OR(L2696="331",M2696="331")),"331",IF(AND(OR(L2696="131",M2696="131"),H2696='131-CT'!$E$7),"131",""))</f>
        <v/>
      </c>
      <c r="O2696" s="86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772"/>
    </row>
    <row r="2697" spans="1:27" s="906" customFormat="1" ht="15.75" customHeight="1">
      <c r="A2697" s="203" t="str">
        <f>IF(B2697&lt;&gt;"",IF(AND(B2697&gt;=_TM1,B2697&lt;=_TM2,OR(TH!L2697="1111",TH!M2697="1111")),TH!D2697,""),"")</f>
        <v/>
      </c>
      <c r="B2697" s="898">
        <f t="shared" si="35"/>
        <v>1</v>
      </c>
      <c r="C2697" s="899">
        <f t="shared" si="30"/>
        <v>42028</v>
      </c>
      <c r="D2697" s="900" t="s">
        <v>2013</v>
      </c>
      <c r="E2697" s="908">
        <v>42028</v>
      </c>
      <c r="F2697" s="49" t="s">
        <v>398</v>
      </c>
      <c r="G2697" s="49" t="s">
        <v>445</v>
      </c>
      <c r="H2697" s="913" t="s">
        <v>2014</v>
      </c>
      <c r="I2697" s="253">
        <v>1045</v>
      </c>
      <c r="J2697" s="253">
        <v>6786.2992119664887</v>
      </c>
      <c r="K2697" s="904">
        <f t="shared" si="34"/>
        <v>7091683</v>
      </c>
      <c r="L2697" s="869" t="s">
        <v>167</v>
      </c>
      <c r="M2697" s="869" t="s">
        <v>165</v>
      </c>
      <c r="N2697" s="52" t="str">
        <f>IF(AND('331-CT'!$E$7=TH!H2697,OR(L2697="331",M2697="331")),"331",IF(AND(OR(L2697="131",M2697="131"),H2697='131-CT'!$E$7),"131",""))</f>
        <v/>
      </c>
      <c r="O2697" s="86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772"/>
    </row>
    <row r="2698" spans="1:27" s="906" customFormat="1" ht="15.75" customHeight="1">
      <c r="A2698" s="203" t="str">
        <f>IF(B2698&lt;&gt;"",IF(AND(B2698&gt;=_TM1,B2698&lt;=_TM2,OR(TH!L2698="1111",TH!M2698="1111")),TH!D2698,""),"")</f>
        <v/>
      </c>
      <c r="B2698" s="898">
        <f t="shared" si="35"/>
        <v>1</v>
      </c>
      <c r="C2698" s="899">
        <f t="shared" si="30"/>
        <v>42028</v>
      </c>
      <c r="D2698" s="900" t="s">
        <v>2013</v>
      </c>
      <c r="E2698" s="908">
        <v>42028</v>
      </c>
      <c r="F2698" s="911" t="s">
        <v>446</v>
      </c>
      <c r="G2698" s="49" t="s">
        <v>445</v>
      </c>
      <c r="H2698" s="913" t="s">
        <v>2014</v>
      </c>
      <c r="I2698" s="253">
        <v>318</v>
      </c>
      <c r="J2698" s="253">
        <v>7531.1369303530546</v>
      </c>
      <c r="K2698" s="904">
        <f t="shared" si="34"/>
        <v>2394902</v>
      </c>
      <c r="L2698" s="869" t="s">
        <v>167</v>
      </c>
      <c r="M2698" s="869" t="s">
        <v>165</v>
      </c>
      <c r="N2698" s="52" t="str">
        <f>IF(AND('331-CT'!$E$7=TH!H2698,OR(L2698="331",M2698="331")),"331",IF(AND(OR(L2698="131",M2698="131"),H2698='131-CT'!$E$7),"131",""))</f>
        <v/>
      </c>
      <c r="O2698" s="86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772"/>
    </row>
    <row r="2699" spans="1:27" s="906" customFormat="1" ht="15.75" customHeight="1">
      <c r="A2699" s="203" t="str">
        <f>IF(B2699&lt;&gt;"",IF(AND(B2699&gt;=_TM1,B2699&lt;=_TM2,OR(TH!L2699="1111",TH!M2699="1111")),TH!D2699,""),"")</f>
        <v/>
      </c>
      <c r="B2699" s="898">
        <f t="shared" si="35"/>
        <v>1</v>
      </c>
      <c r="C2699" s="899">
        <f t="shared" si="30"/>
        <v>42028</v>
      </c>
      <c r="D2699" s="900" t="s">
        <v>2013</v>
      </c>
      <c r="E2699" s="908">
        <v>42028</v>
      </c>
      <c r="F2699" s="49" t="s">
        <v>447</v>
      </c>
      <c r="G2699" s="49" t="s">
        <v>448</v>
      </c>
      <c r="H2699" s="913" t="s">
        <v>2014</v>
      </c>
      <c r="I2699" s="253">
        <v>858</v>
      </c>
      <c r="J2699" s="253">
        <v>7365.6174373782624</v>
      </c>
      <c r="K2699" s="904">
        <f t="shared" si="34"/>
        <v>6319700</v>
      </c>
      <c r="L2699" s="869" t="s">
        <v>167</v>
      </c>
      <c r="M2699" s="869" t="s">
        <v>165</v>
      </c>
      <c r="N2699" s="52" t="str">
        <f>IF(AND('331-CT'!$E$7=TH!H2699,OR(L2699="331",M2699="331")),"331",IF(AND(OR(L2699="131",M2699="131"),H2699='131-CT'!$E$7),"131",""))</f>
        <v/>
      </c>
      <c r="O2699" s="86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72"/>
    </row>
    <row r="2700" spans="1:27" s="906" customFormat="1" ht="15.75" customHeight="1">
      <c r="A2700" s="203" t="str">
        <f>IF(B2700&lt;&gt;"",IF(AND(B2700&gt;=_TM1,B2700&lt;=_TM2,OR(TH!L2700="1111",TH!M2700="1111")),TH!D2700,""),"")</f>
        <v/>
      </c>
      <c r="B2700" s="898">
        <f t="shared" si="35"/>
        <v>1</v>
      </c>
      <c r="C2700" s="899">
        <f t="shared" si="30"/>
        <v>42028</v>
      </c>
      <c r="D2700" s="900" t="s">
        <v>2013</v>
      </c>
      <c r="E2700" s="908">
        <v>42028</v>
      </c>
      <c r="F2700" s="49" t="s">
        <v>1655</v>
      </c>
      <c r="G2700" s="49" t="s">
        <v>448</v>
      </c>
      <c r="H2700" s="913" t="s">
        <v>2014</v>
      </c>
      <c r="I2700" s="253">
        <v>1716</v>
      </c>
      <c r="J2700" s="253">
        <v>579.31822541177348</v>
      </c>
      <c r="K2700" s="904">
        <f t="shared" si="34"/>
        <v>994110</v>
      </c>
      <c r="L2700" s="869" t="s">
        <v>167</v>
      </c>
      <c r="M2700" s="869" t="s">
        <v>165</v>
      </c>
      <c r="N2700" s="52" t="str">
        <f>IF(AND('331-CT'!$E$7=TH!H2700,OR(L2700="331",M2700="331")),"331",IF(AND(OR(L2700="131",M2700="131"),H2700='131-CT'!$E$7),"131",""))</f>
        <v/>
      </c>
      <c r="O2700" s="86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72"/>
    </row>
    <row r="2701" spans="1:27" s="906" customFormat="1" ht="15.75" customHeight="1">
      <c r="A2701" s="203" t="str">
        <f>IF(B2701&lt;&gt;"",IF(AND(B2701&gt;=_TM1,B2701&lt;=_TM2,OR(TH!L2701="1111",TH!M2701="1111")),TH!D2701,""),"")</f>
        <v/>
      </c>
      <c r="B2701" s="898">
        <f t="shared" si="35"/>
        <v>1</v>
      </c>
      <c r="C2701" s="899">
        <f t="shared" si="30"/>
        <v>42028</v>
      </c>
      <c r="D2701" s="900" t="s">
        <v>2013</v>
      </c>
      <c r="E2701" s="908">
        <v>42028</v>
      </c>
      <c r="F2701" s="49" t="s">
        <v>449</v>
      </c>
      <c r="G2701" s="49" t="s">
        <v>448</v>
      </c>
      <c r="H2701" s="913" t="s">
        <v>2014</v>
      </c>
      <c r="I2701" s="253">
        <v>3</v>
      </c>
      <c r="J2701" s="253">
        <v>13158.799691495997</v>
      </c>
      <c r="K2701" s="904">
        <f t="shared" si="34"/>
        <v>39476</v>
      </c>
      <c r="L2701" s="869" t="s">
        <v>167</v>
      </c>
      <c r="M2701" s="869" t="s">
        <v>165</v>
      </c>
      <c r="N2701" s="52" t="str">
        <f>IF(AND('331-CT'!$E$7=TH!H2701,OR(L2701="331",M2701="331")),"331",IF(AND(OR(L2701="131",M2701="131"),H2701='131-CT'!$E$7),"131",""))</f>
        <v/>
      </c>
      <c r="O2701" s="86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72"/>
    </row>
    <row r="2702" spans="1:27" s="906" customFormat="1" ht="15.75" customHeight="1">
      <c r="A2702" s="203" t="str">
        <f>IF(B2702&lt;&gt;"",IF(AND(B2702&gt;=_TM1,B2702&lt;=_TM2,OR(TH!L2702="1111",TH!M2702="1111")),TH!D2702,""),"")</f>
        <v/>
      </c>
      <c r="B2702" s="898">
        <f t="shared" si="35"/>
        <v>1</v>
      </c>
      <c r="C2702" s="899">
        <f t="shared" si="30"/>
        <v>42028</v>
      </c>
      <c r="D2702" s="900" t="s">
        <v>2013</v>
      </c>
      <c r="E2702" s="908">
        <v>42028</v>
      </c>
      <c r="F2702" s="49" t="s">
        <v>1656</v>
      </c>
      <c r="G2702" s="49" t="s">
        <v>448</v>
      </c>
      <c r="H2702" s="913" t="s">
        <v>2014</v>
      </c>
      <c r="I2702" s="253">
        <v>6</v>
      </c>
      <c r="J2702" s="253">
        <v>1075.8767043361506</v>
      </c>
      <c r="K2702" s="904">
        <f t="shared" si="34"/>
        <v>6455</v>
      </c>
      <c r="L2702" s="869" t="s">
        <v>167</v>
      </c>
      <c r="M2702" s="869" t="s">
        <v>165</v>
      </c>
      <c r="N2702" s="52" t="str">
        <f>IF(AND('331-CT'!$E$7=TH!H2702,OR(L2702="331",M2702="331")),"331",IF(AND(OR(L2702="131",M2702="131"),H2702='131-CT'!$E$7),"131",""))</f>
        <v/>
      </c>
      <c r="O2702" s="86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72"/>
    </row>
    <row r="2703" spans="1:27" s="906" customFormat="1" ht="15.75" customHeight="1">
      <c r="A2703" s="203" t="str">
        <f>IF(B2703&lt;&gt;"",IF(AND(B2703&gt;=_TM1,B2703&lt;=_TM2,OR(TH!L2703="1111",TH!M2703="1111")),TH!D2703,""),"")</f>
        <v/>
      </c>
      <c r="B2703" s="898">
        <f t="shared" si="35"/>
        <v>1</v>
      </c>
      <c r="C2703" s="899">
        <f t="shared" si="30"/>
        <v>42028</v>
      </c>
      <c r="D2703" s="900" t="s">
        <v>2013</v>
      </c>
      <c r="E2703" s="908">
        <v>42028</v>
      </c>
      <c r="F2703" s="49" t="s">
        <v>450</v>
      </c>
      <c r="G2703" s="49" t="s">
        <v>448</v>
      </c>
      <c r="H2703" s="913" t="s">
        <v>2014</v>
      </c>
      <c r="I2703" s="253">
        <v>63</v>
      </c>
      <c r="J2703" s="253">
        <v>14565.715381781733</v>
      </c>
      <c r="K2703" s="904">
        <f t="shared" si="34"/>
        <v>917640</v>
      </c>
      <c r="L2703" s="869" t="s">
        <v>167</v>
      </c>
      <c r="M2703" s="869" t="s">
        <v>165</v>
      </c>
      <c r="N2703" s="52" t="str">
        <f>IF(AND('331-CT'!$E$7=TH!H2703,OR(L2703="331",M2703="331")),"331",IF(AND(OR(L2703="131",M2703="131"),H2703='131-CT'!$E$7),"131",""))</f>
        <v/>
      </c>
      <c r="O2703" s="86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72"/>
    </row>
    <row r="2704" spans="1:27" s="906" customFormat="1" ht="15.75" customHeight="1">
      <c r="A2704" s="203" t="str">
        <f>IF(B2704&lt;&gt;"",IF(AND(B2704&gt;=_TM1,B2704&lt;=_TM2,OR(TH!L2704="1111",TH!M2704="1111")),TH!D2704,""),"")</f>
        <v/>
      </c>
      <c r="B2704" s="898">
        <f t="shared" si="35"/>
        <v>1</v>
      </c>
      <c r="C2704" s="899">
        <f t="shared" si="30"/>
        <v>42028</v>
      </c>
      <c r="D2704" s="900" t="s">
        <v>2013</v>
      </c>
      <c r="E2704" s="908">
        <v>42028</v>
      </c>
      <c r="F2704" s="49" t="s">
        <v>1657</v>
      </c>
      <c r="G2704" s="49" t="s">
        <v>448</v>
      </c>
      <c r="H2704" s="913" t="s">
        <v>2014</v>
      </c>
      <c r="I2704" s="253">
        <v>126</v>
      </c>
      <c r="J2704" s="253">
        <v>910.35721136135828</v>
      </c>
      <c r="K2704" s="904">
        <f t="shared" si="34"/>
        <v>114705</v>
      </c>
      <c r="L2704" s="869" t="s">
        <v>167</v>
      </c>
      <c r="M2704" s="869" t="s">
        <v>165</v>
      </c>
      <c r="N2704" s="52" t="str">
        <f>IF(AND('331-CT'!$E$7=TH!H2704,OR(L2704="331",M2704="331")),"331",IF(AND(OR(L2704="131",M2704="131"),H2704='131-CT'!$E$7),"131",""))</f>
        <v/>
      </c>
      <c r="O2704" s="86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72"/>
    </row>
    <row r="2705" spans="1:27" s="906" customFormat="1" ht="15.75" customHeight="1">
      <c r="A2705" s="203" t="str">
        <f>IF(B2705&lt;&gt;"",IF(AND(B2705&gt;=_TM1,B2705&lt;=_TM2,OR(TH!L2705="1111",TH!M2705="1111")),TH!D2705,""),"")</f>
        <v/>
      </c>
      <c r="B2705" s="898">
        <f t="shared" si="35"/>
        <v>1</v>
      </c>
      <c r="C2705" s="899">
        <f t="shared" si="30"/>
        <v>42028</v>
      </c>
      <c r="D2705" s="900" t="s">
        <v>2013</v>
      </c>
      <c r="E2705" s="908">
        <v>42028</v>
      </c>
      <c r="F2705" s="49" t="s">
        <v>1658</v>
      </c>
      <c r="G2705" s="49" t="s">
        <v>448</v>
      </c>
      <c r="H2705" s="913" t="s">
        <v>2014</v>
      </c>
      <c r="I2705" s="253">
        <v>126</v>
      </c>
      <c r="J2705" s="253">
        <v>1655.1949297479241</v>
      </c>
      <c r="K2705" s="904">
        <f t="shared" si="34"/>
        <v>208555</v>
      </c>
      <c r="L2705" s="869" t="s">
        <v>167</v>
      </c>
      <c r="M2705" s="869" t="s">
        <v>165</v>
      </c>
      <c r="N2705" s="52" t="str">
        <f>IF(AND('331-CT'!$E$7=TH!H2705,OR(L2705="331",M2705="331")),"331",IF(AND(OR(L2705="131",M2705="131"),H2705='131-CT'!$E$7),"131",""))</f>
        <v/>
      </c>
      <c r="O2705" s="86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72"/>
    </row>
    <row r="2706" spans="1:27" s="906" customFormat="1" ht="15.75" customHeight="1">
      <c r="A2706" s="203" t="str">
        <f>IF(B2706&lt;&gt;"",IF(AND(B2706&gt;=_TM1,B2706&lt;=_TM2,OR(TH!L2706="1111",TH!M2706="1111")),TH!D2706,""),"")</f>
        <v/>
      </c>
      <c r="B2706" s="898">
        <f t="shared" si="35"/>
        <v>1</v>
      </c>
      <c r="C2706" s="899">
        <f t="shared" si="30"/>
        <v>42031</v>
      </c>
      <c r="D2706" s="900" t="s">
        <v>2013</v>
      </c>
      <c r="E2706" s="908">
        <v>42031</v>
      </c>
      <c r="F2706" s="49" t="s">
        <v>451</v>
      </c>
      <c r="G2706" s="49" t="s">
        <v>452</v>
      </c>
      <c r="H2706" s="913" t="s">
        <v>2014</v>
      </c>
      <c r="I2706" s="253">
        <v>303</v>
      </c>
      <c r="J2706" s="253">
        <v>11089.806029311092</v>
      </c>
      <c r="K2706" s="904">
        <f t="shared" si="34"/>
        <v>3360211</v>
      </c>
      <c r="L2706" s="869" t="s">
        <v>167</v>
      </c>
      <c r="M2706" s="869" t="s">
        <v>165</v>
      </c>
      <c r="N2706" s="52" t="str">
        <f>IF(AND('331-CT'!$E$7=TH!H2706,OR(L2706="331",M2706="331")),"331",IF(AND(OR(L2706="131",M2706="131"),H2706='131-CT'!$E$7),"131",""))</f>
        <v/>
      </c>
      <c r="O2706" s="86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72"/>
    </row>
    <row r="2707" spans="1:27" s="906" customFormat="1" ht="15.75" customHeight="1">
      <c r="A2707" s="203" t="str">
        <f>IF(B2707&lt;&gt;"",IF(AND(B2707&gt;=_TM1,B2707&lt;=_TM2,OR(TH!L2707="1111",TH!M2707="1111")),TH!D2707,""),"")</f>
        <v/>
      </c>
      <c r="B2707" s="898">
        <f t="shared" si="35"/>
        <v>1</v>
      </c>
      <c r="C2707" s="899">
        <f t="shared" si="30"/>
        <v>42031</v>
      </c>
      <c r="D2707" s="900" t="s">
        <v>2013</v>
      </c>
      <c r="E2707" s="908">
        <v>42031</v>
      </c>
      <c r="F2707" s="49" t="s">
        <v>454</v>
      </c>
      <c r="G2707" s="49" t="s">
        <v>455</v>
      </c>
      <c r="H2707" s="913" t="s">
        <v>2014</v>
      </c>
      <c r="I2707" s="253">
        <v>380</v>
      </c>
      <c r="J2707" s="253">
        <v>60000.81620336225</v>
      </c>
      <c r="K2707" s="904">
        <f t="shared" si="34"/>
        <v>22800310</v>
      </c>
      <c r="L2707" s="869" t="s">
        <v>167</v>
      </c>
      <c r="M2707" s="869" t="s">
        <v>165</v>
      </c>
      <c r="N2707" s="52" t="str">
        <f>IF(AND('331-CT'!$E$7=TH!H2707,OR(L2707="331",M2707="331")),"331",IF(AND(OR(L2707="131",M2707="131"),H2707='131-CT'!$E$7),"131",""))</f>
        <v/>
      </c>
      <c r="O2707" s="86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72"/>
    </row>
    <row r="2708" spans="1:27" s="906" customFormat="1" ht="15.75" customHeight="1">
      <c r="A2708" s="203" t="str">
        <f>IF(B2708&lt;&gt;"",IF(AND(B2708&gt;=_TM1,B2708&lt;=_TM2,OR(TH!L2708="1111",TH!M2708="1111")),TH!D2708,""),"")</f>
        <v/>
      </c>
      <c r="B2708" s="898">
        <f t="shared" si="35"/>
        <v>1</v>
      </c>
      <c r="C2708" s="899">
        <f t="shared" ref="C2708:C2771" si="36">E2708</f>
        <v>42032</v>
      </c>
      <c r="D2708" s="900" t="s">
        <v>2013</v>
      </c>
      <c r="E2708" s="908">
        <v>42032</v>
      </c>
      <c r="F2708" s="49" t="s">
        <v>456</v>
      </c>
      <c r="G2708" s="49" t="s">
        <v>457</v>
      </c>
      <c r="H2708" s="913" t="s">
        <v>2014</v>
      </c>
      <c r="I2708" s="253">
        <v>50</v>
      </c>
      <c r="J2708" s="253">
        <v>12827.760705546412</v>
      </c>
      <c r="K2708" s="904">
        <f t="shared" si="34"/>
        <v>641388</v>
      </c>
      <c r="L2708" s="869" t="s">
        <v>167</v>
      </c>
      <c r="M2708" s="869" t="s">
        <v>165</v>
      </c>
      <c r="N2708" s="52" t="str">
        <f>IF(AND('331-CT'!$E$7=TH!H2708,OR(L2708="331",M2708="331")),"331",IF(AND(OR(L2708="131",M2708="131"),H2708='131-CT'!$E$7),"131",""))</f>
        <v/>
      </c>
      <c r="O2708" s="86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72"/>
    </row>
    <row r="2709" spans="1:27" s="906" customFormat="1" ht="15.75" customHeight="1">
      <c r="A2709" s="203" t="str">
        <f>IF(B2709&lt;&gt;"",IF(AND(B2709&gt;=_TM1,B2709&lt;=_TM2,OR(TH!L2709="1111",TH!M2709="1111")),TH!D2709,""),"")</f>
        <v/>
      </c>
      <c r="B2709" s="898">
        <f t="shared" si="35"/>
        <v>1</v>
      </c>
      <c r="C2709" s="899">
        <f t="shared" si="36"/>
        <v>42032</v>
      </c>
      <c r="D2709" s="900" t="s">
        <v>2013</v>
      </c>
      <c r="E2709" s="908">
        <v>42032</v>
      </c>
      <c r="F2709" s="49" t="s">
        <v>1659</v>
      </c>
      <c r="G2709" s="49" t="s">
        <v>457</v>
      </c>
      <c r="H2709" s="913" t="s">
        <v>2014</v>
      </c>
      <c r="I2709" s="253">
        <v>100</v>
      </c>
      <c r="J2709" s="253">
        <v>1903.4741692101129</v>
      </c>
      <c r="K2709" s="904">
        <f t="shared" si="34"/>
        <v>190347</v>
      </c>
      <c r="L2709" s="869" t="s">
        <v>167</v>
      </c>
      <c r="M2709" s="869" t="s">
        <v>165</v>
      </c>
      <c r="N2709" s="52" t="str">
        <f>IF(AND('331-CT'!$E$7=TH!H2709,OR(L2709="331",M2709="331")),"331",IF(AND(OR(L2709="131",M2709="131"),H2709='131-CT'!$E$7),"131",""))</f>
        <v/>
      </c>
      <c r="O2709" s="86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72"/>
    </row>
    <row r="2710" spans="1:27" s="906" customFormat="1" ht="15.75" customHeight="1">
      <c r="A2710" s="203" t="str">
        <f>IF(B2710&lt;&gt;"",IF(AND(B2710&gt;=_TM1,B2710&lt;=_TM2,OR(TH!L2710="1111",TH!M2710="1111")),TH!D2710,""),"")</f>
        <v/>
      </c>
      <c r="B2710" s="898">
        <f t="shared" si="35"/>
        <v>1</v>
      </c>
      <c r="C2710" s="899">
        <f t="shared" si="36"/>
        <v>42032</v>
      </c>
      <c r="D2710" s="900" t="s">
        <v>2013</v>
      </c>
      <c r="E2710" s="908">
        <v>42032</v>
      </c>
      <c r="F2710" s="49" t="s">
        <v>458</v>
      </c>
      <c r="G2710" s="49" t="s">
        <v>459</v>
      </c>
      <c r="H2710" s="913" t="s">
        <v>2014</v>
      </c>
      <c r="I2710" s="253">
        <v>63</v>
      </c>
      <c r="J2710" s="253">
        <v>18620.942959664146</v>
      </c>
      <c r="K2710" s="904">
        <f t="shared" si="34"/>
        <v>1173119</v>
      </c>
      <c r="L2710" s="869" t="s">
        <v>167</v>
      </c>
      <c r="M2710" s="869" t="s">
        <v>165</v>
      </c>
      <c r="N2710" s="52" t="str">
        <f>IF(AND('331-CT'!$E$7=TH!H2710,OR(L2710="331",M2710="331")),"331",IF(AND(OR(L2710="131",M2710="131"),H2710='131-CT'!$E$7),"131",""))</f>
        <v/>
      </c>
      <c r="O2710" s="86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72"/>
    </row>
    <row r="2711" spans="1:27" s="906" customFormat="1" ht="15.75" customHeight="1">
      <c r="A2711" s="203" t="str">
        <f>IF(B2711&lt;&gt;"",IF(AND(B2711&gt;=_TM1,B2711&lt;=_TM2,OR(TH!L2711="1111",TH!M2711="1111")),TH!D2711,""),"")</f>
        <v/>
      </c>
      <c r="B2711" s="898">
        <f t="shared" si="35"/>
        <v>1</v>
      </c>
      <c r="C2711" s="899">
        <f t="shared" si="36"/>
        <v>42032</v>
      </c>
      <c r="D2711" s="900" t="s">
        <v>2013</v>
      </c>
      <c r="E2711" s="908">
        <v>42032</v>
      </c>
      <c r="F2711" s="49" t="s">
        <v>1654</v>
      </c>
      <c r="G2711" s="49" t="s">
        <v>459</v>
      </c>
      <c r="H2711" s="913" t="s">
        <v>2014</v>
      </c>
      <c r="I2711" s="253">
        <v>126</v>
      </c>
      <c r="J2711" s="253">
        <v>827.59746487396205</v>
      </c>
      <c r="K2711" s="904">
        <f t="shared" si="34"/>
        <v>104277</v>
      </c>
      <c r="L2711" s="869" t="s">
        <v>167</v>
      </c>
      <c r="M2711" s="869" t="s">
        <v>165</v>
      </c>
      <c r="N2711" s="52" t="str">
        <f>IF(AND('331-CT'!$E$7=TH!H2711,OR(L2711="331",M2711="331")),"331",IF(AND(OR(L2711="131",M2711="131"),H2711='131-CT'!$E$7),"131",""))</f>
        <v/>
      </c>
      <c r="O2711" s="86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72"/>
    </row>
    <row r="2712" spans="1:27" s="906" customFormat="1" ht="15.75" customHeight="1">
      <c r="A2712" s="203" t="str">
        <f>IF(B2712&lt;&gt;"",IF(AND(B2712&gt;=_TM1,B2712&lt;=_TM2,OR(TH!L2712="1111",TH!M2712="1111")),TH!D2712,""),"")</f>
        <v/>
      </c>
      <c r="B2712" s="898">
        <f t="shared" si="35"/>
        <v>1</v>
      </c>
      <c r="C2712" s="899">
        <f t="shared" si="36"/>
        <v>42032</v>
      </c>
      <c r="D2712" s="900" t="s">
        <v>2013</v>
      </c>
      <c r="E2712" s="908">
        <v>42032</v>
      </c>
      <c r="F2712" s="49" t="s">
        <v>414</v>
      </c>
      <c r="G2712" s="49" t="s">
        <v>459</v>
      </c>
      <c r="H2712" s="913" t="s">
        <v>2014</v>
      </c>
      <c r="I2712" s="253">
        <v>50</v>
      </c>
      <c r="J2712" s="253">
        <v>24496.884960269275</v>
      </c>
      <c r="K2712" s="904">
        <f t="shared" si="34"/>
        <v>1224844</v>
      </c>
      <c r="L2712" s="869" t="s">
        <v>167</v>
      </c>
      <c r="M2712" s="869" t="s">
        <v>165</v>
      </c>
      <c r="N2712" s="52" t="str">
        <f>IF(AND('331-CT'!$E$7=TH!H2712,OR(L2712="331",M2712="331")),"331",IF(AND(OR(L2712="131",M2712="131"),H2712='131-CT'!$E$7),"131",""))</f>
        <v/>
      </c>
      <c r="O2712" s="86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72"/>
    </row>
    <row r="2713" spans="1:27" s="906" customFormat="1" ht="15.75" customHeight="1">
      <c r="A2713" s="203" t="str">
        <f>IF(B2713&lt;&gt;"",IF(AND(B2713&gt;=_TM1,B2713&lt;=_TM2,OR(TH!L2713="1111",TH!M2713="1111")),TH!D2713,""),"")</f>
        <v/>
      </c>
      <c r="B2713" s="898">
        <f t="shared" si="35"/>
        <v>1</v>
      </c>
      <c r="C2713" s="899">
        <f t="shared" si="36"/>
        <v>42032</v>
      </c>
      <c r="D2713" s="900" t="s">
        <v>2013</v>
      </c>
      <c r="E2713" s="908">
        <v>42032</v>
      </c>
      <c r="F2713" s="49" t="s">
        <v>1660</v>
      </c>
      <c r="G2713" s="49" t="s">
        <v>459</v>
      </c>
      <c r="H2713" s="913" t="s">
        <v>2014</v>
      </c>
      <c r="I2713" s="253">
        <v>100</v>
      </c>
      <c r="J2713" s="253">
        <v>1324.1559437983394</v>
      </c>
      <c r="K2713" s="904">
        <f t="shared" si="34"/>
        <v>132416</v>
      </c>
      <c r="L2713" s="869" t="s">
        <v>167</v>
      </c>
      <c r="M2713" s="869" t="s">
        <v>165</v>
      </c>
      <c r="N2713" s="52" t="str">
        <f>IF(AND('331-CT'!$E$7=TH!H2713,OR(L2713="331",M2713="331")),"331",IF(AND(OR(L2713="131",M2713="131"),H2713='131-CT'!$E$7),"131",""))</f>
        <v/>
      </c>
      <c r="O2713" s="86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772"/>
    </row>
    <row r="2714" spans="1:27" s="906" customFormat="1" ht="15.75" customHeight="1">
      <c r="A2714" s="203" t="str">
        <f>IF(B2714&lt;&gt;"",IF(AND(B2714&gt;=_TM1,B2714&lt;=_TM2,OR(TH!L2714="1111",TH!M2714="1111")),TH!D2714,""),"")</f>
        <v/>
      </c>
      <c r="B2714" s="898">
        <f t="shared" si="35"/>
        <v>1</v>
      </c>
      <c r="C2714" s="899">
        <f t="shared" si="36"/>
        <v>42034</v>
      </c>
      <c r="D2714" s="900" t="s">
        <v>2013</v>
      </c>
      <c r="E2714" s="908">
        <v>42034</v>
      </c>
      <c r="F2714" s="49" t="s">
        <v>460</v>
      </c>
      <c r="G2714" s="49" t="s">
        <v>461</v>
      </c>
      <c r="H2714" s="913" t="s">
        <v>2014</v>
      </c>
      <c r="I2714" s="253">
        <v>207</v>
      </c>
      <c r="J2714" s="253">
        <v>6869.0589584538848</v>
      </c>
      <c r="K2714" s="904">
        <f t="shared" si="34"/>
        <v>1421895</v>
      </c>
      <c r="L2714" s="869" t="s">
        <v>167</v>
      </c>
      <c r="M2714" s="869" t="s">
        <v>165</v>
      </c>
      <c r="N2714" s="52" t="str">
        <f>IF(AND('331-CT'!$E$7=TH!H2714,OR(L2714="331",M2714="331")),"331",IF(AND(OR(L2714="131",M2714="131"),H2714='131-CT'!$E$7),"131",""))</f>
        <v/>
      </c>
      <c r="O2714" s="86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72"/>
    </row>
    <row r="2715" spans="1:27" s="906" customFormat="1" ht="15.75" customHeight="1">
      <c r="A2715" s="203" t="str">
        <f>IF(B2715&lt;&gt;"",IF(AND(B2715&gt;=_TM1,B2715&lt;=_TM2,OR(TH!L2715="1111",TH!M2715="1111")),TH!D2715,""),"")</f>
        <v/>
      </c>
      <c r="B2715" s="898">
        <f t="shared" si="35"/>
        <v>1</v>
      </c>
      <c r="C2715" s="899">
        <f t="shared" si="36"/>
        <v>42034</v>
      </c>
      <c r="D2715" s="900" t="s">
        <v>2013</v>
      </c>
      <c r="E2715" s="900">
        <v>42034</v>
      </c>
      <c r="F2715" s="49" t="s">
        <v>538</v>
      </c>
      <c r="G2715" s="49" t="s">
        <v>462</v>
      </c>
      <c r="H2715" s="913" t="s">
        <v>2014</v>
      </c>
      <c r="I2715" s="253">
        <v>250</v>
      </c>
      <c r="J2715" s="253">
        <v>7365.6174373782624</v>
      </c>
      <c r="K2715" s="904">
        <f t="shared" si="34"/>
        <v>1841404</v>
      </c>
      <c r="L2715" s="869" t="s">
        <v>167</v>
      </c>
      <c r="M2715" s="869" t="s">
        <v>165</v>
      </c>
      <c r="N2715" s="52" t="str">
        <f>IF(AND('331-CT'!$E$7=TH!H2715,OR(L2715="331",M2715="331")),"331",IF(AND(OR(L2715="131",M2715="131"),H2715='131-CT'!$E$7),"131",""))</f>
        <v/>
      </c>
      <c r="O2715" s="86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72"/>
    </row>
    <row r="2716" spans="1:27" s="906" customFormat="1" ht="15.75" customHeight="1">
      <c r="A2716" s="203" t="str">
        <f>IF(B2716&lt;&gt;"",IF(AND(B2716&gt;=_TM1,B2716&lt;=_TM2,OR(TH!L2716="1111",TH!M2716="1111")),TH!D2716,""),"")</f>
        <v/>
      </c>
      <c r="B2716" s="898">
        <f t="shared" si="35"/>
        <v>1</v>
      </c>
      <c r="C2716" s="899">
        <f t="shared" si="36"/>
        <v>42034</v>
      </c>
      <c r="D2716" s="900" t="s">
        <v>2013</v>
      </c>
      <c r="E2716" s="900">
        <v>42034</v>
      </c>
      <c r="F2716" s="49" t="s">
        <v>595</v>
      </c>
      <c r="G2716" s="49" t="s">
        <v>462</v>
      </c>
      <c r="H2716" s="913" t="s">
        <v>2014</v>
      </c>
      <c r="I2716" s="253">
        <v>217</v>
      </c>
      <c r="J2716" s="253">
        <v>7696.6564233278477</v>
      </c>
      <c r="K2716" s="904">
        <f t="shared" si="34"/>
        <v>1670174</v>
      </c>
      <c r="L2716" s="869" t="s">
        <v>167</v>
      </c>
      <c r="M2716" s="869" t="s">
        <v>165</v>
      </c>
      <c r="N2716" s="52" t="str">
        <f>IF(AND('331-CT'!$E$7=TH!H2716,OR(L2716="331",M2716="331")),"331",IF(AND(OR(L2716="131",M2716="131"),H2716='131-CT'!$E$7),"131",""))</f>
        <v/>
      </c>
      <c r="O2716" s="86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72"/>
    </row>
    <row r="2717" spans="1:27" s="906" customFormat="1" ht="15.75" customHeight="1">
      <c r="A2717" s="203" t="str">
        <f>IF(B2717&lt;&gt;"",IF(AND(B2717&gt;=_TM1,B2717&lt;=_TM2,OR(TH!L2717="1111",TH!M2717="1111")),TH!D2717,""),"")</f>
        <v/>
      </c>
      <c r="B2717" s="898">
        <f t="shared" si="35"/>
        <v>1</v>
      </c>
      <c r="C2717" s="899">
        <f t="shared" si="36"/>
        <v>42034</v>
      </c>
      <c r="D2717" s="900" t="s">
        <v>2013</v>
      </c>
      <c r="E2717" s="900">
        <v>42034</v>
      </c>
      <c r="F2717" s="49" t="s">
        <v>1688</v>
      </c>
      <c r="G2717" s="49" t="s">
        <v>463</v>
      </c>
      <c r="H2717" s="913" t="s">
        <v>2014</v>
      </c>
      <c r="I2717" s="253">
        <v>400</v>
      </c>
      <c r="J2717" s="253">
        <v>1324.1559437983394</v>
      </c>
      <c r="K2717" s="904">
        <f t="shared" si="34"/>
        <v>529662</v>
      </c>
      <c r="L2717" s="869" t="s">
        <v>167</v>
      </c>
      <c r="M2717" s="869" t="s">
        <v>165</v>
      </c>
      <c r="N2717" s="52" t="str">
        <f>IF(AND('331-CT'!$E$7=TH!H2717,OR(L2717="331",M2717="331")),"331",IF(AND(OR(L2717="131",M2717="131"),H2717='131-CT'!$E$7),"131",""))</f>
        <v/>
      </c>
      <c r="O2717" s="86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72"/>
    </row>
    <row r="2718" spans="1:27" s="906" customFormat="1" ht="15.75" customHeight="1">
      <c r="A2718" s="203" t="str">
        <f>IF(B2718&lt;&gt;"",IF(AND(B2718&gt;=_TM1,B2718&lt;=_TM2,OR(TH!L2718="1111",TH!M2718="1111")),TH!D2718,""),"")</f>
        <v/>
      </c>
      <c r="B2718" s="898">
        <f t="shared" si="35"/>
        <v>1</v>
      </c>
      <c r="C2718" s="899">
        <f t="shared" si="36"/>
        <v>42034</v>
      </c>
      <c r="D2718" s="900" t="s">
        <v>2013</v>
      </c>
      <c r="E2718" s="900">
        <v>42034</v>
      </c>
      <c r="F2718" s="49" t="s">
        <v>1689</v>
      </c>
      <c r="G2718" s="49" t="s">
        <v>463</v>
      </c>
      <c r="H2718" s="913" t="s">
        <v>2014</v>
      </c>
      <c r="I2718" s="253">
        <v>600</v>
      </c>
      <c r="J2718" s="253">
        <v>1406.9156902857355</v>
      </c>
      <c r="K2718" s="904">
        <f t="shared" si="34"/>
        <v>844149</v>
      </c>
      <c r="L2718" s="869" t="s">
        <v>167</v>
      </c>
      <c r="M2718" s="869" t="s">
        <v>165</v>
      </c>
      <c r="N2718" s="52" t="str">
        <f>IF(AND('331-CT'!$E$7=TH!H2718,OR(L2718="331",M2718="331")),"331",IF(AND(OR(L2718="131",M2718="131"),H2718='131-CT'!$E$7),"131",""))</f>
        <v/>
      </c>
      <c r="O2718" s="86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72"/>
    </row>
    <row r="2719" spans="1:27" s="906" customFormat="1" ht="15.75" customHeight="1">
      <c r="A2719" s="203" t="str">
        <f>IF(B2719&lt;&gt;"",IF(AND(B2719&gt;=_TM1,B2719&lt;=_TM2,OR(TH!L2719="1111",TH!M2719="1111")),TH!D2719,""),"")</f>
        <v/>
      </c>
      <c r="B2719" s="898">
        <f t="shared" si="35"/>
        <v>1</v>
      </c>
      <c r="C2719" s="899">
        <f t="shared" si="36"/>
        <v>42034</v>
      </c>
      <c r="D2719" s="900" t="s">
        <v>2013</v>
      </c>
      <c r="E2719" s="900">
        <v>42034</v>
      </c>
      <c r="F2719" s="49" t="s">
        <v>1690</v>
      </c>
      <c r="G2719" s="49" t="s">
        <v>463</v>
      </c>
      <c r="H2719" s="913" t="s">
        <v>2014</v>
      </c>
      <c r="I2719" s="253">
        <v>200</v>
      </c>
      <c r="J2719" s="253">
        <v>1986.2339156975088</v>
      </c>
      <c r="K2719" s="904">
        <f t="shared" si="34"/>
        <v>397247</v>
      </c>
      <c r="L2719" s="869" t="s">
        <v>167</v>
      </c>
      <c r="M2719" s="869" t="s">
        <v>165</v>
      </c>
      <c r="N2719" s="52" t="str">
        <f>IF(AND('331-CT'!$E$7=TH!H2719,OR(L2719="331",M2719="331")),"331",IF(AND(OR(L2719="131",M2719="131"),H2719='131-CT'!$E$7),"131",""))</f>
        <v/>
      </c>
      <c r="O2719" s="86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72"/>
    </row>
    <row r="2720" spans="1:27" s="906" customFormat="1" ht="15.75" customHeight="1">
      <c r="A2720" s="203" t="str">
        <f>IF(B2720&lt;&gt;"",IF(AND(B2720&gt;=_TM1,B2720&lt;=_TM2,OR(TH!L2720="1111",TH!M2720="1111")),TH!D2720,""),"")</f>
        <v/>
      </c>
      <c r="B2720" s="898">
        <f t="shared" si="35"/>
        <v>2</v>
      </c>
      <c r="C2720" s="899">
        <f t="shared" si="36"/>
        <v>42037</v>
      </c>
      <c r="D2720" s="900" t="s">
        <v>2013</v>
      </c>
      <c r="E2720" s="900">
        <v>42037</v>
      </c>
      <c r="F2720" s="49" t="s">
        <v>466</v>
      </c>
      <c r="G2720" s="49" t="s">
        <v>467</v>
      </c>
      <c r="H2720" s="913" t="s">
        <v>2014</v>
      </c>
      <c r="I2720" s="253">
        <v>247</v>
      </c>
      <c r="J2720" s="253">
        <v>6372.5004795295081</v>
      </c>
      <c r="K2720" s="904">
        <f t="shared" si="34"/>
        <v>1574008</v>
      </c>
      <c r="L2720" s="869" t="s">
        <v>167</v>
      </c>
      <c r="M2720" s="869" t="s">
        <v>165</v>
      </c>
      <c r="N2720" s="52" t="str">
        <f>IF(AND('331-CT'!$E$7=TH!H2720,OR(L2720="331",M2720="331")),"331",IF(AND(OR(L2720="131",M2720="131"),H2720='131-CT'!$E$7),"131",""))</f>
        <v/>
      </c>
      <c r="O2720" s="86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72"/>
    </row>
    <row r="2721" spans="1:27" s="906" customFormat="1" ht="15.75" customHeight="1">
      <c r="A2721" s="203" t="str">
        <f>IF(B2721&lt;&gt;"",IF(AND(B2721&gt;=_TM1,B2721&lt;=_TM2,OR(TH!L2721="1111",TH!M2721="1111")),TH!D2721,""),"")</f>
        <v/>
      </c>
      <c r="B2721" s="898">
        <f t="shared" si="35"/>
        <v>2</v>
      </c>
      <c r="C2721" s="899">
        <f t="shared" si="36"/>
        <v>42037</v>
      </c>
      <c r="D2721" s="900" t="s">
        <v>2013</v>
      </c>
      <c r="E2721" s="900">
        <v>42037</v>
      </c>
      <c r="F2721" s="49" t="s">
        <v>469</v>
      </c>
      <c r="G2721" s="49" t="s">
        <v>467</v>
      </c>
      <c r="H2721" s="913" t="s">
        <v>2014</v>
      </c>
      <c r="I2721" s="253">
        <v>109</v>
      </c>
      <c r="J2721" s="253">
        <v>3889.7080849076215</v>
      </c>
      <c r="K2721" s="904">
        <f t="shared" si="34"/>
        <v>423978</v>
      </c>
      <c r="L2721" s="869" t="s">
        <v>167</v>
      </c>
      <c r="M2721" s="869" t="s">
        <v>165</v>
      </c>
      <c r="N2721" s="52" t="str">
        <f>IF(AND('331-CT'!$E$7=TH!H2721,OR(L2721="331",M2721="331")),"331",IF(AND(OR(L2721="131",M2721="131"),H2721='131-CT'!$E$7),"131",""))</f>
        <v/>
      </c>
      <c r="O2721" s="86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72"/>
    </row>
    <row r="2722" spans="1:27" s="906" customFormat="1" ht="15.75" customHeight="1">
      <c r="A2722" s="203" t="str">
        <f>IF(B2722&lt;&gt;"",IF(AND(B2722&gt;=_TM1,B2722&lt;=_TM2,OR(TH!L2722="1111",TH!M2722="1111")),TH!D2722,""),"")</f>
        <v/>
      </c>
      <c r="B2722" s="898">
        <f t="shared" si="35"/>
        <v>2</v>
      </c>
      <c r="C2722" s="899">
        <f t="shared" si="36"/>
        <v>42039</v>
      </c>
      <c r="D2722" s="900" t="s">
        <v>2013</v>
      </c>
      <c r="E2722" s="900">
        <v>42039</v>
      </c>
      <c r="F2722" s="49" t="s">
        <v>424</v>
      </c>
      <c r="G2722" s="49" t="s">
        <v>470</v>
      </c>
      <c r="H2722" s="913" t="s">
        <v>2014</v>
      </c>
      <c r="I2722" s="253">
        <v>1312</v>
      </c>
      <c r="J2722" s="253">
        <v>8689.7733811766011</v>
      </c>
      <c r="K2722" s="904">
        <f t="shared" si="34"/>
        <v>11400983</v>
      </c>
      <c r="L2722" s="869" t="s">
        <v>167</v>
      </c>
      <c r="M2722" s="869" t="s">
        <v>165</v>
      </c>
      <c r="N2722" s="52" t="str">
        <f>IF(AND('331-CT'!$E$7=TH!H2722,OR(L2722="331",M2722="331")),"331",IF(AND(OR(L2722="131",M2722="131"),H2722='131-CT'!$E$7),"131",""))</f>
        <v/>
      </c>
      <c r="O2722" s="86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72"/>
    </row>
    <row r="2723" spans="1:27" s="906" customFormat="1" ht="15.75" customHeight="1">
      <c r="A2723" s="203" t="str">
        <f>IF(B2723&lt;&gt;"",IF(AND(B2723&gt;=_TM1,B2723&lt;=_TM2,OR(TH!L2723="1111",TH!M2723="1111")),TH!D2723,""),"")</f>
        <v/>
      </c>
      <c r="B2723" s="898">
        <f t="shared" si="35"/>
        <v>2</v>
      </c>
      <c r="C2723" s="899">
        <f t="shared" si="36"/>
        <v>42039</v>
      </c>
      <c r="D2723" s="900" t="s">
        <v>2013</v>
      </c>
      <c r="E2723" s="900">
        <v>42039</v>
      </c>
      <c r="F2723" s="49" t="s">
        <v>405</v>
      </c>
      <c r="G2723" s="49" t="s">
        <v>470</v>
      </c>
      <c r="H2723" s="913" t="s">
        <v>2014</v>
      </c>
      <c r="I2723" s="253">
        <v>202</v>
      </c>
      <c r="J2723" s="253">
        <v>10344.968310924525</v>
      </c>
      <c r="K2723" s="904">
        <f t="shared" si="34"/>
        <v>2089684</v>
      </c>
      <c r="L2723" s="869" t="s">
        <v>167</v>
      </c>
      <c r="M2723" s="869" t="s">
        <v>165</v>
      </c>
      <c r="N2723" s="52" t="str">
        <f>IF(AND('331-CT'!$E$7=TH!H2723,OR(L2723="331",M2723="331")),"331",IF(AND(OR(L2723="131",M2723="131"),H2723='131-CT'!$E$7),"131",""))</f>
        <v/>
      </c>
      <c r="O2723" s="86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72"/>
    </row>
    <row r="2724" spans="1:27" s="906" customFormat="1" ht="15.75" customHeight="1">
      <c r="A2724" s="203" t="str">
        <f>IF(B2724&lt;&gt;"",IF(AND(B2724&gt;=_TM1,B2724&lt;=_TM2,OR(TH!L2724="1111",TH!M2724="1111")),TH!D2724,""),"")</f>
        <v/>
      </c>
      <c r="B2724" s="898">
        <f t="shared" si="35"/>
        <v>2</v>
      </c>
      <c r="C2724" s="899">
        <f t="shared" si="36"/>
        <v>42039</v>
      </c>
      <c r="D2724" s="900" t="s">
        <v>2013</v>
      </c>
      <c r="E2724" s="900">
        <v>42039</v>
      </c>
      <c r="F2724" s="49" t="s">
        <v>471</v>
      </c>
      <c r="G2724" s="49" t="s">
        <v>470</v>
      </c>
      <c r="H2724" s="913" t="s">
        <v>2014</v>
      </c>
      <c r="I2724" s="253">
        <v>22</v>
      </c>
      <c r="J2724" s="253">
        <v>8607.013634689205</v>
      </c>
      <c r="K2724" s="904">
        <f t="shared" si="34"/>
        <v>189354</v>
      </c>
      <c r="L2724" s="869" t="s">
        <v>167</v>
      </c>
      <c r="M2724" s="869" t="s">
        <v>165</v>
      </c>
      <c r="N2724" s="52" t="str">
        <f>IF(AND('331-CT'!$E$7=TH!H2724,OR(L2724="331",M2724="331")),"331",IF(AND(OR(L2724="131",M2724="131"),H2724='131-CT'!$E$7),"131",""))</f>
        <v/>
      </c>
      <c r="O2724" s="86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72"/>
    </row>
    <row r="2725" spans="1:27" s="906" customFormat="1" ht="15.75" customHeight="1">
      <c r="A2725" s="203" t="str">
        <f>IF(B2725&lt;&gt;"",IF(AND(B2725&gt;=_TM1,B2725&lt;=_TM2,OR(TH!L2725="1111",TH!M2725="1111")),TH!D2725,""),"")</f>
        <v/>
      </c>
      <c r="B2725" s="898">
        <f t="shared" si="35"/>
        <v>2</v>
      </c>
      <c r="C2725" s="899">
        <f t="shared" si="36"/>
        <v>42040</v>
      </c>
      <c r="D2725" s="900" t="s">
        <v>2013</v>
      </c>
      <c r="E2725" s="900">
        <v>42040</v>
      </c>
      <c r="F2725" s="49" t="s">
        <v>1140</v>
      </c>
      <c r="G2725" s="49" t="s">
        <v>472</v>
      </c>
      <c r="H2725" s="913" t="s">
        <v>2014</v>
      </c>
      <c r="I2725" s="253">
        <v>819</v>
      </c>
      <c r="J2725" s="253">
        <v>9434.6110995631661</v>
      </c>
      <c r="K2725" s="904">
        <f t="shared" si="34"/>
        <v>7726946</v>
      </c>
      <c r="L2725" s="869" t="s">
        <v>167</v>
      </c>
      <c r="M2725" s="869" t="s">
        <v>165</v>
      </c>
      <c r="N2725" s="52" t="str">
        <f>IF(AND('331-CT'!$E$7=TH!H2725,OR(L2725="331",M2725="331")),"331",IF(AND(OR(L2725="131",M2725="131"),H2725='131-CT'!$E$7),"131",""))</f>
        <v/>
      </c>
      <c r="O2725" s="86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72"/>
    </row>
    <row r="2726" spans="1:27" s="906" customFormat="1" ht="15.75" customHeight="1">
      <c r="A2726" s="203" t="str">
        <f>IF(B2726&lt;&gt;"",IF(AND(B2726&gt;=_TM1,B2726&lt;=_TM2,OR(TH!L2726="1111",TH!M2726="1111")),TH!D2726,""),"")</f>
        <v/>
      </c>
      <c r="B2726" s="898">
        <f t="shared" si="35"/>
        <v>2</v>
      </c>
      <c r="C2726" s="899">
        <f t="shared" si="36"/>
        <v>42040</v>
      </c>
      <c r="D2726" s="900" t="s">
        <v>2013</v>
      </c>
      <c r="E2726" s="900">
        <v>42040</v>
      </c>
      <c r="F2726" s="49" t="s">
        <v>1654</v>
      </c>
      <c r="G2726" s="49" t="s">
        <v>472</v>
      </c>
      <c r="H2726" s="913" t="s">
        <v>2014</v>
      </c>
      <c r="I2726" s="253">
        <v>1638</v>
      </c>
      <c r="J2726" s="253">
        <v>827.59746487396205</v>
      </c>
      <c r="K2726" s="904">
        <f t="shared" si="34"/>
        <v>1355605</v>
      </c>
      <c r="L2726" s="869" t="s">
        <v>167</v>
      </c>
      <c r="M2726" s="869" t="s">
        <v>165</v>
      </c>
      <c r="N2726" s="52" t="str">
        <f>IF(AND('331-CT'!$E$7=TH!H2726,OR(L2726="331",M2726="331")),"331",IF(AND(OR(L2726="131",M2726="131"),H2726='131-CT'!$E$7),"131",""))</f>
        <v/>
      </c>
      <c r="O2726" s="86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72"/>
    </row>
    <row r="2727" spans="1:27" s="906" customFormat="1" ht="15.75" customHeight="1">
      <c r="A2727" s="203" t="str">
        <f>IF(B2727&lt;&gt;"",IF(AND(B2727&gt;=_TM1,B2727&lt;=_TM2,OR(TH!L2727="1111",TH!M2727="1111")),TH!D2727,""),"")</f>
        <v/>
      </c>
      <c r="B2727" s="898">
        <f t="shared" si="35"/>
        <v>2</v>
      </c>
      <c r="C2727" s="899">
        <f t="shared" si="36"/>
        <v>42040</v>
      </c>
      <c r="D2727" s="900" t="s">
        <v>2013</v>
      </c>
      <c r="E2727" s="900">
        <v>42040</v>
      </c>
      <c r="F2727" s="49" t="s">
        <v>474</v>
      </c>
      <c r="G2727" s="49" t="s">
        <v>475</v>
      </c>
      <c r="H2727" s="913" t="s">
        <v>2014</v>
      </c>
      <c r="I2727" s="253">
        <v>780</v>
      </c>
      <c r="J2727" s="253">
        <v>10013.929324974941</v>
      </c>
      <c r="K2727" s="904">
        <f t="shared" si="34"/>
        <v>7810865</v>
      </c>
      <c r="L2727" s="869" t="s">
        <v>167</v>
      </c>
      <c r="M2727" s="869" t="s">
        <v>165</v>
      </c>
      <c r="N2727" s="52" t="str">
        <f>IF(AND('331-CT'!$E$7=TH!H2727,OR(L2727="331",M2727="331")),"331",IF(AND(OR(L2727="131",M2727="131"),H2727='131-CT'!$E$7),"131",""))</f>
        <v/>
      </c>
      <c r="O2727" s="86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72"/>
    </row>
    <row r="2728" spans="1:27" s="906" customFormat="1" ht="15.75" customHeight="1">
      <c r="A2728" s="203" t="str">
        <f>IF(B2728&lt;&gt;"",IF(AND(B2728&gt;=_TM1,B2728&lt;=_TM2,OR(TH!L2728="1111",TH!M2728="1111")),TH!D2728,""),"")</f>
        <v/>
      </c>
      <c r="B2728" s="898">
        <f t="shared" si="35"/>
        <v>2</v>
      </c>
      <c r="C2728" s="899">
        <f t="shared" si="36"/>
        <v>42041</v>
      </c>
      <c r="D2728" s="900" t="s">
        <v>2013</v>
      </c>
      <c r="E2728" s="900">
        <v>42041</v>
      </c>
      <c r="F2728" s="49" t="s">
        <v>476</v>
      </c>
      <c r="G2728" s="49" t="s">
        <v>477</v>
      </c>
      <c r="H2728" s="913" t="s">
        <v>2014</v>
      </c>
      <c r="I2728" s="253">
        <v>202</v>
      </c>
      <c r="J2728" s="253">
        <v>10593.247550386715</v>
      </c>
      <c r="K2728" s="904">
        <f t="shared" si="34"/>
        <v>2139836</v>
      </c>
      <c r="L2728" s="869" t="s">
        <v>167</v>
      </c>
      <c r="M2728" s="869" t="s">
        <v>165</v>
      </c>
      <c r="N2728" s="52" t="str">
        <f>IF(AND('331-CT'!$E$7=TH!H2728,OR(L2728="331",M2728="331")),"331",IF(AND(OR(L2728="131",M2728="131"),H2728='131-CT'!$E$7),"131",""))</f>
        <v/>
      </c>
      <c r="O2728" s="86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72"/>
    </row>
    <row r="2729" spans="1:27" s="906" customFormat="1" ht="15.75" customHeight="1">
      <c r="A2729" s="203" t="str">
        <f>IF(B2729&lt;&gt;"",IF(AND(B2729&gt;=_TM1,B2729&lt;=_TM2,OR(TH!L2729="1111",TH!M2729="1111")),TH!D2729,""),"")</f>
        <v/>
      </c>
      <c r="B2729" s="898">
        <f t="shared" si="35"/>
        <v>2</v>
      </c>
      <c r="C2729" s="899">
        <f t="shared" si="36"/>
        <v>42041</v>
      </c>
      <c r="D2729" s="900" t="s">
        <v>2013</v>
      </c>
      <c r="E2729" s="900">
        <v>42041</v>
      </c>
      <c r="F2729" s="49" t="s">
        <v>479</v>
      </c>
      <c r="G2729" s="49" t="s">
        <v>480</v>
      </c>
      <c r="H2729" s="913" t="s">
        <v>2014</v>
      </c>
      <c r="I2729" s="253">
        <v>69</v>
      </c>
      <c r="J2729" s="253">
        <v>8358.7343952270166</v>
      </c>
      <c r="K2729" s="904">
        <f t="shared" si="34"/>
        <v>576753</v>
      </c>
      <c r="L2729" s="869" t="s">
        <v>167</v>
      </c>
      <c r="M2729" s="869" t="s">
        <v>165</v>
      </c>
      <c r="N2729" s="52" t="str">
        <f>IF(AND('331-CT'!$E$7=TH!H2729,OR(L2729="331",M2729="331")),"331",IF(AND(OR(L2729="131",M2729="131"),H2729='131-CT'!$E$7),"131",""))</f>
        <v/>
      </c>
      <c r="O2729" s="86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72"/>
    </row>
    <row r="2730" spans="1:27" s="906" customFormat="1" ht="15.75" customHeight="1">
      <c r="A2730" s="203" t="str">
        <f>IF(B2730&lt;&gt;"",IF(AND(B2730&gt;=_TM1,B2730&lt;=_TM2,OR(TH!L2730="1111",TH!M2730="1111")),TH!D2730,""),"")</f>
        <v/>
      </c>
      <c r="B2730" s="898">
        <f t="shared" si="35"/>
        <v>2</v>
      </c>
      <c r="C2730" s="899">
        <f t="shared" si="36"/>
        <v>42041</v>
      </c>
      <c r="D2730" s="900" t="s">
        <v>2013</v>
      </c>
      <c r="E2730" s="900">
        <v>42041</v>
      </c>
      <c r="F2730" s="49" t="s">
        <v>481</v>
      </c>
      <c r="G2730" s="49" t="s">
        <v>480</v>
      </c>
      <c r="H2730" s="913" t="s">
        <v>2014</v>
      </c>
      <c r="I2730" s="253">
        <v>87</v>
      </c>
      <c r="J2730" s="253">
        <v>6206.9809865547159</v>
      </c>
      <c r="K2730" s="904">
        <f t="shared" si="34"/>
        <v>540007</v>
      </c>
      <c r="L2730" s="869" t="s">
        <v>167</v>
      </c>
      <c r="M2730" s="869" t="s">
        <v>165</v>
      </c>
      <c r="N2730" s="52" t="str">
        <f>IF(AND('331-CT'!$E$7=TH!H2730,OR(L2730="331",M2730="331")),"331",IF(AND(OR(L2730="131",M2730="131"),H2730='131-CT'!$E$7),"131",""))</f>
        <v/>
      </c>
      <c r="O2730" s="86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72"/>
    </row>
    <row r="2731" spans="1:27" s="906" customFormat="1" ht="15.75" customHeight="1">
      <c r="A2731" s="203" t="str">
        <f>IF(B2731&lt;&gt;"",IF(AND(B2731&gt;=_TM1,B2731&lt;=_TM2,OR(TH!L2731="1111",TH!M2731="1111")),TH!D2731,""),"")</f>
        <v/>
      </c>
      <c r="B2731" s="898">
        <f t="shared" si="35"/>
        <v>2</v>
      </c>
      <c r="C2731" s="899">
        <f t="shared" si="36"/>
        <v>42041</v>
      </c>
      <c r="D2731" s="900" t="s">
        <v>2013</v>
      </c>
      <c r="E2731" s="900">
        <v>42041</v>
      </c>
      <c r="F2731" s="49" t="s">
        <v>482</v>
      </c>
      <c r="G2731" s="49" t="s">
        <v>480</v>
      </c>
      <c r="H2731" s="913" t="s">
        <v>2014</v>
      </c>
      <c r="I2731" s="253">
        <v>4</v>
      </c>
      <c r="J2731" s="253">
        <v>5296.6237751933577</v>
      </c>
      <c r="K2731" s="904">
        <f t="shared" ref="K2731:K2794" si="37">ROUND(I2731*J2731,0)</f>
        <v>21186</v>
      </c>
      <c r="L2731" s="869" t="s">
        <v>167</v>
      </c>
      <c r="M2731" s="869" t="s">
        <v>165</v>
      </c>
      <c r="N2731" s="52" t="str">
        <f>IF(AND('331-CT'!$E$7=TH!H2731,OR(L2731="331",M2731="331")),"331",IF(AND(OR(L2731="131",M2731="131"),H2731='131-CT'!$E$7),"131",""))</f>
        <v/>
      </c>
      <c r="O2731" s="86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2"/>
    </row>
    <row r="2732" spans="1:27" s="906" customFormat="1" ht="15.75" customHeight="1">
      <c r="A2732" s="203" t="str">
        <f>IF(B2732&lt;&gt;"",IF(AND(B2732&gt;=_TM1,B2732&lt;=_TM2,OR(TH!L2732="1111",TH!M2732="1111")),TH!D2732,""),"")</f>
        <v/>
      </c>
      <c r="B2732" s="898">
        <f t="shared" si="35"/>
        <v>2</v>
      </c>
      <c r="C2732" s="899">
        <f t="shared" si="36"/>
        <v>42041</v>
      </c>
      <c r="D2732" s="900" t="s">
        <v>2013</v>
      </c>
      <c r="E2732" s="900">
        <v>42041</v>
      </c>
      <c r="F2732" s="49" t="s">
        <v>483</v>
      </c>
      <c r="G2732" s="49" t="s">
        <v>480</v>
      </c>
      <c r="H2732" s="913" t="s">
        <v>2014</v>
      </c>
      <c r="I2732" s="253">
        <v>4</v>
      </c>
      <c r="J2732" s="253">
        <v>8275.9746487396205</v>
      </c>
      <c r="K2732" s="904">
        <f t="shared" si="37"/>
        <v>33104</v>
      </c>
      <c r="L2732" s="869" t="s">
        <v>167</v>
      </c>
      <c r="M2732" s="869" t="s">
        <v>165</v>
      </c>
      <c r="N2732" s="52" t="str">
        <f>IF(AND('331-CT'!$E$7=TH!H2732,OR(L2732="331",M2732="331")),"331",IF(AND(OR(L2732="131",M2732="131"),H2732='131-CT'!$E$7),"131",""))</f>
        <v/>
      </c>
      <c r="O2732" s="86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2"/>
    </row>
    <row r="2733" spans="1:27" s="906" customFormat="1" ht="15.75" customHeight="1">
      <c r="A2733" s="203" t="str">
        <f>IF(B2733&lt;&gt;"",IF(AND(B2733&gt;=_TM1,B2733&lt;=_TM2,OR(TH!L2733="1111",TH!M2733="1111")),TH!D2733,""),"")</f>
        <v/>
      </c>
      <c r="B2733" s="898">
        <f t="shared" si="35"/>
        <v>2</v>
      </c>
      <c r="C2733" s="899">
        <f t="shared" si="36"/>
        <v>42041</v>
      </c>
      <c r="D2733" s="900" t="s">
        <v>2013</v>
      </c>
      <c r="E2733" s="900">
        <v>42041</v>
      </c>
      <c r="F2733" s="49" t="s">
        <v>484</v>
      </c>
      <c r="G2733" s="49" t="s">
        <v>480</v>
      </c>
      <c r="H2733" s="913" t="s">
        <v>2014</v>
      </c>
      <c r="I2733" s="253">
        <v>13</v>
      </c>
      <c r="J2733" s="253">
        <v>9848.4098320001485</v>
      </c>
      <c r="K2733" s="904">
        <f t="shared" si="37"/>
        <v>128029</v>
      </c>
      <c r="L2733" s="869" t="s">
        <v>167</v>
      </c>
      <c r="M2733" s="869" t="s">
        <v>165</v>
      </c>
      <c r="N2733" s="52" t="str">
        <f>IF(AND('331-CT'!$E$7=TH!H2733,OR(L2733="331",M2733="331")),"331",IF(AND(OR(L2733="131",M2733="131"),H2733='131-CT'!$E$7),"131",""))</f>
        <v/>
      </c>
      <c r="O2733" s="86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2"/>
    </row>
    <row r="2734" spans="1:27" s="906" customFormat="1" ht="15.75" customHeight="1">
      <c r="A2734" s="203" t="str">
        <f>IF(B2734&lt;&gt;"",IF(AND(B2734&gt;=_TM1,B2734&lt;=_TM2,OR(TH!L2734="1111",TH!M2734="1111")),TH!D2734,""),"")</f>
        <v/>
      </c>
      <c r="B2734" s="898">
        <f t="shared" si="35"/>
        <v>2</v>
      </c>
      <c r="C2734" s="899">
        <f t="shared" si="36"/>
        <v>42041</v>
      </c>
      <c r="D2734" s="900" t="s">
        <v>2013</v>
      </c>
      <c r="E2734" s="900">
        <v>42041</v>
      </c>
      <c r="F2734" s="907" t="s">
        <v>485</v>
      </c>
      <c r="G2734" s="902" t="s">
        <v>480</v>
      </c>
      <c r="H2734" s="913" t="s">
        <v>2014</v>
      </c>
      <c r="I2734" s="253">
        <v>68</v>
      </c>
      <c r="J2734" s="253">
        <v>11338.08526877328</v>
      </c>
      <c r="K2734" s="904">
        <f t="shared" si="37"/>
        <v>770990</v>
      </c>
      <c r="L2734" s="869" t="s">
        <v>167</v>
      </c>
      <c r="M2734" s="869" t="s">
        <v>165</v>
      </c>
      <c r="N2734" s="52" t="str">
        <f>IF(AND('331-CT'!$E$7=TH!H2734,OR(L2734="331",M2734="331")),"331",IF(AND(OR(L2734="131",M2734="131"),H2734='131-CT'!$E$7),"131",""))</f>
        <v/>
      </c>
      <c r="O2734" s="86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2"/>
    </row>
    <row r="2735" spans="1:27" s="906" customFormat="1" ht="15.75" customHeight="1">
      <c r="A2735" s="203" t="str">
        <f>IF(B2735&lt;&gt;"",IF(AND(B2735&gt;=_TM1,B2735&lt;=_TM2,OR(TH!L2735="1111",TH!M2735="1111")),TH!D2735,""),"")</f>
        <v/>
      </c>
      <c r="B2735" s="898">
        <f t="shared" si="35"/>
        <v>2</v>
      </c>
      <c r="C2735" s="899">
        <f t="shared" si="36"/>
        <v>42041</v>
      </c>
      <c r="D2735" s="900" t="s">
        <v>2013</v>
      </c>
      <c r="E2735" s="900">
        <v>42041</v>
      </c>
      <c r="F2735" s="907" t="s">
        <v>1661</v>
      </c>
      <c r="G2735" s="902" t="s">
        <v>480</v>
      </c>
      <c r="H2735" s="913" t="s">
        <v>2014</v>
      </c>
      <c r="I2735" s="253">
        <v>490</v>
      </c>
      <c r="J2735" s="253">
        <v>496.5584789243772</v>
      </c>
      <c r="K2735" s="904">
        <f t="shared" si="37"/>
        <v>243314</v>
      </c>
      <c r="L2735" s="869" t="s">
        <v>167</v>
      </c>
      <c r="M2735" s="869" t="s">
        <v>165</v>
      </c>
      <c r="N2735" s="52" t="str">
        <f>IF(AND('331-CT'!$E$7=TH!H2735,OR(L2735="331",M2735="331")),"331",IF(AND(OR(L2735="131",M2735="131"),H2735='131-CT'!$E$7),"131",""))</f>
        <v/>
      </c>
      <c r="O2735" s="86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2"/>
    </row>
    <row r="2736" spans="1:27" s="906" customFormat="1" ht="15.75" customHeight="1">
      <c r="A2736" s="203" t="str">
        <f>IF(B2736&lt;&gt;"",IF(AND(B2736&gt;=_TM1,B2736&lt;=_TM2,OR(TH!L2736="1111",TH!M2736="1111")),TH!D2736,""),"")</f>
        <v/>
      </c>
      <c r="B2736" s="898">
        <f t="shared" si="35"/>
        <v>2</v>
      </c>
      <c r="C2736" s="899">
        <f t="shared" si="36"/>
        <v>42041</v>
      </c>
      <c r="D2736" s="900" t="s">
        <v>2013</v>
      </c>
      <c r="E2736" s="900">
        <v>42041</v>
      </c>
      <c r="F2736" s="907" t="s">
        <v>450</v>
      </c>
      <c r="G2736" s="902" t="s">
        <v>480</v>
      </c>
      <c r="H2736" s="913" t="s">
        <v>2014</v>
      </c>
      <c r="I2736" s="253">
        <v>42</v>
      </c>
      <c r="J2736" s="253">
        <v>14565.715381781733</v>
      </c>
      <c r="K2736" s="904">
        <f t="shared" si="37"/>
        <v>611760</v>
      </c>
      <c r="L2736" s="869" t="s">
        <v>167</v>
      </c>
      <c r="M2736" s="869" t="s">
        <v>165</v>
      </c>
      <c r="N2736" s="52" t="str">
        <f>IF(AND('331-CT'!$E$7=TH!H2736,OR(L2736="331",M2736="331")),"331",IF(AND(OR(L2736="131",M2736="131"),H2736='131-CT'!$E$7),"131",""))</f>
        <v/>
      </c>
      <c r="O2736" s="86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2"/>
    </row>
    <row r="2737" spans="1:27" s="906" customFormat="1" ht="15.75" customHeight="1">
      <c r="A2737" s="203" t="str">
        <f>IF(B2737&lt;&gt;"",IF(AND(B2737&gt;=_TM1,B2737&lt;=_TM2,OR(TH!L2737="1111",TH!M2737="1111")),TH!D2737,""),"")</f>
        <v/>
      </c>
      <c r="B2737" s="898">
        <f t="shared" si="35"/>
        <v>2</v>
      </c>
      <c r="C2737" s="899">
        <f t="shared" si="36"/>
        <v>42041</v>
      </c>
      <c r="D2737" s="900" t="s">
        <v>2013</v>
      </c>
      <c r="E2737" s="900">
        <v>42041</v>
      </c>
      <c r="F2737" s="907" t="s">
        <v>1654</v>
      </c>
      <c r="G2737" s="902" t="s">
        <v>480</v>
      </c>
      <c r="H2737" s="913" t="s">
        <v>2014</v>
      </c>
      <c r="I2737" s="253">
        <v>84</v>
      </c>
      <c r="J2737" s="253">
        <v>827.59746487396205</v>
      </c>
      <c r="K2737" s="904">
        <f t="shared" si="37"/>
        <v>69518</v>
      </c>
      <c r="L2737" s="869" t="s">
        <v>167</v>
      </c>
      <c r="M2737" s="869" t="s">
        <v>165</v>
      </c>
      <c r="N2737" s="52" t="str">
        <f>IF(AND('331-CT'!$E$7=TH!H2737,OR(L2737="331",M2737="331")),"331",IF(AND(OR(L2737="131",M2737="131"),H2737='131-CT'!$E$7),"131",""))</f>
        <v/>
      </c>
      <c r="O2737" s="86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2"/>
    </row>
    <row r="2738" spans="1:27" s="906" customFormat="1" ht="15.75" customHeight="1">
      <c r="A2738" s="203" t="str">
        <f>IF(B2738&lt;&gt;"",IF(AND(B2738&gt;=_TM1,B2738&lt;=_TM2,OR(TH!L2738="1111",TH!M2738="1111")),TH!D2738,""),"")</f>
        <v/>
      </c>
      <c r="B2738" s="898">
        <f t="shared" si="35"/>
        <v>2</v>
      </c>
      <c r="C2738" s="899">
        <f t="shared" si="36"/>
        <v>42042</v>
      </c>
      <c r="D2738" s="900" t="s">
        <v>2013</v>
      </c>
      <c r="E2738" s="900">
        <v>42042</v>
      </c>
      <c r="F2738" s="907" t="s">
        <v>413</v>
      </c>
      <c r="G2738" s="902" t="s">
        <v>486</v>
      </c>
      <c r="H2738" s="913" t="s">
        <v>2014</v>
      </c>
      <c r="I2738" s="253">
        <v>1025</v>
      </c>
      <c r="J2738" s="253">
        <v>7862.1759163026391</v>
      </c>
      <c r="K2738" s="904">
        <f t="shared" si="37"/>
        <v>8058730</v>
      </c>
      <c r="L2738" s="869" t="s">
        <v>167</v>
      </c>
      <c r="M2738" s="869" t="s">
        <v>165</v>
      </c>
      <c r="N2738" s="52" t="str">
        <f>IF(AND('331-CT'!$E$7=TH!H2738,OR(L2738="331",M2738="331")),"331",IF(AND(OR(L2738="131",M2738="131"),H2738='131-CT'!$E$7),"131",""))</f>
        <v/>
      </c>
      <c r="O2738" s="86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2"/>
    </row>
    <row r="2739" spans="1:27" s="906" customFormat="1" ht="15.75" customHeight="1">
      <c r="A2739" s="203" t="str">
        <f>IF(B2739&lt;&gt;"",IF(AND(B2739&gt;=_TM1,B2739&lt;=_TM2,OR(TH!L2739="1111",TH!M2739="1111")),TH!D2739,""),"")</f>
        <v/>
      </c>
      <c r="B2739" s="898">
        <f t="shared" si="35"/>
        <v>2</v>
      </c>
      <c r="C2739" s="899">
        <f t="shared" si="36"/>
        <v>42044</v>
      </c>
      <c r="D2739" s="900" t="s">
        <v>2013</v>
      </c>
      <c r="E2739" s="900">
        <v>42044</v>
      </c>
      <c r="F2739" s="907" t="s">
        <v>487</v>
      </c>
      <c r="G2739" s="902" t="s">
        <v>488</v>
      </c>
      <c r="H2739" s="913" t="s">
        <v>2014</v>
      </c>
      <c r="I2739" s="253">
        <v>992</v>
      </c>
      <c r="J2739" s="253">
        <v>7613.8966768404516</v>
      </c>
      <c r="K2739" s="904">
        <f t="shared" si="37"/>
        <v>7552986</v>
      </c>
      <c r="L2739" s="869" t="s">
        <v>167</v>
      </c>
      <c r="M2739" s="869" t="s">
        <v>165</v>
      </c>
      <c r="N2739" s="52" t="str">
        <f>IF(AND('331-CT'!$E$7=TH!H2739,OR(L2739="331",M2739="331")),"331",IF(AND(OR(L2739="131",M2739="131"),H2739='131-CT'!$E$7),"131",""))</f>
        <v/>
      </c>
      <c r="O2739" s="86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2"/>
    </row>
    <row r="2740" spans="1:27" s="906" customFormat="1" ht="15.75" customHeight="1">
      <c r="A2740" s="203" t="str">
        <f>IF(B2740&lt;&gt;"",IF(AND(B2740&gt;=_TM1,B2740&lt;=_TM2,OR(TH!L2740="1111",TH!M2740="1111")),TH!D2740,""),"")</f>
        <v/>
      </c>
      <c r="B2740" s="898">
        <f t="shared" si="35"/>
        <v>2</v>
      </c>
      <c r="C2740" s="899">
        <f t="shared" si="36"/>
        <v>42044</v>
      </c>
      <c r="D2740" s="900" t="s">
        <v>2013</v>
      </c>
      <c r="E2740" s="900">
        <v>42044</v>
      </c>
      <c r="F2740" s="907" t="s">
        <v>405</v>
      </c>
      <c r="G2740" s="902" t="s">
        <v>490</v>
      </c>
      <c r="H2740" s="913" t="s">
        <v>2014</v>
      </c>
      <c r="I2740" s="253">
        <v>1980</v>
      </c>
      <c r="J2740" s="253">
        <v>10344.968310924525</v>
      </c>
      <c r="K2740" s="904">
        <f t="shared" si="37"/>
        <v>20483037</v>
      </c>
      <c r="L2740" s="869" t="s">
        <v>167</v>
      </c>
      <c r="M2740" s="869" t="s">
        <v>165</v>
      </c>
      <c r="N2740" s="52" t="str">
        <f>IF(AND('331-CT'!$E$7=TH!H2740,OR(L2740="331",M2740="331")),"331",IF(AND(OR(L2740="131",M2740="131"),H2740='131-CT'!$E$7),"131",""))</f>
        <v/>
      </c>
      <c r="O2740" s="86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2"/>
    </row>
    <row r="2741" spans="1:27" s="906" customFormat="1" ht="15.75" customHeight="1">
      <c r="A2741" s="203" t="str">
        <f>IF(B2741&lt;&gt;"",IF(AND(B2741&gt;=_TM1,B2741&lt;=_TM2,OR(TH!L2741="1111",TH!M2741="1111")),TH!D2741,""),"")</f>
        <v/>
      </c>
      <c r="B2741" s="898">
        <f t="shared" si="35"/>
        <v>2</v>
      </c>
      <c r="C2741" s="899">
        <f t="shared" si="36"/>
        <v>42044</v>
      </c>
      <c r="D2741" s="900" t="s">
        <v>2013</v>
      </c>
      <c r="E2741" s="900">
        <v>42044</v>
      </c>
      <c r="F2741" s="907" t="s">
        <v>424</v>
      </c>
      <c r="G2741" s="902" t="s">
        <v>490</v>
      </c>
      <c r="H2741" s="913" t="s">
        <v>2014</v>
      </c>
      <c r="I2741" s="253">
        <v>200</v>
      </c>
      <c r="J2741" s="253">
        <v>8689.7733811766011</v>
      </c>
      <c r="K2741" s="904">
        <f t="shared" si="37"/>
        <v>1737955</v>
      </c>
      <c r="L2741" s="869" t="s">
        <v>167</v>
      </c>
      <c r="M2741" s="869" t="s">
        <v>165</v>
      </c>
      <c r="N2741" s="52" t="str">
        <f>IF(AND('331-CT'!$E$7=TH!H2741,OR(L2741="331",M2741="331")),"331",IF(AND(OR(L2741="131",M2741="131"),H2741='131-CT'!$E$7),"131",""))</f>
        <v/>
      </c>
      <c r="O2741" s="86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2"/>
    </row>
    <row r="2742" spans="1:27" s="906" customFormat="1" ht="15.75" customHeight="1">
      <c r="A2742" s="203" t="str">
        <f>IF(B2742&lt;&gt;"",IF(AND(B2742&gt;=_TM1,B2742&lt;=_TM2,OR(TH!L2742="1111",TH!M2742="1111")),TH!D2742,""),"")</f>
        <v/>
      </c>
      <c r="B2742" s="898">
        <f t="shared" ref="B2742:B2805" si="38">IF(C2742&lt;&gt;"",MONTH(C2742),"")</f>
        <v>2</v>
      </c>
      <c r="C2742" s="899">
        <f t="shared" si="36"/>
        <v>42044</v>
      </c>
      <c r="D2742" s="900" t="s">
        <v>2013</v>
      </c>
      <c r="E2742" s="900">
        <v>42044</v>
      </c>
      <c r="F2742" s="907" t="s">
        <v>491</v>
      </c>
      <c r="G2742" s="902" t="s">
        <v>490</v>
      </c>
      <c r="H2742" s="913" t="s">
        <v>2014</v>
      </c>
      <c r="I2742" s="253">
        <v>555</v>
      </c>
      <c r="J2742" s="253">
        <v>9600.1305925379584</v>
      </c>
      <c r="K2742" s="904">
        <f t="shared" si="37"/>
        <v>5328072</v>
      </c>
      <c r="L2742" s="869" t="s">
        <v>167</v>
      </c>
      <c r="M2742" s="869" t="s">
        <v>165</v>
      </c>
      <c r="N2742" s="52" t="str">
        <f>IF(AND('331-CT'!$E$7=TH!H2742,OR(L2742="331",M2742="331")),"331",IF(AND(OR(L2742="131",M2742="131"),H2742='131-CT'!$E$7),"131",""))</f>
        <v/>
      </c>
      <c r="O2742" s="86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2"/>
    </row>
    <row r="2743" spans="1:27" s="906" customFormat="1" ht="15.75" customHeight="1">
      <c r="A2743" s="203" t="str">
        <f>IF(B2743&lt;&gt;"",IF(AND(B2743&gt;=_TM1,B2743&lt;=_TM2,OR(TH!L2743="1111",TH!M2743="1111")),TH!D2743,""),"")</f>
        <v/>
      </c>
      <c r="B2743" s="898">
        <f t="shared" si="38"/>
        <v>2</v>
      </c>
      <c r="C2743" s="899">
        <f t="shared" si="36"/>
        <v>42047</v>
      </c>
      <c r="D2743" s="900" t="s">
        <v>2013</v>
      </c>
      <c r="E2743" s="900">
        <v>42047</v>
      </c>
      <c r="F2743" s="907" t="s">
        <v>405</v>
      </c>
      <c r="G2743" s="902" t="s">
        <v>492</v>
      </c>
      <c r="H2743" s="913" t="s">
        <v>2014</v>
      </c>
      <c r="I2743" s="253">
        <v>351</v>
      </c>
      <c r="J2743" s="253">
        <v>10344.968310924525</v>
      </c>
      <c r="K2743" s="904">
        <f t="shared" si="37"/>
        <v>3631084</v>
      </c>
      <c r="L2743" s="869" t="s">
        <v>167</v>
      </c>
      <c r="M2743" s="869" t="s">
        <v>165</v>
      </c>
      <c r="N2743" s="52" t="str">
        <f>IF(AND('331-CT'!$E$7=TH!H2743,OR(L2743="331",M2743="331")),"331",IF(AND(OR(L2743="131",M2743="131"),H2743='131-CT'!$E$7),"131",""))</f>
        <v/>
      </c>
      <c r="O2743" s="86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2"/>
    </row>
    <row r="2744" spans="1:27" s="906" customFormat="1" ht="15.75" customHeight="1">
      <c r="A2744" s="203" t="str">
        <f>IF(B2744&lt;&gt;"",IF(AND(B2744&gt;=_TM1,B2744&lt;=_TM2,OR(TH!L2744="1111",TH!M2744="1111")),TH!D2744,""),"")</f>
        <v/>
      </c>
      <c r="B2744" s="898">
        <f t="shared" si="38"/>
        <v>2</v>
      </c>
      <c r="C2744" s="899">
        <f t="shared" si="36"/>
        <v>42047</v>
      </c>
      <c r="D2744" s="900" t="s">
        <v>2013</v>
      </c>
      <c r="E2744" s="900">
        <v>42047</v>
      </c>
      <c r="F2744" s="907" t="s">
        <v>1691</v>
      </c>
      <c r="G2744" s="902" t="s">
        <v>493</v>
      </c>
      <c r="H2744" s="913" t="s">
        <v>2014</v>
      </c>
      <c r="I2744" s="253">
        <v>500</v>
      </c>
      <c r="J2744" s="253">
        <v>496.5584789243772</v>
      </c>
      <c r="K2744" s="904">
        <f t="shared" si="37"/>
        <v>248279</v>
      </c>
      <c r="L2744" s="869" t="s">
        <v>167</v>
      </c>
      <c r="M2744" s="869" t="s">
        <v>165</v>
      </c>
      <c r="N2744" s="52" t="str">
        <f>IF(AND('331-CT'!$E$7=TH!H2744,OR(L2744="331",M2744="331")),"331",IF(AND(OR(L2744="131",M2744="131"),H2744='131-CT'!$E$7),"131",""))</f>
        <v/>
      </c>
      <c r="O2744" s="86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2"/>
    </row>
    <row r="2745" spans="1:27" s="906" customFormat="1" ht="15.75" customHeight="1">
      <c r="A2745" s="203" t="str">
        <f>IF(B2745&lt;&gt;"",IF(AND(B2745&gt;=_TM1,B2745&lt;=_TM2,OR(TH!L2745="1111",TH!M2745="1111")),TH!D2745,""),"")</f>
        <v/>
      </c>
      <c r="B2745" s="898">
        <f t="shared" si="38"/>
        <v>2</v>
      </c>
      <c r="C2745" s="899">
        <f t="shared" si="36"/>
        <v>42047</v>
      </c>
      <c r="D2745" s="900" t="s">
        <v>2013</v>
      </c>
      <c r="E2745" s="900">
        <v>42047</v>
      </c>
      <c r="F2745" s="907" t="s">
        <v>1692</v>
      </c>
      <c r="G2745" s="902" t="s">
        <v>493</v>
      </c>
      <c r="H2745" s="913" t="s">
        <v>2014</v>
      </c>
      <c r="I2745" s="253">
        <v>1000</v>
      </c>
      <c r="J2745" s="253">
        <v>662.07797189916971</v>
      </c>
      <c r="K2745" s="904">
        <f t="shared" si="37"/>
        <v>662078</v>
      </c>
      <c r="L2745" s="869" t="s">
        <v>167</v>
      </c>
      <c r="M2745" s="869" t="s">
        <v>165</v>
      </c>
      <c r="N2745" s="52" t="str">
        <f>IF(AND('331-CT'!$E$7=TH!H2745,OR(L2745="331",M2745="331")),"331",IF(AND(OR(L2745="131",M2745="131"),H2745='131-CT'!$E$7),"131",""))</f>
        <v/>
      </c>
      <c r="O2745" s="86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2"/>
    </row>
    <row r="2746" spans="1:27" s="906" customFormat="1" ht="15.75" customHeight="1">
      <c r="A2746" s="203" t="str">
        <f>IF(B2746&lt;&gt;"",IF(AND(B2746&gt;=_TM1,B2746&lt;=_TM2,OR(TH!L2746="1111",TH!M2746="1111")),TH!D2746,""),"")</f>
        <v/>
      </c>
      <c r="B2746" s="898">
        <f t="shared" si="38"/>
        <v>2</v>
      </c>
      <c r="C2746" s="899">
        <f t="shared" si="36"/>
        <v>42047</v>
      </c>
      <c r="D2746" s="900" t="s">
        <v>2013</v>
      </c>
      <c r="E2746" s="900">
        <v>42047</v>
      </c>
      <c r="F2746" s="907" t="s">
        <v>494</v>
      </c>
      <c r="G2746" s="902" t="s">
        <v>495</v>
      </c>
      <c r="H2746" s="913" t="s">
        <v>2014</v>
      </c>
      <c r="I2746" s="253">
        <v>1018</v>
      </c>
      <c r="J2746" s="253">
        <v>5710.4225076303373</v>
      </c>
      <c r="K2746" s="904">
        <f t="shared" si="37"/>
        <v>5813210</v>
      </c>
      <c r="L2746" s="869" t="s">
        <v>167</v>
      </c>
      <c r="M2746" s="869" t="s">
        <v>165</v>
      </c>
      <c r="N2746" s="52" t="str">
        <f>IF(AND('331-CT'!$E$7=TH!H2746,OR(L2746="331",M2746="331")),"331",IF(AND(OR(L2746="131",M2746="131"),H2746='131-CT'!$E$7),"131",""))</f>
        <v/>
      </c>
      <c r="O2746" s="86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2"/>
    </row>
    <row r="2747" spans="1:27" s="906" customFormat="1" ht="15.75" customHeight="1">
      <c r="A2747" s="203" t="str">
        <f>IF(B2747&lt;&gt;"",IF(AND(B2747&gt;=_TM1,B2747&lt;=_TM2,OR(TH!L2747="1111",TH!M2747="1111")),TH!D2747,""),"")</f>
        <v/>
      </c>
      <c r="B2747" s="898">
        <f t="shared" si="38"/>
        <v>2</v>
      </c>
      <c r="C2747" s="899">
        <f t="shared" si="36"/>
        <v>42047</v>
      </c>
      <c r="D2747" s="900" t="s">
        <v>2013</v>
      </c>
      <c r="E2747" s="900">
        <v>42047</v>
      </c>
      <c r="F2747" s="907" t="s">
        <v>496</v>
      </c>
      <c r="G2747" s="902" t="s">
        <v>495</v>
      </c>
      <c r="H2747" s="913" t="s">
        <v>2014</v>
      </c>
      <c r="I2747" s="253">
        <v>317</v>
      </c>
      <c r="J2747" s="253">
        <v>4386.2665638319995</v>
      </c>
      <c r="K2747" s="904">
        <f t="shared" si="37"/>
        <v>1390447</v>
      </c>
      <c r="L2747" s="869" t="s">
        <v>167</v>
      </c>
      <c r="M2747" s="869" t="s">
        <v>165</v>
      </c>
      <c r="N2747" s="52" t="str">
        <f>IF(AND('331-CT'!$E$7=TH!H2747,OR(L2747="331",M2747="331")),"331",IF(AND(OR(L2747="131",M2747="131"),H2747='131-CT'!$E$7),"131",""))</f>
        <v/>
      </c>
      <c r="O2747" s="86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2"/>
    </row>
    <row r="2748" spans="1:27" s="906" customFormat="1" ht="15.75" customHeight="1">
      <c r="A2748" s="203" t="str">
        <f>IF(B2748&lt;&gt;"",IF(AND(B2748&gt;=_TM1,B2748&lt;=_TM2,OR(TH!L2748="1111",TH!M2748="1111")),TH!D2748,""),"")</f>
        <v/>
      </c>
      <c r="B2748" s="898">
        <f t="shared" si="38"/>
        <v>2</v>
      </c>
      <c r="C2748" s="899">
        <f t="shared" si="36"/>
        <v>42047</v>
      </c>
      <c r="D2748" s="900" t="s">
        <v>2013</v>
      </c>
      <c r="E2748" s="900">
        <v>42047</v>
      </c>
      <c r="F2748" s="907" t="s">
        <v>497</v>
      </c>
      <c r="G2748" s="902" t="s">
        <v>498</v>
      </c>
      <c r="H2748" s="913" t="s">
        <v>2014</v>
      </c>
      <c r="I2748" s="253">
        <v>203</v>
      </c>
      <c r="J2748" s="253">
        <v>5793.1822541177344</v>
      </c>
      <c r="K2748" s="904">
        <f t="shared" si="37"/>
        <v>1176016</v>
      </c>
      <c r="L2748" s="869" t="s">
        <v>167</v>
      </c>
      <c r="M2748" s="869" t="s">
        <v>165</v>
      </c>
      <c r="N2748" s="52" t="str">
        <f>IF(AND('331-CT'!$E$7=TH!H2748,OR(L2748="331",M2748="331")),"331",IF(AND(OR(L2748="131",M2748="131"),H2748='131-CT'!$E$7),"131",""))</f>
        <v/>
      </c>
      <c r="O2748" s="86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2"/>
    </row>
    <row r="2749" spans="1:27" s="906" customFormat="1" ht="15.75" customHeight="1">
      <c r="A2749" s="203" t="str">
        <f>IF(B2749&lt;&gt;"",IF(AND(B2749&gt;=_TM1,B2749&lt;=_TM2,OR(TH!L2749="1111",TH!M2749="1111")),TH!D2749,""),"")</f>
        <v/>
      </c>
      <c r="B2749" s="898">
        <f t="shared" si="38"/>
        <v>2</v>
      </c>
      <c r="C2749" s="899">
        <f t="shared" si="36"/>
        <v>42047</v>
      </c>
      <c r="D2749" s="900" t="s">
        <v>2013</v>
      </c>
      <c r="E2749" s="900">
        <v>42047</v>
      </c>
      <c r="F2749" s="907" t="s">
        <v>499</v>
      </c>
      <c r="G2749" s="902" t="s">
        <v>498</v>
      </c>
      <c r="H2749" s="913" t="s">
        <v>2014</v>
      </c>
      <c r="I2749" s="253">
        <v>203</v>
      </c>
      <c r="J2749" s="253">
        <v>6951.8187049412809</v>
      </c>
      <c r="K2749" s="904">
        <f t="shared" si="37"/>
        <v>1411219</v>
      </c>
      <c r="L2749" s="869" t="s">
        <v>167</v>
      </c>
      <c r="M2749" s="869" t="s">
        <v>165</v>
      </c>
      <c r="N2749" s="52" t="str">
        <f>IF(AND('331-CT'!$E$7=TH!H2749,OR(L2749="331",M2749="331")),"331",IF(AND(OR(L2749="131",M2749="131"),H2749='131-CT'!$E$7),"131",""))</f>
        <v/>
      </c>
      <c r="O2749" s="86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2"/>
    </row>
    <row r="2750" spans="1:27" s="906" customFormat="1" ht="15.75" customHeight="1">
      <c r="A2750" s="203" t="str">
        <f>IF(B2750&lt;&gt;"",IF(AND(B2750&gt;=_TM1,B2750&lt;=_TM2,OR(TH!L2750="1111",TH!M2750="1111")),TH!D2750,""),"")</f>
        <v/>
      </c>
      <c r="B2750" s="898">
        <f t="shared" si="38"/>
        <v>2</v>
      </c>
      <c r="C2750" s="899">
        <f t="shared" si="36"/>
        <v>42063</v>
      </c>
      <c r="D2750" s="900" t="s">
        <v>2013</v>
      </c>
      <c r="E2750" s="900">
        <v>42063</v>
      </c>
      <c r="F2750" s="907" t="s">
        <v>398</v>
      </c>
      <c r="G2750" s="902" t="s">
        <v>500</v>
      </c>
      <c r="H2750" s="913" t="s">
        <v>2014</v>
      </c>
      <c r="I2750" s="253">
        <v>907</v>
      </c>
      <c r="J2750" s="253">
        <v>6786.2992119664887</v>
      </c>
      <c r="K2750" s="904">
        <f t="shared" si="37"/>
        <v>6155173</v>
      </c>
      <c r="L2750" s="869" t="s">
        <v>167</v>
      </c>
      <c r="M2750" s="869" t="s">
        <v>165</v>
      </c>
      <c r="N2750" s="52" t="str">
        <f>IF(AND('331-CT'!$E$7=TH!H2750,OR(L2750="331",M2750="331")),"331",IF(AND(OR(L2750="131",M2750="131"),H2750='131-CT'!$E$7),"131",""))</f>
        <v/>
      </c>
      <c r="O2750" s="86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2"/>
    </row>
    <row r="2751" spans="1:27" s="906" customFormat="1" ht="15.75" customHeight="1">
      <c r="A2751" s="203" t="str">
        <f>IF(B2751&lt;&gt;"",IF(AND(B2751&gt;=_TM1,B2751&lt;=_TM2,OR(TH!L2751="1111",TH!M2751="1111")),TH!D2751,""),"")</f>
        <v/>
      </c>
      <c r="B2751" s="898">
        <f t="shared" si="38"/>
        <v>2</v>
      </c>
      <c r="C2751" s="899">
        <f t="shared" si="36"/>
        <v>42063</v>
      </c>
      <c r="D2751" s="900" t="s">
        <v>2013</v>
      </c>
      <c r="E2751" s="900">
        <v>42063</v>
      </c>
      <c r="F2751" s="907" t="s">
        <v>446</v>
      </c>
      <c r="G2751" s="902" t="s">
        <v>500</v>
      </c>
      <c r="H2751" s="913" t="s">
        <v>2014</v>
      </c>
      <c r="I2751" s="253">
        <v>300</v>
      </c>
      <c r="J2751" s="253">
        <v>7531.1369303530546</v>
      </c>
      <c r="K2751" s="904">
        <f t="shared" si="37"/>
        <v>2259341</v>
      </c>
      <c r="L2751" s="869" t="s">
        <v>167</v>
      </c>
      <c r="M2751" s="869" t="s">
        <v>165</v>
      </c>
      <c r="N2751" s="52" t="str">
        <f>IF(AND('331-CT'!$E$7=TH!H2751,OR(L2751="331",M2751="331")),"331",IF(AND(OR(L2751="131",M2751="131"),H2751='131-CT'!$E$7),"131",""))</f>
        <v/>
      </c>
      <c r="O2751" s="86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2"/>
    </row>
    <row r="2752" spans="1:27" s="906" customFormat="1" ht="15.75" customHeight="1">
      <c r="A2752" s="203" t="str">
        <f>IF(B2752&lt;&gt;"",IF(AND(B2752&gt;=_TM1,B2752&lt;=_TM2,OR(TH!L2752="1111",TH!M2752="1111")),TH!D2752,""),"")</f>
        <v/>
      </c>
      <c r="B2752" s="898">
        <f t="shared" si="38"/>
        <v>2</v>
      </c>
      <c r="C2752" s="899">
        <f t="shared" si="36"/>
        <v>42063</v>
      </c>
      <c r="D2752" s="900" t="s">
        <v>2013</v>
      </c>
      <c r="E2752" s="900">
        <v>42063</v>
      </c>
      <c r="F2752" s="907" t="s">
        <v>401</v>
      </c>
      <c r="G2752" s="902" t="s">
        <v>500</v>
      </c>
      <c r="H2752" s="913" t="s">
        <v>2014</v>
      </c>
      <c r="I2752" s="253">
        <v>317</v>
      </c>
      <c r="J2752" s="253">
        <v>8027.6954092774313</v>
      </c>
      <c r="K2752" s="904">
        <f t="shared" si="37"/>
        <v>2544779</v>
      </c>
      <c r="L2752" s="869" t="s">
        <v>167</v>
      </c>
      <c r="M2752" s="869" t="s">
        <v>165</v>
      </c>
      <c r="N2752" s="52" t="str">
        <f>IF(AND('331-CT'!$E$7=TH!H2752,OR(L2752="331",M2752="331")),"331",IF(AND(OR(L2752="131",M2752="131"),H2752='131-CT'!$E$7),"131",""))</f>
        <v/>
      </c>
      <c r="O2752" s="86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2"/>
    </row>
    <row r="2753" spans="1:27" s="906" customFormat="1" ht="15.75" customHeight="1">
      <c r="A2753" s="203" t="str">
        <f>IF(B2753&lt;&gt;"",IF(AND(B2753&gt;=_TM1,B2753&lt;=_TM2,OR(TH!L2753="1111",TH!M2753="1111")),TH!D2753,""),"")</f>
        <v/>
      </c>
      <c r="B2753" s="898">
        <f t="shared" si="38"/>
        <v>2</v>
      </c>
      <c r="C2753" s="899">
        <f t="shared" si="36"/>
        <v>42063</v>
      </c>
      <c r="D2753" s="900" t="s">
        <v>2013</v>
      </c>
      <c r="E2753" s="900">
        <v>42063</v>
      </c>
      <c r="F2753" s="907" t="s">
        <v>501</v>
      </c>
      <c r="G2753" s="902" t="s">
        <v>500</v>
      </c>
      <c r="H2753" s="913" t="s">
        <v>2014</v>
      </c>
      <c r="I2753" s="253">
        <v>314</v>
      </c>
      <c r="J2753" s="253">
        <v>13076.039945008601</v>
      </c>
      <c r="K2753" s="904">
        <f t="shared" si="37"/>
        <v>4105877</v>
      </c>
      <c r="L2753" s="869" t="s">
        <v>167</v>
      </c>
      <c r="M2753" s="869" t="s">
        <v>165</v>
      </c>
      <c r="N2753" s="52" t="str">
        <f>IF(AND('331-CT'!$E$7=TH!H2753,OR(L2753="331",M2753="331")),"331",IF(AND(OR(L2753="131",M2753="131"),H2753='131-CT'!$E$7),"131",""))</f>
        <v/>
      </c>
      <c r="O2753" s="86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2"/>
    </row>
    <row r="2754" spans="1:27" s="906" customFormat="1" ht="15.75" customHeight="1">
      <c r="A2754" s="203" t="str">
        <f>IF(B2754&lt;&gt;"",IF(AND(B2754&gt;=_TM1,B2754&lt;=_TM2,OR(TH!L2754="1111",TH!M2754="1111")),TH!D2754,""),"")</f>
        <v/>
      </c>
      <c r="B2754" s="898">
        <f t="shared" si="38"/>
        <v>3</v>
      </c>
      <c r="C2754" s="899">
        <f t="shared" si="36"/>
        <v>42066</v>
      </c>
      <c r="D2754" s="900" t="s">
        <v>2013</v>
      </c>
      <c r="E2754" s="900">
        <v>42066</v>
      </c>
      <c r="F2754" s="907" t="s">
        <v>413</v>
      </c>
      <c r="G2754" s="902" t="s">
        <v>502</v>
      </c>
      <c r="H2754" s="913" t="s">
        <v>2014</v>
      </c>
      <c r="I2754" s="253">
        <v>618</v>
      </c>
      <c r="J2754" s="253">
        <v>7862.1759163026391</v>
      </c>
      <c r="K2754" s="904">
        <f t="shared" si="37"/>
        <v>4858825</v>
      </c>
      <c r="L2754" s="869" t="s">
        <v>167</v>
      </c>
      <c r="M2754" s="869" t="s">
        <v>165</v>
      </c>
      <c r="N2754" s="52" t="str">
        <f>IF(AND('331-CT'!$E$7=TH!H2754,OR(L2754="331",M2754="331")),"331",IF(AND(OR(L2754="131",M2754="131"),H2754='131-CT'!$E$7),"131",""))</f>
        <v/>
      </c>
      <c r="O2754" s="86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2"/>
    </row>
    <row r="2755" spans="1:27" s="906" customFormat="1" ht="15.75" customHeight="1">
      <c r="A2755" s="203" t="str">
        <f>IF(B2755&lt;&gt;"",IF(AND(B2755&gt;=_TM1,B2755&lt;=_TM2,OR(TH!L2755="1111",TH!M2755="1111")),TH!D2755,""),"")</f>
        <v/>
      </c>
      <c r="B2755" s="898">
        <f t="shared" si="38"/>
        <v>3</v>
      </c>
      <c r="C2755" s="899">
        <f t="shared" si="36"/>
        <v>42066</v>
      </c>
      <c r="D2755" s="900" t="s">
        <v>2013</v>
      </c>
      <c r="E2755" s="900">
        <v>42066</v>
      </c>
      <c r="F2755" s="907" t="s">
        <v>503</v>
      </c>
      <c r="G2755" s="902" t="s">
        <v>504</v>
      </c>
      <c r="H2755" s="913" t="s">
        <v>2014</v>
      </c>
      <c r="I2755" s="253">
        <v>380</v>
      </c>
      <c r="J2755" s="253">
        <v>13489.838677445581</v>
      </c>
      <c r="K2755" s="904">
        <f t="shared" si="37"/>
        <v>5126139</v>
      </c>
      <c r="L2755" s="869" t="s">
        <v>167</v>
      </c>
      <c r="M2755" s="869" t="s">
        <v>165</v>
      </c>
      <c r="N2755" s="52" t="str">
        <f>IF(AND('331-CT'!$E$7=TH!H2755,OR(L2755="331",M2755="331")),"331",IF(AND(OR(L2755="131",M2755="131"),H2755='131-CT'!$E$7),"131",""))</f>
        <v/>
      </c>
      <c r="O2755" s="86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2"/>
    </row>
    <row r="2756" spans="1:27" s="906" customFormat="1" ht="15.75" customHeight="1">
      <c r="A2756" s="203" t="str">
        <f>IF(B2756&lt;&gt;"",IF(AND(B2756&gt;=_TM1,B2756&lt;=_TM2,OR(TH!L2756="1111",TH!M2756="1111")),TH!D2756,""),"")</f>
        <v/>
      </c>
      <c r="B2756" s="898">
        <f t="shared" si="38"/>
        <v>3</v>
      </c>
      <c r="C2756" s="899">
        <f t="shared" si="36"/>
        <v>42066</v>
      </c>
      <c r="D2756" s="900" t="s">
        <v>2013</v>
      </c>
      <c r="E2756" s="900">
        <v>42066</v>
      </c>
      <c r="F2756" s="907" t="s">
        <v>505</v>
      </c>
      <c r="G2756" s="902" t="s">
        <v>506</v>
      </c>
      <c r="H2756" s="913" t="s">
        <v>2014</v>
      </c>
      <c r="I2756" s="253">
        <v>200</v>
      </c>
      <c r="J2756" s="253">
        <v>24745.164199731465</v>
      </c>
      <c r="K2756" s="904">
        <f t="shared" si="37"/>
        <v>4949033</v>
      </c>
      <c r="L2756" s="869" t="s">
        <v>167</v>
      </c>
      <c r="M2756" s="869" t="s">
        <v>165</v>
      </c>
      <c r="N2756" s="52" t="str">
        <f>IF(AND('331-CT'!$E$7=TH!H2756,OR(L2756="331",M2756="331")),"331",IF(AND(OR(L2756="131",M2756="131"),H2756='131-CT'!$E$7),"131",""))</f>
        <v/>
      </c>
      <c r="O2756" s="86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2"/>
    </row>
    <row r="2757" spans="1:27" s="906" customFormat="1" ht="15.75" customHeight="1">
      <c r="A2757" s="203" t="str">
        <f>IF(B2757&lt;&gt;"",IF(AND(B2757&gt;=_TM1,B2757&lt;=_TM2,OR(TH!L2757="1111",TH!M2757="1111")),TH!D2757,""),"")</f>
        <v/>
      </c>
      <c r="B2757" s="898">
        <f t="shared" si="38"/>
        <v>3</v>
      </c>
      <c r="C2757" s="899">
        <f t="shared" si="36"/>
        <v>42066</v>
      </c>
      <c r="D2757" s="900" t="s">
        <v>2013</v>
      </c>
      <c r="E2757" s="900">
        <v>42066</v>
      </c>
      <c r="F2757" s="907" t="s">
        <v>508</v>
      </c>
      <c r="G2757" s="902" t="s">
        <v>509</v>
      </c>
      <c r="H2757" s="913" t="s">
        <v>2014</v>
      </c>
      <c r="I2757" s="253">
        <v>617</v>
      </c>
      <c r="J2757" s="253">
        <v>5213.8640287059607</v>
      </c>
      <c r="K2757" s="904">
        <f t="shared" si="37"/>
        <v>3216954</v>
      </c>
      <c r="L2757" s="869" t="s">
        <v>167</v>
      </c>
      <c r="M2757" s="869" t="s">
        <v>165</v>
      </c>
      <c r="N2757" s="52" t="str">
        <f>IF(AND('331-CT'!$E$7=TH!H2757,OR(L2757="331",M2757="331")),"331",IF(AND(OR(L2757="131",M2757="131"),H2757='131-CT'!$E$7),"131",""))</f>
        <v/>
      </c>
      <c r="O2757" s="86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2"/>
    </row>
    <row r="2758" spans="1:27" s="906" customFormat="1" ht="15.75" customHeight="1">
      <c r="A2758" s="203" t="str">
        <f>IF(B2758&lt;&gt;"",IF(AND(B2758&gt;=_TM1,B2758&lt;=_TM2,OR(TH!L2758="1111",TH!M2758="1111")),TH!D2758,""),"")</f>
        <v/>
      </c>
      <c r="B2758" s="898">
        <f t="shared" si="38"/>
        <v>3</v>
      </c>
      <c r="C2758" s="899">
        <f t="shared" si="36"/>
        <v>42066</v>
      </c>
      <c r="D2758" s="900" t="s">
        <v>2013</v>
      </c>
      <c r="E2758" s="900">
        <v>42066</v>
      </c>
      <c r="F2758" s="907" t="s">
        <v>510</v>
      </c>
      <c r="G2758" s="902" t="s">
        <v>511</v>
      </c>
      <c r="H2758" s="913" t="s">
        <v>2014</v>
      </c>
      <c r="I2758" s="253">
        <v>24</v>
      </c>
      <c r="J2758" s="253">
        <v>9103.5721136135835</v>
      </c>
      <c r="K2758" s="904">
        <f t="shared" si="37"/>
        <v>218486</v>
      </c>
      <c r="L2758" s="869" t="s">
        <v>167</v>
      </c>
      <c r="M2758" s="869" t="s">
        <v>165</v>
      </c>
      <c r="N2758" s="52" t="str">
        <f>IF(AND('331-CT'!$E$7=TH!H2758,OR(L2758="331",M2758="331")),"331",IF(AND(OR(L2758="131",M2758="131"),H2758='131-CT'!$E$7),"131",""))</f>
        <v/>
      </c>
      <c r="O2758" s="86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2"/>
    </row>
    <row r="2759" spans="1:27" s="906" customFormat="1" ht="15.75" customHeight="1">
      <c r="A2759" s="203" t="str">
        <f>IF(B2759&lt;&gt;"",IF(AND(B2759&gt;=_TM1,B2759&lt;=_TM2,OR(TH!L2759="1111",TH!M2759="1111")),TH!D2759,""),"")</f>
        <v/>
      </c>
      <c r="B2759" s="898">
        <f t="shared" si="38"/>
        <v>3</v>
      </c>
      <c r="C2759" s="899">
        <f t="shared" si="36"/>
        <v>42066</v>
      </c>
      <c r="D2759" s="900" t="s">
        <v>2013</v>
      </c>
      <c r="E2759" s="900">
        <v>42066</v>
      </c>
      <c r="F2759" s="907" t="s">
        <v>512</v>
      </c>
      <c r="G2759" s="902" t="s">
        <v>511</v>
      </c>
      <c r="H2759" s="913" t="s">
        <v>2014</v>
      </c>
      <c r="I2759" s="253">
        <v>30</v>
      </c>
      <c r="J2759" s="253">
        <v>9351.85135307577</v>
      </c>
      <c r="K2759" s="904">
        <f t="shared" si="37"/>
        <v>280556</v>
      </c>
      <c r="L2759" s="869" t="s">
        <v>167</v>
      </c>
      <c r="M2759" s="869" t="s">
        <v>165</v>
      </c>
      <c r="N2759" s="52" t="str">
        <f>IF(AND('331-CT'!$E$7=TH!H2759,OR(L2759="331",M2759="331")),"331",IF(AND(OR(L2759="131",M2759="131"),H2759='131-CT'!$E$7),"131",""))</f>
        <v/>
      </c>
      <c r="O2759" s="86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2"/>
    </row>
    <row r="2760" spans="1:27" s="906" customFormat="1" ht="15.75" customHeight="1">
      <c r="A2760" s="203" t="str">
        <f>IF(B2760&lt;&gt;"",IF(AND(B2760&gt;=_TM1,B2760&lt;=_TM2,OR(TH!L2760="1111",TH!M2760="1111")),TH!D2760,""),"")</f>
        <v/>
      </c>
      <c r="B2760" s="898">
        <f t="shared" si="38"/>
        <v>3</v>
      </c>
      <c r="C2760" s="899">
        <f t="shared" si="36"/>
        <v>42066</v>
      </c>
      <c r="D2760" s="900" t="s">
        <v>2013</v>
      </c>
      <c r="E2760" s="900">
        <v>42066</v>
      </c>
      <c r="F2760" s="907" t="s">
        <v>513</v>
      </c>
      <c r="G2760" s="902" t="s">
        <v>511</v>
      </c>
      <c r="H2760" s="913" t="s">
        <v>2014</v>
      </c>
      <c r="I2760" s="253">
        <v>53</v>
      </c>
      <c r="J2760" s="253">
        <v>9517.3708460505622</v>
      </c>
      <c r="K2760" s="904">
        <f t="shared" si="37"/>
        <v>504421</v>
      </c>
      <c r="L2760" s="869" t="s">
        <v>167</v>
      </c>
      <c r="M2760" s="869" t="s">
        <v>165</v>
      </c>
      <c r="N2760" s="52" t="str">
        <f>IF(AND('331-CT'!$E$7=TH!H2760,OR(L2760="331",M2760="331")),"331",IF(AND(OR(L2760="131",M2760="131"),H2760='131-CT'!$E$7),"131",""))</f>
        <v/>
      </c>
      <c r="O2760" s="86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2"/>
    </row>
    <row r="2761" spans="1:27" s="906" customFormat="1" ht="15.75" customHeight="1">
      <c r="A2761" s="203" t="str">
        <f>IF(B2761&lt;&gt;"",IF(AND(B2761&gt;=_TM1,B2761&lt;=_TM2,OR(TH!L2761="1111",TH!M2761="1111")),TH!D2761,""),"")</f>
        <v/>
      </c>
      <c r="B2761" s="898">
        <f t="shared" si="38"/>
        <v>3</v>
      </c>
      <c r="C2761" s="899">
        <f t="shared" si="36"/>
        <v>42066</v>
      </c>
      <c r="D2761" s="900" t="s">
        <v>2013</v>
      </c>
      <c r="E2761" s="900">
        <v>42066</v>
      </c>
      <c r="F2761" s="907" t="s">
        <v>514</v>
      </c>
      <c r="G2761" s="902" t="s">
        <v>511</v>
      </c>
      <c r="H2761" s="913" t="s">
        <v>2014</v>
      </c>
      <c r="I2761" s="253">
        <v>1</v>
      </c>
      <c r="J2761" s="253">
        <v>7944.9356627900352</v>
      </c>
      <c r="K2761" s="904">
        <f t="shared" si="37"/>
        <v>7945</v>
      </c>
      <c r="L2761" s="869" t="s">
        <v>167</v>
      </c>
      <c r="M2761" s="869" t="s">
        <v>165</v>
      </c>
      <c r="N2761" s="52" t="str">
        <f>IF(AND('331-CT'!$E$7=TH!H2761,OR(L2761="331",M2761="331")),"331",IF(AND(OR(L2761="131",M2761="131"),H2761='131-CT'!$E$7),"131",""))</f>
        <v/>
      </c>
      <c r="O2761" s="86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2"/>
    </row>
    <row r="2762" spans="1:27" s="906" customFormat="1" ht="15.75" customHeight="1">
      <c r="A2762" s="203" t="str">
        <f>IF(B2762&lt;&gt;"",IF(AND(B2762&gt;=_TM1,B2762&lt;=_TM2,OR(TH!L2762="1111",TH!M2762="1111")),TH!D2762,""),"")</f>
        <v/>
      </c>
      <c r="B2762" s="898">
        <f t="shared" si="38"/>
        <v>3</v>
      </c>
      <c r="C2762" s="899">
        <f t="shared" si="36"/>
        <v>42069</v>
      </c>
      <c r="D2762" s="900" t="s">
        <v>2013</v>
      </c>
      <c r="E2762" s="900">
        <v>42069</v>
      </c>
      <c r="F2762" s="907" t="s">
        <v>1140</v>
      </c>
      <c r="G2762" s="902" t="s">
        <v>515</v>
      </c>
      <c r="H2762" s="913" t="s">
        <v>2014</v>
      </c>
      <c r="I2762" s="253">
        <v>100</v>
      </c>
      <c r="J2762" s="253">
        <v>9434.6110995631661</v>
      </c>
      <c r="K2762" s="904">
        <f t="shared" si="37"/>
        <v>943461</v>
      </c>
      <c r="L2762" s="869" t="s">
        <v>167</v>
      </c>
      <c r="M2762" s="869" t="s">
        <v>165</v>
      </c>
      <c r="N2762" s="52" t="str">
        <f>IF(AND('331-CT'!$E$7=TH!H2762,OR(L2762="331",M2762="331")),"331",IF(AND(OR(L2762="131",M2762="131"),H2762='131-CT'!$E$7),"131",""))</f>
        <v/>
      </c>
      <c r="O2762" s="86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2"/>
    </row>
    <row r="2763" spans="1:27" s="906" customFormat="1" ht="15.75" customHeight="1">
      <c r="A2763" s="203" t="str">
        <f>IF(B2763&lt;&gt;"",IF(AND(B2763&gt;=_TM1,B2763&lt;=_TM2,OR(TH!L2763="1111",TH!M2763="1111")),TH!D2763,""),"")</f>
        <v/>
      </c>
      <c r="B2763" s="898">
        <f t="shared" si="38"/>
        <v>3</v>
      </c>
      <c r="C2763" s="899">
        <f t="shared" si="36"/>
        <v>42069</v>
      </c>
      <c r="D2763" s="900" t="s">
        <v>2013</v>
      </c>
      <c r="E2763" s="900">
        <v>42069</v>
      </c>
      <c r="F2763" s="907" t="s">
        <v>1654</v>
      </c>
      <c r="G2763" s="902" t="s">
        <v>515</v>
      </c>
      <c r="H2763" s="913" t="s">
        <v>2014</v>
      </c>
      <c r="I2763" s="253">
        <v>200</v>
      </c>
      <c r="J2763" s="253">
        <v>827.59746487396205</v>
      </c>
      <c r="K2763" s="904">
        <f t="shared" si="37"/>
        <v>165519</v>
      </c>
      <c r="L2763" s="869" t="s">
        <v>167</v>
      </c>
      <c r="M2763" s="869" t="s">
        <v>165</v>
      </c>
      <c r="N2763" s="52" t="str">
        <f>IF(AND('331-CT'!$E$7=TH!H2763,OR(L2763="331",M2763="331")),"331",IF(AND(OR(L2763="131",M2763="131"),H2763='131-CT'!$E$7),"131",""))</f>
        <v/>
      </c>
      <c r="O2763" s="86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2"/>
    </row>
    <row r="2764" spans="1:27" s="906" customFormat="1" ht="15.75" customHeight="1">
      <c r="A2764" s="203" t="str">
        <f>IF(B2764&lt;&gt;"",IF(AND(B2764&gt;=_TM1,B2764&lt;=_TM2,OR(TH!L2764="1111",TH!M2764="1111")),TH!D2764,""),"")</f>
        <v/>
      </c>
      <c r="B2764" s="898">
        <f t="shared" si="38"/>
        <v>3</v>
      </c>
      <c r="C2764" s="899">
        <f t="shared" si="36"/>
        <v>42070</v>
      </c>
      <c r="D2764" s="900" t="s">
        <v>2013</v>
      </c>
      <c r="E2764" s="900">
        <v>42070</v>
      </c>
      <c r="F2764" s="907" t="s">
        <v>516</v>
      </c>
      <c r="G2764" s="902" t="s">
        <v>517</v>
      </c>
      <c r="H2764" s="913" t="s">
        <v>2014</v>
      </c>
      <c r="I2764" s="253">
        <v>800</v>
      </c>
      <c r="J2764" s="253">
        <v>7944.9356627900352</v>
      </c>
      <c r="K2764" s="904">
        <f t="shared" si="37"/>
        <v>6355949</v>
      </c>
      <c r="L2764" s="869" t="s">
        <v>167</v>
      </c>
      <c r="M2764" s="869" t="s">
        <v>165</v>
      </c>
      <c r="N2764" s="52" t="str">
        <f>IF(AND('331-CT'!$E$7=TH!H2764,OR(L2764="331",M2764="331")),"331",IF(AND(OR(L2764="131",M2764="131"),H2764='131-CT'!$E$7),"131",""))</f>
        <v/>
      </c>
      <c r="O2764" s="86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2"/>
    </row>
    <row r="2765" spans="1:27" s="906" customFormat="1" ht="15.75" customHeight="1">
      <c r="A2765" s="203" t="str">
        <f>IF(B2765&lt;&gt;"",IF(AND(B2765&gt;=_TM1,B2765&lt;=_TM2,OR(TH!L2765="1111",TH!M2765="1111")),TH!D2765,""),"")</f>
        <v/>
      </c>
      <c r="B2765" s="898">
        <f t="shared" si="38"/>
        <v>3</v>
      </c>
      <c r="C2765" s="899">
        <f t="shared" si="36"/>
        <v>42070</v>
      </c>
      <c r="D2765" s="900" t="s">
        <v>2013</v>
      </c>
      <c r="E2765" s="900">
        <v>42070</v>
      </c>
      <c r="F2765" s="907" t="s">
        <v>518</v>
      </c>
      <c r="G2765" s="902" t="s">
        <v>517</v>
      </c>
      <c r="H2765" s="913" t="s">
        <v>2014</v>
      </c>
      <c r="I2765" s="253">
        <v>815</v>
      </c>
      <c r="J2765" s="253">
        <v>8607.013634689205</v>
      </c>
      <c r="K2765" s="904">
        <f t="shared" si="37"/>
        <v>7014716</v>
      </c>
      <c r="L2765" s="869" t="s">
        <v>167</v>
      </c>
      <c r="M2765" s="869" t="s">
        <v>165</v>
      </c>
      <c r="N2765" s="52" t="str">
        <f>IF(AND('331-CT'!$E$7=TH!H2765,OR(L2765="331",M2765="331")),"331",IF(AND(OR(L2765="131",M2765="131"),H2765='131-CT'!$E$7),"131",""))</f>
        <v/>
      </c>
      <c r="O2765" s="86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2"/>
    </row>
    <row r="2766" spans="1:27" s="906" customFormat="1" ht="15.75" customHeight="1">
      <c r="A2766" s="203" t="str">
        <f>IF(B2766&lt;&gt;"",IF(AND(B2766&gt;=_TM1,B2766&lt;=_TM2,OR(TH!L2766="1111",TH!M2766="1111")),TH!D2766,""),"")</f>
        <v/>
      </c>
      <c r="B2766" s="898">
        <f t="shared" si="38"/>
        <v>3</v>
      </c>
      <c r="C2766" s="899">
        <f t="shared" si="36"/>
        <v>42070</v>
      </c>
      <c r="D2766" s="900" t="s">
        <v>2013</v>
      </c>
      <c r="E2766" s="900">
        <v>42070</v>
      </c>
      <c r="F2766" s="907" t="s">
        <v>519</v>
      </c>
      <c r="G2766" s="902" t="s">
        <v>517</v>
      </c>
      <c r="H2766" s="913" t="s">
        <v>2014</v>
      </c>
      <c r="I2766" s="253">
        <v>303</v>
      </c>
      <c r="J2766" s="253">
        <v>9269.0916065883757</v>
      </c>
      <c r="K2766" s="904">
        <f t="shared" si="37"/>
        <v>2808535</v>
      </c>
      <c r="L2766" s="869" t="s">
        <v>167</v>
      </c>
      <c r="M2766" s="869" t="s">
        <v>165</v>
      </c>
      <c r="N2766" s="52" t="str">
        <f>IF(AND('331-CT'!$E$7=TH!H2766,OR(L2766="331",M2766="331")),"331",IF(AND(OR(L2766="131",M2766="131"),H2766='131-CT'!$E$7),"131",""))</f>
        <v/>
      </c>
      <c r="O2766" s="86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2"/>
    </row>
    <row r="2767" spans="1:27" s="906" customFormat="1" ht="15.75" customHeight="1">
      <c r="A2767" s="203" t="str">
        <f>IF(B2767&lt;&gt;"",IF(AND(B2767&gt;=_TM1,B2767&lt;=_TM2,OR(TH!L2767="1111",TH!M2767="1111")),TH!D2767,""),"")</f>
        <v/>
      </c>
      <c r="B2767" s="898">
        <f t="shared" si="38"/>
        <v>3</v>
      </c>
      <c r="C2767" s="899">
        <f t="shared" si="36"/>
        <v>42070</v>
      </c>
      <c r="D2767" s="900" t="s">
        <v>2013</v>
      </c>
      <c r="E2767" s="900">
        <v>42070</v>
      </c>
      <c r="F2767" s="907" t="s">
        <v>1661</v>
      </c>
      <c r="G2767" s="902" t="s">
        <v>517</v>
      </c>
      <c r="H2767" s="913" t="s">
        <v>2014</v>
      </c>
      <c r="I2767" s="253">
        <v>1900</v>
      </c>
      <c r="J2767" s="253">
        <v>496.5584789243772</v>
      </c>
      <c r="K2767" s="904">
        <f t="shared" si="37"/>
        <v>943461</v>
      </c>
      <c r="L2767" s="869" t="s">
        <v>167</v>
      </c>
      <c r="M2767" s="869" t="s">
        <v>165</v>
      </c>
      <c r="N2767" s="52" t="str">
        <f>IF(AND('331-CT'!$E$7=TH!H2767,OR(L2767="331",M2767="331")),"331",IF(AND(OR(L2767="131",M2767="131"),H2767='131-CT'!$E$7),"131",""))</f>
        <v/>
      </c>
      <c r="O2767" s="86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2"/>
    </row>
    <row r="2768" spans="1:27" s="906" customFormat="1" ht="15.75" customHeight="1">
      <c r="A2768" s="203" t="str">
        <f>IF(B2768&lt;&gt;"",IF(AND(B2768&gt;=_TM1,B2768&lt;=_TM2,OR(TH!L2768="1111",TH!M2768="1111")),TH!D2768,""),"")</f>
        <v/>
      </c>
      <c r="B2768" s="898">
        <f t="shared" si="38"/>
        <v>3</v>
      </c>
      <c r="C2768" s="899">
        <f t="shared" si="36"/>
        <v>42073</v>
      </c>
      <c r="D2768" s="900" t="s">
        <v>2013</v>
      </c>
      <c r="E2768" s="900">
        <v>42073</v>
      </c>
      <c r="F2768" s="907" t="s">
        <v>413</v>
      </c>
      <c r="G2768" s="902" t="s">
        <v>520</v>
      </c>
      <c r="H2768" s="913" t="s">
        <v>2014</v>
      </c>
      <c r="I2768" s="253">
        <v>569</v>
      </c>
      <c r="J2768" s="253">
        <v>7862.1759163026391</v>
      </c>
      <c r="K2768" s="904">
        <f t="shared" si="37"/>
        <v>4473578</v>
      </c>
      <c r="L2768" s="869" t="s">
        <v>167</v>
      </c>
      <c r="M2768" s="869" t="s">
        <v>165</v>
      </c>
      <c r="N2768" s="52" t="str">
        <f>IF(AND('331-CT'!$E$7=TH!H2768,OR(L2768="331",M2768="331")),"331",IF(AND(OR(L2768="131",M2768="131"),H2768='131-CT'!$E$7),"131",""))</f>
        <v/>
      </c>
      <c r="O2768" s="86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2"/>
    </row>
    <row r="2769" spans="1:27" s="906" customFormat="1" ht="15.75" customHeight="1">
      <c r="A2769" s="203" t="str">
        <f>IF(B2769&lt;&gt;"",IF(AND(B2769&gt;=_TM1,B2769&lt;=_TM2,OR(TH!L2769="1111",TH!M2769="1111")),TH!D2769,""),"")</f>
        <v/>
      </c>
      <c r="B2769" s="898">
        <f t="shared" si="38"/>
        <v>3</v>
      </c>
      <c r="C2769" s="899">
        <f t="shared" si="36"/>
        <v>42075</v>
      </c>
      <c r="D2769" s="900" t="s">
        <v>2013</v>
      </c>
      <c r="E2769" s="900">
        <v>42075</v>
      </c>
      <c r="F2769" s="907" t="s">
        <v>439</v>
      </c>
      <c r="G2769" s="902" t="s">
        <v>521</v>
      </c>
      <c r="H2769" s="913" t="s">
        <v>2014</v>
      </c>
      <c r="I2769" s="253">
        <v>900</v>
      </c>
      <c r="J2769" s="253">
        <v>5296.6237751933577</v>
      </c>
      <c r="K2769" s="904">
        <f t="shared" si="37"/>
        <v>4766961</v>
      </c>
      <c r="L2769" s="869" t="s">
        <v>167</v>
      </c>
      <c r="M2769" s="869" t="s">
        <v>165</v>
      </c>
      <c r="N2769" s="52" t="str">
        <f>IF(AND('331-CT'!$E$7=TH!H2769,OR(L2769="331",M2769="331")),"331",IF(AND(OR(L2769="131",M2769="131"),H2769='131-CT'!$E$7),"131",""))</f>
        <v/>
      </c>
      <c r="O2769" s="86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2"/>
    </row>
    <row r="2770" spans="1:27" s="906" customFormat="1" ht="15.75" customHeight="1">
      <c r="A2770" s="203" t="str">
        <f>IF(B2770&lt;&gt;"",IF(AND(B2770&gt;=_TM1,B2770&lt;=_TM2,OR(TH!L2770="1111",TH!M2770="1111")),TH!D2770,""),"")</f>
        <v/>
      </c>
      <c r="B2770" s="898">
        <f t="shared" si="38"/>
        <v>3</v>
      </c>
      <c r="C2770" s="899">
        <f t="shared" si="36"/>
        <v>42075</v>
      </c>
      <c r="D2770" s="900" t="s">
        <v>2013</v>
      </c>
      <c r="E2770" s="900">
        <v>42075</v>
      </c>
      <c r="F2770" s="907" t="s">
        <v>522</v>
      </c>
      <c r="G2770" s="902" t="s">
        <v>521</v>
      </c>
      <c r="H2770" s="913" t="s">
        <v>2014</v>
      </c>
      <c r="I2770" s="253">
        <v>118</v>
      </c>
      <c r="J2770" s="253">
        <v>4469.0263103193956</v>
      </c>
      <c r="K2770" s="904">
        <f t="shared" si="37"/>
        <v>527345</v>
      </c>
      <c r="L2770" s="869" t="s">
        <v>167</v>
      </c>
      <c r="M2770" s="869" t="s">
        <v>165</v>
      </c>
      <c r="N2770" s="52" t="str">
        <f>IF(AND('331-CT'!$E$7=TH!H2770,OR(L2770="331",M2770="331")),"331",IF(AND(OR(L2770="131",M2770="131"),H2770='131-CT'!$E$7),"131",""))</f>
        <v/>
      </c>
      <c r="O2770" s="86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2"/>
    </row>
    <row r="2771" spans="1:27" s="906" customFormat="1" ht="15.75" customHeight="1">
      <c r="A2771" s="203" t="str">
        <f>IF(B2771&lt;&gt;"",IF(AND(B2771&gt;=_TM1,B2771&lt;=_TM2,OR(TH!L2771="1111",TH!M2771="1111")),TH!D2771,""),"")</f>
        <v/>
      </c>
      <c r="B2771" s="898">
        <f t="shared" si="38"/>
        <v>3</v>
      </c>
      <c r="C2771" s="899">
        <f t="shared" si="36"/>
        <v>42077</v>
      </c>
      <c r="D2771" s="900" t="s">
        <v>2013</v>
      </c>
      <c r="E2771" s="900">
        <v>42077</v>
      </c>
      <c r="F2771" s="907" t="s">
        <v>523</v>
      </c>
      <c r="G2771" s="902" t="s">
        <v>524</v>
      </c>
      <c r="H2771" s="913" t="s">
        <v>2014</v>
      </c>
      <c r="I2771" s="253">
        <v>55</v>
      </c>
      <c r="J2771" s="253">
        <v>11172.565775798488</v>
      </c>
      <c r="K2771" s="904">
        <f t="shared" si="37"/>
        <v>614491</v>
      </c>
      <c r="L2771" s="869" t="s">
        <v>167</v>
      </c>
      <c r="M2771" s="869" t="s">
        <v>165</v>
      </c>
      <c r="N2771" s="52" t="str">
        <f>IF(AND('331-CT'!$E$7=TH!H2771,OR(L2771="331",M2771="331")),"331",IF(AND(OR(L2771="131",M2771="131"),H2771='131-CT'!$E$7),"131",""))</f>
        <v/>
      </c>
      <c r="O2771" s="86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2"/>
    </row>
    <row r="2772" spans="1:27" s="906" customFormat="1" ht="15.75" customHeight="1">
      <c r="A2772" s="203" t="str">
        <f>IF(B2772&lt;&gt;"",IF(AND(B2772&gt;=_TM1,B2772&lt;=_TM2,OR(TH!L2772="1111",TH!M2772="1111")),TH!D2772,""),"")</f>
        <v/>
      </c>
      <c r="B2772" s="898">
        <f t="shared" si="38"/>
        <v>3</v>
      </c>
      <c r="C2772" s="899">
        <f t="shared" ref="C2772:C2835" si="39">E2772</f>
        <v>42077</v>
      </c>
      <c r="D2772" s="900" t="s">
        <v>2013</v>
      </c>
      <c r="E2772" s="900">
        <v>42077</v>
      </c>
      <c r="F2772" s="49" t="s">
        <v>525</v>
      </c>
      <c r="G2772" s="49" t="s">
        <v>524</v>
      </c>
      <c r="H2772" s="913" t="s">
        <v>2014</v>
      </c>
      <c r="I2772" s="253">
        <v>110</v>
      </c>
      <c r="J2772" s="253">
        <v>9269.0916065883757</v>
      </c>
      <c r="K2772" s="904">
        <f t="shared" si="37"/>
        <v>1019600</v>
      </c>
      <c r="L2772" s="869" t="s">
        <v>167</v>
      </c>
      <c r="M2772" s="869" t="s">
        <v>165</v>
      </c>
      <c r="N2772" s="52" t="str">
        <f>IF(AND('331-CT'!$E$7=TH!H2772,OR(L2772="331",M2772="331")),"331",IF(AND(OR(L2772="131",M2772="131"),H2772='131-CT'!$E$7),"131",""))</f>
        <v/>
      </c>
      <c r="O2772" s="86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2"/>
    </row>
    <row r="2773" spans="1:27" s="906" customFormat="1" ht="15.75" customHeight="1">
      <c r="A2773" s="203" t="str">
        <f>IF(B2773&lt;&gt;"",IF(AND(B2773&gt;=_TM1,B2773&lt;=_TM2,OR(TH!L2773="1111",TH!M2773="1111")),TH!D2773,""),"")</f>
        <v/>
      </c>
      <c r="B2773" s="898">
        <f t="shared" si="38"/>
        <v>3</v>
      </c>
      <c r="C2773" s="899">
        <f t="shared" si="39"/>
        <v>42077</v>
      </c>
      <c r="D2773" s="900" t="s">
        <v>2013</v>
      </c>
      <c r="E2773" s="900">
        <v>42077</v>
      </c>
      <c r="F2773" s="49" t="s">
        <v>526</v>
      </c>
      <c r="G2773" s="49" t="s">
        <v>524</v>
      </c>
      <c r="H2773" s="913" t="s">
        <v>2014</v>
      </c>
      <c r="I2773" s="253">
        <v>232</v>
      </c>
      <c r="J2773" s="253">
        <v>8358.7343952270166</v>
      </c>
      <c r="K2773" s="904">
        <f t="shared" si="37"/>
        <v>1939226</v>
      </c>
      <c r="L2773" s="869" t="s">
        <v>167</v>
      </c>
      <c r="M2773" s="869" t="s">
        <v>165</v>
      </c>
      <c r="N2773" s="52" t="str">
        <f>IF(AND('331-CT'!$E$7=TH!H2773,OR(L2773="331",M2773="331")),"331",IF(AND(OR(L2773="131",M2773="131"),H2773='131-CT'!$E$7),"131",""))</f>
        <v/>
      </c>
      <c r="O2773" s="86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2"/>
    </row>
    <row r="2774" spans="1:27" s="906" customFormat="1" ht="15.75" customHeight="1">
      <c r="A2774" s="203" t="str">
        <f>IF(B2774&lt;&gt;"",IF(AND(B2774&gt;=_TM1,B2774&lt;=_TM2,OR(TH!L2774="1111",TH!M2774="1111")),TH!D2774,""),"")</f>
        <v/>
      </c>
      <c r="B2774" s="898">
        <f t="shared" si="38"/>
        <v>3</v>
      </c>
      <c r="C2774" s="899">
        <f t="shared" si="39"/>
        <v>42077</v>
      </c>
      <c r="D2774" s="900" t="s">
        <v>2013</v>
      </c>
      <c r="E2774" s="900">
        <v>42077</v>
      </c>
      <c r="F2774" s="49" t="s">
        <v>405</v>
      </c>
      <c r="G2774" s="49" t="s">
        <v>524</v>
      </c>
      <c r="H2774" s="913" t="s">
        <v>2014</v>
      </c>
      <c r="I2774" s="253">
        <v>406</v>
      </c>
      <c r="J2774" s="253">
        <v>10344.968310924525</v>
      </c>
      <c r="K2774" s="904">
        <f t="shared" si="37"/>
        <v>4200057</v>
      </c>
      <c r="L2774" s="869" t="s">
        <v>167</v>
      </c>
      <c r="M2774" s="869" t="s">
        <v>165</v>
      </c>
      <c r="N2774" s="52" t="str">
        <f>IF(AND('331-CT'!$E$7=TH!H2774,OR(L2774="331",M2774="331")),"331",IF(AND(OR(L2774="131",M2774="131"),H2774='131-CT'!$E$7),"131",""))</f>
        <v/>
      </c>
      <c r="O2774" s="86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2"/>
    </row>
    <row r="2775" spans="1:27" s="906" customFormat="1" ht="15.75" customHeight="1">
      <c r="A2775" s="203" t="str">
        <f>IF(B2775&lt;&gt;"",IF(AND(B2775&gt;=_TM1,B2775&lt;=_TM2,OR(TH!L2775="1111",TH!M2775="1111")),TH!D2775,""),"")</f>
        <v/>
      </c>
      <c r="B2775" s="898">
        <f t="shared" si="38"/>
        <v>3</v>
      </c>
      <c r="C2775" s="899">
        <f t="shared" si="39"/>
        <v>42077</v>
      </c>
      <c r="D2775" s="900" t="s">
        <v>2013</v>
      </c>
      <c r="E2775" s="900">
        <v>42077</v>
      </c>
      <c r="F2775" s="907" t="s">
        <v>1693</v>
      </c>
      <c r="G2775" s="902" t="s">
        <v>527</v>
      </c>
      <c r="H2775" s="913" t="s">
        <v>2014</v>
      </c>
      <c r="I2775" s="253">
        <v>165</v>
      </c>
      <c r="J2775" s="253">
        <v>14069.156902857354</v>
      </c>
      <c r="K2775" s="904">
        <f t="shared" si="37"/>
        <v>2321411</v>
      </c>
      <c r="L2775" s="869" t="s">
        <v>167</v>
      </c>
      <c r="M2775" s="869" t="s">
        <v>165</v>
      </c>
      <c r="N2775" s="52" t="str">
        <f>IF(AND('331-CT'!$E$7=TH!H2775,OR(L2775="331",M2775="331")),"331",IF(AND(OR(L2775="131",M2775="131"),H2775='131-CT'!$E$7),"131",""))</f>
        <v/>
      </c>
      <c r="O2775" s="86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2"/>
    </row>
    <row r="2776" spans="1:27" s="906" customFormat="1" ht="15.75" customHeight="1">
      <c r="A2776" s="203" t="str">
        <f>IF(B2776&lt;&gt;"",IF(AND(B2776&gt;=_TM1,B2776&lt;=_TM2,OR(TH!L2776="1111",TH!M2776="1111")),TH!D2776,""),"")</f>
        <v/>
      </c>
      <c r="B2776" s="898">
        <f t="shared" si="38"/>
        <v>3</v>
      </c>
      <c r="C2776" s="899">
        <f t="shared" si="39"/>
        <v>42077</v>
      </c>
      <c r="D2776" s="900" t="s">
        <v>2013</v>
      </c>
      <c r="E2776" s="900">
        <v>42077</v>
      </c>
      <c r="F2776" s="907" t="s">
        <v>1694</v>
      </c>
      <c r="G2776" s="902" t="s">
        <v>527</v>
      </c>
      <c r="H2776" s="913" t="s">
        <v>2014</v>
      </c>
      <c r="I2776" s="253">
        <v>250</v>
      </c>
      <c r="J2776" s="253">
        <v>17462.306508840597</v>
      </c>
      <c r="K2776" s="904">
        <f t="shared" si="37"/>
        <v>4365577</v>
      </c>
      <c r="L2776" s="869" t="s">
        <v>167</v>
      </c>
      <c r="M2776" s="869" t="s">
        <v>165</v>
      </c>
      <c r="N2776" s="52" t="str">
        <f>IF(AND('331-CT'!$E$7=TH!H2776,OR(L2776="331",M2776="331")),"331",IF(AND(OR(L2776="131",M2776="131"),H2776='131-CT'!$E$7),"131",""))</f>
        <v/>
      </c>
      <c r="O2776" s="86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2"/>
    </row>
    <row r="2777" spans="1:27" s="906" customFormat="1" ht="15.75" customHeight="1">
      <c r="A2777" s="203" t="str">
        <f>IF(B2777&lt;&gt;"",IF(AND(B2777&gt;=_TM1,B2777&lt;=_TM2,OR(TH!L2777="1111",TH!M2777="1111")),TH!D2777,""),"")</f>
        <v/>
      </c>
      <c r="B2777" s="898">
        <f t="shared" si="38"/>
        <v>3</v>
      </c>
      <c r="C2777" s="899">
        <f t="shared" si="39"/>
        <v>42077</v>
      </c>
      <c r="D2777" s="900" t="s">
        <v>2013</v>
      </c>
      <c r="E2777" s="900">
        <v>42077</v>
      </c>
      <c r="F2777" s="907" t="s">
        <v>1695</v>
      </c>
      <c r="G2777" s="902" t="s">
        <v>527</v>
      </c>
      <c r="H2777" s="913" t="s">
        <v>2014</v>
      </c>
      <c r="I2777" s="253">
        <v>20</v>
      </c>
      <c r="J2777" s="253">
        <v>14979.514114218713</v>
      </c>
      <c r="K2777" s="904">
        <f t="shared" si="37"/>
        <v>299590</v>
      </c>
      <c r="L2777" s="869" t="s">
        <v>167</v>
      </c>
      <c r="M2777" s="869" t="s">
        <v>165</v>
      </c>
      <c r="N2777" s="52" t="str">
        <f>IF(AND('331-CT'!$E$7=TH!H2777,OR(L2777="331",M2777="331")),"331",IF(AND(OR(L2777="131",M2777="131"),H2777='131-CT'!$E$7),"131",""))</f>
        <v/>
      </c>
      <c r="O2777" s="86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2"/>
    </row>
    <row r="2778" spans="1:27" s="906" customFormat="1" ht="15.75" customHeight="1">
      <c r="A2778" s="203" t="str">
        <f>IF(B2778&lt;&gt;"",IF(AND(B2778&gt;=_TM1,B2778&lt;=_TM2,OR(TH!L2778="1111",TH!M2778="1111")),TH!D2778,""),"")</f>
        <v/>
      </c>
      <c r="B2778" s="898">
        <f t="shared" si="38"/>
        <v>3</v>
      </c>
      <c r="C2778" s="899">
        <f t="shared" si="39"/>
        <v>42077</v>
      </c>
      <c r="D2778" s="900" t="s">
        <v>2013</v>
      </c>
      <c r="E2778" s="900">
        <v>42077</v>
      </c>
      <c r="F2778" s="907" t="s">
        <v>1696</v>
      </c>
      <c r="G2778" s="902" t="s">
        <v>527</v>
      </c>
      <c r="H2778" s="913" t="s">
        <v>2014</v>
      </c>
      <c r="I2778" s="253">
        <v>20</v>
      </c>
      <c r="J2778" s="253">
        <v>14565.715381781733</v>
      </c>
      <c r="K2778" s="904">
        <f t="shared" si="37"/>
        <v>291314</v>
      </c>
      <c r="L2778" s="869" t="s">
        <v>167</v>
      </c>
      <c r="M2778" s="869" t="s">
        <v>165</v>
      </c>
      <c r="N2778" s="52" t="str">
        <f>IF(AND('331-CT'!$E$7=TH!H2778,OR(L2778="331",M2778="331")),"331",IF(AND(OR(L2778="131",M2778="131"),H2778='131-CT'!$E$7),"131",""))</f>
        <v/>
      </c>
      <c r="O2778" s="86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2"/>
    </row>
    <row r="2779" spans="1:27" s="906" customFormat="1" ht="15.75" customHeight="1">
      <c r="A2779" s="203" t="str">
        <f>IF(B2779&lt;&gt;"",IF(AND(B2779&gt;=_TM1,B2779&lt;=_TM2,OR(TH!L2779="1111",TH!M2779="1111")),TH!D2779,""),"")</f>
        <v/>
      </c>
      <c r="B2779" s="898">
        <f t="shared" si="38"/>
        <v>3</v>
      </c>
      <c r="C2779" s="899">
        <f t="shared" si="39"/>
        <v>42079</v>
      </c>
      <c r="D2779" s="900" t="s">
        <v>2013</v>
      </c>
      <c r="E2779" s="900">
        <v>42079</v>
      </c>
      <c r="F2779" s="907" t="s">
        <v>529</v>
      </c>
      <c r="G2779" s="902" t="s">
        <v>530</v>
      </c>
      <c r="H2779" s="913" t="s">
        <v>2014</v>
      </c>
      <c r="I2779" s="253">
        <v>236</v>
      </c>
      <c r="J2779" s="253">
        <v>4800.0652962689792</v>
      </c>
      <c r="K2779" s="904">
        <f t="shared" si="37"/>
        <v>1132815</v>
      </c>
      <c r="L2779" s="869" t="s">
        <v>167</v>
      </c>
      <c r="M2779" s="869" t="s">
        <v>165</v>
      </c>
      <c r="N2779" s="52" t="str">
        <f>IF(AND('331-CT'!$E$7=TH!H2779,OR(L2779="331",M2779="331")),"331",IF(AND(OR(L2779="131",M2779="131"),H2779='131-CT'!$E$7),"131",""))</f>
        <v/>
      </c>
      <c r="O2779" s="86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2"/>
    </row>
    <row r="2780" spans="1:27" s="906" customFormat="1" ht="15.75" customHeight="1">
      <c r="A2780" s="203" t="str">
        <f>IF(B2780&lt;&gt;"",IF(AND(B2780&gt;=_TM1,B2780&lt;=_TM2,OR(TH!L2780="1111",TH!M2780="1111")),TH!D2780,""),"")</f>
        <v/>
      </c>
      <c r="B2780" s="898">
        <f t="shared" si="38"/>
        <v>3</v>
      </c>
      <c r="C2780" s="899">
        <f t="shared" si="39"/>
        <v>42079</v>
      </c>
      <c r="D2780" s="900" t="s">
        <v>2013</v>
      </c>
      <c r="E2780" s="900">
        <v>42079</v>
      </c>
      <c r="F2780" s="907" t="s">
        <v>531</v>
      </c>
      <c r="G2780" s="902" t="s">
        <v>530</v>
      </c>
      <c r="H2780" s="913" t="s">
        <v>2014</v>
      </c>
      <c r="I2780" s="253">
        <v>8</v>
      </c>
      <c r="J2780" s="253">
        <v>11007.046282823696</v>
      </c>
      <c r="K2780" s="904">
        <f t="shared" si="37"/>
        <v>88056</v>
      </c>
      <c r="L2780" s="869" t="s">
        <v>167</v>
      </c>
      <c r="M2780" s="869" t="s">
        <v>165</v>
      </c>
      <c r="N2780" s="52" t="str">
        <f>IF(AND('331-CT'!$E$7=TH!H2780,OR(L2780="331",M2780="331")),"331",IF(AND(OR(L2780="131",M2780="131"),H2780='131-CT'!$E$7),"131",""))</f>
        <v/>
      </c>
      <c r="O2780" s="86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2"/>
    </row>
    <row r="2781" spans="1:27" s="906" customFormat="1" ht="15.75" customHeight="1">
      <c r="A2781" s="203" t="str">
        <f>IF(B2781&lt;&gt;"",IF(AND(B2781&gt;=_TM1,B2781&lt;=_TM2,OR(TH!L2781="1111",TH!M2781="1111")),TH!D2781,""),"")</f>
        <v/>
      </c>
      <c r="B2781" s="898">
        <f t="shared" si="38"/>
        <v>3</v>
      </c>
      <c r="C2781" s="899">
        <f t="shared" si="39"/>
        <v>42079</v>
      </c>
      <c r="D2781" s="900" t="s">
        <v>2013</v>
      </c>
      <c r="E2781" s="900">
        <v>42079</v>
      </c>
      <c r="F2781" s="907" t="s">
        <v>532</v>
      </c>
      <c r="G2781" s="902" t="s">
        <v>530</v>
      </c>
      <c r="H2781" s="913" t="s">
        <v>2014</v>
      </c>
      <c r="I2781" s="253">
        <v>21</v>
      </c>
      <c r="J2781" s="253">
        <v>12248.442480134638</v>
      </c>
      <c r="K2781" s="904">
        <f t="shared" si="37"/>
        <v>257217</v>
      </c>
      <c r="L2781" s="869" t="s">
        <v>167</v>
      </c>
      <c r="M2781" s="869" t="s">
        <v>165</v>
      </c>
      <c r="N2781" s="52" t="str">
        <f>IF(AND('331-CT'!$E$7=TH!H2781,OR(L2781="331",M2781="331")),"331",IF(AND(OR(L2781="131",M2781="131"),H2781='131-CT'!$E$7),"131",""))</f>
        <v/>
      </c>
      <c r="O2781" s="86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2"/>
    </row>
    <row r="2782" spans="1:27" s="906" customFormat="1" ht="15.75" customHeight="1">
      <c r="A2782" s="203" t="str">
        <f>IF(B2782&lt;&gt;"",IF(AND(B2782&gt;=_TM1,B2782&lt;=_TM2,OR(TH!L2782="1111",TH!M2782="1111")),TH!D2782,""),"")</f>
        <v/>
      </c>
      <c r="B2782" s="898">
        <f t="shared" si="38"/>
        <v>3</v>
      </c>
      <c r="C2782" s="899">
        <f t="shared" si="39"/>
        <v>42079</v>
      </c>
      <c r="D2782" s="900" t="s">
        <v>2013</v>
      </c>
      <c r="E2782" s="900">
        <v>42079</v>
      </c>
      <c r="F2782" s="907" t="s">
        <v>533</v>
      </c>
      <c r="G2782" s="902" t="s">
        <v>530</v>
      </c>
      <c r="H2782" s="913" t="s">
        <v>2014</v>
      </c>
      <c r="I2782" s="253">
        <v>10</v>
      </c>
      <c r="J2782" s="253">
        <v>6041.4614935799227</v>
      </c>
      <c r="K2782" s="904">
        <f t="shared" si="37"/>
        <v>60415</v>
      </c>
      <c r="L2782" s="869" t="s">
        <v>167</v>
      </c>
      <c r="M2782" s="869" t="s">
        <v>165</v>
      </c>
      <c r="N2782" s="52" t="str">
        <f>IF(AND('331-CT'!$E$7=TH!H2782,OR(L2782="331",M2782="331")),"331",IF(AND(OR(L2782="131",M2782="131"),H2782='131-CT'!$E$7),"131",""))</f>
        <v/>
      </c>
      <c r="O2782" s="86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2"/>
    </row>
    <row r="2783" spans="1:27" s="906" customFormat="1" ht="15.75" customHeight="1">
      <c r="A2783" s="203" t="str">
        <f>IF(B2783&lt;&gt;"",IF(AND(B2783&gt;=_TM1,B2783&lt;=_TM2,OR(TH!L2783="1111",TH!M2783="1111")),TH!D2783,""),"")</f>
        <v/>
      </c>
      <c r="B2783" s="898">
        <f t="shared" si="38"/>
        <v>3</v>
      </c>
      <c r="C2783" s="899">
        <f t="shared" si="39"/>
        <v>42079</v>
      </c>
      <c r="D2783" s="900" t="s">
        <v>2013</v>
      </c>
      <c r="E2783" s="900">
        <v>42079</v>
      </c>
      <c r="F2783" s="907" t="s">
        <v>534</v>
      </c>
      <c r="G2783" s="902" t="s">
        <v>530</v>
      </c>
      <c r="H2783" s="913" t="s">
        <v>2014</v>
      </c>
      <c r="I2783" s="253">
        <v>28</v>
      </c>
      <c r="J2783" s="253">
        <v>10593.247550386715</v>
      </c>
      <c r="K2783" s="904">
        <f t="shared" si="37"/>
        <v>296611</v>
      </c>
      <c r="L2783" s="869" t="s">
        <v>167</v>
      </c>
      <c r="M2783" s="869" t="s">
        <v>165</v>
      </c>
      <c r="N2783" s="52" t="str">
        <f>IF(AND('331-CT'!$E$7=TH!H2783,OR(L2783="331",M2783="331")),"331",IF(AND(OR(L2783="131",M2783="131"),H2783='131-CT'!$E$7),"131",""))</f>
        <v/>
      </c>
      <c r="O2783" s="86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2"/>
    </row>
    <row r="2784" spans="1:27" s="906" customFormat="1" ht="15.75" customHeight="1">
      <c r="A2784" s="203" t="str">
        <f>IF(B2784&lt;&gt;"",IF(AND(B2784&gt;=_TM1,B2784&lt;=_TM2,OR(TH!L2784="1111",TH!M2784="1111")),TH!D2784,""),"")</f>
        <v/>
      </c>
      <c r="B2784" s="898">
        <f t="shared" si="38"/>
        <v>3</v>
      </c>
      <c r="C2784" s="899">
        <f t="shared" si="39"/>
        <v>42079</v>
      </c>
      <c r="D2784" s="900" t="s">
        <v>2013</v>
      </c>
      <c r="E2784" s="900">
        <v>42079</v>
      </c>
      <c r="F2784" s="907" t="s">
        <v>1662</v>
      </c>
      <c r="G2784" s="902" t="s">
        <v>530</v>
      </c>
      <c r="H2784" s="913" t="s">
        <v>2014</v>
      </c>
      <c r="I2784" s="253">
        <v>500</v>
      </c>
      <c r="J2784" s="253">
        <v>331.03898594958486</v>
      </c>
      <c r="K2784" s="904">
        <f t="shared" si="37"/>
        <v>165519</v>
      </c>
      <c r="L2784" s="869" t="s">
        <v>167</v>
      </c>
      <c r="M2784" s="869" t="s">
        <v>165</v>
      </c>
      <c r="N2784" s="52" t="str">
        <f>IF(AND('331-CT'!$E$7=TH!H2784,OR(L2784="331",M2784="331")),"331",IF(AND(OR(L2784="131",M2784="131"),H2784='131-CT'!$E$7),"131",""))</f>
        <v/>
      </c>
      <c r="O2784" s="86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2"/>
    </row>
    <row r="2785" spans="1:27" s="906" customFormat="1" ht="15.75" customHeight="1">
      <c r="A2785" s="203" t="str">
        <f>IF(B2785&lt;&gt;"",IF(AND(B2785&gt;=_TM1,B2785&lt;=_TM2,OR(TH!L2785="1111",TH!M2785="1111")),TH!D2785,""),"")</f>
        <v/>
      </c>
      <c r="B2785" s="898">
        <f t="shared" si="38"/>
        <v>3</v>
      </c>
      <c r="C2785" s="899">
        <f t="shared" si="39"/>
        <v>42080</v>
      </c>
      <c r="D2785" s="900" t="s">
        <v>2013</v>
      </c>
      <c r="E2785" s="900">
        <v>42080</v>
      </c>
      <c r="F2785" s="907" t="s">
        <v>398</v>
      </c>
      <c r="G2785" s="902" t="s">
        <v>535</v>
      </c>
      <c r="H2785" s="913" t="s">
        <v>2014</v>
      </c>
      <c r="I2785" s="253">
        <v>903</v>
      </c>
      <c r="J2785" s="253">
        <v>6786.2992119664887</v>
      </c>
      <c r="K2785" s="904">
        <f t="shared" si="37"/>
        <v>6128028</v>
      </c>
      <c r="L2785" s="869" t="s">
        <v>167</v>
      </c>
      <c r="M2785" s="869" t="s">
        <v>165</v>
      </c>
      <c r="N2785" s="52" t="str">
        <f>IF(AND('331-CT'!$E$7=TH!H2785,OR(L2785="331",M2785="331")),"331",IF(AND(OR(L2785="131",M2785="131"),H2785='131-CT'!$E$7),"131",""))</f>
        <v/>
      </c>
      <c r="O2785" s="86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2"/>
    </row>
    <row r="2786" spans="1:27" s="906" customFormat="1" ht="15.75" customHeight="1">
      <c r="A2786" s="203" t="str">
        <f>IF(B2786&lt;&gt;"",IF(AND(B2786&gt;=_TM1,B2786&lt;=_TM2,OR(TH!L2786="1111",TH!M2786="1111")),TH!D2786,""),"")</f>
        <v/>
      </c>
      <c r="B2786" s="898">
        <f t="shared" si="38"/>
        <v>3</v>
      </c>
      <c r="C2786" s="899">
        <f t="shared" si="39"/>
        <v>42080</v>
      </c>
      <c r="D2786" s="900" t="s">
        <v>2013</v>
      </c>
      <c r="E2786" s="900">
        <v>42080</v>
      </c>
      <c r="F2786" s="907" t="s">
        <v>446</v>
      </c>
      <c r="G2786" s="902" t="s">
        <v>535</v>
      </c>
      <c r="H2786" s="913" t="s">
        <v>2014</v>
      </c>
      <c r="I2786" s="253">
        <v>289</v>
      </c>
      <c r="J2786" s="253">
        <v>7531.1369303530546</v>
      </c>
      <c r="K2786" s="904">
        <f t="shared" si="37"/>
        <v>2176499</v>
      </c>
      <c r="L2786" s="869" t="s">
        <v>167</v>
      </c>
      <c r="M2786" s="869" t="s">
        <v>165</v>
      </c>
      <c r="N2786" s="52" t="str">
        <f>IF(AND('331-CT'!$E$7=TH!H2786,OR(L2786="331",M2786="331")),"331",IF(AND(OR(L2786="131",M2786="131"),H2786='131-CT'!$E$7),"131",""))</f>
        <v/>
      </c>
      <c r="O2786" s="86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2"/>
    </row>
    <row r="2787" spans="1:27" s="906" customFormat="1" ht="15.75" customHeight="1">
      <c r="A2787" s="203" t="str">
        <f>IF(B2787&lt;&gt;"",IF(AND(B2787&gt;=_TM1,B2787&lt;=_TM2,OR(TH!L2787="1111",TH!M2787="1111")),TH!D2787,""),"")</f>
        <v/>
      </c>
      <c r="B2787" s="898">
        <f t="shared" si="38"/>
        <v>3</v>
      </c>
      <c r="C2787" s="899">
        <f t="shared" si="39"/>
        <v>42080</v>
      </c>
      <c r="D2787" s="900" t="s">
        <v>2013</v>
      </c>
      <c r="E2787" s="900">
        <v>42080</v>
      </c>
      <c r="F2787" s="907" t="s">
        <v>536</v>
      </c>
      <c r="G2787" s="902" t="s">
        <v>535</v>
      </c>
      <c r="H2787" s="913" t="s">
        <v>2014</v>
      </c>
      <c r="I2787" s="253">
        <v>300</v>
      </c>
      <c r="J2787" s="253">
        <v>15889.87132558007</v>
      </c>
      <c r="K2787" s="904">
        <f t="shared" si="37"/>
        <v>4766961</v>
      </c>
      <c r="L2787" s="869" t="s">
        <v>167</v>
      </c>
      <c r="M2787" s="869" t="s">
        <v>165</v>
      </c>
      <c r="N2787" s="52" t="str">
        <f>IF(AND('331-CT'!$E$7=TH!H2787,OR(L2787="331",M2787="331")),"331",IF(AND(OR(L2787="131",M2787="131"),H2787='131-CT'!$E$7),"131",""))</f>
        <v/>
      </c>
      <c r="O2787" s="86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2"/>
    </row>
    <row r="2788" spans="1:27" s="906" customFormat="1" ht="15.75" customHeight="1">
      <c r="A2788" s="203" t="str">
        <f>IF(B2788&lt;&gt;"",IF(AND(B2788&gt;=_TM1,B2788&lt;=_TM2,OR(TH!L2788="1111",TH!M2788="1111")),TH!D2788,""),"")</f>
        <v/>
      </c>
      <c r="B2788" s="898">
        <f t="shared" si="38"/>
        <v>3</v>
      </c>
      <c r="C2788" s="899">
        <f t="shared" si="39"/>
        <v>42080</v>
      </c>
      <c r="D2788" s="900" t="s">
        <v>2013</v>
      </c>
      <c r="E2788" s="900">
        <v>42080</v>
      </c>
      <c r="F2788" s="907" t="s">
        <v>501</v>
      </c>
      <c r="G2788" s="902" t="s">
        <v>535</v>
      </c>
      <c r="H2788" s="913" t="s">
        <v>2014</v>
      </c>
      <c r="I2788" s="253">
        <v>300</v>
      </c>
      <c r="J2788" s="253">
        <v>13076.039945008601</v>
      </c>
      <c r="K2788" s="904">
        <f t="shared" si="37"/>
        <v>3922812</v>
      </c>
      <c r="L2788" s="869" t="s">
        <v>167</v>
      </c>
      <c r="M2788" s="869" t="s">
        <v>165</v>
      </c>
      <c r="N2788" s="52" t="str">
        <f>IF(AND('331-CT'!$E$7=TH!H2788,OR(L2788="331",M2788="331")),"331",IF(AND(OR(L2788="131",M2788="131"),H2788='131-CT'!$E$7),"131",""))</f>
        <v/>
      </c>
      <c r="O2788" s="86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2"/>
    </row>
    <row r="2789" spans="1:27" s="906" customFormat="1" ht="15.75" customHeight="1">
      <c r="A2789" s="203" t="str">
        <f>IF(B2789&lt;&gt;"",IF(AND(B2789&gt;=_TM1,B2789&lt;=_TM2,OR(TH!L2789="1111",TH!M2789="1111")),TH!D2789,""),"")</f>
        <v/>
      </c>
      <c r="B2789" s="898">
        <f t="shared" si="38"/>
        <v>3</v>
      </c>
      <c r="C2789" s="899">
        <f t="shared" si="39"/>
        <v>42080</v>
      </c>
      <c r="D2789" s="900" t="s">
        <v>2013</v>
      </c>
      <c r="E2789" s="900">
        <v>42080</v>
      </c>
      <c r="F2789" s="907" t="s">
        <v>451</v>
      </c>
      <c r="G2789" s="902" t="s">
        <v>537</v>
      </c>
      <c r="H2789" s="913" t="s">
        <v>2014</v>
      </c>
      <c r="I2789" s="253">
        <v>604</v>
      </c>
      <c r="J2789" s="253">
        <v>11089.806029311092</v>
      </c>
      <c r="K2789" s="904">
        <f t="shared" si="37"/>
        <v>6698243</v>
      </c>
      <c r="L2789" s="869" t="s">
        <v>167</v>
      </c>
      <c r="M2789" s="869" t="s">
        <v>165</v>
      </c>
      <c r="N2789" s="52" t="str">
        <f>IF(AND('331-CT'!$E$7=TH!H2789,OR(L2789="331",M2789="331")),"331",IF(AND(OR(L2789="131",M2789="131"),H2789='131-CT'!$E$7),"131",""))</f>
        <v/>
      </c>
      <c r="O2789" s="86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2"/>
    </row>
    <row r="2790" spans="1:27" s="906" customFormat="1" ht="15.75" customHeight="1">
      <c r="A2790" s="203" t="str">
        <f>IF(B2790&lt;&gt;"",IF(AND(B2790&gt;=_TM1,B2790&lt;=_TM2,OR(TH!L2790="1111",TH!M2790="1111")),TH!D2790,""),"")</f>
        <v/>
      </c>
      <c r="B2790" s="898">
        <f t="shared" si="38"/>
        <v>3</v>
      </c>
      <c r="C2790" s="899">
        <f t="shared" si="39"/>
        <v>42080</v>
      </c>
      <c r="D2790" s="900" t="s">
        <v>2013</v>
      </c>
      <c r="E2790" s="900">
        <v>42080</v>
      </c>
      <c r="F2790" s="907" t="s">
        <v>538</v>
      </c>
      <c r="G2790" s="902" t="s">
        <v>537</v>
      </c>
      <c r="H2790" s="913" t="s">
        <v>2014</v>
      </c>
      <c r="I2790" s="253">
        <v>206</v>
      </c>
      <c r="J2790" s="253">
        <v>7365.6174373782624</v>
      </c>
      <c r="K2790" s="904">
        <f t="shared" si="37"/>
        <v>1517317</v>
      </c>
      <c r="L2790" s="869" t="s">
        <v>167</v>
      </c>
      <c r="M2790" s="869" t="s">
        <v>165</v>
      </c>
      <c r="N2790" s="52" t="str">
        <f>IF(AND('331-CT'!$E$7=TH!H2790,OR(L2790="331",M2790="331")),"331",IF(AND(OR(L2790="131",M2790="131"),H2790='131-CT'!$E$7),"131",""))</f>
        <v/>
      </c>
      <c r="O2790" s="86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2"/>
    </row>
    <row r="2791" spans="1:27" s="906" customFormat="1" ht="15.75" customHeight="1">
      <c r="A2791" s="203" t="str">
        <f>IF(B2791&lt;&gt;"",IF(AND(B2791&gt;=_TM1,B2791&lt;=_TM2,OR(TH!L2791="1111",TH!M2791="1111")),TH!D2791,""),"")</f>
        <v/>
      </c>
      <c r="B2791" s="898">
        <f t="shared" si="38"/>
        <v>3</v>
      </c>
      <c r="C2791" s="899">
        <f t="shared" si="39"/>
        <v>42080</v>
      </c>
      <c r="D2791" s="900" t="s">
        <v>2013</v>
      </c>
      <c r="E2791" s="900">
        <v>42080</v>
      </c>
      <c r="F2791" s="49" t="s">
        <v>539</v>
      </c>
      <c r="G2791" s="49" t="s">
        <v>537</v>
      </c>
      <c r="H2791" s="913" t="s">
        <v>2014</v>
      </c>
      <c r="I2791" s="253">
        <v>205</v>
      </c>
      <c r="J2791" s="253">
        <v>7779.4161698152429</v>
      </c>
      <c r="K2791" s="904">
        <f t="shared" si="37"/>
        <v>1594780</v>
      </c>
      <c r="L2791" s="869" t="s">
        <v>167</v>
      </c>
      <c r="M2791" s="869" t="s">
        <v>165</v>
      </c>
      <c r="N2791" s="52" t="str">
        <f>IF(AND('331-CT'!$E$7=TH!H2791,OR(L2791="331",M2791="331")),"331",IF(AND(OR(L2791="131",M2791="131"),H2791='131-CT'!$E$7),"131",""))</f>
        <v/>
      </c>
      <c r="O2791" s="86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2"/>
    </row>
    <row r="2792" spans="1:27" s="906" customFormat="1" ht="15.75" customHeight="1">
      <c r="A2792" s="203" t="str">
        <f>IF(B2792&lt;&gt;"",IF(AND(B2792&gt;=_TM1,B2792&lt;=_TM2,OR(TH!L2792="1111",TH!M2792="1111")),TH!D2792,""),"")</f>
        <v/>
      </c>
      <c r="B2792" s="898">
        <f t="shared" si="38"/>
        <v>3</v>
      </c>
      <c r="C2792" s="899">
        <f t="shared" si="39"/>
        <v>42080</v>
      </c>
      <c r="D2792" s="900" t="s">
        <v>2013</v>
      </c>
      <c r="E2792" s="900">
        <v>42080</v>
      </c>
      <c r="F2792" s="49" t="s">
        <v>540</v>
      </c>
      <c r="G2792" s="49" t="s">
        <v>537</v>
      </c>
      <c r="H2792" s="913" t="s">
        <v>2014</v>
      </c>
      <c r="I2792" s="253">
        <v>306</v>
      </c>
      <c r="J2792" s="253">
        <v>7200.0979444034701</v>
      </c>
      <c r="K2792" s="904">
        <f t="shared" si="37"/>
        <v>2203230</v>
      </c>
      <c r="L2792" s="869" t="s">
        <v>167</v>
      </c>
      <c r="M2792" s="869" t="s">
        <v>165</v>
      </c>
      <c r="N2792" s="52" t="str">
        <f>IF(AND('331-CT'!$E$7=TH!H2792,OR(L2792="331",M2792="331")),"331",IF(AND(OR(L2792="131",M2792="131"),H2792='131-CT'!$E$7),"131",""))</f>
        <v/>
      </c>
      <c r="O2792" s="86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2"/>
    </row>
    <row r="2793" spans="1:27" s="906" customFormat="1" ht="15.75" customHeight="1">
      <c r="A2793" s="203" t="str">
        <f>IF(B2793&lt;&gt;"",IF(AND(B2793&gt;=_TM1,B2793&lt;=_TM2,OR(TH!L2793="1111",TH!M2793="1111")),TH!D2793,""),"")</f>
        <v/>
      </c>
      <c r="B2793" s="898">
        <f t="shared" si="38"/>
        <v>3</v>
      </c>
      <c r="C2793" s="899">
        <f t="shared" si="39"/>
        <v>42082</v>
      </c>
      <c r="D2793" s="900" t="s">
        <v>2013</v>
      </c>
      <c r="E2793" s="900">
        <v>42082</v>
      </c>
      <c r="F2793" s="911" t="s">
        <v>413</v>
      </c>
      <c r="G2793" s="49" t="s">
        <v>541</v>
      </c>
      <c r="H2793" s="913" t="s">
        <v>2014</v>
      </c>
      <c r="I2793" s="253">
        <v>490</v>
      </c>
      <c r="J2793" s="253">
        <v>7862.1759163026391</v>
      </c>
      <c r="K2793" s="904">
        <f t="shared" si="37"/>
        <v>3852466</v>
      </c>
      <c r="L2793" s="869" t="s">
        <v>167</v>
      </c>
      <c r="M2793" s="869" t="s">
        <v>165</v>
      </c>
      <c r="N2793" s="52" t="str">
        <f>IF(AND('331-CT'!$E$7=TH!H2793,OR(L2793="331",M2793="331")),"331",IF(AND(OR(L2793="131",M2793="131"),H2793='131-CT'!$E$7),"131",""))</f>
        <v/>
      </c>
      <c r="O2793" s="86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2"/>
    </row>
    <row r="2794" spans="1:27" s="906" customFormat="1" ht="15.75" customHeight="1">
      <c r="A2794" s="203" t="str">
        <f>IF(B2794&lt;&gt;"",IF(AND(B2794&gt;=_TM1,B2794&lt;=_TM2,OR(TH!L2794="1111",TH!M2794="1111")),TH!D2794,""),"")</f>
        <v/>
      </c>
      <c r="B2794" s="898">
        <f t="shared" si="38"/>
        <v>3</v>
      </c>
      <c r="C2794" s="899">
        <f t="shared" si="39"/>
        <v>42082</v>
      </c>
      <c r="D2794" s="900" t="s">
        <v>2013</v>
      </c>
      <c r="E2794" s="900">
        <v>42082</v>
      </c>
      <c r="F2794" s="49" t="s">
        <v>542</v>
      </c>
      <c r="G2794" s="49" t="s">
        <v>541</v>
      </c>
      <c r="H2794" s="913" t="s">
        <v>2014</v>
      </c>
      <c r="I2794" s="253">
        <v>215</v>
      </c>
      <c r="J2794" s="253">
        <v>7944.9356627900352</v>
      </c>
      <c r="K2794" s="904">
        <f t="shared" si="37"/>
        <v>1708161</v>
      </c>
      <c r="L2794" s="869" t="s">
        <v>167</v>
      </c>
      <c r="M2794" s="869" t="s">
        <v>165</v>
      </c>
      <c r="N2794" s="52" t="str">
        <f>IF(AND('331-CT'!$E$7=TH!H2794,OR(L2794="331",M2794="331")),"331",IF(AND(OR(L2794="131",M2794="131"),H2794='131-CT'!$E$7),"131",""))</f>
        <v/>
      </c>
      <c r="O2794" s="86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2"/>
    </row>
    <row r="2795" spans="1:27" s="906" customFormat="1" ht="15.75" customHeight="1">
      <c r="A2795" s="203" t="str">
        <f>IF(B2795&lt;&gt;"",IF(AND(B2795&gt;=_TM1,B2795&lt;=_TM2,OR(TH!L2795="1111",TH!M2795="1111")),TH!D2795,""),"")</f>
        <v/>
      </c>
      <c r="B2795" s="898">
        <f t="shared" si="38"/>
        <v>3</v>
      </c>
      <c r="C2795" s="899">
        <f t="shared" si="39"/>
        <v>42082</v>
      </c>
      <c r="D2795" s="900" t="s">
        <v>2013</v>
      </c>
      <c r="E2795" s="900">
        <v>42082</v>
      </c>
      <c r="F2795" s="49" t="s">
        <v>543</v>
      </c>
      <c r="G2795" s="49" t="s">
        <v>544</v>
      </c>
      <c r="H2795" s="913" t="s">
        <v>2014</v>
      </c>
      <c r="I2795" s="253">
        <v>200</v>
      </c>
      <c r="J2795" s="253">
        <v>5793.1822541177344</v>
      </c>
      <c r="K2795" s="904">
        <f t="shared" ref="K2795:K2819" si="40">ROUND(I2795*J2795,0)</f>
        <v>1158636</v>
      </c>
      <c r="L2795" s="869" t="s">
        <v>167</v>
      </c>
      <c r="M2795" s="869" t="s">
        <v>165</v>
      </c>
      <c r="N2795" s="52" t="str">
        <f>IF(AND('331-CT'!$E$7=TH!H2795,OR(L2795="331",M2795="331")),"331",IF(AND(OR(L2795="131",M2795="131"),H2795='131-CT'!$E$7),"131",""))</f>
        <v/>
      </c>
      <c r="O2795" s="86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2"/>
    </row>
    <row r="2796" spans="1:27" s="906" customFormat="1" ht="15.75" customHeight="1">
      <c r="A2796" s="203" t="str">
        <f>IF(B2796&lt;&gt;"",IF(AND(B2796&gt;=_TM1,B2796&lt;=_TM2,OR(TH!L2796="1111",TH!M2796="1111")),TH!D2796,""),"")</f>
        <v/>
      </c>
      <c r="B2796" s="898">
        <f t="shared" si="38"/>
        <v>3</v>
      </c>
      <c r="C2796" s="899">
        <f t="shared" si="39"/>
        <v>42082</v>
      </c>
      <c r="D2796" s="900" t="s">
        <v>2013</v>
      </c>
      <c r="E2796" s="900">
        <v>42082</v>
      </c>
      <c r="F2796" s="49" t="s">
        <v>430</v>
      </c>
      <c r="G2796" s="49" t="s">
        <v>544</v>
      </c>
      <c r="H2796" s="913" t="s">
        <v>2014</v>
      </c>
      <c r="I2796" s="253">
        <v>205</v>
      </c>
      <c r="J2796" s="253">
        <v>6289.740733042112</v>
      </c>
      <c r="K2796" s="904">
        <f t="shared" si="40"/>
        <v>1289397</v>
      </c>
      <c r="L2796" s="869" t="s">
        <v>167</v>
      </c>
      <c r="M2796" s="869" t="s">
        <v>165</v>
      </c>
      <c r="N2796" s="52" t="str">
        <f>IF(AND('331-CT'!$E$7=TH!H2796,OR(L2796="331",M2796="331")),"331",IF(AND(OR(L2796="131",M2796="131"),H2796='131-CT'!$E$7),"131",""))</f>
        <v/>
      </c>
      <c r="O2796" s="86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2"/>
    </row>
    <row r="2797" spans="1:27" s="906" customFormat="1" ht="15.75" customHeight="1">
      <c r="A2797" s="203" t="str">
        <f>IF(B2797&lt;&gt;"",IF(AND(B2797&gt;=_TM1,B2797&lt;=_TM2,OR(TH!L2797="1111",TH!M2797="1111")),TH!D2797,""),"")</f>
        <v/>
      </c>
      <c r="B2797" s="898">
        <f t="shared" si="38"/>
        <v>3</v>
      </c>
      <c r="C2797" s="899">
        <f t="shared" si="39"/>
        <v>42082</v>
      </c>
      <c r="D2797" s="900" t="s">
        <v>2013</v>
      </c>
      <c r="E2797" s="900">
        <v>42082</v>
      </c>
      <c r="F2797" s="911" t="s">
        <v>546</v>
      </c>
      <c r="G2797" s="49" t="s">
        <v>544</v>
      </c>
      <c r="H2797" s="913" t="s">
        <v>2014</v>
      </c>
      <c r="I2797" s="253">
        <v>208</v>
      </c>
      <c r="J2797" s="253">
        <v>5544.903014655546</v>
      </c>
      <c r="K2797" s="904">
        <f t="shared" si="40"/>
        <v>1153340</v>
      </c>
      <c r="L2797" s="869" t="s">
        <v>167</v>
      </c>
      <c r="M2797" s="869" t="s">
        <v>165</v>
      </c>
      <c r="N2797" s="52" t="str">
        <f>IF(AND('331-CT'!$E$7=TH!H2797,OR(L2797="331",M2797="331")),"331",IF(AND(OR(L2797="131",M2797="131"),H2797='131-CT'!$E$7),"131",""))</f>
        <v/>
      </c>
      <c r="O2797" s="86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2"/>
    </row>
    <row r="2798" spans="1:27" s="906" customFormat="1" ht="15.75" customHeight="1">
      <c r="A2798" s="203" t="str">
        <f>IF(B2798&lt;&gt;"",IF(AND(B2798&gt;=_TM1,B2798&lt;=_TM2,OR(TH!L2798="1111",TH!M2798="1111")),TH!D2798,""),"")</f>
        <v/>
      </c>
      <c r="B2798" s="898">
        <f t="shared" si="38"/>
        <v>3</v>
      </c>
      <c r="C2798" s="899">
        <f t="shared" si="39"/>
        <v>42088</v>
      </c>
      <c r="D2798" s="900" t="s">
        <v>2013</v>
      </c>
      <c r="E2798" s="900">
        <v>42088</v>
      </c>
      <c r="F2798" s="49" t="s">
        <v>547</v>
      </c>
      <c r="G2798" s="49" t="s">
        <v>548</v>
      </c>
      <c r="H2798" s="913" t="s">
        <v>2014</v>
      </c>
      <c r="I2798" s="253">
        <v>500</v>
      </c>
      <c r="J2798" s="253">
        <v>1324.1559437983394</v>
      </c>
      <c r="K2798" s="904">
        <f t="shared" si="40"/>
        <v>662078</v>
      </c>
      <c r="L2798" s="869" t="s">
        <v>167</v>
      </c>
      <c r="M2798" s="869" t="s">
        <v>165</v>
      </c>
      <c r="N2798" s="52" t="str">
        <f>IF(AND('331-CT'!$E$7=TH!H2798,OR(L2798="331",M2798="331")),"331",IF(AND(OR(L2798="131",M2798="131"),H2798='131-CT'!$E$7),"131",""))</f>
        <v/>
      </c>
      <c r="O2798" s="86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2"/>
    </row>
    <row r="2799" spans="1:27" s="906" customFormat="1" ht="15.75" customHeight="1">
      <c r="A2799" s="203" t="str">
        <f>IF(B2799&lt;&gt;"",IF(AND(B2799&gt;=_TM1,B2799&lt;=_TM2,OR(TH!L2799="1111",TH!M2799="1111")),TH!D2799,""),"")</f>
        <v/>
      </c>
      <c r="B2799" s="898">
        <f t="shared" si="38"/>
        <v>3</v>
      </c>
      <c r="C2799" s="899">
        <f t="shared" si="39"/>
        <v>42088</v>
      </c>
      <c r="D2799" s="900" t="s">
        <v>2013</v>
      </c>
      <c r="E2799" s="900">
        <v>42088</v>
      </c>
      <c r="F2799" s="911" t="s">
        <v>550</v>
      </c>
      <c r="G2799" s="49" t="s">
        <v>548</v>
      </c>
      <c r="H2799" s="913" t="s">
        <v>2014</v>
      </c>
      <c r="I2799" s="253">
        <v>50</v>
      </c>
      <c r="J2799" s="253">
        <v>13407.078930958187</v>
      </c>
      <c r="K2799" s="904">
        <f t="shared" si="40"/>
        <v>670354</v>
      </c>
      <c r="L2799" s="869" t="s">
        <v>167</v>
      </c>
      <c r="M2799" s="869" t="s">
        <v>165</v>
      </c>
      <c r="N2799" s="52" t="str">
        <f>IF(AND('331-CT'!$E$7=TH!H2799,OR(L2799="331",M2799="331")),"331",IF(AND(OR(L2799="131",M2799="131"),H2799='131-CT'!$E$7),"131",""))</f>
        <v/>
      </c>
      <c r="O2799" s="86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72"/>
    </row>
    <row r="2800" spans="1:27" s="906" customFormat="1" ht="15.75" customHeight="1">
      <c r="A2800" s="203" t="str">
        <f>IF(B2800&lt;&gt;"",IF(AND(B2800&gt;=_TM1,B2800&lt;=_TM2,OR(TH!L2800="1111",TH!M2800="1111")),TH!D2800,""),"")</f>
        <v/>
      </c>
      <c r="B2800" s="898">
        <f t="shared" si="38"/>
        <v>3</v>
      </c>
      <c r="C2800" s="899">
        <f t="shared" si="39"/>
        <v>42088</v>
      </c>
      <c r="D2800" s="900" t="s">
        <v>2013</v>
      </c>
      <c r="E2800" s="900">
        <v>42088</v>
      </c>
      <c r="F2800" s="49" t="s">
        <v>551</v>
      </c>
      <c r="G2800" s="49" t="s">
        <v>548</v>
      </c>
      <c r="H2800" s="913" t="s">
        <v>2014</v>
      </c>
      <c r="I2800" s="253">
        <v>12</v>
      </c>
      <c r="J2800" s="253">
        <v>12082.922987159845</v>
      </c>
      <c r="K2800" s="904">
        <f t="shared" si="40"/>
        <v>144995</v>
      </c>
      <c r="L2800" s="869" t="s">
        <v>167</v>
      </c>
      <c r="M2800" s="869" t="s">
        <v>165</v>
      </c>
      <c r="N2800" s="52" t="str">
        <f>IF(AND('331-CT'!$E$7=TH!H2800,OR(L2800="331",M2800="331")),"331",IF(AND(OR(L2800="131",M2800="131"),H2800='131-CT'!$E$7),"131",""))</f>
        <v/>
      </c>
      <c r="O2800" s="86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2"/>
    </row>
    <row r="2801" spans="1:27" s="906" customFormat="1" ht="15.75" customHeight="1">
      <c r="A2801" s="203" t="str">
        <f>IF(B2801&lt;&gt;"",IF(AND(B2801&gt;=_TM1,B2801&lt;=_TM2,OR(TH!L2801="1111",TH!M2801="1111")),TH!D2801,""),"")</f>
        <v/>
      </c>
      <c r="B2801" s="898">
        <f t="shared" si="38"/>
        <v>3</v>
      </c>
      <c r="C2801" s="899">
        <f t="shared" si="39"/>
        <v>42088</v>
      </c>
      <c r="D2801" s="900" t="s">
        <v>2013</v>
      </c>
      <c r="E2801" s="900">
        <v>42088</v>
      </c>
      <c r="F2801" s="49" t="s">
        <v>494</v>
      </c>
      <c r="G2801" s="49" t="s">
        <v>552</v>
      </c>
      <c r="H2801" s="913" t="s">
        <v>2014</v>
      </c>
      <c r="I2801" s="253">
        <v>1490</v>
      </c>
      <c r="J2801" s="253">
        <v>5627.6627611429421</v>
      </c>
      <c r="K2801" s="904">
        <f t="shared" si="40"/>
        <v>8385218</v>
      </c>
      <c r="L2801" s="869" t="s">
        <v>167</v>
      </c>
      <c r="M2801" s="869" t="s">
        <v>165</v>
      </c>
      <c r="N2801" s="52" t="str">
        <f>IF(AND('331-CT'!$E$7=TH!H2801,OR(L2801="331",M2801="331")),"331",IF(AND(OR(L2801="131",M2801="131"),H2801='131-CT'!$E$7),"131",""))</f>
        <v/>
      </c>
      <c r="O2801" s="86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2"/>
    </row>
    <row r="2802" spans="1:27" s="906" customFormat="1" ht="15.75" customHeight="1">
      <c r="A2802" s="203" t="str">
        <f>IF(B2802&lt;&gt;"",IF(AND(B2802&gt;=_TM1,B2802&lt;=_TM2,OR(TH!L2802="1111",TH!M2802="1111")),TH!D2802,""),"")</f>
        <v/>
      </c>
      <c r="B2802" s="898">
        <f t="shared" si="38"/>
        <v>3</v>
      </c>
      <c r="C2802" s="899">
        <f t="shared" si="39"/>
        <v>42088</v>
      </c>
      <c r="D2802" s="900" t="s">
        <v>2013</v>
      </c>
      <c r="E2802" s="900">
        <v>42088</v>
      </c>
      <c r="F2802" s="49" t="s">
        <v>553</v>
      </c>
      <c r="G2802" s="49" t="s">
        <v>554</v>
      </c>
      <c r="H2802" s="913" t="s">
        <v>2014</v>
      </c>
      <c r="I2802" s="253">
        <v>100</v>
      </c>
      <c r="J2802" s="253">
        <v>12827.760705546412</v>
      </c>
      <c r="K2802" s="904">
        <f t="shared" si="40"/>
        <v>1282776</v>
      </c>
      <c r="L2802" s="869" t="s">
        <v>167</v>
      </c>
      <c r="M2802" s="869" t="s">
        <v>165</v>
      </c>
      <c r="N2802" s="52" t="str">
        <f>IF(AND('331-CT'!$E$7=TH!H2802,OR(L2802="331",M2802="331")),"331",IF(AND(OR(L2802="131",M2802="131"),H2802='131-CT'!$E$7),"131",""))</f>
        <v/>
      </c>
      <c r="O2802" s="86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2"/>
    </row>
    <row r="2803" spans="1:27" s="906" customFormat="1" ht="15.75" customHeight="1">
      <c r="A2803" s="203" t="str">
        <f>IF(B2803&lt;&gt;"",IF(AND(B2803&gt;=_TM1,B2803&lt;=_TM2,OR(TH!L2803="1111",TH!M2803="1111")),TH!D2803,""),"")</f>
        <v/>
      </c>
      <c r="B2803" s="898">
        <f t="shared" si="38"/>
        <v>3</v>
      </c>
      <c r="C2803" s="899">
        <f t="shared" si="39"/>
        <v>42088</v>
      </c>
      <c r="D2803" s="900" t="s">
        <v>2013</v>
      </c>
      <c r="E2803" s="900">
        <v>42088</v>
      </c>
      <c r="F2803" s="49" t="s">
        <v>474</v>
      </c>
      <c r="G2803" s="49" t="s">
        <v>556</v>
      </c>
      <c r="H2803" s="913" t="s">
        <v>2014</v>
      </c>
      <c r="I2803" s="253">
        <v>30</v>
      </c>
      <c r="J2803" s="253">
        <v>10013.929324974941</v>
      </c>
      <c r="K2803" s="904">
        <f t="shared" si="40"/>
        <v>300418</v>
      </c>
      <c r="L2803" s="869" t="s">
        <v>167</v>
      </c>
      <c r="M2803" s="869" t="s">
        <v>165</v>
      </c>
      <c r="N2803" s="52" t="str">
        <f>IF(AND('331-CT'!$E$7=TH!H2803,OR(L2803="331",M2803="331")),"331",IF(AND(OR(L2803="131",M2803="131"),H2803='131-CT'!$E$7),"131",""))</f>
        <v/>
      </c>
      <c r="O2803" s="86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2"/>
    </row>
    <row r="2804" spans="1:27" s="906" customFormat="1" ht="15.75" customHeight="1">
      <c r="A2804" s="203" t="str">
        <f>IF(B2804&lt;&gt;"",IF(AND(B2804&gt;=_TM1,B2804&lt;=_TM2,OR(TH!L2804="1111",TH!M2804="1111")),TH!D2804,""),"")</f>
        <v/>
      </c>
      <c r="B2804" s="898">
        <f t="shared" si="38"/>
        <v>3</v>
      </c>
      <c r="C2804" s="899">
        <f t="shared" si="39"/>
        <v>42088</v>
      </c>
      <c r="D2804" s="900" t="s">
        <v>2013</v>
      </c>
      <c r="E2804" s="900">
        <v>42088</v>
      </c>
      <c r="F2804" s="49" t="s">
        <v>557</v>
      </c>
      <c r="G2804" s="49" t="s">
        <v>556</v>
      </c>
      <c r="H2804" s="913" t="s">
        <v>2014</v>
      </c>
      <c r="I2804" s="253">
        <v>347</v>
      </c>
      <c r="J2804" s="253">
        <v>15062.273860706109</v>
      </c>
      <c r="K2804" s="904">
        <f t="shared" si="40"/>
        <v>5226609</v>
      </c>
      <c r="L2804" s="869" t="s">
        <v>167</v>
      </c>
      <c r="M2804" s="869" t="s">
        <v>165</v>
      </c>
      <c r="N2804" s="52" t="str">
        <f>IF(AND('331-CT'!$E$7=TH!H2804,OR(L2804="331",M2804="331")),"331",IF(AND(OR(L2804="131",M2804="131"),H2804='131-CT'!$E$7),"131",""))</f>
        <v/>
      </c>
      <c r="O2804" s="86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2"/>
    </row>
    <row r="2805" spans="1:27" s="906" customFormat="1" ht="15.75" customHeight="1">
      <c r="A2805" s="203" t="str">
        <f>IF(B2805&lt;&gt;"",IF(AND(B2805&gt;=_TM1,B2805&lt;=_TM2,OR(TH!L2805="1111",TH!M2805="1111")),TH!D2805,""),"")</f>
        <v/>
      </c>
      <c r="B2805" s="898">
        <f t="shared" si="38"/>
        <v>3</v>
      </c>
      <c r="C2805" s="899">
        <f t="shared" si="39"/>
        <v>42090</v>
      </c>
      <c r="D2805" s="900" t="s">
        <v>2013</v>
      </c>
      <c r="E2805" s="900">
        <v>42090</v>
      </c>
      <c r="F2805" s="49" t="s">
        <v>560</v>
      </c>
      <c r="G2805" s="49" t="s">
        <v>561</v>
      </c>
      <c r="H2805" s="913" t="s">
        <v>2014</v>
      </c>
      <c r="I2805" s="253">
        <v>24</v>
      </c>
      <c r="J2805" s="253">
        <v>5213.8640287059607</v>
      </c>
      <c r="K2805" s="904">
        <f t="shared" si="40"/>
        <v>125133</v>
      </c>
      <c r="L2805" s="869" t="s">
        <v>167</v>
      </c>
      <c r="M2805" s="869" t="s">
        <v>165</v>
      </c>
      <c r="N2805" s="52" t="str">
        <f>IF(AND('331-CT'!$E$7=TH!H2805,OR(L2805="331",M2805="331")),"331",IF(AND(OR(L2805="131",M2805="131"),H2805='131-CT'!$E$7),"131",""))</f>
        <v/>
      </c>
      <c r="O2805" s="86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2"/>
    </row>
    <row r="2806" spans="1:27" s="906" customFormat="1" ht="15.75" customHeight="1">
      <c r="A2806" s="203" t="str">
        <f>IF(B2806&lt;&gt;"",IF(AND(B2806&gt;=_TM1,B2806&lt;=_TM2,OR(TH!L2806="1111",TH!M2806="1111")),TH!D2806,""),"")</f>
        <v/>
      </c>
      <c r="B2806" s="898">
        <f t="shared" ref="B2806:B2869" si="41">IF(C2806&lt;&gt;"",MONTH(C2806),"")</f>
        <v>3</v>
      </c>
      <c r="C2806" s="899">
        <f t="shared" si="39"/>
        <v>42090</v>
      </c>
      <c r="D2806" s="900" t="s">
        <v>2013</v>
      </c>
      <c r="E2806" s="900">
        <v>42090</v>
      </c>
      <c r="F2806" s="49" t="s">
        <v>1697</v>
      </c>
      <c r="G2806" s="49" t="s">
        <v>562</v>
      </c>
      <c r="H2806" s="913" t="s">
        <v>2014</v>
      </c>
      <c r="I2806" s="253">
        <v>1900</v>
      </c>
      <c r="J2806" s="253">
        <v>10179.448817949733</v>
      </c>
      <c r="K2806" s="904">
        <f t="shared" si="40"/>
        <v>19340953</v>
      </c>
      <c r="L2806" s="869" t="s">
        <v>167</v>
      </c>
      <c r="M2806" s="869" t="s">
        <v>165</v>
      </c>
      <c r="N2806" s="52" t="str">
        <f>IF(AND('331-CT'!$E$7=TH!H2806,OR(L2806="331",M2806="331")),"331",IF(AND(OR(L2806="131",M2806="131"),H2806='131-CT'!$E$7),"131",""))</f>
        <v/>
      </c>
      <c r="O2806" s="86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2"/>
    </row>
    <row r="2807" spans="1:27" s="906" customFormat="1" ht="15.75" customHeight="1">
      <c r="A2807" s="203" t="str">
        <f>IF(B2807&lt;&gt;"",IF(AND(B2807&gt;=_TM1,B2807&lt;=_TM2,OR(TH!L2807="1111",TH!M2807="1111")),TH!D2807,""),"")</f>
        <v/>
      </c>
      <c r="B2807" s="898">
        <f t="shared" si="41"/>
        <v>3</v>
      </c>
      <c r="C2807" s="899">
        <f t="shared" si="39"/>
        <v>42091</v>
      </c>
      <c r="D2807" s="900" t="s">
        <v>2013</v>
      </c>
      <c r="E2807" s="900">
        <v>42091</v>
      </c>
      <c r="F2807" s="49" t="s">
        <v>494</v>
      </c>
      <c r="G2807" s="49" t="s">
        <v>558</v>
      </c>
      <c r="H2807" s="913" t="s">
        <v>2014</v>
      </c>
      <c r="I2807" s="253">
        <v>504</v>
      </c>
      <c r="J2807" s="253">
        <v>5627.6627611429421</v>
      </c>
      <c r="K2807" s="904">
        <f t="shared" si="40"/>
        <v>2836342</v>
      </c>
      <c r="L2807" s="869" t="s">
        <v>167</v>
      </c>
      <c r="M2807" s="869" t="s">
        <v>165</v>
      </c>
      <c r="N2807" s="52" t="str">
        <f>IF(AND('331-CT'!$E$7=TH!H2807,OR(L2807="331",M2807="331")),"331",IF(AND(OR(L2807="131",M2807="131"),H2807='131-CT'!$E$7),"131",""))</f>
        <v/>
      </c>
      <c r="O2807" s="86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2"/>
    </row>
    <row r="2808" spans="1:27" s="906" customFormat="1" ht="15.75" customHeight="1">
      <c r="A2808" s="203" t="str">
        <f>IF(B2808&lt;&gt;"",IF(AND(B2808&gt;=_TM1,B2808&lt;=_TM2,OR(TH!L2808="1111",TH!M2808="1111")),TH!D2808,""),"")</f>
        <v/>
      </c>
      <c r="B2808" s="898">
        <f t="shared" si="41"/>
        <v>3</v>
      </c>
      <c r="C2808" s="899">
        <f t="shared" si="39"/>
        <v>42091</v>
      </c>
      <c r="D2808" s="900" t="s">
        <v>2013</v>
      </c>
      <c r="E2808" s="900">
        <v>42091</v>
      </c>
      <c r="F2808" s="49" t="s">
        <v>454</v>
      </c>
      <c r="G2808" s="49" t="s">
        <v>559</v>
      </c>
      <c r="H2808" s="913" t="s">
        <v>2014</v>
      </c>
      <c r="I2808" s="253">
        <v>350</v>
      </c>
      <c r="J2808" s="253">
        <v>60000.81620336225</v>
      </c>
      <c r="K2808" s="904">
        <f t="shared" si="40"/>
        <v>21000286</v>
      </c>
      <c r="L2808" s="869" t="s">
        <v>167</v>
      </c>
      <c r="M2808" s="869" t="s">
        <v>165</v>
      </c>
      <c r="N2808" s="52" t="str">
        <f>IF(AND('331-CT'!$E$7=TH!H2808,OR(L2808="331",M2808="331")),"331",IF(AND(OR(L2808="131",M2808="131"),H2808='131-CT'!$E$7),"131",""))</f>
        <v/>
      </c>
      <c r="O2808" s="86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2"/>
    </row>
    <row r="2809" spans="1:27" s="906" customFormat="1" ht="15.75" customHeight="1">
      <c r="A2809" s="203" t="str">
        <f>IF(B2809&lt;&gt;"",IF(AND(B2809&gt;=_TM1,B2809&lt;=_TM2,OR(TH!L2809="1111",TH!M2809="1111")),TH!D2809,""),"")</f>
        <v/>
      </c>
      <c r="B2809" s="898">
        <f t="shared" si="41"/>
        <v>3</v>
      </c>
      <c r="C2809" s="899">
        <f t="shared" si="39"/>
        <v>42094</v>
      </c>
      <c r="D2809" s="900" t="s">
        <v>2013</v>
      </c>
      <c r="E2809" s="900">
        <v>42094</v>
      </c>
      <c r="F2809" s="49" t="s">
        <v>1140</v>
      </c>
      <c r="G2809" s="49" t="s">
        <v>564</v>
      </c>
      <c r="H2809" s="913" t="s">
        <v>2014</v>
      </c>
      <c r="I2809" s="253">
        <v>50</v>
      </c>
      <c r="J2809" s="253">
        <v>9600.1305925379584</v>
      </c>
      <c r="K2809" s="904">
        <f t="shared" si="40"/>
        <v>480007</v>
      </c>
      <c r="L2809" s="869" t="s">
        <v>167</v>
      </c>
      <c r="M2809" s="869" t="s">
        <v>165</v>
      </c>
      <c r="N2809" s="52" t="str">
        <f>IF(AND('331-CT'!$E$7=TH!H2809,OR(L2809="331",M2809="331")),"331",IF(AND(OR(L2809="131",M2809="131"),H2809='131-CT'!$E$7),"131",""))</f>
        <v/>
      </c>
      <c r="O2809" s="86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2"/>
    </row>
    <row r="2810" spans="1:27" s="906" customFormat="1" ht="15.75" customHeight="1">
      <c r="A2810" s="203" t="str">
        <f>IF(B2810&lt;&gt;"",IF(AND(B2810&gt;=_TM1,B2810&lt;=_TM2,OR(TH!L2810="1111",TH!M2810="1111")),TH!D2810,""),"")</f>
        <v/>
      </c>
      <c r="B2810" s="898">
        <f t="shared" si="41"/>
        <v>3</v>
      </c>
      <c r="C2810" s="899">
        <f t="shared" si="39"/>
        <v>42094</v>
      </c>
      <c r="D2810" s="900" t="s">
        <v>2013</v>
      </c>
      <c r="E2810" s="900">
        <v>42094</v>
      </c>
      <c r="F2810" s="49" t="s">
        <v>1140</v>
      </c>
      <c r="G2810" s="49" t="s">
        <v>564</v>
      </c>
      <c r="H2810" s="913" t="s">
        <v>2014</v>
      </c>
      <c r="I2810" s="253">
        <v>773</v>
      </c>
      <c r="J2810" s="253">
        <v>9600.1305925379584</v>
      </c>
      <c r="K2810" s="904">
        <f t="shared" si="40"/>
        <v>7420901</v>
      </c>
      <c r="L2810" s="869" t="s">
        <v>167</v>
      </c>
      <c r="M2810" s="869" t="s">
        <v>165</v>
      </c>
      <c r="N2810" s="52" t="str">
        <f>IF(AND('331-CT'!$E$7=TH!H2810,OR(L2810="331",M2810="331")),"331",IF(AND(OR(L2810="131",M2810="131"),H2810='131-CT'!$E$7),"131",""))</f>
        <v/>
      </c>
      <c r="O2810" s="86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2"/>
    </row>
    <row r="2811" spans="1:27" s="906" customFormat="1" ht="15.75" customHeight="1">
      <c r="A2811" s="203" t="str">
        <f>IF(B2811&lt;&gt;"",IF(AND(B2811&gt;=_TM1,B2811&lt;=_TM2,OR(TH!L2811="1111",TH!M2811="1111")),TH!D2811,""),"")</f>
        <v/>
      </c>
      <c r="B2811" s="898">
        <f t="shared" si="41"/>
        <v>3</v>
      </c>
      <c r="C2811" s="899">
        <f t="shared" si="39"/>
        <v>42094</v>
      </c>
      <c r="D2811" s="900" t="s">
        <v>2013</v>
      </c>
      <c r="E2811" s="900">
        <v>42094</v>
      </c>
      <c r="F2811" s="49" t="s">
        <v>1654</v>
      </c>
      <c r="G2811" s="49" t="s">
        <v>564</v>
      </c>
      <c r="H2811" s="913" t="s">
        <v>2014</v>
      </c>
      <c r="I2811" s="253">
        <v>1646</v>
      </c>
      <c r="J2811" s="253">
        <v>827.59746487396205</v>
      </c>
      <c r="K2811" s="904">
        <f t="shared" si="40"/>
        <v>1362225</v>
      </c>
      <c r="L2811" s="869" t="s">
        <v>167</v>
      </c>
      <c r="M2811" s="869" t="s">
        <v>165</v>
      </c>
      <c r="N2811" s="52" t="str">
        <f>IF(AND('331-CT'!$E$7=TH!H2811,OR(L2811="331",M2811="331")),"331",IF(AND(OR(L2811="131",M2811="131"),H2811='131-CT'!$E$7),"131",""))</f>
        <v/>
      </c>
      <c r="O2811" s="86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2"/>
    </row>
    <row r="2812" spans="1:27" s="906" customFormat="1" ht="15.75" customHeight="1">
      <c r="A2812" s="203" t="str">
        <f>IF(B2812&lt;&gt;"",IF(AND(B2812&gt;=_TM1,B2812&lt;=_TM2,OR(TH!L2812="1111",TH!M2812="1111")),TH!D2812,""),"")</f>
        <v/>
      </c>
      <c r="B2812" s="898">
        <f t="shared" si="41"/>
        <v>3</v>
      </c>
      <c r="C2812" s="899">
        <f t="shared" si="39"/>
        <v>42094</v>
      </c>
      <c r="D2812" s="900" t="s">
        <v>2013</v>
      </c>
      <c r="E2812" s="900">
        <v>42094</v>
      </c>
      <c r="F2812" s="907" t="s">
        <v>454</v>
      </c>
      <c r="G2812" s="902" t="s">
        <v>565</v>
      </c>
      <c r="H2812" s="913" t="s">
        <v>2014</v>
      </c>
      <c r="I2812" s="253">
        <v>102</v>
      </c>
      <c r="J2812" s="253">
        <v>60000.81620336225</v>
      </c>
      <c r="K2812" s="904">
        <f t="shared" si="40"/>
        <v>6120083</v>
      </c>
      <c r="L2812" s="869" t="s">
        <v>167</v>
      </c>
      <c r="M2812" s="869" t="s">
        <v>165</v>
      </c>
      <c r="N2812" s="52" t="str">
        <f>IF(AND('331-CT'!$E$7=TH!H2812,OR(L2812="331",M2812="331")),"331",IF(AND(OR(L2812="131",M2812="131"),H2812='131-CT'!$E$7),"131",""))</f>
        <v/>
      </c>
      <c r="O2812" s="86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2"/>
    </row>
    <row r="2813" spans="1:27" s="906" customFormat="1" ht="15.75" customHeight="1">
      <c r="A2813" s="203" t="str">
        <f>IF(B2813&lt;&gt;"",IF(AND(B2813&gt;=_TM1,B2813&lt;=_TM2,OR(TH!L2813="1111",TH!M2813="1111")),TH!D2813,""),"")</f>
        <v/>
      </c>
      <c r="B2813" s="898">
        <f t="shared" si="41"/>
        <v>3</v>
      </c>
      <c r="C2813" s="899">
        <f t="shared" si="39"/>
        <v>42094</v>
      </c>
      <c r="D2813" s="900" t="s">
        <v>2013</v>
      </c>
      <c r="E2813" s="900">
        <v>42094</v>
      </c>
      <c r="F2813" s="907" t="s">
        <v>566</v>
      </c>
      <c r="G2813" s="902" t="s">
        <v>565</v>
      </c>
      <c r="H2813" s="913" t="s">
        <v>2014</v>
      </c>
      <c r="I2813" s="253">
        <v>25</v>
      </c>
      <c r="J2813" s="253">
        <v>34510.814285244218</v>
      </c>
      <c r="K2813" s="904">
        <f t="shared" si="40"/>
        <v>862770</v>
      </c>
      <c r="L2813" s="869" t="s">
        <v>167</v>
      </c>
      <c r="M2813" s="869" t="s">
        <v>165</v>
      </c>
      <c r="N2813" s="52" t="str">
        <f>IF(AND('331-CT'!$E$7=TH!H2813,OR(L2813="331",M2813="331")),"331",IF(AND(OR(L2813="131",M2813="131"),H2813='131-CT'!$E$7),"131",""))</f>
        <v/>
      </c>
      <c r="O2813" s="86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2"/>
    </row>
    <row r="2814" spans="1:27" s="906" customFormat="1" ht="15.75" customHeight="1">
      <c r="A2814" s="203" t="str">
        <f>IF(B2814&lt;&gt;"",IF(AND(B2814&gt;=_TM1,B2814&lt;=_TM2,OR(TH!L2814="1111",TH!M2814="1111")),TH!D2814,""),"")</f>
        <v/>
      </c>
      <c r="B2814" s="898">
        <f t="shared" si="41"/>
        <v>3</v>
      </c>
      <c r="C2814" s="899">
        <f t="shared" si="39"/>
        <v>42094</v>
      </c>
      <c r="D2814" s="900" t="s">
        <v>2013</v>
      </c>
      <c r="E2814" s="900">
        <v>42094</v>
      </c>
      <c r="F2814" s="907" t="s">
        <v>567</v>
      </c>
      <c r="G2814" s="902" t="s">
        <v>565</v>
      </c>
      <c r="H2814" s="913" t="s">
        <v>2014</v>
      </c>
      <c r="I2814" s="253">
        <v>11</v>
      </c>
      <c r="J2814" s="253">
        <v>42290.230455059464</v>
      </c>
      <c r="K2814" s="904">
        <f t="shared" si="40"/>
        <v>465193</v>
      </c>
      <c r="L2814" s="869" t="s">
        <v>167</v>
      </c>
      <c r="M2814" s="869" t="s">
        <v>165</v>
      </c>
      <c r="N2814" s="52" t="str">
        <f>IF(AND('331-CT'!$E$7=TH!H2814,OR(L2814="331",M2814="331")),"331",IF(AND(OR(L2814="131",M2814="131"),H2814='131-CT'!$E$7),"131",""))</f>
        <v/>
      </c>
      <c r="O2814" s="86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72"/>
    </row>
    <row r="2815" spans="1:27" s="906" customFormat="1" ht="15.75" customHeight="1">
      <c r="A2815" s="203" t="str">
        <f>IF(B2815&lt;&gt;"",IF(AND(B2815&gt;=_TM1,B2815&lt;=_TM2,OR(TH!L2815="1111",TH!M2815="1111")),TH!D2815,""),"")</f>
        <v/>
      </c>
      <c r="B2815" s="898">
        <f t="shared" si="41"/>
        <v>3</v>
      </c>
      <c r="C2815" s="899">
        <f t="shared" si="39"/>
        <v>42094</v>
      </c>
      <c r="D2815" s="900" t="s">
        <v>2013</v>
      </c>
      <c r="E2815" s="900">
        <v>42094</v>
      </c>
      <c r="F2815" s="907" t="s">
        <v>568</v>
      </c>
      <c r="G2815" s="902" t="s">
        <v>565</v>
      </c>
      <c r="H2815" s="913" t="s">
        <v>2014</v>
      </c>
      <c r="I2815" s="253">
        <v>13</v>
      </c>
      <c r="J2815" s="253">
        <v>34428.05453875682</v>
      </c>
      <c r="K2815" s="904">
        <f t="shared" si="40"/>
        <v>447565</v>
      </c>
      <c r="L2815" s="869" t="s">
        <v>167</v>
      </c>
      <c r="M2815" s="869" t="s">
        <v>165</v>
      </c>
      <c r="N2815" s="52" t="str">
        <f>IF(AND('331-CT'!$E$7=TH!H2815,OR(L2815="331",M2815="331")),"331",IF(AND(OR(L2815="131",M2815="131"),H2815='131-CT'!$E$7),"131",""))</f>
        <v/>
      </c>
      <c r="O2815" s="86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72"/>
    </row>
    <row r="2816" spans="1:27" s="906" customFormat="1" ht="15.75" customHeight="1">
      <c r="A2816" s="203" t="str">
        <f>IF(B2816&lt;&gt;"",IF(AND(B2816&gt;=_TM1,B2816&lt;=_TM2,OR(TH!L2816="1111",TH!M2816="1111")),TH!D2816,""),"")</f>
        <v/>
      </c>
      <c r="B2816" s="898">
        <f t="shared" si="41"/>
        <v>3</v>
      </c>
      <c r="C2816" s="899">
        <f t="shared" si="39"/>
        <v>42094</v>
      </c>
      <c r="D2816" s="900" t="s">
        <v>2013</v>
      </c>
      <c r="E2816" s="900">
        <v>42094</v>
      </c>
      <c r="F2816" s="907" t="s">
        <v>569</v>
      </c>
      <c r="G2816" s="902" t="s">
        <v>565</v>
      </c>
      <c r="H2816" s="913" t="s">
        <v>2014</v>
      </c>
      <c r="I2816" s="253">
        <v>19</v>
      </c>
      <c r="J2816" s="253">
        <v>66869.875161816133</v>
      </c>
      <c r="K2816" s="904">
        <f t="shared" si="40"/>
        <v>1270528</v>
      </c>
      <c r="L2816" s="869" t="s">
        <v>167</v>
      </c>
      <c r="M2816" s="869" t="s">
        <v>165</v>
      </c>
      <c r="N2816" s="52" t="str">
        <f>IF(AND('331-CT'!$E$7=TH!H2816,OR(L2816="331",M2816="331")),"331",IF(AND(OR(L2816="131",M2816="131"),H2816='131-CT'!$E$7),"131",""))</f>
        <v/>
      </c>
      <c r="O2816" s="86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72"/>
    </row>
    <row r="2817" spans="1:27" s="906" customFormat="1" ht="15.75" customHeight="1">
      <c r="A2817" s="203" t="str">
        <f>IF(B2817&lt;&gt;"",IF(AND(B2817&gt;=_TM1,B2817&lt;=_TM2,OR(TH!L2817="1111",TH!M2817="1111")),TH!D2817,""),"")</f>
        <v/>
      </c>
      <c r="B2817" s="898">
        <f t="shared" si="41"/>
        <v>3</v>
      </c>
      <c r="C2817" s="899">
        <f t="shared" si="39"/>
        <v>42094</v>
      </c>
      <c r="D2817" s="900" t="s">
        <v>2013</v>
      </c>
      <c r="E2817" s="900">
        <v>42094</v>
      </c>
      <c r="F2817" s="907" t="s">
        <v>570</v>
      </c>
      <c r="G2817" s="902" t="s">
        <v>565</v>
      </c>
      <c r="H2817" s="913" t="s">
        <v>2014</v>
      </c>
      <c r="I2817" s="253">
        <v>60</v>
      </c>
      <c r="J2817" s="253">
        <v>71173.381979160738</v>
      </c>
      <c r="K2817" s="904">
        <f t="shared" si="40"/>
        <v>4270403</v>
      </c>
      <c r="L2817" s="869" t="s">
        <v>167</v>
      </c>
      <c r="M2817" s="869" t="s">
        <v>165</v>
      </c>
      <c r="N2817" s="52" t="str">
        <f>IF(AND('331-CT'!$E$7=TH!H2817,OR(L2817="331",M2817="331")),"331",IF(AND(OR(L2817="131",M2817="131"),H2817='131-CT'!$E$7),"131",""))</f>
        <v/>
      </c>
      <c r="O2817" s="86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72"/>
    </row>
    <row r="2818" spans="1:27" s="906" customFormat="1" ht="15.75" customHeight="1">
      <c r="A2818" s="203" t="str">
        <f>IF(B2818&lt;&gt;"",IF(AND(B2818&gt;=_TM1,B2818&lt;=_TM2,OR(TH!L2818="1111",TH!M2818="1111")),TH!D2818,""),"")</f>
        <v/>
      </c>
      <c r="B2818" s="898">
        <f t="shared" si="41"/>
        <v>3</v>
      </c>
      <c r="C2818" s="899">
        <f t="shared" si="39"/>
        <v>42094</v>
      </c>
      <c r="D2818" s="900" t="s">
        <v>2013</v>
      </c>
      <c r="E2818" s="900">
        <v>42094</v>
      </c>
      <c r="F2818" s="907" t="s">
        <v>571</v>
      </c>
      <c r="G2818" s="902" t="s">
        <v>572</v>
      </c>
      <c r="H2818" s="913" t="s">
        <v>2014</v>
      </c>
      <c r="I2818" s="253">
        <v>55</v>
      </c>
      <c r="J2818" s="253">
        <v>14979.514114218713</v>
      </c>
      <c r="K2818" s="904">
        <f t="shared" si="40"/>
        <v>823873</v>
      </c>
      <c r="L2818" s="869" t="s">
        <v>167</v>
      </c>
      <c r="M2818" s="869" t="s">
        <v>165</v>
      </c>
      <c r="N2818" s="52" t="str">
        <f>IF(AND('331-CT'!$E$7=TH!H2818,OR(L2818="331",M2818="331")),"331",IF(AND(OR(L2818="131",M2818="131"),H2818='131-CT'!$E$7),"131",""))</f>
        <v/>
      </c>
      <c r="O2818" s="86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72"/>
    </row>
    <row r="2819" spans="1:27" s="906" customFormat="1" ht="15.75" customHeight="1">
      <c r="A2819" s="203" t="str">
        <f>IF(B2819&lt;&gt;"",IF(AND(B2819&gt;=_TM1,B2819&lt;=_TM2,OR(TH!L2819="1111",TH!M2819="1111")),TH!D2819,""),"")</f>
        <v/>
      </c>
      <c r="B2819" s="898">
        <f t="shared" si="41"/>
        <v>3</v>
      </c>
      <c r="C2819" s="899">
        <f t="shared" si="39"/>
        <v>42094</v>
      </c>
      <c r="D2819" s="900" t="s">
        <v>2013</v>
      </c>
      <c r="E2819" s="900">
        <v>42094</v>
      </c>
      <c r="F2819" s="907" t="s">
        <v>1697</v>
      </c>
      <c r="G2819" s="902" t="s">
        <v>573</v>
      </c>
      <c r="H2819" s="913" t="s">
        <v>2014</v>
      </c>
      <c r="I2819" s="253">
        <v>1950</v>
      </c>
      <c r="J2819" s="253">
        <v>10179.448817949733</v>
      </c>
      <c r="K2819" s="904">
        <f t="shared" si="40"/>
        <v>19849925</v>
      </c>
      <c r="L2819" s="869" t="s">
        <v>167</v>
      </c>
      <c r="M2819" s="869" t="s">
        <v>165</v>
      </c>
      <c r="N2819" s="52" t="str">
        <f>IF(AND('331-CT'!$E$7=TH!H2819,OR(L2819="331",M2819="331")),"331",IF(AND(OR(L2819="131",M2819="131"),H2819='131-CT'!$E$7),"131",""))</f>
        <v/>
      </c>
      <c r="O2819" s="86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72"/>
    </row>
    <row r="2820" spans="1:27" s="836" customFormat="1" ht="15.75" customHeight="1">
      <c r="A2820" s="203" t="str">
        <f>IF(B2820&lt;&gt;"",IF(AND(B2820&gt;=_TM1,B2820&lt;=_TM2,OR(TH!L2820="1111",TH!M2820="1111")),TH!D2820,""),"")</f>
        <v/>
      </c>
      <c r="B2820" s="826">
        <f t="shared" si="41"/>
        <v>4</v>
      </c>
      <c r="C2820" s="827">
        <f t="shared" si="39"/>
        <v>42100</v>
      </c>
      <c r="D2820" s="828" t="s">
        <v>2013</v>
      </c>
      <c r="E2820" s="828">
        <v>42100</v>
      </c>
      <c r="F2820" s="829" t="s">
        <v>575</v>
      </c>
      <c r="G2820" s="830" t="s">
        <v>576</v>
      </c>
      <c r="H2820" s="838" t="s">
        <v>2014</v>
      </c>
      <c r="I2820" s="832">
        <v>194</v>
      </c>
      <c r="J2820" s="832">
        <v>5696.3231366206455</v>
      </c>
      <c r="K2820" s="833">
        <f t="shared" ref="K2820" si="42">ROUND(I2820*J2820,0)</f>
        <v>1105087</v>
      </c>
      <c r="L2820" s="886" t="s">
        <v>167</v>
      </c>
      <c r="M2820" s="886" t="s">
        <v>165</v>
      </c>
      <c r="N2820" s="52" t="str">
        <f>IF(AND('331-CT'!$E$7=TH!H2820,OR(L2820="331",M2820="331")),"331",IF(AND(OR(L2820="131",M2820="131"),H2820='131-CT'!$E$7),"131",""))</f>
        <v/>
      </c>
      <c r="O2820" s="86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35"/>
    </row>
    <row r="2821" spans="1:27" s="906" customFormat="1" ht="15.75" customHeight="1">
      <c r="A2821" s="203" t="str">
        <f>IF(B2821&lt;&gt;"",IF(AND(B2821&gt;=_TM1,B2821&lt;=_TM2,OR(TH!L2821="1111",TH!M2821="1111")),TH!D2821,""),"")</f>
        <v/>
      </c>
      <c r="B2821" s="898">
        <f t="shared" si="41"/>
        <v>4</v>
      </c>
      <c r="C2821" s="899">
        <f t="shared" si="39"/>
        <v>42100</v>
      </c>
      <c r="D2821" s="900" t="s">
        <v>2013</v>
      </c>
      <c r="E2821" s="900">
        <v>42100</v>
      </c>
      <c r="F2821" s="907" t="s">
        <v>577</v>
      </c>
      <c r="G2821" s="902" t="s">
        <v>576</v>
      </c>
      <c r="H2821" s="913" t="s">
        <v>2014</v>
      </c>
      <c r="I2821" s="253">
        <v>8</v>
      </c>
      <c r="J2821" s="253">
        <v>6710.7368458818564</v>
      </c>
      <c r="K2821" s="904">
        <f t="shared" ref="K2821:K2884" si="43">ROUND(I2821*J2821,0)</f>
        <v>53686</v>
      </c>
      <c r="L2821" s="869" t="s">
        <v>167</v>
      </c>
      <c r="M2821" s="869" t="s">
        <v>165</v>
      </c>
      <c r="N2821" s="52" t="str">
        <f>IF(AND('331-CT'!$E$7=TH!H2821,OR(L2821="331",M2821="331")),"331",IF(AND(OR(L2821="131",M2821="131"),H2821='131-CT'!$E$7),"131",""))</f>
        <v/>
      </c>
      <c r="O2821" s="86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72"/>
    </row>
    <row r="2822" spans="1:27" s="906" customFormat="1" ht="15.75" customHeight="1">
      <c r="A2822" s="203" t="str">
        <f>IF(B2822&lt;&gt;"",IF(AND(B2822&gt;=_TM1,B2822&lt;=_TM2,OR(TH!L2822="1111",TH!M2822="1111")),TH!D2822,""),"")</f>
        <v/>
      </c>
      <c r="B2822" s="898">
        <f t="shared" si="41"/>
        <v>4</v>
      </c>
      <c r="C2822" s="899">
        <f t="shared" si="39"/>
        <v>42100</v>
      </c>
      <c r="D2822" s="900" t="s">
        <v>2013</v>
      </c>
      <c r="E2822" s="900">
        <v>42100</v>
      </c>
      <c r="F2822" s="907" t="s">
        <v>578</v>
      </c>
      <c r="G2822" s="902" t="s">
        <v>576</v>
      </c>
      <c r="H2822" s="913" t="s">
        <v>2014</v>
      </c>
      <c r="I2822" s="253">
        <v>10</v>
      </c>
      <c r="J2822" s="253">
        <v>7725.1505551430673</v>
      </c>
      <c r="K2822" s="904">
        <f t="shared" si="43"/>
        <v>77252</v>
      </c>
      <c r="L2822" s="869" t="s">
        <v>167</v>
      </c>
      <c r="M2822" s="869" t="s">
        <v>165</v>
      </c>
      <c r="N2822" s="52" t="str">
        <f>IF(AND('331-CT'!$E$7=TH!H2822,OR(L2822="331",M2822="331")),"331",IF(AND(OR(L2822="131",M2822="131"),H2822='131-CT'!$E$7),"131",""))</f>
        <v/>
      </c>
      <c r="O2822" s="86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72"/>
    </row>
    <row r="2823" spans="1:27" s="906" customFormat="1" ht="15.75" customHeight="1">
      <c r="A2823" s="203" t="str">
        <f>IF(B2823&lt;&gt;"",IF(AND(B2823&gt;=_TM1,B2823&lt;=_TM2,OR(TH!L2823="1111",TH!M2823="1111")),TH!D2823,""),"")</f>
        <v/>
      </c>
      <c r="B2823" s="898">
        <f t="shared" si="41"/>
        <v>4</v>
      </c>
      <c r="C2823" s="899">
        <f t="shared" si="39"/>
        <v>42100</v>
      </c>
      <c r="D2823" s="900" t="s">
        <v>2013</v>
      </c>
      <c r="E2823" s="900">
        <v>42100</v>
      </c>
      <c r="F2823" s="907" t="s">
        <v>579</v>
      </c>
      <c r="G2823" s="902" t="s">
        <v>576</v>
      </c>
      <c r="H2823" s="913" t="s">
        <v>2014</v>
      </c>
      <c r="I2823" s="253">
        <v>12</v>
      </c>
      <c r="J2823" s="253">
        <v>12016.900863555884</v>
      </c>
      <c r="K2823" s="904">
        <f t="shared" si="43"/>
        <v>144203</v>
      </c>
      <c r="L2823" s="869" t="s">
        <v>167</v>
      </c>
      <c r="M2823" s="869" t="s">
        <v>165</v>
      </c>
      <c r="N2823" s="52" t="str">
        <f>IF(AND('331-CT'!$E$7=TH!H2823,OR(L2823="331",M2823="331")),"331",IF(AND(OR(L2823="131",M2823="131"),H2823='131-CT'!$E$7),"131",""))</f>
        <v/>
      </c>
      <c r="O2823" s="86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72"/>
    </row>
    <row r="2824" spans="1:27" s="906" customFormat="1" ht="15.75" customHeight="1">
      <c r="A2824" s="203" t="str">
        <f>IF(B2824&lt;&gt;"",IF(AND(B2824&gt;=_TM1,B2824&lt;=_TM2,OR(TH!L2824="1111",TH!M2824="1111")),TH!D2824,""),"")</f>
        <v/>
      </c>
      <c r="B2824" s="898">
        <f t="shared" si="41"/>
        <v>4</v>
      </c>
      <c r="C2824" s="899">
        <f t="shared" si="39"/>
        <v>42100</v>
      </c>
      <c r="D2824" s="900" t="s">
        <v>2013</v>
      </c>
      <c r="E2824" s="900">
        <v>42100</v>
      </c>
      <c r="F2824" s="907" t="s">
        <v>580</v>
      </c>
      <c r="G2824" s="902" t="s">
        <v>576</v>
      </c>
      <c r="H2824" s="913" t="s">
        <v>2014</v>
      </c>
      <c r="I2824" s="253">
        <v>29</v>
      </c>
      <c r="J2824" s="253">
        <v>14201.791929656953</v>
      </c>
      <c r="K2824" s="904">
        <f t="shared" si="43"/>
        <v>411852</v>
      </c>
      <c r="L2824" s="869" t="s">
        <v>167</v>
      </c>
      <c r="M2824" s="869" t="s">
        <v>165</v>
      </c>
      <c r="N2824" s="52" t="str">
        <f>IF(AND('331-CT'!$E$7=TH!H2824,OR(L2824="331",M2824="331")),"331",IF(AND(OR(L2824="131",M2824="131"),H2824='131-CT'!$E$7),"131",""))</f>
        <v/>
      </c>
      <c r="O2824" s="86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72"/>
    </row>
    <row r="2825" spans="1:27" s="906" customFormat="1" ht="15.75" customHeight="1">
      <c r="A2825" s="203" t="str">
        <f>IF(B2825&lt;&gt;"",IF(AND(B2825&gt;=_TM1,B2825&lt;=_TM2,OR(TH!L2825="1111",TH!M2825="1111")),TH!D2825,""),"")</f>
        <v/>
      </c>
      <c r="B2825" s="898">
        <f t="shared" si="41"/>
        <v>4</v>
      </c>
      <c r="C2825" s="899">
        <f t="shared" si="39"/>
        <v>42100</v>
      </c>
      <c r="D2825" s="900" t="s">
        <v>2013</v>
      </c>
      <c r="E2825" s="900">
        <v>42100</v>
      </c>
      <c r="F2825" s="907" t="s">
        <v>581</v>
      </c>
      <c r="G2825" s="902" t="s">
        <v>576</v>
      </c>
      <c r="H2825" s="913" t="s">
        <v>2014</v>
      </c>
      <c r="I2825" s="253">
        <v>12</v>
      </c>
      <c r="J2825" s="253">
        <v>12875.250925238446</v>
      </c>
      <c r="K2825" s="904">
        <f t="shared" si="43"/>
        <v>154503</v>
      </c>
      <c r="L2825" s="869" t="s">
        <v>167</v>
      </c>
      <c r="M2825" s="869" t="s">
        <v>165</v>
      </c>
      <c r="N2825" s="52" t="str">
        <f>IF(AND('331-CT'!$E$7=TH!H2825,OR(L2825="331",M2825="331")),"331",IF(AND(OR(L2825="131",M2825="131"),H2825='131-CT'!$E$7),"131",""))</f>
        <v/>
      </c>
      <c r="O2825" s="86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72"/>
    </row>
    <row r="2826" spans="1:27" s="906" customFormat="1" ht="15.75" customHeight="1">
      <c r="A2826" s="203" t="str">
        <f>IF(B2826&lt;&gt;"",IF(AND(B2826&gt;=_TM1,B2826&lt;=_TM2,OR(TH!L2826="1111",TH!M2826="1111")),TH!D2826,""),"")</f>
        <v/>
      </c>
      <c r="B2826" s="898">
        <f t="shared" si="41"/>
        <v>4</v>
      </c>
      <c r="C2826" s="899">
        <f t="shared" si="39"/>
        <v>42100</v>
      </c>
      <c r="D2826" s="900" t="s">
        <v>2013</v>
      </c>
      <c r="E2826" s="900">
        <v>42100</v>
      </c>
      <c r="F2826" s="907" t="s">
        <v>1663</v>
      </c>
      <c r="G2826" s="902" t="s">
        <v>576</v>
      </c>
      <c r="H2826" s="913" t="s">
        <v>2014</v>
      </c>
      <c r="I2826" s="253">
        <v>424</v>
      </c>
      <c r="J2826" s="253">
        <v>312.12729515729569</v>
      </c>
      <c r="K2826" s="904">
        <f t="shared" si="43"/>
        <v>132342</v>
      </c>
      <c r="L2826" s="869" t="s">
        <v>167</v>
      </c>
      <c r="M2826" s="869" t="s">
        <v>165</v>
      </c>
      <c r="N2826" s="52" t="str">
        <f>IF(AND('331-CT'!$E$7=TH!H2826,OR(L2826="331",M2826="331")),"331",IF(AND(OR(L2826="131",M2826="131"),H2826='131-CT'!$E$7),"131",""))</f>
        <v/>
      </c>
      <c r="O2826" s="86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72"/>
    </row>
    <row r="2827" spans="1:27" s="906" customFormat="1" ht="15.75" customHeight="1">
      <c r="A2827" s="203" t="str">
        <f>IF(B2827&lt;&gt;"",IF(AND(B2827&gt;=_TM1,B2827&lt;=_TM2,OR(TH!L2827="1111",TH!M2827="1111")),TH!D2827,""),"")</f>
        <v/>
      </c>
      <c r="B2827" s="898">
        <f t="shared" si="41"/>
        <v>4</v>
      </c>
      <c r="C2827" s="899">
        <f t="shared" si="39"/>
        <v>42100</v>
      </c>
      <c r="D2827" s="900" t="s">
        <v>2013</v>
      </c>
      <c r="E2827" s="900">
        <v>42100</v>
      </c>
      <c r="F2827" s="907" t="s">
        <v>1664</v>
      </c>
      <c r="G2827" s="902" t="s">
        <v>576</v>
      </c>
      <c r="H2827" s="913" t="s">
        <v>2014</v>
      </c>
      <c r="I2827" s="253">
        <v>106</v>
      </c>
      <c r="J2827" s="253">
        <v>624.25459031459138</v>
      </c>
      <c r="K2827" s="904">
        <f t="shared" si="43"/>
        <v>66171</v>
      </c>
      <c r="L2827" s="869" t="s">
        <v>167</v>
      </c>
      <c r="M2827" s="869" t="s">
        <v>165</v>
      </c>
      <c r="N2827" s="52" t="str">
        <f>IF(AND('331-CT'!$E$7=TH!H2827,OR(L2827="331",M2827="331")),"331",IF(AND(OR(L2827="131",M2827="131"),H2827='131-CT'!$E$7),"131",""))</f>
        <v/>
      </c>
      <c r="O2827" s="86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72"/>
    </row>
    <row r="2828" spans="1:27" s="906" customFormat="1" ht="15.75" customHeight="1">
      <c r="A2828" s="203" t="str">
        <f>IF(B2828&lt;&gt;"",IF(AND(B2828&gt;=_TM1,B2828&lt;=_TM2,OR(TH!L2828="1111",TH!M2828="1111")),TH!D2828,""),"")</f>
        <v/>
      </c>
      <c r="B2828" s="898">
        <f t="shared" si="41"/>
        <v>4</v>
      </c>
      <c r="C2828" s="899">
        <f t="shared" si="39"/>
        <v>42100</v>
      </c>
      <c r="D2828" s="900" t="s">
        <v>2013</v>
      </c>
      <c r="E2828" s="900">
        <v>42100</v>
      </c>
      <c r="F2828" s="907" t="s">
        <v>413</v>
      </c>
      <c r="G2828" s="902" t="s">
        <v>582</v>
      </c>
      <c r="H2828" s="913" t="s">
        <v>2014</v>
      </c>
      <c r="I2828" s="253">
        <v>300</v>
      </c>
      <c r="J2828" s="253">
        <v>7413.0232599857718</v>
      </c>
      <c r="K2828" s="904">
        <f t="shared" si="43"/>
        <v>2223907</v>
      </c>
      <c r="L2828" s="869" t="s">
        <v>167</v>
      </c>
      <c r="M2828" s="869" t="s">
        <v>165</v>
      </c>
      <c r="N2828" s="52" t="str">
        <f>IF(AND('331-CT'!$E$7=TH!H2828,OR(L2828="331",M2828="331")),"331",IF(AND(OR(L2828="131",M2828="131"),H2828='131-CT'!$E$7),"131",""))</f>
        <v/>
      </c>
      <c r="O2828" s="86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72"/>
    </row>
    <row r="2829" spans="1:27" s="906" customFormat="1" ht="15.75" customHeight="1">
      <c r="A2829" s="203" t="str">
        <f>IF(B2829&lt;&gt;"",IF(AND(B2829&gt;=_TM1,B2829&lt;=_TM2,OR(TH!L2829="1111",TH!M2829="1111")),TH!D2829,""),"")</f>
        <v/>
      </c>
      <c r="B2829" s="898">
        <f t="shared" si="41"/>
        <v>4</v>
      </c>
      <c r="C2829" s="899">
        <f t="shared" si="39"/>
        <v>42100</v>
      </c>
      <c r="D2829" s="900" t="s">
        <v>2013</v>
      </c>
      <c r="E2829" s="900">
        <v>42100</v>
      </c>
      <c r="F2829" s="907" t="s">
        <v>413</v>
      </c>
      <c r="G2829" s="902" t="s">
        <v>582</v>
      </c>
      <c r="H2829" s="913" t="s">
        <v>2014</v>
      </c>
      <c r="I2829" s="253">
        <v>302</v>
      </c>
      <c r="J2829" s="253">
        <v>7413.0232599857718</v>
      </c>
      <c r="K2829" s="904">
        <f t="shared" si="43"/>
        <v>2238733</v>
      </c>
      <c r="L2829" s="869" t="s">
        <v>167</v>
      </c>
      <c r="M2829" s="869" t="s">
        <v>165</v>
      </c>
      <c r="N2829" s="52" t="str">
        <f>IF(AND('331-CT'!$E$7=TH!H2829,OR(L2829="331",M2829="331")),"331",IF(AND(OR(L2829="131",M2829="131"),H2829='131-CT'!$E$7),"131",""))</f>
        <v/>
      </c>
      <c r="O2829" s="86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72"/>
    </row>
    <row r="2830" spans="1:27" s="906" customFormat="1" ht="15.75" customHeight="1">
      <c r="A2830" s="203" t="str">
        <f>IF(B2830&lt;&gt;"",IF(AND(B2830&gt;=_TM1,B2830&lt;=_TM2,OR(TH!L2830="1111",TH!M2830="1111")),TH!D2830,""),"")</f>
        <v/>
      </c>
      <c r="B2830" s="898">
        <f t="shared" si="41"/>
        <v>4</v>
      </c>
      <c r="C2830" s="899">
        <f t="shared" si="39"/>
        <v>42100</v>
      </c>
      <c r="D2830" s="900" t="s">
        <v>2013</v>
      </c>
      <c r="E2830" s="900">
        <v>42100</v>
      </c>
      <c r="F2830" s="907" t="s">
        <v>519</v>
      </c>
      <c r="G2830" s="902" t="s">
        <v>583</v>
      </c>
      <c r="H2830" s="913" t="s">
        <v>2014</v>
      </c>
      <c r="I2830" s="253">
        <v>103</v>
      </c>
      <c r="J2830" s="253">
        <v>8739.56426440428</v>
      </c>
      <c r="K2830" s="904">
        <f t="shared" si="43"/>
        <v>900175</v>
      </c>
      <c r="L2830" s="869" t="s">
        <v>167</v>
      </c>
      <c r="M2830" s="869" t="s">
        <v>165</v>
      </c>
      <c r="N2830" s="52" t="str">
        <f>IF(AND('331-CT'!$E$7=TH!H2830,OR(L2830="331",M2830="331")),"331",IF(AND(OR(L2830="131",M2830="131"),H2830='131-CT'!$E$7),"131",""))</f>
        <v/>
      </c>
      <c r="O2830" s="86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72"/>
    </row>
    <row r="2831" spans="1:27" s="906" customFormat="1" ht="15.75" customHeight="1">
      <c r="A2831" s="203" t="str">
        <f>IF(B2831&lt;&gt;"",IF(AND(B2831&gt;=_TM1,B2831&lt;=_TM2,OR(TH!L2831="1111",TH!M2831="1111")),TH!D2831,""),"")</f>
        <v/>
      </c>
      <c r="B2831" s="898">
        <f t="shared" si="41"/>
        <v>4</v>
      </c>
      <c r="C2831" s="899">
        <f t="shared" si="39"/>
        <v>42100</v>
      </c>
      <c r="D2831" s="900" t="s">
        <v>2013</v>
      </c>
      <c r="E2831" s="900">
        <v>42100</v>
      </c>
      <c r="F2831" s="907" t="s">
        <v>518</v>
      </c>
      <c r="G2831" s="902" t="s">
        <v>583</v>
      </c>
      <c r="H2831" s="913" t="s">
        <v>2014</v>
      </c>
      <c r="I2831" s="253">
        <v>206</v>
      </c>
      <c r="J2831" s="253">
        <v>8115.3096740896872</v>
      </c>
      <c r="K2831" s="904">
        <f t="shared" si="43"/>
        <v>1671754</v>
      </c>
      <c r="L2831" s="869" t="s">
        <v>167</v>
      </c>
      <c r="M2831" s="869" t="s">
        <v>165</v>
      </c>
      <c r="N2831" s="52" t="str">
        <f>IF(AND('331-CT'!$E$7=TH!H2831,OR(L2831="331",M2831="331")),"331",IF(AND(OR(L2831="131",M2831="131"),H2831='131-CT'!$E$7),"131",""))</f>
        <v/>
      </c>
      <c r="O2831" s="86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72"/>
    </row>
    <row r="2832" spans="1:27" s="906" customFormat="1" ht="15.75" customHeight="1">
      <c r="A2832" s="203" t="str">
        <f>IF(B2832&lt;&gt;"",IF(AND(B2832&gt;=_TM1,B2832&lt;=_TM2,OR(TH!L2832="1111",TH!M2832="1111")),TH!D2832,""),"")</f>
        <v/>
      </c>
      <c r="B2832" s="898">
        <f t="shared" si="41"/>
        <v>4</v>
      </c>
      <c r="C2832" s="899">
        <f t="shared" si="39"/>
        <v>42100</v>
      </c>
      <c r="D2832" s="900" t="s">
        <v>2013</v>
      </c>
      <c r="E2832" s="900">
        <v>42100</v>
      </c>
      <c r="F2832" s="907" t="s">
        <v>516</v>
      </c>
      <c r="G2832" s="902" t="s">
        <v>583</v>
      </c>
      <c r="H2832" s="913" t="s">
        <v>2014</v>
      </c>
      <c r="I2832" s="253">
        <v>102</v>
      </c>
      <c r="J2832" s="253">
        <v>7491.0550837750961</v>
      </c>
      <c r="K2832" s="904">
        <f t="shared" si="43"/>
        <v>764088</v>
      </c>
      <c r="L2832" s="869" t="s">
        <v>167</v>
      </c>
      <c r="M2832" s="869" t="s">
        <v>165</v>
      </c>
      <c r="N2832" s="52" t="str">
        <f>IF(AND('331-CT'!$E$7=TH!H2832,OR(L2832="331",M2832="331")),"331",IF(AND(OR(L2832="131",M2832="131"),H2832='131-CT'!$E$7),"131",""))</f>
        <v/>
      </c>
      <c r="O2832" s="86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72"/>
    </row>
    <row r="2833" spans="1:27" s="906" customFormat="1" ht="15.75" customHeight="1">
      <c r="A2833" s="203" t="str">
        <f>IF(B2833&lt;&gt;"",IF(AND(B2833&gt;=_TM1,B2833&lt;=_TM2,OR(TH!L2833="1111",TH!M2833="1111")),TH!D2833,""),"")</f>
        <v/>
      </c>
      <c r="B2833" s="898">
        <f t="shared" si="41"/>
        <v>4</v>
      </c>
      <c r="C2833" s="899">
        <f t="shared" si="39"/>
        <v>42100</v>
      </c>
      <c r="D2833" s="900" t="s">
        <v>2013</v>
      </c>
      <c r="E2833" s="900">
        <v>42100</v>
      </c>
      <c r="F2833" s="907" t="s">
        <v>1661</v>
      </c>
      <c r="G2833" s="902" t="s">
        <v>583</v>
      </c>
      <c r="H2833" s="913" t="s">
        <v>2014</v>
      </c>
      <c r="I2833" s="253">
        <v>800</v>
      </c>
      <c r="J2833" s="253">
        <v>468.19094273594351</v>
      </c>
      <c r="K2833" s="904">
        <f t="shared" si="43"/>
        <v>374553</v>
      </c>
      <c r="L2833" s="869" t="s">
        <v>167</v>
      </c>
      <c r="M2833" s="869" t="s">
        <v>165</v>
      </c>
      <c r="N2833" s="52" t="str">
        <f>IF(AND('331-CT'!$E$7=TH!H2833,OR(L2833="331",M2833="331")),"331",IF(AND(OR(L2833="131",M2833="131"),H2833='131-CT'!$E$7),"131",""))</f>
        <v/>
      </c>
      <c r="O2833" s="86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72"/>
    </row>
    <row r="2834" spans="1:27" s="906" customFormat="1" ht="15.75" customHeight="1">
      <c r="A2834" s="203" t="str">
        <f>IF(B2834&lt;&gt;"",IF(AND(B2834&gt;=_TM1,B2834&lt;=_TM2,OR(TH!L2834="1111",TH!M2834="1111")),TH!D2834,""),"")</f>
        <v/>
      </c>
      <c r="B2834" s="898">
        <f t="shared" si="41"/>
        <v>4</v>
      </c>
      <c r="C2834" s="899">
        <f t="shared" si="39"/>
        <v>42101</v>
      </c>
      <c r="D2834" s="900" t="s">
        <v>2013</v>
      </c>
      <c r="E2834" s="900">
        <v>42101</v>
      </c>
      <c r="F2834" s="907" t="s">
        <v>1698</v>
      </c>
      <c r="G2834" s="902" t="s">
        <v>591</v>
      </c>
      <c r="H2834" s="913" t="s">
        <v>2014</v>
      </c>
      <c r="I2834" s="253">
        <v>170</v>
      </c>
      <c r="J2834" s="253">
        <v>14982.110167550192</v>
      </c>
      <c r="K2834" s="904">
        <f t="shared" si="43"/>
        <v>2546959</v>
      </c>
      <c r="L2834" s="869" t="s">
        <v>167</v>
      </c>
      <c r="M2834" s="869" t="s">
        <v>165</v>
      </c>
      <c r="N2834" s="52" t="str">
        <f>IF(AND('331-CT'!$E$7=TH!H2834,OR(L2834="331",M2834="331")),"331",IF(AND(OR(L2834="131",M2834="131"),H2834='131-CT'!$E$7),"131",""))</f>
        <v/>
      </c>
      <c r="O2834" s="86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72"/>
    </row>
    <row r="2835" spans="1:27" s="210" customFormat="1" ht="15.75" customHeight="1">
      <c r="A2835" s="203" t="str">
        <f>IF(B2835&lt;&gt;"",IF(AND(B2835&gt;=_TM1,B2835&lt;=_TM2,OR(TH!L2835="1111",TH!M2835="1111")),TH!D2835,""),"")</f>
        <v/>
      </c>
      <c r="B2835" s="36">
        <f t="shared" si="41"/>
        <v>4</v>
      </c>
      <c r="C2835" s="899">
        <f t="shared" si="39"/>
        <v>42101</v>
      </c>
      <c r="D2835" s="900" t="s">
        <v>2013</v>
      </c>
      <c r="E2835" s="900">
        <v>42101</v>
      </c>
      <c r="F2835" s="907" t="s">
        <v>1699</v>
      </c>
      <c r="G2835" s="902" t="s">
        <v>591</v>
      </c>
      <c r="H2835" s="913" t="s">
        <v>2014</v>
      </c>
      <c r="I2835" s="253">
        <v>570</v>
      </c>
      <c r="J2835" s="253">
        <v>13421.473691763713</v>
      </c>
      <c r="K2835" s="904">
        <f t="shared" si="43"/>
        <v>7650240</v>
      </c>
      <c r="L2835" s="869" t="s">
        <v>167</v>
      </c>
      <c r="M2835" s="869" t="s">
        <v>165</v>
      </c>
      <c r="N2835" s="52" t="str">
        <f>IF(AND('331-CT'!$E$7=TH!H2835,OR(L2835="331",M2835="331")),"331",IF(AND(OR(L2835="131",M2835="131"),H2835='131-CT'!$E$7),"131",""))</f>
        <v/>
      </c>
      <c r="O2835" s="86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99"/>
    </row>
    <row r="2836" spans="1:27" s="210" customFormat="1" ht="15.75" customHeight="1">
      <c r="A2836" s="203" t="str">
        <f>IF(B2836&lt;&gt;"",IF(AND(B2836&gt;=_TM1,B2836&lt;=_TM2,OR(TH!L2836="1111",TH!M2836="1111")),TH!D2836,""),"")</f>
        <v/>
      </c>
      <c r="B2836" s="36">
        <f t="shared" si="41"/>
        <v>4</v>
      </c>
      <c r="C2836" s="899">
        <f t="shared" ref="C2836:C2899" si="44">E2836</f>
        <v>42101</v>
      </c>
      <c r="D2836" s="900" t="s">
        <v>2013</v>
      </c>
      <c r="E2836" s="900">
        <v>42101</v>
      </c>
      <c r="F2836" s="907" t="s">
        <v>1700</v>
      </c>
      <c r="G2836" s="902" t="s">
        <v>591</v>
      </c>
      <c r="H2836" s="913" t="s">
        <v>2014</v>
      </c>
      <c r="I2836" s="253">
        <v>25</v>
      </c>
      <c r="J2836" s="253">
        <v>13967.696458288981</v>
      </c>
      <c r="K2836" s="904">
        <f t="shared" si="43"/>
        <v>349192</v>
      </c>
      <c r="L2836" s="869" t="s">
        <v>167</v>
      </c>
      <c r="M2836" s="869" t="s">
        <v>165</v>
      </c>
      <c r="N2836" s="52" t="str">
        <f>IF(AND('331-CT'!$E$7=TH!H2836,OR(L2836="331",M2836="331")),"331",IF(AND(OR(L2836="131",M2836="131"),H2836='131-CT'!$E$7),"131",""))</f>
        <v/>
      </c>
      <c r="O2836" s="86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99"/>
    </row>
    <row r="2837" spans="1:27" s="210" customFormat="1" ht="15.75" customHeight="1">
      <c r="A2837" s="203" t="str">
        <f>IF(B2837&lt;&gt;"",IF(AND(B2837&gt;=_TM1,B2837&lt;=_TM2,OR(TH!L2837="1111",TH!M2837="1111")),TH!D2837,""),"")</f>
        <v/>
      </c>
      <c r="B2837" s="36">
        <f t="shared" si="41"/>
        <v>4</v>
      </c>
      <c r="C2837" s="899">
        <f t="shared" si="44"/>
        <v>42101</v>
      </c>
      <c r="D2837" s="900" t="s">
        <v>2013</v>
      </c>
      <c r="E2837" s="900">
        <v>42101</v>
      </c>
      <c r="F2837" s="907" t="s">
        <v>1701</v>
      </c>
      <c r="G2837" s="902" t="s">
        <v>591</v>
      </c>
      <c r="H2837" s="913" t="s">
        <v>2014</v>
      </c>
      <c r="I2837" s="253">
        <v>330</v>
      </c>
      <c r="J2837" s="253">
        <v>13031.314572817093</v>
      </c>
      <c r="K2837" s="904">
        <f t="shared" si="43"/>
        <v>4300334</v>
      </c>
      <c r="L2837" s="869" t="s">
        <v>167</v>
      </c>
      <c r="M2837" s="869" t="s">
        <v>165</v>
      </c>
      <c r="N2837" s="52" t="str">
        <f>IF(AND('331-CT'!$E$7=TH!H2837,OR(L2837="331",M2837="331")),"331",IF(AND(OR(L2837="131",M2837="131"),H2837='131-CT'!$E$7),"131",""))</f>
        <v/>
      </c>
      <c r="O2837" s="86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99"/>
    </row>
    <row r="2838" spans="1:27" s="210" customFormat="1" ht="15.75" customHeight="1">
      <c r="A2838" s="203" t="str">
        <f>IF(B2838&lt;&gt;"",IF(AND(B2838&gt;=_TM1,B2838&lt;=_TM2,OR(TH!L2838="1111",TH!M2838="1111")),TH!D2838,""),"")</f>
        <v/>
      </c>
      <c r="B2838" s="36">
        <f t="shared" si="41"/>
        <v>4</v>
      </c>
      <c r="C2838" s="899">
        <f t="shared" si="44"/>
        <v>42101</v>
      </c>
      <c r="D2838" s="900" t="s">
        <v>2013</v>
      </c>
      <c r="E2838" s="900">
        <v>42101</v>
      </c>
      <c r="F2838" s="907" t="s">
        <v>1702</v>
      </c>
      <c r="G2838" s="902" t="s">
        <v>591</v>
      </c>
      <c r="H2838" s="913" t="s">
        <v>2014</v>
      </c>
      <c r="I2838" s="253">
        <v>500</v>
      </c>
      <c r="J2838" s="253">
        <v>9675.9461498761648</v>
      </c>
      <c r="K2838" s="904">
        <f t="shared" si="43"/>
        <v>4837973</v>
      </c>
      <c r="L2838" s="869" t="s">
        <v>167</v>
      </c>
      <c r="M2838" s="869" t="s">
        <v>165</v>
      </c>
      <c r="N2838" s="52" t="str">
        <f>IF(AND('331-CT'!$E$7=TH!H2838,OR(L2838="331",M2838="331")),"331",IF(AND(OR(L2838="131",M2838="131"),H2838='131-CT'!$E$7),"131",""))</f>
        <v/>
      </c>
      <c r="O2838" s="86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99"/>
    </row>
    <row r="2839" spans="1:27" s="210" customFormat="1" ht="15.75" customHeight="1">
      <c r="A2839" s="203" t="str">
        <f>IF(B2839&lt;&gt;"",IF(AND(B2839&gt;=_TM1,B2839&lt;=_TM2,OR(TH!L2839="1111",TH!M2839="1111")),TH!D2839,""),"")</f>
        <v/>
      </c>
      <c r="B2839" s="36">
        <f t="shared" si="41"/>
        <v>4</v>
      </c>
      <c r="C2839" s="899">
        <f t="shared" si="44"/>
        <v>42101</v>
      </c>
      <c r="D2839" s="900" t="s">
        <v>2013</v>
      </c>
      <c r="E2839" s="900">
        <v>42101</v>
      </c>
      <c r="F2839" s="907" t="s">
        <v>491</v>
      </c>
      <c r="G2839" s="902" t="s">
        <v>584</v>
      </c>
      <c r="H2839" s="913" t="s">
        <v>2014</v>
      </c>
      <c r="I2839" s="253">
        <v>820</v>
      </c>
      <c r="J2839" s="253">
        <v>9051.6915595615737</v>
      </c>
      <c r="K2839" s="904">
        <f t="shared" si="43"/>
        <v>7422387</v>
      </c>
      <c r="L2839" s="869" t="s">
        <v>167</v>
      </c>
      <c r="M2839" s="869" t="s">
        <v>165</v>
      </c>
      <c r="N2839" s="52" t="str">
        <f>IF(AND('331-CT'!$E$7=TH!H2839,OR(L2839="331",M2839="331")),"331",IF(AND(OR(L2839="131",M2839="131"),H2839='131-CT'!$E$7),"131",""))</f>
        <v/>
      </c>
      <c r="O2839" s="86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99"/>
    </row>
    <row r="2840" spans="1:27" s="210" customFormat="1" ht="15.75" customHeight="1">
      <c r="A2840" s="203" t="str">
        <f>IF(B2840&lt;&gt;"",IF(AND(B2840&gt;=_TM1,B2840&lt;=_TM2,OR(TH!L2840="1111",TH!M2840="1111")),TH!D2840,""),"")</f>
        <v/>
      </c>
      <c r="B2840" s="36">
        <f t="shared" si="41"/>
        <v>4</v>
      </c>
      <c r="C2840" s="899">
        <f t="shared" si="44"/>
        <v>42101</v>
      </c>
      <c r="D2840" s="900" t="s">
        <v>2013</v>
      </c>
      <c r="E2840" s="900">
        <v>42101</v>
      </c>
      <c r="F2840" s="907" t="s">
        <v>585</v>
      </c>
      <c r="G2840" s="902" t="s">
        <v>584</v>
      </c>
      <c r="H2840" s="913" t="s">
        <v>2014</v>
      </c>
      <c r="I2840" s="253">
        <v>505</v>
      </c>
      <c r="J2840" s="253">
        <v>10768.3916829267</v>
      </c>
      <c r="K2840" s="904">
        <f t="shared" si="43"/>
        <v>5438038</v>
      </c>
      <c r="L2840" s="869" t="s">
        <v>167</v>
      </c>
      <c r="M2840" s="869" t="s">
        <v>165</v>
      </c>
      <c r="N2840" s="52" t="str">
        <f>IF(AND('331-CT'!$E$7=TH!H2840,OR(L2840="331",M2840="331")),"331",IF(AND(OR(L2840="131",M2840="131"),H2840='131-CT'!$E$7),"131",""))</f>
        <v/>
      </c>
      <c r="O2840" s="86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99"/>
    </row>
    <row r="2841" spans="1:27" s="210" customFormat="1" ht="15.75" customHeight="1">
      <c r="A2841" s="203" t="str">
        <f>IF(B2841&lt;&gt;"",IF(AND(B2841&gt;=_TM1,B2841&lt;=_TM2,OR(TH!L2841="1111",TH!M2841="1111")),TH!D2841,""),"")</f>
        <v/>
      </c>
      <c r="B2841" s="36">
        <f t="shared" si="41"/>
        <v>4</v>
      </c>
      <c r="C2841" s="899">
        <f t="shared" si="44"/>
        <v>42101</v>
      </c>
      <c r="D2841" s="900" t="s">
        <v>2013</v>
      </c>
      <c r="E2841" s="900">
        <v>42101</v>
      </c>
      <c r="F2841" s="907" t="s">
        <v>586</v>
      </c>
      <c r="G2841" s="902" t="s">
        <v>584</v>
      </c>
      <c r="H2841" s="913" t="s">
        <v>2014</v>
      </c>
      <c r="I2841" s="253">
        <v>270</v>
      </c>
      <c r="J2841" s="253">
        <v>10066.105268822785</v>
      </c>
      <c r="K2841" s="904">
        <f t="shared" si="43"/>
        <v>2717848</v>
      </c>
      <c r="L2841" s="869" t="s">
        <v>167</v>
      </c>
      <c r="M2841" s="869" t="s">
        <v>165</v>
      </c>
      <c r="N2841" s="52" t="str">
        <f>IF(AND('331-CT'!$E$7=TH!H2841,OR(L2841="331",M2841="331")),"331",IF(AND(OR(L2841="131",M2841="131"),H2841='131-CT'!$E$7),"131",""))</f>
        <v/>
      </c>
      <c r="O2841" s="86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99"/>
    </row>
    <row r="2842" spans="1:27" s="210" customFormat="1" ht="15.75" customHeight="1">
      <c r="A2842" s="203" t="str">
        <f>IF(B2842&lt;&gt;"",IF(AND(B2842&gt;=_TM1,B2842&lt;=_TM2,OR(TH!L2842="1111",TH!M2842="1111")),TH!D2842,""),"")</f>
        <v/>
      </c>
      <c r="B2842" s="36">
        <f t="shared" si="41"/>
        <v>4</v>
      </c>
      <c r="C2842" s="899">
        <f t="shared" si="44"/>
        <v>42101</v>
      </c>
      <c r="D2842" s="900" t="s">
        <v>2013</v>
      </c>
      <c r="E2842" s="900">
        <v>42101</v>
      </c>
      <c r="F2842" s="907" t="s">
        <v>587</v>
      </c>
      <c r="G2842" s="902" t="s">
        <v>584</v>
      </c>
      <c r="H2842" s="913" t="s">
        <v>2014</v>
      </c>
      <c r="I2842" s="253">
        <v>150</v>
      </c>
      <c r="J2842" s="253">
        <v>6164.5140793565897</v>
      </c>
      <c r="K2842" s="904">
        <f t="shared" si="43"/>
        <v>924677</v>
      </c>
      <c r="L2842" s="869" t="s">
        <v>167</v>
      </c>
      <c r="M2842" s="869" t="s">
        <v>165</v>
      </c>
      <c r="N2842" s="52" t="str">
        <f>IF(AND('331-CT'!$E$7=TH!H2842,OR(L2842="331",M2842="331")),"331",IF(AND(OR(L2842="131",M2842="131"),H2842='131-CT'!$E$7),"131",""))</f>
        <v/>
      </c>
      <c r="O2842" s="86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99"/>
    </row>
    <row r="2843" spans="1:27" s="210" customFormat="1" ht="15.75" customHeight="1">
      <c r="A2843" s="203" t="str">
        <f>IF(B2843&lt;&gt;"",IF(AND(B2843&gt;=_TM1,B2843&lt;=_TM2,OR(TH!L2843="1111",TH!M2843="1111")),TH!D2843,""),"")</f>
        <v/>
      </c>
      <c r="B2843" s="36">
        <f t="shared" si="41"/>
        <v>4</v>
      </c>
      <c r="C2843" s="899">
        <f t="shared" si="44"/>
        <v>42101</v>
      </c>
      <c r="D2843" s="900" t="s">
        <v>2013</v>
      </c>
      <c r="E2843" s="900">
        <v>42101</v>
      </c>
      <c r="F2843" s="907" t="s">
        <v>588</v>
      </c>
      <c r="G2843" s="902" t="s">
        <v>584</v>
      </c>
      <c r="H2843" s="913" t="s">
        <v>2014</v>
      </c>
      <c r="I2843" s="253">
        <v>990</v>
      </c>
      <c r="J2843" s="253">
        <v>7725.1505551430673</v>
      </c>
      <c r="K2843" s="904">
        <f t="shared" si="43"/>
        <v>7647899</v>
      </c>
      <c r="L2843" s="869" t="s">
        <v>167</v>
      </c>
      <c r="M2843" s="869" t="s">
        <v>165</v>
      </c>
      <c r="N2843" s="52" t="str">
        <f>IF(AND('331-CT'!$E$7=TH!H2843,OR(L2843="331",M2843="331")),"331",IF(AND(OR(L2843="131",M2843="131"),H2843='131-CT'!$E$7),"131",""))</f>
        <v/>
      </c>
      <c r="O2843" s="86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99"/>
    </row>
    <row r="2844" spans="1:27" s="210" customFormat="1" ht="15.75" customHeight="1">
      <c r="A2844" s="203" t="str">
        <f>IF(B2844&lt;&gt;"",IF(AND(B2844&gt;=_TM1,B2844&lt;=_TM2,OR(TH!L2844="1111",TH!M2844="1111")),TH!D2844,""),"")</f>
        <v/>
      </c>
      <c r="B2844" s="36">
        <f t="shared" si="41"/>
        <v>4</v>
      </c>
      <c r="C2844" s="899">
        <f t="shared" si="44"/>
        <v>42101</v>
      </c>
      <c r="D2844" s="900" t="s">
        <v>2013</v>
      </c>
      <c r="E2844" s="900">
        <v>42101</v>
      </c>
      <c r="F2844" s="907" t="s">
        <v>589</v>
      </c>
      <c r="G2844" s="902" t="s">
        <v>584</v>
      </c>
      <c r="H2844" s="913" t="s">
        <v>2014</v>
      </c>
      <c r="I2844" s="253">
        <v>620</v>
      </c>
      <c r="J2844" s="253">
        <v>8817.5960881936026</v>
      </c>
      <c r="K2844" s="904">
        <f t="shared" si="43"/>
        <v>5466910</v>
      </c>
      <c r="L2844" s="869" t="s">
        <v>167</v>
      </c>
      <c r="M2844" s="869" t="s">
        <v>165</v>
      </c>
      <c r="N2844" s="52" t="str">
        <f>IF(AND('331-CT'!$E$7=TH!H2844,OR(L2844="331",M2844="331")),"331",IF(AND(OR(L2844="131",M2844="131"),H2844='131-CT'!$E$7),"131",""))</f>
        <v/>
      </c>
      <c r="O2844" s="86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99"/>
    </row>
    <row r="2845" spans="1:27" s="210" customFormat="1" ht="15.75" customHeight="1">
      <c r="A2845" s="203" t="str">
        <f>IF(B2845&lt;&gt;"",IF(AND(B2845&gt;=_TM1,B2845&lt;=_TM2,OR(TH!L2845="1111",TH!M2845="1111")),TH!D2845,""),"")</f>
        <v/>
      </c>
      <c r="B2845" s="36">
        <f t="shared" si="41"/>
        <v>4</v>
      </c>
      <c r="C2845" s="899">
        <f t="shared" si="44"/>
        <v>42101</v>
      </c>
      <c r="D2845" s="900" t="s">
        <v>2013</v>
      </c>
      <c r="E2845" s="900">
        <v>42101</v>
      </c>
      <c r="F2845" s="907" t="s">
        <v>590</v>
      </c>
      <c r="G2845" s="902" t="s">
        <v>584</v>
      </c>
      <c r="H2845" s="913" t="s">
        <v>2014</v>
      </c>
      <c r="I2845" s="253">
        <v>105</v>
      </c>
      <c r="J2845" s="253">
        <v>9988.0734450334621</v>
      </c>
      <c r="K2845" s="904">
        <f t="shared" si="43"/>
        <v>1048748</v>
      </c>
      <c r="L2845" s="869" t="s">
        <v>167</v>
      </c>
      <c r="M2845" s="869" t="s">
        <v>165</v>
      </c>
      <c r="N2845" s="52" t="str">
        <f>IF(AND('331-CT'!$E$7=TH!H2845,OR(L2845="331",M2845="331")),"331",IF(AND(OR(L2845="131",M2845="131"),H2845='131-CT'!$E$7),"131",""))</f>
        <v/>
      </c>
      <c r="O2845" s="86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99"/>
    </row>
    <row r="2846" spans="1:27" s="210" customFormat="1" ht="15.75" customHeight="1">
      <c r="A2846" s="203" t="str">
        <f>IF(B2846&lt;&gt;"",IF(AND(B2846&gt;=_TM1,B2846&lt;=_TM2,OR(TH!L2846="1111",TH!M2846="1111")),TH!D2846,""),"")</f>
        <v/>
      </c>
      <c r="B2846" s="36">
        <f t="shared" si="41"/>
        <v>4</v>
      </c>
      <c r="C2846" s="899">
        <f t="shared" si="44"/>
        <v>42102</v>
      </c>
      <c r="D2846" s="900" t="s">
        <v>2013</v>
      </c>
      <c r="E2846" s="900">
        <v>42102</v>
      </c>
      <c r="F2846" s="907" t="s">
        <v>1703</v>
      </c>
      <c r="G2846" s="902" t="s">
        <v>592</v>
      </c>
      <c r="H2846" s="913" t="s">
        <v>2014</v>
      </c>
      <c r="I2846" s="253">
        <v>124</v>
      </c>
      <c r="J2846" s="253">
        <v>5540.2594890419978</v>
      </c>
      <c r="K2846" s="904">
        <f t="shared" si="43"/>
        <v>686992</v>
      </c>
      <c r="L2846" s="869" t="s">
        <v>167</v>
      </c>
      <c r="M2846" s="869" t="s">
        <v>165</v>
      </c>
      <c r="N2846" s="52" t="str">
        <f>IF(AND('331-CT'!$E$7=TH!H2846,OR(L2846="331",M2846="331")),"331",IF(AND(OR(L2846="131",M2846="131"),H2846='131-CT'!$E$7),"131",""))</f>
        <v/>
      </c>
      <c r="O2846" s="86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99"/>
    </row>
    <row r="2847" spans="1:27" s="210" customFormat="1" ht="15.75" customHeight="1">
      <c r="A2847" s="203" t="str">
        <f>IF(B2847&lt;&gt;"",IF(AND(B2847&gt;=_TM1,B2847&lt;=_TM2,OR(TH!L2847="1111",TH!M2847="1111")),TH!D2847,""),"")</f>
        <v/>
      </c>
      <c r="B2847" s="36">
        <f t="shared" si="41"/>
        <v>4</v>
      </c>
      <c r="C2847" s="899">
        <f t="shared" si="44"/>
        <v>42102</v>
      </c>
      <c r="D2847" s="900" t="s">
        <v>2013</v>
      </c>
      <c r="E2847" s="900">
        <v>42102</v>
      </c>
      <c r="F2847" s="907" t="s">
        <v>741</v>
      </c>
      <c r="G2847" s="902" t="s">
        <v>592</v>
      </c>
      <c r="H2847" s="913" t="s">
        <v>2014</v>
      </c>
      <c r="I2847" s="253">
        <v>100</v>
      </c>
      <c r="J2847" s="253">
        <v>7725.1505551430673</v>
      </c>
      <c r="K2847" s="904">
        <f t="shared" si="43"/>
        <v>772515</v>
      </c>
      <c r="L2847" s="869" t="s">
        <v>167</v>
      </c>
      <c r="M2847" s="869" t="s">
        <v>165</v>
      </c>
      <c r="N2847" s="52" t="str">
        <f>IF(AND('331-CT'!$E$7=TH!H2847,OR(L2847="331",M2847="331")),"331",IF(AND(OR(L2847="131",M2847="131"),H2847='131-CT'!$E$7),"131",""))</f>
        <v/>
      </c>
      <c r="O2847" s="86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99"/>
    </row>
    <row r="2848" spans="1:27" s="210" customFormat="1" ht="15.75" customHeight="1">
      <c r="A2848" s="203" t="str">
        <f>IF(B2848&lt;&gt;"",IF(AND(B2848&gt;=_TM1,B2848&lt;=_TM2,OR(TH!L2848="1111",TH!M2848="1111")),TH!D2848,""),"")</f>
        <v/>
      </c>
      <c r="B2848" s="36">
        <f t="shared" si="41"/>
        <v>4</v>
      </c>
      <c r="C2848" s="899">
        <f t="shared" si="44"/>
        <v>42102</v>
      </c>
      <c r="D2848" s="900" t="s">
        <v>2013</v>
      </c>
      <c r="E2848" s="900">
        <v>42102</v>
      </c>
      <c r="F2848" s="907" t="s">
        <v>692</v>
      </c>
      <c r="G2848" s="902" t="s">
        <v>592</v>
      </c>
      <c r="H2848" s="913" t="s">
        <v>2014</v>
      </c>
      <c r="I2848" s="253">
        <v>25</v>
      </c>
      <c r="J2848" s="253">
        <v>13967.696458288981</v>
      </c>
      <c r="K2848" s="904">
        <f t="shared" si="43"/>
        <v>349192</v>
      </c>
      <c r="L2848" s="869" t="s">
        <v>167</v>
      </c>
      <c r="M2848" s="869" t="s">
        <v>165</v>
      </c>
      <c r="N2848" s="52" t="str">
        <f>IF(AND('331-CT'!$E$7=TH!H2848,OR(L2848="331",M2848="331")),"331",IF(AND(OR(L2848="131",M2848="131"),H2848='131-CT'!$E$7),"131",""))</f>
        <v/>
      </c>
      <c r="O2848" s="86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99"/>
    </row>
    <row r="2849" spans="1:27" s="210" customFormat="1" ht="15.75" customHeight="1">
      <c r="A2849" s="203" t="str">
        <f>IF(B2849&lt;&gt;"",IF(AND(B2849&gt;=_TM1,B2849&lt;=_TM2,OR(TH!L2849="1111",TH!M2849="1111")),TH!D2849,""),"")</f>
        <v/>
      </c>
      <c r="B2849" s="36">
        <f t="shared" si="41"/>
        <v>4</v>
      </c>
      <c r="C2849" s="899">
        <f t="shared" si="44"/>
        <v>42102</v>
      </c>
      <c r="D2849" s="900" t="s">
        <v>2013</v>
      </c>
      <c r="E2849" s="900">
        <v>42102</v>
      </c>
      <c r="F2849" s="907" t="s">
        <v>1704</v>
      </c>
      <c r="G2849" s="902" t="s">
        <v>592</v>
      </c>
      <c r="H2849" s="913" t="s">
        <v>2014</v>
      </c>
      <c r="I2849" s="253">
        <v>25</v>
      </c>
      <c r="J2849" s="253">
        <v>12953.282749027769</v>
      </c>
      <c r="K2849" s="904">
        <f t="shared" si="43"/>
        <v>323832</v>
      </c>
      <c r="L2849" s="869" t="s">
        <v>167</v>
      </c>
      <c r="M2849" s="869" t="s">
        <v>165</v>
      </c>
      <c r="N2849" s="52" t="str">
        <f>IF(AND('331-CT'!$E$7=TH!H2849,OR(L2849="331",M2849="331")),"331",IF(AND(OR(L2849="131",M2849="131"),H2849='131-CT'!$E$7),"131",""))</f>
        <v/>
      </c>
      <c r="O2849" s="86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99"/>
    </row>
    <row r="2850" spans="1:27" s="210" customFormat="1" ht="15.75" customHeight="1">
      <c r="A2850" s="203" t="str">
        <f>IF(B2850&lt;&gt;"",IF(AND(B2850&gt;=_TM1,B2850&lt;=_TM2,OR(TH!L2850="1111",TH!M2850="1111")),TH!D2850,""),"")</f>
        <v/>
      </c>
      <c r="B2850" s="36">
        <f t="shared" si="41"/>
        <v>4</v>
      </c>
      <c r="C2850" s="899">
        <f t="shared" si="44"/>
        <v>42102</v>
      </c>
      <c r="D2850" s="900" t="s">
        <v>2013</v>
      </c>
      <c r="E2850" s="900">
        <v>42102</v>
      </c>
      <c r="F2850" s="907" t="s">
        <v>1705</v>
      </c>
      <c r="G2850" s="902" t="s">
        <v>592</v>
      </c>
      <c r="H2850" s="913" t="s">
        <v>2014</v>
      </c>
      <c r="I2850" s="253">
        <v>100</v>
      </c>
      <c r="J2850" s="253">
        <v>7100.8959648284763</v>
      </c>
      <c r="K2850" s="904">
        <f t="shared" si="43"/>
        <v>710090</v>
      </c>
      <c r="L2850" s="869" t="s">
        <v>167</v>
      </c>
      <c r="M2850" s="869" t="s">
        <v>165</v>
      </c>
      <c r="N2850" s="52" t="str">
        <f>IF(AND('331-CT'!$E$7=TH!H2850,OR(L2850="331",M2850="331")),"331",IF(AND(OR(L2850="131",M2850="131"),H2850='131-CT'!$E$7),"131",""))</f>
        <v/>
      </c>
      <c r="O2850" s="86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99"/>
    </row>
    <row r="2851" spans="1:27" s="210" customFormat="1" ht="15.75" customHeight="1">
      <c r="A2851" s="203" t="str">
        <f>IF(B2851&lt;&gt;"",IF(AND(B2851&gt;=_TM1,B2851&lt;=_TM2,OR(TH!L2851="1111",TH!M2851="1111")),TH!D2851,""),"")</f>
        <v/>
      </c>
      <c r="B2851" s="36">
        <f t="shared" si="41"/>
        <v>4</v>
      </c>
      <c r="C2851" s="899">
        <f t="shared" si="44"/>
        <v>42102</v>
      </c>
      <c r="D2851" s="900" t="s">
        <v>2013</v>
      </c>
      <c r="E2851" s="900">
        <v>42102</v>
      </c>
      <c r="F2851" s="907" t="s">
        <v>1698</v>
      </c>
      <c r="G2851" s="902" t="s">
        <v>592</v>
      </c>
      <c r="H2851" s="913" t="s">
        <v>2014</v>
      </c>
      <c r="I2851" s="253">
        <v>553</v>
      </c>
      <c r="J2851" s="253">
        <v>14982.110167550192</v>
      </c>
      <c r="K2851" s="904">
        <f t="shared" si="43"/>
        <v>8285107</v>
      </c>
      <c r="L2851" s="869" t="s">
        <v>167</v>
      </c>
      <c r="M2851" s="869" t="s">
        <v>165</v>
      </c>
      <c r="N2851" s="52" t="str">
        <f>IF(AND('331-CT'!$E$7=TH!H2851,OR(L2851="331",M2851="331")),"331",IF(AND(OR(L2851="131",M2851="131"),H2851='131-CT'!$E$7),"131",""))</f>
        <v/>
      </c>
      <c r="O2851" s="86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99"/>
    </row>
    <row r="2852" spans="1:27" s="210" customFormat="1" ht="15.75" customHeight="1">
      <c r="A2852" s="203" t="str">
        <f>IF(B2852&lt;&gt;"",IF(AND(B2852&gt;=_TM1,B2852&lt;=_TM2,OR(TH!L2852="1111",TH!M2852="1111")),TH!D2852,""),"")</f>
        <v/>
      </c>
      <c r="B2852" s="36">
        <f t="shared" si="41"/>
        <v>4</v>
      </c>
      <c r="C2852" s="899">
        <f t="shared" si="44"/>
        <v>42104</v>
      </c>
      <c r="D2852" s="900" t="s">
        <v>2013</v>
      </c>
      <c r="E2852" s="900">
        <v>42104</v>
      </c>
      <c r="F2852" s="907" t="s">
        <v>1843</v>
      </c>
      <c r="G2852" s="902" t="s">
        <v>593</v>
      </c>
      <c r="H2852" s="913" t="s">
        <v>2014</v>
      </c>
      <c r="I2852" s="253">
        <v>200</v>
      </c>
      <c r="J2852" s="253">
        <v>7334.9914361964475</v>
      </c>
      <c r="K2852" s="904">
        <f t="shared" si="43"/>
        <v>1466998</v>
      </c>
      <c r="L2852" s="869" t="s">
        <v>167</v>
      </c>
      <c r="M2852" s="869" t="s">
        <v>165</v>
      </c>
      <c r="N2852" s="52" t="str">
        <f>IF(AND('331-CT'!$E$7=TH!H2852,OR(L2852="331",M2852="331")),"331",IF(AND(OR(L2852="131",M2852="131"),H2852='131-CT'!$E$7),"131",""))</f>
        <v/>
      </c>
      <c r="O2852" s="86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99"/>
    </row>
    <row r="2853" spans="1:27" s="210" customFormat="1" ht="15.75" customHeight="1">
      <c r="A2853" s="203" t="str">
        <f>IF(B2853&lt;&gt;"",IF(AND(B2853&gt;=_TM1,B2853&lt;=_TM2,OR(TH!L2853="1111",TH!M2853="1111")),TH!D2853,""),"")</f>
        <v/>
      </c>
      <c r="B2853" s="36">
        <f t="shared" si="41"/>
        <v>4</v>
      </c>
      <c r="C2853" s="899">
        <f t="shared" si="44"/>
        <v>42104</v>
      </c>
      <c r="D2853" s="900" t="s">
        <v>2013</v>
      </c>
      <c r="E2853" s="900">
        <v>42104</v>
      </c>
      <c r="F2853" s="907" t="s">
        <v>1786</v>
      </c>
      <c r="G2853" s="902" t="s">
        <v>593</v>
      </c>
      <c r="H2853" s="913" t="s">
        <v>2014</v>
      </c>
      <c r="I2853" s="253">
        <v>50</v>
      </c>
      <c r="J2853" s="253">
        <v>20834.496951749486</v>
      </c>
      <c r="K2853" s="904">
        <f t="shared" si="43"/>
        <v>1041725</v>
      </c>
      <c r="L2853" s="869" t="s">
        <v>167</v>
      </c>
      <c r="M2853" s="869" t="s">
        <v>165</v>
      </c>
      <c r="N2853" s="52" t="str">
        <f>IF(AND('331-CT'!$E$7=TH!H2853,OR(L2853="331",M2853="331")),"331",IF(AND(OR(L2853="131",M2853="131"),H2853='131-CT'!$E$7),"131",""))</f>
        <v/>
      </c>
      <c r="O2853" s="86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99"/>
    </row>
    <row r="2854" spans="1:27" s="210" customFormat="1" ht="15.75" customHeight="1">
      <c r="A2854" s="203" t="str">
        <f>IF(B2854&lt;&gt;"",IF(AND(B2854&gt;=_TM1,B2854&lt;=_TM2,OR(TH!L2854="1111",TH!M2854="1111")),TH!D2854,""),"")</f>
        <v/>
      </c>
      <c r="B2854" s="36">
        <f t="shared" si="41"/>
        <v>4</v>
      </c>
      <c r="C2854" s="899">
        <f t="shared" si="44"/>
        <v>42104</v>
      </c>
      <c r="D2854" s="900" t="s">
        <v>2013</v>
      </c>
      <c r="E2854" s="900">
        <v>42104</v>
      </c>
      <c r="F2854" s="907" t="s">
        <v>1844</v>
      </c>
      <c r="G2854" s="902" t="s">
        <v>593</v>
      </c>
      <c r="H2854" s="913" t="s">
        <v>2014</v>
      </c>
      <c r="I2854" s="253">
        <v>53</v>
      </c>
      <c r="J2854" s="253">
        <v>19507.955947330978</v>
      </c>
      <c r="K2854" s="904">
        <f t="shared" si="43"/>
        <v>1033922</v>
      </c>
      <c r="L2854" s="869" t="s">
        <v>167</v>
      </c>
      <c r="M2854" s="869" t="s">
        <v>165</v>
      </c>
      <c r="N2854" s="52" t="str">
        <f>IF(AND('331-CT'!$E$7=TH!H2854,OR(L2854="331",M2854="331")),"331",IF(AND(OR(L2854="131",M2854="131"),H2854='131-CT'!$E$7),"131",""))</f>
        <v/>
      </c>
      <c r="O2854" s="86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99"/>
    </row>
    <row r="2855" spans="1:27" s="210" customFormat="1" ht="15.75" customHeight="1">
      <c r="A2855" s="203" t="str">
        <f>IF(B2855&lt;&gt;"",IF(AND(B2855&gt;=_TM1,B2855&lt;=_TM2,OR(TH!L2855="1111",TH!M2855="1111")),TH!D2855,""),"")</f>
        <v/>
      </c>
      <c r="B2855" s="36">
        <f t="shared" si="41"/>
        <v>4</v>
      </c>
      <c r="C2855" s="899">
        <f t="shared" si="44"/>
        <v>42104</v>
      </c>
      <c r="D2855" s="900" t="s">
        <v>2013</v>
      </c>
      <c r="E2855" s="900">
        <v>42104</v>
      </c>
      <c r="F2855" s="907" t="s">
        <v>1715</v>
      </c>
      <c r="G2855" s="902" t="s">
        <v>593</v>
      </c>
      <c r="H2855" s="913" t="s">
        <v>2014</v>
      </c>
      <c r="I2855" s="253">
        <v>200</v>
      </c>
      <c r="J2855" s="253">
        <v>11626.741744609264</v>
      </c>
      <c r="K2855" s="904">
        <f t="shared" si="43"/>
        <v>2325348</v>
      </c>
      <c r="L2855" s="869" t="s">
        <v>167</v>
      </c>
      <c r="M2855" s="869" t="s">
        <v>165</v>
      </c>
      <c r="N2855" s="52" t="str">
        <f>IF(AND('331-CT'!$E$7=TH!H2855,OR(L2855="331",M2855="331")),"331",IF(AND(OR(L2855="131",M2855="131"),H2855='131-CT'!$E$7),"131",""))</f>
        <v/>
      </c>
      <c r="O2855" s="86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99"/>
    </row>
    <row r="2856" spans="1:27" s="210" customFormat="1" ht="15.75" customHeight="1">
      <c r="A2856" s="203" t="str">
        <f>IF(B2856&lt;&gt;"",IF(AND(B2856&gt;=_TM1,B2856&lt;=_TM2,OR(TH!L2856="1111",TH!M2856="1111")),TH!D2856,""),"")</f>
        <v/>
      </c>
      <c r="B2856" s="36">
        <f t="shared" si="41"/>
        <v>4</v>
      </c>
      <c r="C2856" s="899">
        <f t="shared" si="44"/>
        <v>42104</v>
      </c>
      <c r="D2856" s="900" t="s">
        <v>2013</v>
      </c>
      <c r="E2856" s="900">
        <v>42104</v>
      </c>
      <c r="F2856" s="907" t="s">
        <v>1845</v>
      </c>
      <c r="G2856" s="902" t="s">
        <v>593</v>
      </c>
      <c r="H2856" s="913" t="s">
        <v>2014</v>
      </c>
      <c r="I2856" s="253">
        <v>500</v>
      </c>
      <c r="J2856" s="253">
        <v>7647.1187313537439</v>
      </c>
      <c r="K2856" s="904">
        <f t="shared" si="43"/>
        <v>3823559</v>
      </c>
      <c r="L2856" s="869" t="s">
        <v>167</v>
      </c>
      <c r="M2856" s="869" t="s">
        <v>165</v>
      </c>
      <c r="N2856" s="52" t="str">
        <f>IF(AND('331-CT'!$E$7=TH!H2856,OR(L2856="331",M2856="331")),"331",IF(AND(OR(L2856="131",M2856="131"),H2856='131-CT'!$E$7),"131",""))</f>
        <v/>
      </c>
      <c r="O2856" s="86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99"/>
    </row>
    <row r="2857" spans="1:27" s="210" customFormat="1" ht="15.75" customHeight="1">
      <c r="A2857" s="203" t="str">
        <f>IF(B2857&lt;&gt;"",IF(AND(B2857&gt;=_TM1,B2857&lt;=_TM2,OR(TH!L2857="1111",TH!M2857="1111")),TH!D2857,""),"")</f>
        <v/>
      </c>
      <c r="B2857" s="36">
        <f t="shared" si="41"/>
        <v>4</v>
      </c>
      <c r="C2857" s="899">
        <f t="shared" si="44"/>
        <v>42104</v>
      </c>
      <c r="D2857" s="900" t="s">
        <v>2013</v>
      </c>
      <c r="E2857" s="900">
        <v>42104</v>
      </c>
      <c r="F2857" s="907" t="s">
        <v>1846</v>
      </c>
      <c r="G2857" s="902" t="s">
        <v>593</v>
      </c>
      <c r="H2857" s="913" t="s">
        <v>2014</v>
      </c>
      <c r="I2857" s="253">
        <v>38</v>
      </c>
      <c r="J2857" s="253">
        <v>8037.2778503003638</v>
      </c>
      <c r="K2857" s="904">
        <f t="shared" si="43"/>
        <v>305417</v>
      </c>
      <c r="L2857" s="869" t="s">
        <v>167</v>
      </c>
      <c r="M2857" s="869" t="s">
        <v>165</v>
      </c>
      <c r="N2857" s="52" t="str">
        <f>IF(AND('331-CT'!$E$7=TH!H2857,OR(L2857="331",M2857="331")),"331",IF(AND(OR(L2857="131",M2857="131"),H2857='131-CT'!$E$7),"131",""))</f>
        <v/>
      </c>
      <c r="O2857" s="86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99"/>
    </row>
    <row r="2858" spans="1:27" s="210" customFormat="1" ht="15.75" customHeight="1">
      <c r="A2858" s="203" t="str">
        <f>IF(B2858&lt;&gt;"",IF(AND(B2858&gt;=_TM1,B2858&lt;=_TM2,OR(TH!L2858="1111",TH!M2858="1111")),TH!D2858,""),"")</f>
        <v/>
      </c>
      <c r="B2858" s="36">
        <f t="shared" si="41"/>
        <v>4</v>
      </c>
      <c r="C2858" s="899">
        <f t="shared" si="44"/>
        <v>42104</v>
      </c>
      <c r="D2858" s="900" t="s">
        <v>2013</v>
      </c>
      <c r="E2858" s="900">
        <v>42104</v>
      </c>
      <c r="F2858" s="907" t="s">
        <v>538</v>
      </c>
      <c r="G2858" s="902" t="s">
        <v>594</v>
      </c>
      <c r="H2858" s="913" t="s">
        <v>2014</v>
      </c>
      <c r="I2858" s="253">
        <v>203</v>
      </c>
      <c r="J2858" s="253">
        <v>6944.8323172498285</v>
      </c>
      <c r="K2858" s="904">
        <f t="shared" si="43"/>
        <v>1409801</v>
      </c>
      <c r="L2858" s="869" t="s">
        <v>167</v>
      </c>
      <c r="M2858" s="869" t="s">
        <v>165</v>
      </c>
      <c r="N2858" s="52" t="str">
        <f>IF(AND('331-CT'!$E$7=TH!H2858,OR(L2858="331",M2858="331")),"331",IF(AND(OR(L2858="131",M2858="131"),H2858='131-CT'!$E$7),"131",""))</f>
        <v/>
      </c>
      <c r="O2858" s="86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99"/>
    </row>
    <row r="2859" spans="1:27" s="210" customFormat="1" ht="15.75" customHeight="1">
      <c r="A2859" s="203" t="str">
        <f>IF(B2859&lt;&gt;"",IF(AND(B2859&gt;=_TM1,B2859&lt;=_TM2,OR(TH!L2859="1111",TH!M2859="1111")),TH!D2859,""),"")</f>
        <v/>
      </c>
      <c r="B2859" s="36">
        <f t="shared" si="41"/>
        <v>4</v>
      </c>
      <c r="C2859" s="899">
        <f t="shared" si="44"/>
        <v>42104</v>
      </c>
      <c r="D2859" s="900" t="s">
        <v>2013</v>
      </c>
      <c r="E2859" s="900">
        <v>42104</v>
      </c>
      <c r="F2859" s="907" t="s">
        <v>539</v>
      </c>
      <c r="G2859" s="902" t="s">
        <v>594</v>
      </c>
      <c r="H2859" s="913" t="s">
        <v>2014</v>
      </c>
      <c r="I2859" s="253">
        <v>208</v>
      </c>
      <c r="J2859" s="253">
        <v>7334.9914361964475</v>
      </c>
      <c r="K2859" s="904">
        <f t="shared" si="43"/>
        <v>1525678</v>
      </c>
      <c r="L2859" s="869" t="s">
        <v>167</v>
      </c>
      <c r="M2859" s="869" t="s">
        <v>165</v>
      </c>
      <c r="N2859" s="52" t="str">
        <f>IF(AND('331-CT'!$E$7=TH!H2859,OR(L2859="331",M2859="331")),"331",IF(AND(OR(L2859="131",M2859="131"),H2859='131-CT'!$E$7),"131",""))</f>
        <v/>
      </c>
      <c r="O2859" s="86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99"/>
    </row>
    <row r="2860" spans="1:27" s="210" customFormat="1" ht="15.75" customHeight="1">
      <c r="A2860" s="203" t="str">
        <f>IF(B2860&lt;&gt;"",IF(AND(B2860&gt;=_TM1,B2860&lt;=_TM2,OR(TH!L2860="1111",TH!M2860="1111")),TH!D2860,""),"")</f>
        <v/>
      </c>
      <c r="B2860" s="36">
        <f t="shared" si="41"/>
        <v>4</v>
      </c>
      <c r="C2860" s="899">
        <f t="shared" si="44"/>
        <v>42104</v>
      </c>
      <c r="D2860" s="900" t="s">
        <v>2013</v>
      </c>
      <c r="E2860" s="900">
        <v>42104</v>
      </c>
      <c r="F2860" s="907" t="s">
        <v>595</v>
      </c>
      <c r="G2860" s="902" t="s">
        <v>594</v>
      </c>
      <c r="H2860" s="913" t="s">
        <v>2014</v>
      </c>
      <c r="I2860" s="253">
        <v>203</v>
      </c>
      <c r="J2860" s="253">
        <v>7256.959612407125</v>
      </c>
      <c r="K2860" s="904">
        <f t="shared" si="43"/>
        <v>1473163</v>
      </c>
      <c r="L2860" s="869" t="s">
        <v>167</v>
      </c>
      <c r="M2860" s="869" t="s">
        <v>165</v>
      </c>
      <c r="N2860" s="52" t="str">
        <f>IF(AND('331-CT'!$E$7=TH!H2860,OR(L2860="331",M2860="331")),"331",IF(AND(OR(L2860="131",M2860="131"),H2860='131-CT'!$E$7),"131",""))</f>
        <v/>
      </c>
      <c r="O2860" s="86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99"/>
    </row>
    <row r="2861" spans="1:27" s="210" customFormat="1" ht="15.75" customHeight="1">
      <c r="A2861" s="203" t="str">
        <f>IF(B2861&lt;&gt;"",IF(AND(B2861&gt;=_TM1,B2861&lt;=_TM2,OR(TH!L2861="1111",TH!M2861="1111")),TH!D2861,""),"")</f>
        <v/>
      </c>
      <c r="B2861" s="36">
        <f t="shared" si="41"/>
        <v>4</v>
      </c>
      <c r="C2861" s="899">
        <f t="shared" si="44"/>
        <v>42107</v>
      </c>
      <c r="D2861" s="900" t="s">
        <v>2013</v>
      </c>
      <c r="E2861" s="900">
        <v>42107</v>
      </c>
      <c r="F2861" s="907" t="s">
        <v>596</v>
      </c>
      <c r="G2861" s="902" t="s">
        <v>597</v>
      </c>
      <c r="H2861" s="913" t="s">
        <v>2014</v>
      </c>
      <c r="I2861" s="253">
        <v>100</v>
      </c>
      <c r="J2861" s="253">
        <v>12407.059982502504</v>
      </c>
      <c r="K2861" s="904">
        <f t="shared" si="43"/>
        <v>1240706</v>
      </c>
      <c r="L2861" s="869" t="s">
        <v>167</v>
      </c>
      <c r="M2861" s="869" t="s">
        <v>165</v>
      </c>
      <c r="N2861" s="52" t="str">
        <f>IF(AND('331-CT'!$E$7=TH!H2861,OR(L2861="331",M2861="331")),"331",IF(AND(OR(L2861="131",M2861="131"),H2861='131-CT'!$E$7),"131",""))</f>
        <v/>
      </c>
      <c r="O2861" s="86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99"/>
    </row>
    <row r="2862" spans="1:27" s="210" customFormat="1" ht="15.75" customHeight="1">
      <c r="A2862" s="203" t="str">
        <f>IF(B2862&lt;&gt;"",IF(AND(B2862&gt;=_TM1,B2862&lt;=_TM2,OR(TH!L2862="1111",TH!M2862="1111")),TH!D2862,""),"")</f>
        <v/>
      </c>
      <c r="B2862" s="36">
        <f t="shared" si="41"/>
        <v>4</v>
      </c>
      <c r="C2862" s="899">
        <f t="shared" si="44"/>
        <v>42107</v>
      </c>
      <c r="D2862" s="900" t="s">
        <v>2013</v>
      </c>
      <c r="E2862" s="900">
        <v>42107</v>
      </c>
      <c r="F2862" s="907" t="s">
        <v>1706</v>
      </c>
      <c r="G2862" s="902" t="s">
        <v>597</v>
      </c>
      <c r="H2862" s="913" t="s">
        <v>2014</v>
      </c>
      <c r="I2862" s="253">
        <v>200</v>
      </c>
      <c r="J2862" s="253">
        <v>1872.763770943774</v>
      </c>
      <c r="K2862" s="904">
        <f t="shared" si="43"/>
        <v>374553</v>
      </c>
      <c r="L2862" s="869" t="s">
        <v>167</v>
      </c>
      <c r="M2862" s="869" t="s">
        <v>165</v>
      </c>
      <c r="N2862" s="52" t="str">
        <f>IF(AND('331-CT'!$E$7=TH!H2862,OR(L2862="331",M2862="331")),"331",IF(AND(OR(L2862="131",M2862="131"),H2862='131-CT'!$E$7),"131",""))</f>
        <v/>
      </c>
      <c r="O2862" s="86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99"/>
    </row>
    <row r="2863" spans="1:27" s="210" customFormat="1" ht="15.75" customHeight="1">
      <c r="A2863" s="203" t="str">
        <f>IF(B2863&lt;&gt;"",IF(AND(B2863&gt;=_TM1,B2863&lt;=_TM2,OR(TH!L2863="1111",TH!M2863="1111")),TH!D2863,""),"")</f>
        <v/>
      </c>
      <c r="B2863" s="36">
        <f t="shared" si="41"/>
        <v>4</v>
      </c>
      <c r="C2863" s="899">
        <f t="shared" si="44"/>
        <v>42110</v>
      </c>
      <c r="D2863" s="900" t="s">
        <v>2013</v>
      </c>
      <c r="E2863" s="900">
        <v>42110</v>
      </c>
      <c r="F2863" s="907" t="s">
        <v>598</v>
      </c>
      <c r="G2863" s="902" t="s">
        <v>599</v>
      </c>
      <c r="H2863" s="913" t="s">
        <v>2014</v>
      </c>
      <c r="I2863" s="253">
        <v>315</v>
      </c>
      <c r="J2863" s="253">
        <v>6866.8004934605051</v>
      </c>
      <c r="K2863" s="904">
        <f t="shared" si="43"/>
        <v>2163042</v>
      </c>
      <c r="L2863" s="869" t="s">
        <v>167</v>
      </c>
      <c r="M2863" s="869" t="s">
        <v>165</v>
      </c>
      <c r="N2863" s="52" t="str">
        <f>IF(AND('331-CT'!$E$7=TH!H2863,OR(L2863="331",M2863="331")),"331",IF(AND(OR(L2863="131",M2863="131"),H2863='131-CT'!$E$7),"131",""))</f>
        <v/>
      </c>
      <c r="O2863" s="86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99"/>
    </row>
    <row r="2864" spans="1:27" s="210" customFormat="1" ht="15.75" customHeight="1">
      <c r="A2864" s="203" t="str">
        <f>IF(B2864&lt;&gt;"",IF(AND(B2864&gt;=_TM1,B2864&lt;=_TM2,OR(TH!L2864="1111",TH!M2864="1111")),TH!D2864,""),"")</f>
        <v/>
      </c>
      <c r="B2864" s="36">
        <f t="shared" si="41"/>
        <v>4</v>
      </c>
      <c r="C2864" s="899">
        <f t="shared" si="44"/>
        <v>42110</v>
      </c>
      <c r="D2864" s="900" t="s">
        <v>2013</v>
      </c>
      <c r="E2864" s="900">
        <v>42110</v>
      </c>
      <c r="F2864" s="907" t="s">
        <v>600</v>
      </c>
      <c r="G2864" s="902" t="s">
        <v>599</v>
      </c>
      <c r="H2864" s="913" t="s">
        <v>2014</v>
      </c>
      <c r="I2864" s="253">
        <v>160</v>
      </c>
      <c r="J2864" s="253">
        <v>9910.0416212441378</v>
      </c>
      <c r="K2864" s="904">
        <f t="shared" si="43"/>
        <v>1585607</v>
      </c>
      <c r="L2864" s="869" t="s">
        <v>167</v>
      </c>
      <c r="M2864" s="869" t="s">
        <v>165</v>
      </c>
      <c r="N2864" s="52" t="str">
        <f>IF(AND('331-CT'!$E$7=TH!H2864,OR(L2864="331",M2864="331")),"331",IF(AND(OR(L2864="131",M2864="131"),H2864='131-CT'!$E$7),"131",""))</f>
        <v/>
      </c>
      <c r="O2864" s="86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99"/>
    </row>
    <row r="2865" spans="1:27" s="210" customFormat="1" ht="15.75" customHeight="1">
      <c r="A2865" s="203" t="str">
        <f>IF(B2865&lt;&gt;"",IF(AND(B2865&gt;=_TM1,B2865&lt;=_TM2,OR(TH!L2865="1111",TH!M2865="1111")),TH!D2865,""),"")</f>
        <v/>
      </c>
      <c r="B2865" s="36">
        <f t="shared" si="41"/>
        <v>4</v>
      </c>
      <c r="C2865" s="899">
        <f t="shared" si="44"/>
        <v>42110</v>
      </c>
      <c r="D2865" s="900" t="s">
        <v>2013</v>
      </c>
      <c r="E2865" s="900">
        <v>42110</v>
      </c>
      <c r="F2865" s="907" t="s">
        <v>601</v>
      </c>
      <c r="G2865" s="902" t="s">
        <v>599</v>
      </c>
      <c r="H2865" s="913" t="s">
        <v>2014</v>
      </c>
      <c r="I2865" s="253">
        <v>105</v>
      </c>
      <c r="J2865" s="253">
        <v>6476.6413745138843</v>
      </c>
      <c r="K2865" s="904">
        <f t="shared" si="43"/>
        <v>680047</v>
      </c>
      <c r="L2865" s="869" t="s">
        <v>167</v>
      </c>
      <c r="M2865" s="869" t="s">
        <v>165</v>
      </c>
      <c r="N2865" s="52" t="str">
        <f>IF(AND('331-CT'!$E$7=TH!H2865,OR(L2865="331",M2865="331")),"331",IF(AND(OR(L2865="131",M2865="131"),H2865='131-CT'!$E$7),"131",""))</f>
        <v/>
      </c>
      <c r="O2865" s="86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99"/>
    </row>
    <row r="2866" spans="1:27" s="210" customFormat="1" ht="15.75" customHeight="1">
      <c r="A2866" s="203" t="str">
        <f>IF(B2866&lt;&gt;"",IF(AND(B2866&gt;=_TM1,B2866&lt;=_TM2,OR(TH!L2866="1111",TH!M2866="1111")),TH!D2866,""),"")</f>
        <v/>
      </c>
      <c r="B2866" s="36">
        <f t="shared" si="41"/>
        <v>4</v>
      </c>
      <c r="C2866" s="899">
        <f t="shared" si="44"/>
        <v>42110</v>
      </c>
      <c r="D2866" s="900" t="s">
        <v>2013</v>
      </c>
      <c r="E2866" s="900">
        <v>42110</v>
      </c>
      <c r="F2866" s="907" t="s">
        <v>590</v>
      </c>
      <c r="G2866" s="902" t="s">
        <v>599</v>
      </c>
      <c r="H2866" s="913" t="s">
        <v>2014</v>
      </c>
      <c r="I2866" s="253">
        <v>55</v>
      </c>
      <c r="J2866" s="253">
        <v>9988.0734450334621</v>
      </c>
      <c r="K2866" s="904">
        <f t="shared" si="43"/>
        <v>549344</v>
      </c>
      <c r="L2866" s="869" t="s">
        <v>167</v>
      </c>
      <c r="M2866" s="869" t="s">
        <v>165</v>
      </c>
      <c r="N2866" s="52" t="str">
        <f>IF(AND('331-CT'!$E$7=TH!H2866,OR(L2866="331",M2866="331")),"331",IF(AND(OR(L2866="131",M2866="131"),H2866='131-CT'!$E$7),"131",""))</f>
        <v/>
      </c>
      <c r="O2866" s="86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99"/>
    </row>
    <row r="2867" spans="1:27" s="210" customFormat="1" ht="15.75" customHeight="1">
      <c r="A2867" s="203" t="str">
        <f>IF(B2867&lt;&gt;"",IF(AND(B2867&gt;=_TM1,B2867&lt;=_TM2,OR(TH!L2867="1111",TH!M2867="1111")),TH!D2867,""),"")</f>
        <v/>
      </c>
      <c r="B2867" s="36">
        <f t="shared" si="41"/>
        <v>4</v>
      </c>
      <c r="C2867" s="899">
        <f t="shared" si="44"/>
        <v>42110</v>
      </c>
      <c r="D2867" s="900" t="s">
        <v>2013</v>
      </c>
      <c r="E2867" s="900">
        <v>42110</v>
      </c>
      <c r="F2867" s="907" t="s">
        <v>602</v>
      </c>
      <c r="G2867" s="902" t="s">
        <v>599</v>
      </c>
      <c r="H2867" s="913" t="s">
        <v>2014</v>
      </c>
      <c r="I2867" s="253">
        <v>904</v>
      </c>
      <c r="J2867" s="253">
        <v>9832.0097974548135</v>
      </c>
      <c r="K2867" s="904">
        <f t="shared" si="43"/>
        <v>8888137</v>
      </c>
      <c r="L2867" s="869" t="s">
        <v>167</v>
      </c>
      <c r="M2867" s="869" t="s">
        <v>165</v>
      </c>
      <c r="N2867" s="52" t="str">
        <f>IF(AND('331-CT'!$E$7=TH!H2867,OR(L2867="331",M2867="331")),"331",IF(AND(OR(L2867="131",M2867="131"),H2867='131-CT'!$E$7),"131",""))</f>
        <v/>
      </c>
      <c r="O2867" s="86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99"/>
    </row>
    <row r="2868" spans="1:27" s="210" customFormat="1" ht="15.75" customHeight="1">
      <c r="A2868" s="203" t="str">
        <f>IF(B2868&lt;&gt;"",IF(AND(B2868&gt;=_TM1,B2868&lt;=_TM2,OR(TH!L2868="1111",TH!M2868="1111")),TH!D2868,""),"")</f>
        <v/>
      </c>
      <c r="B2868" s="36">
        <f t="shared" si="41"/>
        <v>4</v>
      </c>
      <c r="C2868" s="899">
        <f t="shared" si="44"/>
        <v>42110</v>
      </c>
      <c r="D2868" s="900" t="s">
        <v>2013</v>
      </c>
      <c r="E2868" s="900">
        <v>42110</v>
      </c>
      <c r="F2868" s="907" t="s">
        <v>451</v>
      </c>
      <c r="G2868" s="902" t="s">
        <v>603</v>
      </c>
      <c r="H2868" s="913" t="s">
        <v>2014</v>
      </c>
      <c r="I2868" s="253">
        <v>302</v>
      </c>
      <c r="J2868" s="253">
        <v>10456.264387769406</v>
      </c>
      <c r="K2868" s="904">
        <f t="shared" si="43"/>
        <v>3157792</v>
      </c>
      <c r="L2868" s="869" t="s">
        <v>167</v>
      </c>
      <c r="M2868" s="869" t="s">
        <v>165</v>
      </c>
      <c r="N2868" s="52" t="str">
        <f>IF(AND('331-CT'!$E$7=TH!H2868,OR(L2868="331",M2868="331")),"331",IF(AND(OR(L2868="131",M2868="131"),H2868='131-CT'!$E$7),"131",""))</f>
        <v/>
      </c>
      <c r="O2868" s="86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99"/>
    </row>
    <row r="2869" spans="1:27" s="210" customFormat="1" ht="15.75" customHeight="1">
      <c r="A2869" s="203" t="str">
        <f>IF(B2869&lt;&gt;"",IF(AND(B2869&gt;=_TM1,B2869&lt;=_TM2,OR(TH!L2869="1111",TH!M2869="1111")),TH!D2869,""),"")</f>
        <v/>
      </c>
      <c r="B2869" s="36">
        <f t="shared" si="41"/>
        <v>4</v>
      </c>
      <c r="C2869" s="899">
        <f t="shared" si="44"/>
        <v>42111</v>
      </c>
      <c r="D2869" s="900" t="s">
        <v>2013</v>
      </c>
      <c r="E2869" s="900">
        <v>42111</v>
      </c>
      <c r="F2869" s="907" t="s">
        <v>398</v>
      </c>
      <c r="G2869" s="902" t="s">
        <v>607</v>
      </c>
      <c r="H2869" s="913" t="s">
        <v>2014</v>
      </c>
      <c r="I2869" s="253">
        <v>900</v>
      </c>
      <c r="J2869" s="253">
        <v>6398.6095507245609</v>
      </c>
      <c r="K2869" s="904">
        <f t="shared" si="43"/>
        <v>5758749</v>
      </c>
      <c r="L2869" s="869" t="s">
        <v>167</v>
      </c>
      <c r="M2869" s="869" t="s">
        <v>165</v>
      </c>
      <c r="N2869" s="52" t="str">
        <f>IF(AND('331-CT'!$E$7=TH!H2869,OR(L2869="331",M2869="331")),"331",IF(AND(OR(L2869="131",M2869="131"),H2869='131-CT'!$E$7),"131",""))</f>
        <v/>
      </c>
      <c r="O2869" s="86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99"/>
    </row>
    <row r="2870" spans="1:27" s="210" customFormat="1" ht="15.75" customHeight="1">
      <c r="A2870" s="203" t="str">
        <f>IF(B2870&lt;&gt;"",IF(AND(B2870&gt;=_TM1,B2870&lt;=_TM2,OR(TH!L2870="1111",TH!M2870="1111")),TH!D2870,""),"")</f>
        <v/>
      </c>
      <c r="B2870" s="36">
        <f t="shared" ref="B2870:B3496" si="45">IF(C2870&lt;&gt;"",MONTH(C2870),"")</f>
        <v>4</v>
      </c>
      <c r="C2870" s="899">
        <f t="shared" si="44"/>
        <v>42111</v>
      </c>
      <c r="D2870" s="900" t="s">
        <v>2013</v>
      </c>
      <c r="E2870" s="900">
        <v>42111</v>
      </c>
      <c r="F2870" s="907" t="s">
        <v>446</v>
      </c>
      <c r="G2870" s="902" t="s">
        <v>607</v>
      </c>
      <c r="H2870" s="913" t="s">
        <v>2014</v>
      </c>
      <c r="I2870" s="253">
        <v>315</v>
      </c>
      <c r="J2870" s="253">
        <v>7100.8959648284763</v>
      </c>
      <c r="K2870" s="904">
        <f t="shared" si="43"/>
        <v>2236782</v>
      </c>
      <c r="L2870" s="869" t="s">
        <v>167</v>
      </c>
      <c r="M2870" s="869" t="s">
        <v>165</v>
      </c>
      <c r="N2870" s="52" t="str">
        <f>IF(AND('331-CT'!$E$7=TH!H2870,OR(L2870="331",M2870="331")),"331",IF(AND(OR(L2870="131",M2870="131"),H2870='131-CT'!$E$7),"131",""))</f>
        <v/>
      </c>
      <c r="O2870" s="86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99"/>
    </row>
    <row r="2871" spans="1:27" s="210" customFormat="1" ht="15.75" customHeight="1">
      <c r="A2871" s="203" t="str">
        <f>IF(B2871&lt;&gt;"",IF(AND(B2871&gt;=_TM1,B2871&lt;=_TM2,OR(TH!L2871="1111",TH!M2871="1111")),TH!D2871,""),"")</f>
        <v/>
      </c>
      <c r="B2871" s="36">
        <f t="shared" si="45"/>
        <v>4</v>
      </c>
      <c r="C2871" s="899">
        <f t="shared" si="44"/>
        <v>42111</v>
      </c>
      <c r="D2871" s="900" t="s">
        <v>2013</v>
      </c>
      <c r="E2871" s="900">
        <v>42111</v>
      </c>
      <c r="F2871" s="907" t="s">
        <v>608</v>
      </c>
      <c r="G2871" s="902" t="s">
        <v>607</v>
      </c>
      <c r="H2871" s="913" t="s">
        <v>2014</v>
      </c>
      <c r="I2871" s="253">
        <v>305</v>
      </c>
      <c r="J2871" s="253">
        <v>5774.3549604099699</v>
      </c>
      <c r="K2871" s="904">
        <f t="shared" si="43"/>
        <v>1761178</v>
      </c>
      <c r="L2871" s="869" t="s">
        <v>167</v>
      </c>
      <c r="M2871" s="869" t="s">
        <v>165</v>
      </c>
      <c r="N2871" s="52" t="str">
        <f>IF(AND('331-CT'!$E$7=TH!H2871,OR(L2871="331",M2871="331")),"331",IF(AND(OR(L2871="131",M2871="131"),H2871='131-CT'!$E$7),"131",""))</f>
        <v/>
      </c>
      <c r="O2871" s="86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99"/>
    </row>
    <row r="2872" spans="1:27" s="210" customFormat="1" ht="15.75" customHeight="1">
      <c r="A2872" s="203" t="str">
        <f>IF(B2872&lt;&gt;"",IF(AND(B2872&gt;=_TM1,B2872&lt;=_TM2,OR(TH!L2872="1111",TH!M2872="1111")),TH!D2872,""),"")</f>
        <v/>
      </c>
      <c r="B2872" s="36">
        <f t="shared" si="45"/>
        <v>4</v>
      </c>
      <c r="C2872" s="899">
        <f t="shared" si="44"/>
        <v>42111</v>
      </c>
      <c r="D2872" s="900" t="s">
        <v>2013</v>
      </c>
      <c r="E2872" s="900">
        <v>42111</v>
      </c>
      <c r="F2872" s="907" t="s">
        <v>501</v>
      </c>
      <c r="G2872" s="902" t="s">
        <v>607</v>
      </c>
      <c r="H2872" s="913" t="s">
        <v>2014</v>
      </c>
      <c r="I2872" s="253">
        <v>315</v>
      </c>
      <c r="J2872" s="253">
        <v>12329.028158713179</v>
      </c>
      <c r="K2872" s="904">
        <f t="shared" si="43"/>
        <v>3883644</v>
      </c>
      <c r="L2872" s="869" t="s">
        <v>167</v>
      </c>
      <c r="M2872" s="869" t="s">
        <v>165</v>
      </c>
      <c r="N2872" s="52" t="str">
        <f>IF(AND('331-CT'!$E$7=TH!H2872,OR(L2872="331",M2872="331")),"331",IF(AND(OR(L2872="131",M2872="131"),H2872='131-CT'!$E$7),"131",""))</f>
        <v/>
      </c>
      <c r="O2872" s="86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99"/>
    </row>
    <row r="2873" spans="1:27" s="210" customFormat="1" ht="15.75" customHeight="1">
      <c r="A2873" s="203" t="str">
        <f>IF(B2873&lt;&gt;"",IF(AND(B2873&gt;=_TM1,B2873&lt;=_TM2,OR(TH!L2873="1111",TH!M2873="1111")),TH!D2873,""),"")</f>
        <v/>
      </c>
      <c r="B2873" s="36">
        <f t="shared" si="45"/>
        <v>4</v>
      </c>
      <c r="C2873" s="899">
        <f t="shared" si="44"/>
        <v>42111</v>
      </c>
      <c r="D2873" s="900" t="s">
        <v>2013</v>
      </c>
      <c r="E2873" s="900">
        <v>42111</v>
      </c>
      <c r="F2873" s="907" t="s">
        <v>604</v>
      </c>
      <c r="G2873" s="902" t="s">
        <v>605</v>
      </c>
      <c r="H2873" s="913" t="s">
        <v>2014</v>
      </c>
      <c r="I2873" s="253">
        <v>722</v>
      </c>
      <c r="J2873" s="253">
        <v>7100.8959648284763</v>
      </c>
      <c r="K2873" s="904">
        <f t="shared" si="43"/>
        <v>5126847</v>
      </c>
      <c r="L2873" s="869" t="s">
        <v>167</v>
      </c>
      <c r="M2873" s="869" t="s">
        <v>165</v>
      </c>
      <c r="N2873" s="52" t="str">
        <f>IF(AND('331-CT'!$E$7=TH!H2873,OR(L2873="331",M2873="331")),"331",IF(AND(OR(L2873="131",M2873="131"),H2873='131-CT'!$E$7),"131",""))</f>
        <v/>
      </c>
      <c r="O2873" s="86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99"/>
    </row>
    <row r="2874" spans="1:27" s="210" customFormat="1" ht="15.75" customHeight="1">
      <c r="A2874" s="203" t="str">
        <f>IF(B2874&lt;&gt;"",IF(AND(B2874&gt;=_TM1,B2874&lt;=_TM2,OR(TH!L2874="1111",TH!M2874="1111")),TH!D2874,""),"")</f>
        <v/>
      </c>
      <c r="B2874" s="36">
        <f t="shared" si="45"/>
        <v>4</v>
      </c>
      <c r="C2874" s="899">
        <f t="shared" si="44"/>
        <v>42112</v>
      </c>
      <c r="D2874" s="900" t="s">
        <v>2013</v>
      </c>
      <c r="E2874" s="900">
        <v>42112</v>
      </c>
      <c r="F2874" s="907" t="s">
        <v>609</v>
      </c>
      <c r="G2874" s="902" t="s">
        <v>610</v>
      </c>
      <c r="H2874" s="913" t="s">
        <v>2014</v>
      </c>
      <c r="I2874" s="253">
        <v>485</v>
      </c>
      <c r="J2874" s="253">
        <v>5306.1640176740266</v>
      </c>
      <c r="K2874" s="904">
        <f t="shared" si="43"/>
        <v>2573490</v>
      </c>
      <c r="L2874" s="869" t="s">
        <v>167</v>
      </c>
      <c r="M2874" s="869" t="s">
        <v>165</v>
      </c>
      <c r="N2874" s="52" t="str">
        <f>IF(AND('331-CT'!$E$7=TH!H2874,OR(L2874="331",M2874="331")),"331",IF(AND(OR(L2874="131",M2874="131"),H2874='131-CT'!$E$7),"131",""))</f>
        <v/>
      </c>
      <c r="O2874" s="86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99"/>
    </row>
    <row r="2875" spans="1:27" s="210" customFormat="1" ht="15.75" customHeight="1">
      <c r="A2875" s="203" t="str">
        <f>IF(B2875&lt;&gt;"",IF(AND(B2875&gt;=_TM1,B2875&lt;=_TM2,OR(TH!L2875="1111",TH!M2875="1111")),TH!D2875,""),"")</f>
        <v/>
      </c>
      <c r="B2875" s="36">
        <f t="shared" si="45"/>
        <v>4</v>
      </c>
      <c r="C2875" s="899">
        <f t="shared" si="44"/>
        <v>42112</v>
      </c>
      <c r="D2875" s="900" t="s">
        <v>2013</v>
      </c>
      <c r="E2875" s="900">
        <v>42112</v>
      </c>
      <c r="F2875" s="907" t="s">
        <v>609</v>
      </c>
      <c r="G2875" s="902" t="s">
        <v>610</v>
      </c>
      <c r="H2875" s="913" t="s">
        <v>2014</v>
      </c>
      <c r="I2875" s="253">
        <v>1002</v>
      </c>
      <c r="J2875" s="253">
        <v>5306.1640176740266</v>
      </c>
      <c r="K2875" s="904">
        <f t="shared" si="43"/>
        <v>5316776</v>
      </c>
      <c r="L2875" s="869" t="s">
        <v>167</v>
      </c>
      <c r="M2875" s="869" t="s">
        <v>165</v>
      </c>
      <c r="N2875" s="52" t="str">
        <f>IF(AND('331-CT'!$E$7=TH!H2875,OR(L2875="331",M2875="331")),"331",IF(AND(OR(L2875="131",M2875="131"),H2875='131-CT'!$E$7),"131",""))</f>
        <v/>
      </c>
      <c r="O2875" s="86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99"/>
    </row>
    <row r="2876" spans="1:27" s="210" customFormat="1" ht="15.75" customHeight="1">
      <c r="A2876" s="203" t="str">
        <f>IF(B2876&lt;&gt;"",IF(AND(B2876&gt;=_TM1,B2876&lt;=_TM2,OR(TH!L2876="1111",TH!M2876="1111")),TH!D2876,""),"")</f>
        <v/>
      </c>
      <c r="B2876" s="36">
        <f t="shared" si="45"/>
        <v>4</v>
      </c>
      <c r="C2876" s="899">
        <f t="shared" si="44"/>
        <v>42115</v>
      </c>
      <c r="D2876" s="900" t="s">
        <v>2013</v>
      </c>
      <c r="E2876" s="900">
        <v>42115</v>
      </c>
      <c r="F2876" s="907" t="s">
        <v>611</v>
      </c>
      <c r="G2876" s="902" t="s">
        <v>612</v>
      </c>
      <c r="H2876" s="913" t="s">
        <v>2014</v>
      </c>
      <c r="I2876" s="253">
        <v>61</v>
      </c>
      <c r="J2876" s="253">
        <v>5228.1321938847032</v>
      </c>
      <c r="K2876" s="904">
        <f t="shared" si="43"/>
        <v>318916</v>
      </c>
      <c r="L2876" s="869" t="s">
        <v>167</v>
      </c>
      <c r="M2876" s="869" t="s">
        <v>165</v>
      </c>
      <c r="N2876" s="52" t="str">
        <f>IF(AND('331-CT'!$E$7=TH!H2876,OR(L2876="331",M2876="331")),"331",IF(AND(OR(L2876="131",M2876="131"),H2876='131-CT'!$E$7),"131",""))</f>
        <v/>
      </c>
      <c r="O2876" s="86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99"/>
    </row>
    <row r="2877" spans="1:27" s="210" customFormat="1" ht="15.75" customHeight="1">
      <c r="A2877" s="203" t="str">
        <f>IF(B2877&lt;&gt;"",IF(AND(B2877&gt;=_TM1,B2877&lt;=_TM2,OR(TH!L2877="1111",TH!M2877="1111")),TH!D2877,""),"")</f>
        <v/>
      </c>
      <c r="B2877" s="36">
        <f t="shared" si="45"/>
        <v>4</v>
      </c>
      <c r="C2877" s="899">
        <f t="shared" si="44"/>
        <v>42117</v>
      </c>
      <c r="D2877" s="900" t="s">
        <v>2013</v>
      </c>
      <c r="E2877" s="900">
        <v>42117</v>
      </c>
      <c r="F2877" s="907" t="s">
        <v>518</v>
      </c>
      <c r="G2877" s="902" t="s">
        <v>613</v>
      </c>
      <c r="H2877" s="913" t="s">
        <v>2014</v>
      </c>
      <c r="I2877" s="253">
        <v>210</v>
      </c>
      <c r="J2877" s="253">
        <v>8115.3096740896872</v>
      </c>
      <c r="K2877" s="904">
        <f t="shared" si="43"/>
        <v>1704215</v>
      </c>
      <c r="L2877" s="869" t="s">
        <v>167</v>
      </c>
      <c r="M2877" s="869" t="s">
        <v>165</v>
      </c>
      <c r="N2877" s="52" t="str">
        <f>IF(AND('331-CT'!$E$7=TH!H2877,OR(L2877="331",M2877="331")),"331",IF(AND(OR(L2877="131",M2877="131"),H2877='131-CT'!$E$7),"131",""))</f>
        <v/>
      </c>
      <c r="O2877" s="86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99"/>
    </row>
    <row r="2878" spans="1:27" s="210" customFormat="1" ht="15.75" customHeight="1">
      <c r="A2878" s="203" t="str">
        <f>IF(B2878&lt;&gt;"",IF(AND(B2878&gt;=_TM1,B2878&lt;=_TM2,OR(TH!L2878="1111",TH!M2878="1111")),TH!D2878,""),"")</f>
        <v/>
      </c>
      <c r="B2878" s="36">
        <f t="shared" si="45"/>
        <v>4</v>
      </c>
      <c r="C2878" s="899">
        <f t="shared" si="44"/>
        <v>42118</v>
      </c>
      <c r="D2878" s="900" t="s">
        <v>2013</v>
      </c>
      <c r="E2878" s="900">
        <v>42118</v>
      </c>
      <c r="F2878" s="907" t="s">
        <v>614</v>
      </c>
      <c r="G2878" s="902" t="s">
        <v>615</v>
      </c>
      <c r="H2878" s="913" t="s">
        <v>2014</v>
      </c>
      <c r="I2878" s="253">
        <v>312</v>
      </c>
      <c r="J2878" s="253">
        <v>5150.1003700953788</v>
      </c>
      <c r="K2878" s="904">
        <f t="shared" si="43"/>
        <v>1606831</v>
      </c>
      <c r="L2878" s="869" t="s">
        <v>167</v>
      </c>
      <c r="M2878" s="869" t="s">
        <v>165</v>
      </c>
      <c r="N2878" s="52" t="str">
        <f>IF(AND('331-CT'!$E$7=TH!H2878,OR(L2878="331",M2878="331")),"331",IF(AND(OR(L2878="131",M2878="131"),H2878='131-CT'!$E$7),"131",""))</f>
        <v/>
      </c>
      <c r="O2878" s="86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99"/>
    </row>
    <row r="2879" spans="1:27" s="210" customFormat="1" ht="15.75" customHeight="1">
      <c r="A2879" s="203" t="str">
        <f>IF(B2879&lt;&gt;"",IF(AND(B2879&gt;=_TM1,B2879&lt;=_TM2,OR(TH!L2879="1111",TH!M2879="1111")),TH!D2879,""),"")</f>
        <v/>
      </c>
      <c r="B2879" s="36">
        <f t="shared" si="45"/>
        <v>4</v>
      </c>
      <c r="C2879" s="899">
        <f t="shared" si="44"/>
        <v>42118</v>
      </c>
      <c r="D2879" s="900" t="s">
        <v>2013</v>
      </c>
      <c r="E2879" s="900">
        <v>42118</v>
      </c>
      <c r="F2879" s="907" t="s">
        <v>616</v>
      </c>
      <c r="G2879" s="902" t="s">
        <v>615</v>
      </c>
      <c r="H2879" s="913" t="s">
        <v>2014</v>
      </c>
      <c r="I2879" s="253">
        <v>312</v>
      </c>
      <c r="J2879" s="253">
        <v>5150.1003700953788</v>
      </c>
      <c r="K2879" s="904">
        <f t="shared" si="43"/>
        <v>1606831</v>
      </c>
      <c r="L2879" s="869" t="s">
        <v>167</v>
      </c>
      <c r="M2879" s="869" t="s">
        <v>165</v>
      </c>
      <c r="N2879" s="52" t="str">
        <f>IF(AND('331-CT'!$E$7=TH!H2879,OR(L2879="331",M2879="331")),"331",IF(AND(OR(L2879="131",M2879="131"),H2879='131-CT'!$E$7),"131",""))</f>
        <v/>
      </c>
      <c r="O2879" s="86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99"/>
    </row>
    <row r="2880" spans="1:27" s="210" customFormat="1" ht="15.75" customHeight="1">
      <c r="A2880" s="203" t="str">
        <f>IF(B2880&lt;&gt;"",IF(AND(B2880&gt;=_TM1,B2880&lt;=_TM2,OR(TH!L2880="1111",TH!M2880="1111")),TH!D2880,""),"")</f>
        <v/>
      </c>
      <c r="B2880" s="36">
        <f t="shared" si="45"/>
        <v>4</v>
      </c>
      <c r="C2880" s="899">
        <f t="shared" si="44"/>
        <v>42118</v>
      </c>
      <c r="D2880" s="900" t="s">
        <v>2013</v>
      </c>
      <c r="E2880" s="900">
        <v>42118</v>
      </c>
      <c r="F2880" s="907" t="s">
        <v>616</v>
      </c>
      <c r="G2880" s="902" t="s">
        <v>615</v>
      </c>
      <c r="H2880" s="913" t="s">
        <v>2014</v>
      </c>
      <c r="I2880" s="253">
        <v>200</v>
      </c>
      <c r="J2880" s="253">
        <v>5150.1003700953788</v>
      </c>
      <c r="K2880" s="904">
        <f t="shared" si="43"/>
        <v>1030020</v>
      </c>
      <c r="L2880" s="869" t="s">
        <v>167</v>
      </c>
      <c r="M2880" s="869" t="s">
        <v>165</v>
      </c>
      <c r="N2880" s="52" t="str">
        <f>IF(AND('331-CT'!$E$7=TH!H2880,OR(L2880="331",M2880="331")),"331",IF(AND(OR(L2880="131",M2880="131"),H2880='131-CT'!$E$7),"131",""))</f>
        <v/>
      </c>
      <c r="O2880" s="86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99"/>
    </row>
    <row r="2881" spans="1:27" s="210" customFormat="1" ht="15.75" customHeight="1">
      <c r="A2881" s="203" t="str">
        <f>IF(B2881&lt;&gt;"",IF(AND(B2881&gt;=_TM1,B2881&lt;=_TM2,OR(TH!L2881="1111",TH!M2881="1111")),TH!D2881,""),"")</f>
        <v/>
      </c>
      <c r="B2881" s="36">
        <f t="shared" si="45"/>
        <v>4</v>
      </c>
      <c r="C2881" s="899">
        <f t="shared" si="44"/>
        <v>42118</v>
      </c>
      <c r="D2881" s="900" t="s">
        <v>2013</v>
      </c>
      <c r="E2881" s="900">
        <v>42118</v>
      </c>
      <c r="F2881" s="907" t="s">
        <v>403</v>
      </c>
      <c r="G2881" s="902" t="s">
        <v>615</v>
      </c>
      <c r="H2881" s="913" t="s">
        <v>2014</v>
      </c>
      <c r="I2881" s="253">
        <v>1012</v>
      </c>
      <c r="J2881" s="253">
        <v>7022.8641410391529</v>
      </c>
      <c r="K2881" s="904">
        <f t="shared" si="43"/>
        <v>7107139</v>
      </c>
      <c r="L2881" s="869" t="s">
        <v>167</v>
      </c>
      <c r="M2881" s="869" t="s">
        <v>165</v>
      </c>
      <c r="N2881" s="52" t="str">
        <f>IF(AND('331-CT'!$E$7=TH!H2881,OR(L2881="331",M2881="331")),"331",IF(AND(OR(L2881="131",M2881="131"),H2881='131-CT'!$E$7),"131",""))</f>
        <v/>
      </c>
      <c r="O2881" s="86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99"/>
    </row>
    <row r="2882" spans="1:27" s="210" customFormat="1" ht="15.75" customHeight="1">
      <c r="A2882" s="203" t="str">
        <f>IF(B2882&lt;&gt;"",IF(AND(B2882&gt;=_TM1,B2882&lt;=_TM2,OR(TH!L2882="1111",TH!M2882="1111")),TH!D2882,""),"")</f>
        <v/>
      </c>
      <c r="B2882" s="36">
        <f t="shared" si="45"/>
        <v>4</v>
      </c>
      <c r="C2882" s="899">
        <f t="shared" si="44"/>
        <v>42118</v>
      </c>
      <c r="D2882" s="900" t="s">
        <v>2013</v>
      </c>
      <c r="E2882" s="900">
        <v>42118</v>
      </c>
      <c r="F2882" s="907" t="s">
        <v>906</v>
      </c>
      <c r="G2882" s="902" t="s">
        <v>615</v>
      </c>
      <c r="H2882" s="913" t="s">
        <v>2014</v>
      </c>
      <c r="I2882" s="253">
        <v>303</v>
      </c>
      <c r="J2882" s="253">
        <v>7100.8959648284763</v>
      </c>
      <c r="K2882" s="904">
        <f t="shared" si="43"/>
        <v>2151571</v>
      </c>
      <c r="L2882" s="869" t="s">
        <v>167</v>
      </c>
      <c r="M2882" s="869" t="s">
        <v>165</v>
      </c>
      <c r="N2882" s="52" t="str">
        <f>IF(AND('331-CT'!$E$7=TH!H2882,OR(L2882="331",M2882="331")),"331",IF(AND(OR(L2882="131",M2882="131"),H2882='131-CT'!$E$7),"131",""))</f>
        <v/>
      </c>
      <c r="O2882" s="86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99"/>
    </row>
    <row r="2883" spans="1:27" s="210" customFormat="1" ht="15.75" customHeight="1">
      <c r="A2883" s="203" t="str">
        <f>IF(B2883&lt;&gt;"",IF(AND(B2883&gt;=_TM1,B2883&lt;=_TM2,OR(TH!L2883="1111",TH!M2883="1111")),TH!D2883,""),"")</f>
        <v/>
      </c>
      <c r="B2883" s="36">
        <f t="shared" si="45"/>
        <v>4</v>
      </c>
      <c r="C2883" s="899">
        <f t="shared" si="44"/>
        <v>42118</v>
      </c>
      <c r="D2883" s="900" t="s">
        <v>2013</v>
      </c>
      <c r="E2883" s="900">
        <v>42118</v>
      </c>
      <c r="F2883" s="907" t="s">
        <v>617</v>
      </c>
      <c r="G2883" s="902" t="s">
        <v>618</v>
      </c>
      <c r="H2883" s="913" t="s">
        <v>2014</v>
      </c>
      <c r="I2883" s="253">
        <v>303</v>
      </c>
      <c r="J2883" s="253">
        <v>6164.5140793565897</v>
      </c>
      <c r="K2883" s="904">
        <f t="shared" si="43"/>
        <v>1867848</v>
      </c>
      <c r="L2883" s="869" t="s">
        <v>167</v>
      </c>
      <c r="M2883" s="869" t="s">
        <v>165</v>
      </c>
      <c r="N2883" s="52" t="str">
        <f>IF(AND('331-CT'!$E$7=TH!H2883,OR(L2883="331",M2883="331")),"331",IF(AND(OR(L2883="131",M2883="131"),H2883='131-CT'!$E$7),"131",""))</f>
        <v/>
      </c>
      <c r="O2883" s="86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99"/>
    </row>
    <row r="2884" spans="1:27" s="210" customFormat="1" ht="15.75" customHeight="1">
      <c r="A2884" s="203" t="str">
        <f>IF(B2884&lt;&gt;"",IF(AND(B2884&gt;=_TM1,B2884&lt;=_TM2,OR(TH!L2884="1111",TH!M2884="1111")),TH!D2884,""),"")</f>
        <v/>
      </c>
      <c r="B2884" s="36">
        <f t="shared" si="45"/>
        <v>4</v>
      </c>
      <c r="C2884" s="899">
        <f t="shared" si="44"/>
        <v>42118</v>
      </c>
      <c r="D2884" s="900" t="s">
        <v>2013</v>
      </c>
      <c r="E2884" s="900">
        <v>42118</v>
      </c>
      <c r="F2884" s="907" t="s">
        <v>1665</v>
      </c>
      <c r="G2884" s="902" t="s">
        <v>618</v>
      </c>
      <c r="H2884" s="913" t="s">
        <v>2014</v>
      </c>
      <c r="I2884" s="253">
        <v>606</v>
      </c>
      <c r="J2884" s="253">
        <v>780.31823789323926</v>
      </c>
      <c r="K2884" s="904">
        <f t="shared" si="43"/>
        <v>472873</v>
      </c>
      <c r="L2884" s="869" t="s">
        <v>167</v>
      </c>
      <c r="M2884" s="869" t="s">
        <v>165</v>
      </c>
      <c r="N2884" s="52" t="str">
        <f>IF(AND('331-CT'!$E$7=TH!H2884,OR(L2884="331",M2884="331")),"331",IF(AND(OR(L2884="131",M2884="131"),H2884='131-CT'!$E$7),"131",""))</f>
        <v/>
      </c>
      <c r="O2884" s="86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799"/>
    </row>
    <row r="2885" spans="1:27" s="210" customFormat="1" ht="15.75" customHeight="1">
      <c r="A2885" s="203" t="str">
        <f>IF(B2885&lt;&gt;"",IF(AND(B2885&gt;=_TM1,B2885&lt;=_TM2,OR(TH!L2885="1111",TH!M2885="1111")),TH!D2885,""),"")</f>
        <v/>
      </c>
      <c r="B2885" s="36">
        <f t="shared" si="45"/>
        <v>4</v>
      </c>
      <c r="C2885" s="899">
        <f t="shared" si="44"/>
        <v>42118</v>
      </c>
      <c r="D2885" s="900" t="s">
        <v>2013</v>
      </c>
      <c r="E2885" s="900">
        <v>42118</v>
      </c>
      <c r="F2885" s="907" t="s">
        <v>587</v>
      </c>
      <c r="G2885" s="902" t="s">
        <v>619</v>
      </c>
      <c r="H2885" s="913" t="s">
        <v>2014</v>
      </c>
      <c r="I2885" s="253">
        <v>150</v>
      </c>
      <c r="J2885" s="253">
        <v>6164.5140793565897</v>
      </c>
      <c r="K2885" s="904">
        <f t="shared" ref="K2885:K3511" si="46">ROUND(I2885*J2885,0)</f>
        <v>924677</v>
      </c>
      <c r="L2885" s="869" t="s">
        <v>167</v>
      </c>
      <c r="M2885" s="869" t="s">
        <v>165</v>
      </c>
      <c r="N2885" s="52" t="str">
        <f>IF(AND('331-CT'!$E$7=TH!H2885,OR(L2885="331",M2885="331")),"331",IF(AND(OR(L2885="131",M2885="131"),H2885='131-CT'!$E$7),"131",""))</f>
        <v/>
      </c>
      <c r="O2885" s="86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99"/>
    </row>
    <row r="2886" spans="1:27" s="210" customFormat="1" ht="15.75" customHeight="1">
      <c r="A2886" s="203" t="str">
        <f>IF(B2886&lt;&gt;"",IF(AND(B2886&gt;=_TM1,B2886&lt;=_TM2,OR(TH!L2886="1111",TH!M2886="1111")),TH!D2886,""),"")</f>
        <v/>
      </c>
      <c r="B2886" s="36">
        <f t="shared" si="45"/>
        <v>4</v>
      </c>
      <c r="C2886" s="899">
        <f t="shared" si="44"/>
        <v>42118</v>
      </c>
      <c r="D2886" s="900" t="s">
        <v>2013</v>
      </c>
      <c r="E2886" s="900">
        <v>42118</v>
      </c>
      <c r="F2886" s="907" t="s">
        <v>602</v>
      </c>
      <c r="G2886" s="902" t="s">
        <v>619</v>
      </c>
      <c r="H2886" s="913" t="s">
        <v>2014</v>
      </c>
      <c r="I2886" s="253">
        <v>1364</v>
      </c>
      <c r="J2886" s="253">
        <v>9832.0097974548135</v>
      </c>
      <c r="K2886" s="904">
        <f t="shared" si="46"/>
        <v>13410861</v>
      </c>
      <c r="L2886" s="869" t="s">
        <v>167</v>
      </c>
      <c r="M2886" s="869" t="s">
        <v>165</v>
      </c>
      <c r="N2886" s="52" t="str">
        <f>IF(AND('331-CT'!$E$7=TH!H2886,OR(L2886="331",M2886="331")),"331",IF(AND(OR(L2886="131",M2886="131"),H2886='131-CT'!$E$7),"131",""))</f>
        <v/>
      </c>
      <c r="O2886" s="86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99"/>
    </row>
    <row r="2887" spans="1:27" s="210" customFormat="1" ht="15.75" customHeight="1">
      <c r="A2887" s="203" t="str">
        <f>IF(B2887&lt;&gt;"",IF(AND(B2887&gt;=_TM1,B2887&lt;=_TM2,OR(TH!L2887="1111",TH!M2887="1111")),TH!D2887,""),"")</f>
        <v/>
      </c>
      <c r="B2887" s="36">
        <f t="shared" si="45"/>
        <v>4</v>
      </c>
      <c r="C2887" s="899">
        <f t="shared" si="44"/>
        <v>42119</v>
      </c>
      <c r="D2887" s="900" t="s">
        <v>2013</v>
      </c>
      <c r="E2887" s="900">
        <v>42119</v>
      </c>
      <c r="F2887" s="907" t="s">
        <v>1707</v>
      </c>
      <c r="G2887" s="902" t="s">
        <v>620</v>
      </c>
      <c r="H2887" s="913" t="s">
        <v>2014</v>
      </c>
      <c r="I2887" s="253">
        <v>50</v>
      </c>
      <c r="J2887" s="253">
        <v>15606.364757864783</v>
      </c>
      <c r="K2887" s="904">
        <f t="shared" si="46"/>
        <v>780318</v>
      </c>
      <c r="L2887" s="869" t="s">
        <v>167</v>
      </c>
      <c r="M2887" s="869" t="s">
        <v>165</v>
      </c>
      <c r="N2887" s="52" t="str">
        <f>IF(AND('331-CT'!$E$7=TH!H2887,OR(L2887="331",M2887="331")),"331",IF(AND(OR(L2887="131",M2887="131"),H2887='131-CT'!$E$7),"131",""))</f>
        <v/>
      </c>
      <c r="O2887" s="86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99"/>
    </row>
    <row r="2888" spans="1:27" s="210" customFormat="1" ht="15.75" customHeight="1">
      <c r="A2888" s="203" t="str">
        <f>IF(B2888&lt;&gt;"",IF(AND(B2888&gt;=_TM1,B2888&lt;=_TM2,OR(TH!L2888="1111",TH!M2888="1111")),TH!D2888,""),"")</f>
        <v/>
      </c>
      <c r="B2888" s="36">
        <f t="shared" si="45"/>
        <v>4</v>
      </c>
      <c r="C2888" s="899">
        <f t="shared" si="44"/>
        <v>42119</v>
      </c>
      <c r="D2888" s="900" t="s">
        <v>2013</v>
      </c>
      <c r="E2888" s="900">
        <v>42119</v>
      </c>
      <c r="F2888" s="907" t="s">
        <v>1708</v>
      </c>
      <c r="G2888" s="902" t="s">
        <v>620</v>
      </c>
      <c r="H2888" s="913" t="s">
        <v>2014</v>
      </c>
      <c r="I2888" s="253">
        <v>200</v>
      </c>
      <c r="J2888" s="253">
        <v>13577.537339342362</v>
      </c>
      <c r="K2888" s="904">
        <f t="shared" si="46"/>
        <v>2715507</v>
      </c>
      <c r="L2888" s="869" t="s">
        <v>167</v>
      </c>
      <c r="M2888" s="869" t="s">
        <v>165</v>
      </c>
      <c r="N2888" s="52" t="str">
        <f>IF(AND('331-CT'!$E$7=TH!H2888,OR(L2888="331",M2888="331")),"331",IF(AND(OR(L2888="131",M2888="131"),H2888='131-CT'!$E$7),"131",""))</f>
        <v/>
      </c>
      <c r="O2888" s="86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99"/>
    </row>
    <row r="2889" spans="1:27" s="210" customFormat="1" ht="15.75" customHeight="1">
      <c r="A2889" s="203" t="str">
        <f>IF(B2889&lt;&gt;"",IF(AND(B2889&gt;=_TM1,B2889&lt;=_TM2,OR(TH!L2889="1111",TH!M2889="1111")),TH!D2889,""),"")</f>
        <v/>
      </c>
      <c r="B2889" s="36">
        <f t="shared" si="45"/>
        <v>4</v>
      </c>
      <c r="C2889" s="899">
        <f t="shared" si="44"/>
        <v>42119</v>
      </c>
      <c r="D2889" s="900" t="s">
        <v>2013</v>
      </c>
      <c r="E2889" s="900">
        <v>42119</v>
      </c>
      <c r="F2889" s="907" t="s">
        <v>1709</v>
      </c>
      <c r="G2889" s="902" t="s">
        <v>620</v>
      </c>
      <c r="H2889" s="913" t="s">
        <v>2014</v>
      </c>
      <c r="I2889" s="253">
        <v>333</v>
      </c>
      <c r="J2889" s="253">
        <v>6554.6731983032087</v>
      </c>
      <c r="K2889" s="904">
        <f t="shared" si="46"/>
        <v>2182706</v>
      </c>
      <c r="L2889" s="869" t="s">
        <v>167</v>
      </c>
      <c r="M2889" s="869" t="s">
        <v>165</v>
      </c>
      <c r="N2889" s="52" t="str">
        <f>IF(AND('331-CT'!$E$7=TH!H2889,OR(L2889="331",M2889="331")),"331",IF(AND(OR(L2889="131",M2889="131"),H2889='131-CT'!$E$7),"131",""))</f>
        <v/>
      </c>
      <c r="O2889" s="86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99"/>
    </row>
    <row r="2890" spans="1:27" s="210" customFormat="1" ht="15.75" customHeight="1">
      <c r="A2890" s="203" t="str">
        <f>IF(B2890&lt;&gt;"",IF(AND(B2890&gt;=_TM1,B2890&lt;=_TM2,OR(TH!L2890="1111",TH!M2890="1111")),TH!D2890,""),"")</f>
        <v/>
      </c>
      <c r="B2890" s="36">
        <f t="shared" si="45"/>
        <v>4</v>
      </c>
      <c r="C2890" s="899">
        <f t="shared" si="44"/>
        <v>42119</v>
      </c>
      <c r="D2890" s="900" t="s">
        <v>2013</v>
      </c>
      <c r="E2890" s="900">
        <v>42119</v>
      </c>
      <c r="F2890" s="907" t="s">
        <v>1710</v>
      </c>
      <c r="G2890" s="902" t="s">
        <v>620</v>
      </c>
      <c r="H2890" s="913" t="s">
        <v>2014</v>
      </c>
      <c r="I2890" s="253">
        <v>55</v>
      </c>
      <c r="J2890" s="253">
        <v>16308.651171968697</v>
      </c>
      <c r="K2890" s="904">
        <f t="shared" si="46"/>
        <v>896976</v>
      </c>
      <c r="L2890" s="869" t="s">
        <v>167</v>
      </c>
      <c r="M2890" s="869" t="s">
        <v>165</v>
      </c>
      <c r="N2890" s="52" t="str">
        <f>IF(AND('331-CT'!$E$7=TH!H2890,OR(L2890="331",M2890="331")),"331",IF(AND(OR(L2890="131",M2890="131"),H2890='131-CT'!$E$7),"131",""))</f>
        <v/>
      </c>
      <c r="O2890" s="86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99"/>
    </row>
    <row r="2891" spans="1:27" s="210" customFormat="1" ht="15.75" customHeight="1">
      <c r="A2891" s="203" t="str">
        <f>IF(B2891&lt;&gt;"",IF(AND(B2891&gt;=_TM1,B2891&lt;=_TM2,OR(TH!L2891="1111",TH!M2891="1111")),TH!D2891,""),"")</f>
        <v/>
      </c>
      <c r="B2891" s="36">
        <f t="shared" si="45"/>
        <v>4</v>
      </c>
      <c r="C2891" s="899">
        <f t="shared" si="44"/>
        <v>42119</v>
      </c>
      <c r="D2891" s="900" t="s">
        <v>2013</v>
      </c>
      <c r="E2891" s="900">
        <v>42119</v>
      </c>
      <c r="F2891" s="907" t="s">
        <v>1711</v>
      </c>
      <c r="G2891" s="902" t="s">
        <v>620</v>
      </c>
      <c r="H2891" s="913" t="s">
        <v>2014</v>
      </c>
      <c r="I2891" s="253">
        <v>600</v>
      </c>
      <c r="J2891" s="253">
        <v>8349.4051454576602</v>
      </c>
      <c r="K2891" s="904">
        <f t="shared" si="46"/>
        <v>5009643</v>
      </c>
      <c r="L2891" s="869" t="s">
        <v>167</v>
      </c>
      <c r="M2891" s="869" t="s">
        <v>165</v>
      </c>
      <c r="N2891" s="52" t="str">
        <f>IF(AND('331-CT'!$E$7=TH!H2891,OR(L2891="331",M2891="331")),"331",IF(AND(OR(L2891="131",M2891="131"),H2891='131-CT'!$E$7),"131",""))</f>
        <v/>
      </c>
      <c r="O2891" s="86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99"/>
    </row>
    <row r="2892" spans="1:27" s="210" customFormat="1" ht="15.75" customHeight="1">
      <c r="A2892" s="203" t="str">
        <f>IF(B2892&lt;&gt;"",IF(AND(B2892&gt;=_TM1,B2892&lt;=_TM2,OR(TH!L2892="1111",TH!M2892="1111")),TH!D2892,""),"")</f>
        <v/>
      </c>
      <c r="B2892" s="36">
        <f t="shared" si="45"/>
        <v>4</v>
      </c>
      <c r="C2892" s="899">
        <f t="shared" si="44"/>
        <v>42119</v>
      </c>
      <c r="D2892" s="900" t="s">
        <v>2013</v>
      </c>
      <c r="E2892" s="900">
        <v>42119</v>
      </c>
      <c r="F2892" s="907" t="s">
        <v>727</v>
      </c>
      <c r="G2892" s="902" t="s">
        <v>620</v>
      </c>
      <c r="H2892" s="913" t="s">
        <v>2014</v>
      </c>
      <c r="I2892" s="253">
        <v>600</v>
      </c>
      <c r="J2892" s="253">
        <v>7647.1187313537439</v>
      </c>
      <c r="K2892" s="904">
        <f t="shared" si="46"/>
        <v>4588271</v>
      </c>
      <c r="L2892" s="869" t="s">
        <v>167</v>
      </c>
      <c r="M2892" s="869" t="s">
        <v>165</v>
      </c>
      <c r="N2892" s="52" t="str">
        <f>IF(AND('331-CT'!$E$7=TH!H2892,OR(L2892="331",M2892="331")),"331",IF(AND(OR(L2892="131",M2892="131"),H2892='131-CT'!$E$7),"131",""))</f>
        <v/>
      </c>
      <c r="O2892" s="86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99"/>
    </row>
    <row r="2893" spans="1:27" s="210" customFormat="1" ht="15.75" customHeight="1">
      <c r="A2893" s="203" t="str">
        <f>IF(B2893&lt;&gt;"",IF(AND(B2893&gt;=_TM1,B2893&lt;=_TM2,OR(TH!L2893="1111",TH!M2893="1111")),TH!D2893,""),"")</f>
        <v/>
      </c>
      <c r="B2893" s="36">
        <f t="shared" si="45"/>
        <v>4</v>
      </c>
      <c r="C2893" s="899">
        <f t="shared" si="44"/>
        <v>42119</v>
      </c>
      <c r="D2893" s="900" t="s">
        <v>2013</v>
      </c>
      <c r="E2893" s="900">
        <v>42119</v>
      </c>
      <c r="F2893" s="907" t="s">
        <v>494</v>
      </c>
      <c r="G2893" s="902" t="s">
        <v>621</v>
      </c>
      <c r="H2893" s="913" t="s">
        <v>2014</v>
      </c>
      <c r="I2893" s="253">
        <v>420</v>
      </c>
      <c r="J2893" s="253">
        <v>5306.1640176740266</v>
      </c>
      <c r="K2893" s="904">
        <f t="shared" si="46"/>
        <v>2228589</v>
      </c>
      <c r="L2893" s="869" t="s">
        <v>167</v>
      </c>
      <c r="M2893" s="869" t="s">
        <v>165</v>
      </c>
      <c r="N2893" s="52" t="str">
        <f>IF(AND('331-CT'!$E$7=TH!H2893,OR(L2893="331",M2893="331")),"331",IF(AND(OR(L2893="131",M2893="131"),H2893='131-CT'!$E$7),"131",""))</f>
        <v/>
      </c>
      <c r="O2893" s="86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99"/>
    </row>
    <row r="2894" spans="1:27" s="210" customFormat="1" ht="15.75" customHeight="1">
      <c r="A2894" s="203" t="str">
        <f>IF(B2894&lt;&gt;"",IF(AND(B2894&gt;=_TM1,B2894&lt;=_TM2,OR(TH!L2894="1111",TH!M2894="1111")),TH!D2894,""),"")</f>
        <v/>
      </c>
      <c r="B2894" s="36">
        <f t="shared" si="45"/>
        <v>4</v>
      </c>
      <c r="C2894" s="899">
        <f t="shared" si="44"/>
        <v>42123</v>
      </c>
      <c r="D2894" s="900" t="s">
        <v>2013</v>
      </c>
      <c r="E2894" s="900">
        <v>42123</v>
      </c>
      <c r="F2894" s="907" t="s">
        <v>413</v>
      </c>
      <c r="G2894" s="902" t="s">
        <v>622</v>
      </c>
      <c r="H2894" s="913" t="s">
        <v>2014</v>
      </c>
      <c r="I2894" s="253">
        <v>410</v>
      </c>
      <c r="J2894" s="253">
        <v>7413.0232599857718</v>
      </c>
      <c r="K2894" s="904">
        <f t="shared" si="46"/>
        <v>3039340</v>
      </c>
      <c r="L2894" s="869" t="s">
        <v>167</v>
      </c>
      <c r="M2894" s="869" t="s">
        <v>165</v>
      </c>
      <c r="N2894" s="52" t="str">
        <f>IF(AND('331-CT'!$E$7=TH!H2894,OR(L2894="331",M2894="331")),"331",IF(AND(OR(L2894="131",M2894="131"),H2894='131-CT'!$E$7),"131",""))</f>
        <v/>
      </c>
      <c r="O2894" s="86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99"/>
    </row>
    <row r="2895" spans="1:27" s="210" customFormat="1" ht="15.75" customHeight="1">
      <c r="A2895" s="203" t="str">
        <f>IF(B2895&lt;&gt;"",IF(AND(B2895&gt;=_TM1,B2895&lt;=_TM2,OR(TH!L2895="1111",TH!M2895="1111")),TH!D2895,""),"")</f>
        <v/>
      </c>
      <c r="B2895" s="36">
        <f t="shared" si="45"/>
        <v>4</v>
      </c>
      <c r="C2895" s="899">
        <f t="shared" si="44"/>
        <v>42123</v>
      </c>
      <c r="D2895" s="900" t="s">
        <v>2013</v>
      </c>
      <c r="E2895" s="900">
        <v>42123</v>
      </c>
      <c r="F2895" s="907" t="s">
        <v>1712</v>
      </c>
      <c r="G2895" s="902" t="s">
        <v>623</v>
      </c>
      <c r="H2895" s="913" t="s">
        <v>2014</v>
      </c>
      <c r="I2895" s="253">
        <v>50</v>
      </c>
      <c r="J2895" s="253">
        <v>10846.423506716024</v>
      </c>
      <c r="K2895" s="904">
        <f t="shared" si="46"/>
        <v>542321</v>
      </c>
      <c r="L2895" s="869" t="s">
        <v>167</v>
      </c>
      <c r="M2895" s="869" t="s">
        <v>165</v>
      </c>
      <c r="N2895" s="52" t="str">
        <f>IF(AND('331-CT'!$E$7=TH!H2895,OR(L2895="331",M2895="331")),"331",IF(AND(OR(L2895="131",M2895="131"),H2895='131-CT'!$E$7),"131",""))</f>
        <v/>
      </c>
      <c r="O2895" s="86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99"/>
    </row>
    <row r="2896" spans="1:27" s="210" customFormat="1" ht="15.75" customHeight="1">
      <c r="A2896" s="203" t="str">
        <f>IF(B2896&lt;&gt;"",IF(AND(B2896&gt;=_TM1,B2896&lt;=_TM2,OR(TH!L2896="1111",TH!M2896="1111")),TH!D2896,""),"")</f>
        <v/>
      </c>
      <c r="B2896" s="36">
        <f t="shared" si="45"/>
        <v>4</v>
      </c>
      <c r="C2896" s="899">
        <f t="shared" si="44"/>
        <v>42123</v>
      </c>
      <c r="D2896" s="900" t="s">
        <v>2013</v>
      </c>
      <c r="E2896" s="900">
        <v>42123</v>
      </c>
      <c r="F2896" s="907" t="s">
        <v>1713</v>
      </c>
      <c r="G2896" s="902" t="s">
        <v>623</v>
      </c>
      <c r="H2896" s="913" t="s">
        <v>2014</v>
      </c>
      <c r="I2896" s="253">
        <v>125</v>
      </c>
      <c r="J2896" s="253">
        <v>11314.614449451967</v>
      </c>
      <c r="K2896" s="904">
        <f t="shared" si="46"/>
        <v>1414327</v>
      </c>
      <c r="L2896" s="869" t="s">
        <v>167</v>
      </c>
      <c r="M2896" s="869" t="s">
        <v>165</v>
      </c>
      <c r="N2896" s="52" t="str">
        <f>IF(AND('331-CT'!$E$7=TH!H2896,OR(L2896="331",M2896="331")),"331",IF(AND(OR(L2896="131",M2896="131"),H2896='131-CT'!$E$7),"131",""))</f>
        <v/>
      </c>
      <c r="O2896" s="86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99"/>
    </row>
    <row r="2897" spans="1:27" s="210" customFormat="1" ht="15.75" customHeight="1">
      <c r="A2897" s="203" t="str">
        <f>IF(B2897&lt;&gt;"",IF(AND(B2897&gt;=_TM1,B2897&lt;=_TM2,OR(TH!L2897="1111",TH!M2897="1111")),TH!D2897,""),"")</f>
        <v/>
      </c>
      <c r="B2897" s="36">
        <f t="shared" si="45"/>
        <v>4</v>
      </c>
      <c r="C2897" s="899">
        <f t="shared" si="44"/>
        <v>42123</v>
      </c>
      <c r="D2897" s="900" t="s">
        <v>2013</v>
      </c>
      <c r="E2897" s="900">
        <v>42123</v>
      </c>
      <c r="F2897" s="907" t="s">
        <v>1713</v>
      </c>
      <c r="G2897" s="902" t="s">
        <v>623</v>
      </c>
      <c r="H2897" s="913" t="s">
        <v>2014</v>
      </c>
      <c r="I2897" s="253">
        <v>150</v>
      </c>
      <c r="J2897" s="253">
        <v>11314.614449451967</v>
      </c>
      <c r="K2897" s="904">
        <f t="shared" si="46"/>
        <v>1697192</v>
      </c>
      <c r="L2897" s="869" t="s">
        <v>167</v>
      </c>
      <c r="M2897" s="869" t="s">
        <v>165</v>
      </c>
      <c r="N2897" s="52" t="str">
        <f>IF(AND('331-CT'!$E$7=TH!H2897,OR(L2897="331",M2897="331")),"331",IF(AND(OR(L2897="131",M2897="131"),H2897='131-CT'!$E$7),"131",""))</f>
        <v/>
      </c>
      <c r="O2897" s="86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99"/>
    </row>
    <row r="2898" spans="1:27" s="210" customFormat="1" ht="15.75" customHeight="1">
      <c r="A2898" s="203" t="str">
        <f>IF(B2898&lt;&gt;"",IF(AND(B2898&gt;=_TM1,B2898&lt;=_TM2,OR(TH!L2898="1111",TH!M2898="1111")),TH!D2898,""),"")</f>
        <v/>
      </c>
      <c r="B2898" s="36">
        <f t="shared" si="45"/>
        <v>4</v>
      </c>
      <c r="C2898" s="899">
        <f t="shared" si="44"/>
        <v>42123</v>
      </c>
      <c r="D2898" s="900" t="s">
        <v>2013</v>
      </c>
      <c r="E2898" s="900">
        <v>42123</v>
      </c>
      <c r="F2898" s="907" t="s">
        <v>1714</v>
      </c>
      <c r="G2898" s="902" t="s">
        <v>623</v>
      </c>
      <c r="H2898" s="913" t="s">
        <v>2014</v>
      </c>
      <c r="I2898" s="253">
        <v>50</v>
      </c>
      <c r="J2898" s="253">
        <v>11548.70992081994</v>
      </c>
      <c r="K2898" s="904">
        <f t="shared" si="46"/>
        <v>577435</v>
      </c>
      <c r="L2898" s="869" t="s">
        <v>167</v>
      </c>
      <c r="M2898" s="869" t="s">
        <v>165</v>
      </c>
      <c r="N2898" s="52" t="str">
        <f>IF(AND('331-CT'!$E$7=TH!H2898,OR(L2898="331",M2898="331")),"331",IF(AND(OR(L2898="131",M2898="131"),H2898='131-CT'!$E$7),"131",""))</f>
        <v/>
      </c>
      <c r="O2898" s="86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99"/>
    </row>
    <row r="2899" spans="1:27" s="210" customFormat="1" ht="15.75" customHeight="1">
      <c r="A2899" s="203" t="str">
        <f>IF(B2899&lt;&gt;"",IF(AND(B2899&gt;=_TM1,B2899&lt;=_TM2,OR(TH!L2899="1111",TH!M2899="1111")),TH!D2899,""),"")</f>
        <v/>
      </c>
      <c r="B2899" s="36">
        <f t="shared" si="45"/>
        <v>4</v>
      </c>
      <c r="C2899" s="899">
        <f t="shared" si="44"/>
        <v>42123</v>
      </c>
      <c r="D2899" s="900" t="s">
        <v>2013</v>
      </c>
      <c r="E2899" s="900">
        <v>42123</v>
      </c>
      <c r="F2899" s="907" t="s">
        <v>1715</v>
      </c>
      <c r="G2899" s="902" t="s">
        <v>623</v>
      </c>
      <c r="H2899" s="913" t="s">
        <v>2014</v>
      </c>
      <c r="I2899" s="253">
        <v>100</v>
      </c>
      <c r="J2899" s="253">
        <v>11626.741744609264</v>
      </c>
      <c r="K2899" s="904">
        <f t="shared" si="46"/>
        <v>1162674</v>
      </c>
      <c r="L2899" s="869" t="s">
        <v>167</v>
      </c>
      <c r="M2899" s="869" t="s">
        <v>165</v>
      </c>
      <c r="N2899" s="52" t="str">
        <f>IF(AND('331-CT'!$E$7=TH!H2899,OR(L2899="331",M2899="331")),"331",IF(AND(OR(L2899="131",M2899="131"),H2899='131-CT'!$E$7),"131",""))</f>
        <v/>
      </c>
      <c r="O2899" s="86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99"/>
    </row>
    <row r="2900" spans="1:27" s="210" customFormat="1" ht="15.75" customHeight="1">
      <c r="A2900" s="203" t="str">
        <f>IF(B2900&lt;&gt;"",IF(AND(B2900&gt;=_TM1,B2900&lt;=_TM2,OR(TH!L2900="1111",TH!M2900="1111")),TH!D2900,""),"")</f>
        <v/>
      </c>
      <c r="B2900" s="36">
        <f t="shared" si="45"/>
        <v>4</v>
      </c>
      <c r="C2900" s="899">
        <f t="shared" ref="C2900:C3871" si="47">E2900</f>
        <v>42123</v>
      </c>
      <c r="D2900" s="900" t="s">
        <v>2013</v>
      </c>
      <c r="E2900" s="900">
        <v>42123</v>
      </c>
      <c r="F2900" s="907" t="s">
        <v>624</v>
      </c>
      <c r="G2900" s="902" t="s">
        <v>625</v>
      </c>
      <c r="H2900" s="913" t="s">
        <v>2014</v>
      </c>
      <c r="I2900" s="253">
        <v>50</v>
      </c>
      <c r="J2900" s="253">
        <v>44946.330502650577</v>
      </c>
      <c r="K2900" s="904">
        <f t="shared" si="46"/>
        <v>2247317</v>
      </c>
      <c r="L2900" s="869" t="s">
        <v>167</v>
      </c>
      <c r="M2900" s="869" t="s">
        <v>165</v>
      </c>
      <c r="N2900" s="52" t="str">
        <f>IF(AND('331-CT'!$E$7=TH!H2900,OR(L2900="331",M2900="331")),"331",IF(AND(OR(L2900="131",M2900="131"),H2900='131-CT'!$E$7),"131",""))</f>
        <v/>
      </c>
      <c r="O2900" s="86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99"/>
    </row>
    <row r="2901" spans="1:27" s="210" customFormat="1" ht="15.75" customHeight="1">
      <c r="A2901" s="203" t="str">
        <f>IF(B2901&lt;&gt;"",IF(AND(B2901&gt;=_TM1,B2901&lt;=_TM2,OR(TH!L2901="1111",TH!M2901="1111")),TH!D2901,""),"")</f>
        <v/>
      </c>
      <c r="B2901" s="36">
        <f t="shared" si="45"/>
        <v>4</v>
      </c>
      <c r="C2901" s="899">
        <f t="shared" si="47"/>
        <v>42123</v>
      </c>
      <c r="D2901" s="900" t="s">
        <v>2013</v>
      </c>
      <c r="E2901" s="900">
        <v>42123</v>
      </c>
      <c r="F2901" s="907" t="s">
        <v>626</v>
      </c>
      <c r="G2901" s="902" t="s">
        <v>625</v>
      </c>
      <c r="H2901" s="913" t="s">
        <v>2014</v>
      </c>
      <c r="I2901" s="253">
        <v>26</v>
      </c>
      <c r="J2901" s="253">
        <v>39484.102837397899</v>
      </c>
      <c r="K2901" s="904">
        <f t="shared" si="46"/>
        <v>1026587</v>
      </c>
      <c r="L2901" s="869" t="s">
        <v>167</v>
      </c>
      <c r="M2901" s="869" t="s">
        <v>165</v>
      </c>
      <c r="N2901" s="52" t="str">
        <f>IF(AND('331-CT'!$E$7=TH!H2901,OR(L2901="331",M2901="331")),"331",IF(AND(OR(L2901="131",M2901="131"),H2901='131-CT'!$E$7),"131",""))</f>
        <v/>
      </c>
      <c r="O2901" s="86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99"/>
    </row>
    <row r="2902" spans="1:27" s="210" customFormat="1" ht="15.75" customHeight="1">
      <c r="A2902" s="203" t="str">
        <f>IF(B2902&lt;&gt;"",IF(AND(B2902&gt;=_TM1,B2902&lt;=_TM2,OR(TH!L2902="1111",TH!M2902="1111")),TH!D2902,""),"")</f>
        <v/>
      </c>
      <c r="B2902" s="36">
        <f t="shared" si="45"/>
        <v>4</v>
      </c>
      <c r="C2902" s="899">
        <f t="shared" si="47"/>
        <v>42123</v>
      </c>
      <c r="D2902" s="900" t="s">
        <v>2013</v>
      </c>
      <c r="E2902" s="900">
        <v>42123</v>
      </c>
      <c r="F2902" s="907" t="s">
        <v>627</v>
      </c>
      <c r="G2902" s="902" t="s">
        <v>625</v>
      </c>
      <c r="H2902" s="913" t="s">
        <v>2014</v>
      </c>
      <c r="I2902" s="253">
        <v>28</v>
      </c>
      <c r="J2902" s="253">
        <v>10924.455330505347</v>
      </c>
      <c r="K2902" s="904">
        <f t="shared" si="46"/>
        <v>305885</v>
      </c>
      <c r="L2902" s="869" t="s">
        <v>167</v>
      </c>
      <c r="M2902" s="869" t="s">
        <v>165</v>
      </c>
      <c r="N2902" s="52" t="str">
        <f>IF(AND('331-CT'!$E$7=TH!H2902,OR(L2902="331",M2902="331")),"331",IF(AND(OR(L2902="131",M2902="131"),H2902='131-CT'!$E$7),"131",""))</f>
        <v/>
      </c>
      <c r="O2902" s="86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99"/>
    </row>
    <row r="2903" spans="1:27" s="210" customFormat="1" ht="15.75" customHeight="1">
      <c r="A2903" s="203" t="str">
        <f>IF(B2903&lt;&gt;"",IF(AND(B2903&gt;=_TM1,B2903&lt;=_TM2,OR(TH!L2903="1111",TH!M2903="1111")),TH!D2903,""),"")</f>
        <v/>
      </c>
      <c r="B2903" s="36">
        <f t="shared" si="45"/>
        <v>4</v>
      </c>
      <c r="C2903" s="899">
        <f t="shared" si="47"/>
        <v>42123</v>
      </c>
      <c r="D2903" s="900" t="s">
        <v>2013</v>
      </c>
      <c r="E2903" s="900">
        <v>42123</v>
      </c>
      <c r="F2903" s="907" t="s">
        <v>628</v>
      </c>
      <c r="G2903" s="902" t="s">
        <v>625</v>
      </c>
      <c r="H2903" s="913" t="s">
        <v>2014</v>
      </c>
      <c r="I2903" s="253">
        <v>52</v>
      </c>
      <c r="J2903" s="253">
        <v>58133.708723046322</v>
      </c>
      <c r="K2903" s="904">
        <f t="shared" si="46"/>
        <v>3022953</v>
      </c>
      <c r="L2903" s="869" t="s">
        <v>167</v>
      </c>
      <c r="M2903" s="869" t="s">
        <v>165</v>
      </c>
      <c r="N2903" s="52" t="str">
        <f>IF(AND('331-CT'!$E$7=TH!H2903,OR(L2903="331",M2903="331")),"331",IF(AND(OR(L2903="131",M2903="131"),H2903='131-CT'!$E$7),"131",""))</f>
        <v/>
      </c>
      <c r="O2903" s="86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99"/>
    </row>
    <row r="2904" spans="1:27" s="210" customFormat="1" ht="15.75" customHeight="1">
      <c r="A2904" s="203" t="str">
        <f>IF(B2904&lt;&gt;"",IF(AND(B2904&gt;=_TM1,B2904&lt;=_TM2,OR(TH!L2904="1111",TH!M2904="1111")),TH!D2904,""),"")</f>
        <v/>
      </c>
      <c r="B2904" s="36">
        <f t="shared" si="45"/>
        <v>4</v>
      </c>
      <c r="C2904" s="899">
        <f t="shared" si="47"/>
        <v>42123</v>
      </c>
      <c r="D2904" s="900" t="s">
        <v>2013</v>
      </c>
      <c r="E2904" s="900">
        <v>42123</v>
      </c>
      <c r="F2904" s="907" t="s">
        <v>628</v>
      </c>
      <c r="G2904" s="902" t="s">
        <v>625</v>
      </c>
      <c r="H2904" s="913" t="s">
        <v>2014</v>
      </c>
      <c r="I2904" s="253">
        <v>7</v>
      </c>
      <c r="J2904" s="253">
        <v>58133.708723046322</v>
      </c>
      <c r="K2904" s="904">
        <f t="shared" si="46"/>
        <v>406936</v>
      </c>
      <c r="L2904" s="869" t="s">
        <v>167</v>
      </c>
      <c r="M2904" s="869" t="s">
        <v>165</v>
      </c>
      <c r="N2904" s="52" t="str">
        <f>IF(AND('331-CT'!$E$7=TH!H2904,OR(L2904="331",M2904="331")),"331",IF(AND(OR(L2904="131",M2904="131"),H2904='131-CT'!$E$7),"131",""))</f>
        <v/>
      </c>
      <c r="O2904" s="86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99"/>
    </row>
    <row r="2905" spans="1:27" s="210" customFormat="1" ht="15.75" customHeight="1">
      <c r="A2905" s="203" t="str">
        <f>IF(B2905&lt;&gt;"",IF(AND(B2905&gt;=_TM1,B2905&lt;=_TM2,OR(TH!L2905="1111",TH!M2905="1111")),TH!D2905,""),"")</f>
        <v/>
      </c>
      <c r="B2905" s="36">
        <f t="shared" ref="B2905:B2971" si="48">IF(C2905&lt;&gt;"",MONTH(C2905),"")</f>
        <v>4</v>
      </c>
      <c r="C2905" s="899">
        <f t="shared" ref="C2905:C2971" si="49">E2905</f>
        <v>42124</v>
      </c>
      <c r="D2905" s="900" t="s">
        <v>2013</v>
      </c>
      <c r="E2905" s="900">
        <v>42124</v>
      </c>
      <c r="F2905" s="907" t="s">
        <v>1716</v>
      </c>
      <c r="G2905" s="902" t="s">
        <v>629</v>
      </c>
      <c r="H2905" s="913" t="s">
        <v>2014</v>
      </c>
      <c r="I2905" s="253">
        <v>130</v>
      </c>
      <c r="J2905" s="253">
        <v>10924.455330505347</v>
      </c>
      <c r="K2905" s="904">
        <f t="shared" ref="K2905:K2971" si="50">ROUND(I2905*J2905,0)</f>
        <v>1420179</v>
      </c>
      <c r="L2905" s="869" t="s">
        <v>167</v>
      </c>
      <c r="M2905" s="869" t="s">
        <v>165</v>
      </c>
      <c r="N2905" s="52" t="str">
        <f>IF(AND('331-CT'!$E$7=TH!H2905,OR(L2905="331",M2905="331")),"331",IF(AND(OR(L2905="131",M2905="131"),H2905='131-CT'!$E$7),"131",""))</f>
        <v/>
      </c>
      <c r="O2905" s="86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99"/>
    </row>
    <row r="2906" spans="1:27" s="210" customFormat="1" ht="15.75" customHeight="1">
      <c r="A2906" s="203" t="str">
        <f>IF(B2906&lt;&gt;"",IF(AND(B2906&gt;=_TM1,B2906&lt;=_TM2,OR(TH!L2906="1111",TH!M2906="1111")),TH!D2906,""),"")</f>
        <v/>
      </c>
      <c r="B2906" s="36">
        <f t="shared" si="48"/>
        <v>4</v>
      </c>
      <c r="C2906" s="899">
        <f t="shared" si="49"/>
        <v>42124</v>
      </c>
      <c r="D2906" s="900" t="s">
        <v>2013</v>
      </c>
      <c r="E2906" s="900">
        <v>42124</v>
      </c>
      <c r="F2906" s="907" t="s">
        <v>1717</v>
      </c>
      <c r="G2906" s="902" t="s">
        <v>629</v>
      </c>
      <c r="H2906" s="913" t="s">
        <v>2014</v>
      </c>
      <c r="I2906" s="253">
        <v>70</v>
      </c>
      <c r="J2906" s="253">
        <v>8193.3414978790115</v>
      </c>
      <c r="K2906" s="904">
        <f t="shared" si="50"/>
        <v>573534</v>
      </c>
      <c r="L2906" s="869" t="s">
        <v>167</v>
      </c>
      <c r="M2906" s="869" t="s">
        <v>165</v>
      </c>
      <c r="N2906" s="52" t="str">
        <f>IF(AND('331-CT'!$E$7=TH!H2906,OR(L2906="331",M2906="331")),"331",IF(AND(OR(L2906="131",M2906="131"),H2906='131-CT'!$E$7),"131",""))</f>
        <v/>
      </c>
      <c r="O2906" s="86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99"/>
    </row>
    <row r="2907" spans="1:27" s="210" customFormat="1" ht="15.75" customHeight="1">
      <c r="A2907" s="203" t="str">
        <f>IF(B2907&lt;&gt;"",IF(AND(B2907&gt;=_TM1,B2907&lt;=_TM2,OR(TH!L2907="1111",TH!M2907="1111")),TH!D2907,""),"")</f>
        <v/>
      </c>
      <c r="B2907" s="36">
        <f t="shared" si="48"/>
        <v>4</v>
      </c>
      <c r="C2907" s="899">
        <f t="shared" si="49"/>
        <v>42124</v>
      </c>
      <c r="D2907" s="900" t="s">
        <v>2013</v>
      </c>
      <c r="E2907" s="900">
        <v>42124</v>
      </c>
      <c r="F2907" s="907" t="s">
        <v>1718</v>
      </c>
      <c r="G2907" s="902" t="s">
        <v>629</v>
      </c>
      <c r="H2907" s="913" t="s">
        <v>2014</v>
      </c>
      <c r="I2907" s="253">
        <v>120</v>
      </c>
      <c r="J2907" s="253">
        <v>10534.296211558729</v>
      </c>
      <c r="K2907" s="904">
        <f t="shared" si="50"/>
        <v>1264116</v>
      </c>
      <c r="L2907" s="869" t="s">
        <v>167</v>
      </c>
      <c r="M2907" s="869" t="s">
        <v>165</v>
      </c>
      <c r="N2907" s="52" t="str">
        <f>IF(AND('331-CT'!$E$7=TH!H2907,OR(L2907="331",M2907="331")),"331",IF(AND(OR(L2907="131",M2907="131"),H2907='131-CT'!$E$7),"131",""))</f>
        <v/>
      </c>
      <c r="O2907" s="86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99"/>
    </row>
    <row r="2908" spans="1:27" s="210" customFormat="1" ht="15.75" customHeight="1">
      <c r="A2908" s="203" t="str">
        <f>IF(B2908&lt;&gt;"",IF(AND(B2908&gt;=_TM1,B2908&lt;=_TM2,OR(TH!L2908="1111",TH!M2908="1111")),TH!D2908,""),"")</f>
        <v/>
      </c>
      <c r="B2908" s="36">
        <f t="shared" si="48"/>
        <v>4</v>
      </c>
      <c r="C2908" s="899">
        <f t="shared" si="49"/>
        <v>42124</v>
      </c>
      <c r="D2908" s="900" t="s">
        <v>2013</v>
      </c>
      <c r="E2908" s="900">
        <v>42124</v>
      </c>
      <c r="F2908" s="907" t="s">
        <v>1719</v>
      </c>
      <c r="G2908" s="902" t="s">
        <v>629</v>
      </c>
      <c r="H2908" s="913" t="s">
        <v>2014</v>
      </c>
      <c r="I2908" s="253">
        <v>110</v>
      </c>
      <c r="J2908" s="253">
        <v>9988.0734450334621</v>
      </c>
      <c r="K2908" s="904">
        <f t="shared" si="50"/>
        <v>1098688</v>
      </c>
      <c r="L2908" s="869" t="s">
        <v>167</v>
      </c>
      <c r="M2908" s="869" t="s">
        <v>165</v>
      </c>
      <c r="N2908" s="52" t="str">
        <f>IF(AND('331-CT'!$E$7=TH!H2908,OR(L2908="331",M2908="331")),"331",IF(AND(OR(L2908="131",M2908="131"),H2908='131-CT'!$E$7),"131",""))</f>
        <v/>
      </c>
      <c r="O2908" s="86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99"/>
    </row>
    <row r="2909" spans="1:27" s="210" customFormat="1" ht="15.75" customHeight="1">
      <c r="A2909" s="203" t="str">
        <f>IF(B2909&lt;&gt;"",IF(AND(B2909&gt;=_TM1,B2909&lt;=_TM2,OR(TH!L2909="1111",TH!M2909="1111")),TH!D2909,""),"")</f>
        <v/>
      </c>
      <c r="B2909" s="36">
        <f t="shared" si="48"/>
        <v>4</v>
      </c>
      <c r="C2909" s="899">
        <f t="shared" si="49"/>
        <v>42124</v>
      </c>
      <c r="D2909" s="900" t="s">
        <v>2013</v>
      </c>
      <c r="E2909" s="900">
        <v>42124</v>
      </c>
      <c r="F2909" s="907" t="s">
        <v>1720</v>
      </c>
      <c r="G2909" s="902" t="s">
        <v>629</v>
      </c>
      <c r="H2909" s="913" t="s">
        <v>2014</v>
      </c>
      <c r="I2909" s="253">
        <v>110</v>
      </c>
      <c r="J2909" s="253">
        <v>7100.8959648284763</v>
      </c>
      <c r="K2909" s="904">
        <f t="shared" si="50"/>
        <v>781099</v>
      </c>
      <c r="L2909" s="869" t="s">
        <v>167</v>
      </c>
      <c r="M2909" s="869" t="s">
        <v>165</v>
      </c>
      <c r="N2909" s="52" t="str">
        <f>IF(AND('331-CT'!$E$7=TH!H2909,OR(L2909="331",M2909="331")),"331",IF(AND(OR(L2909="131",M2909="131"),H2909='131-CT'!$E$7),"131",""))</f>
        <v/>
      </c>
      <c r="O2909" s="86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99"/>
    </row>
    <row r="2910" spans="1:27" s="210" customFormat="1" ht="15.75" customHeight="1">
      <c r="A2910" s="203" t="str">
        <f>IF(B2910&lt;&gt;"",IF(AND(B2910&gt;=_TM1,B2910&lt;=_TM2,OR(TH!L2910="1111",TH!M2910="1111")),TH!D2910,""),"")</f>
        <v/>
      </c>
      <c r="B2910" s="36">
        <f t="shared" si="48"/>
        <v>4</v>
      </c>
      <c r="C2910" s="899">
        <f t="shared" si="49"/>
        <v>42124</v>
      </c>
      <c r="D2910" s="900" t="s">
        <v>2013</v>
      </c>
      <c r="E2910" s="900">
        <v>42124</v>
      </c>
      <c r="F2910" s="907" t="s">
        <v>1721</v>
      </c>
      <c r="G2910" s="902" t="s">
        <v>629</v>
      </c>
      <c r="H2910" s="913" t="s">
        <v>2014</v>
      </c>
      <c r="I2910" s="253">
        <v>2000</v>
      </c>
      <c r="J2910" s="253">
        <v>6632.705022092533</v>
      </c>
      <c r="K2910" s="904">
        <f t="shared" si="50"/>
        <v>13265410</v>
      </c>
      <c r="L2910" s="869" t="s">
        <v>167</v>
      </c>
      <c r="M2910" s="869" t="s">
        <v>165</v>
      </c>
      <c r="N2910" s="52" t="str">
        <f>IF(AND('331-CT'!$E$7=TH!H2910,OR(L2910="331",M2910="331")),"331",IF(AND(OR(L2910="131",M2910="131"),H2910='131-CT'!$E$7),"131",""))</f>
        <v/>
      </c>
      <c r="O2910" s="86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99"/>
    </row>
    <row r="2911" spans="1:27" s="210" customFormat="1" ht="15.75" customHeight="1">
      <c r="A2911" s="203" t="str">
        <f>IF(B2911&lt;&gt;"",IF(AND(B2911&gt;=_TM1,B2911&lt;=_TM2,OR(TH!L2911="1111",TH!M2911="1111")),TH!D2911,""),"")</f>
        <v/>
      </c>
      <c r="B2911" s="36">
        <f t="shared" si="48"/>
        <v>4</v>
      </c>
      <c r="C2911" s="899">
        <f t="shared" si="49"/>
        <v>42124</v>
      </c>
      <c r="D2911" s="900" t="s">
        <v>2013</v>
      </c>
      <c r="E2911" s="900">
        <v>42124</v>
      </c>
      <c r="F2911" s="907" t="s">
        <v>616</v>
      </c>
      <c r="G2911" s="902" t="s">
        <v>630</v>
      </c>
      <c r="H2911" s="913" t="s">
        <v>2014</v>
      </c>
      <c r="I2911" s="253">
        <v>398</v>
      </c>
      <c r="J2911" s="253">
        <v>5150.1003700953788</v>
      </c>
      <c r="K2911" s="904">
        <f t="shared" si="50"/>
        <v>2049740</v>
      </c>
      <c r="L2911" s="869" t="s">
        <v>167</v>
      </c>
      <c r="M2911" s="869" t="s">
        <v>165</v>
      </c>
      <c r="N2911" s="52" t="str">
        <f>IF(AND('331-CT'!$E$7=TH!H2911,OR(L2911="331",M2911="331")),"331",IF(AND(OR(L2911="131",M2911="131"),H2911='131-CT'!$E$7),"131",""))</f>
        <v/>
      </c>
      <c r="O2911" s="86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99"/>
    </row>
    <row r="2912" spans="1:27" s="210" customFormat="1" ht="15.75" customHeight="1">
      <c r="A2912" s="203" t="str">
        <f>IF(B2912&lt;&gt;"",IF(AND(B2912&gt;=_TM1,B2912&lt;=_TM2,OR(TH!L2912="1111",TH!M2912="1111")),TH!D2912,""),"")</f>
        <v/>
      </c>
      <c r="B2912" s="36">
        <f t="shared" si="48"/>
        <v>4</v>
      </c>
      <c r="C2912" s="899">
        <f t="shared" si="49"/>
        <v>42124</v>
      </c>
      <c r="D2912" s="900" t="s">
        <v>2013</v>
      </c>
      <c r="E2912" s="900">
        <v>42124</v>
      </c>
      <c r="F2912" s="907" t="s">
        <v>631</v>
      </c>
      <c r="G2912" s="902" t="s">
        <v>632</v>
      </c>
      <c r="H2912" s="913" t="s">
        <v>2014</v>
      </c>
      <c r="I2912" s="253">
        <v>300</v>
      </c>
      <c r="J2912" s="253">
        <v>6632.705022092533</v>
      </c>
      <c r="K2912" s="904">
        <f t="shared" si="50"/>
        <v>1989812</v>
      </c>
      <c r="L2912" s="869" t="s">
        <v>167</v>
      </c>
      <c r="M2912" s="869" t="s">
        <v>165</v>
      </c>
      <c r="N2912" s="52" t="str">
        <f>IF(AND('331-CT'!$E$7=TH!H2912,OR(L2912="331",M2912="331")),"331",IF(AND(OR(L2912="131",M2912="131"),H2912='131-CT'!$E$7),"131",""))</f>
        <v/>
      </c>
      <c r="O2912" s="86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99"/>
    </row>
    <row r="2913" spans="1:27" s="210" customFormat="1" ht="15.75" customHeight="1">
      <c r="A2913" s="203" t="str">
        <f>IF(B2913&lt;&gt;"",IF(AND(B2913&gt;=_TM1,B2913&lt;=_TM2,OR(TH!L2913="1111",TH!M2913="1111")),TH!D2913,""),"")</f>
        <v/>
      </c>
      <c r="B2913" s="36">
        <f t="shared" si="48"/>
        <v>4</v>
      </c>
      <c r="C2913" s="899">
        <f t="shared" si="49"/>
        <v>42124</v>
      </c>
      <c r="D2913" s="900" t="s">
        <v>2013</v>
      </c>
      <c r="E2913" s="900">
        <v>42124</v>
      </c>
      <c r="F2913" s="907" t="s">
        <v>634</v>
      </c>
      <c r="G2913" s="902" t="s">
        <v>632</v>
      </c>
      <c r="H2913" s="913" t="s">
        <v>2014</v>
      </c>
      <c r="I2913" s="253">
        <v>108</v>
      </c>
      <c r="J2913" s="253">
        <v>8739.56426440428</v>
      </c>
      <c r="K2913" s="904">
        <f t="shared" si="50"/>
        <v>943873</v>
      </c>
      <c r="L2913" s="869" t="s">
        <v>167</v>
      </c>
      <c r="M2913" s="869" t="s">
        <v>165</v>
      </c>
      <c r="N2913" s="52" t="str">
        <f>IF(AND('331-CT'!$E$7=TH!H2913,OR(L2913="331",M2913="331")),"331",IF(AND(OR(L2913="131",M2913="131"),H2913='131-CT'!$E$7),"131",""))</f>
        <v/>
      </c>
      <c r="O2913" s="86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99"/>
    </row>
    <row r="2914" spans="1:27" s="210" customFormat="1" ht="15.75" customHeight="1">
      <c r="A2914" s="203" t="str">
        <f>IF(B2914&lt;&gt;"",IF(AND(B2914&gt;=_TM1,B2914&lt;=_TM2,OR(TH!L2914="1111",TH!M2914="1111")),TH!D2914,""),"")</f>
        <v/>
      </c>
      <c r="B2914" s="36">
        <f t="shared" si="48"/>
        <v>4</v>
      </c>
      <c r="C2914" s="899">
        <f t="shared" si="49"/>
        <v>42124</v>
      </c>
      <c r="D2914" s="900" t="s">
        <v>2013</v>
      </c>
      <c r="E2914" s="900">
        <v>42124</v>
      </c>
      <c r="F2914" s="907" t="s">
        <v>635</v>
      </c>
      <c r="G2914" s="902" t="s">
        <v>632</v>
      </c>
      <c r="H2914" s="913" t="s">
        <v>2014</v>
      </c>
      <c r="I2914" s="253">
        <v>407</v>
      </c>
      <c r="J2914" s="253">
        <v>5696.3231366206455</v>
      </c>
      <c r="K2914" s="904">
        <f t="shared" si="50"/>
        <v>2318404</v>
      </c>
      <c r="L2914" s="869" t="s">
        <v>167</v>
      </c>
      <c r="M2914" s="869" t="s">
        <v>165</v>
      </c>
      <c r="N2914" s="52" t="str">
        <f>IF(AND('331-CT'!$E$7=TH!H2914,OR(L2914="331",M2914="331")),"331",IF(AND(OR(L2914="131",M2914="131"),H2914='131-CT'!$E$7),"131",""))</f>
        <v/>
      </c>
      <c r="O2914" s="86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99"/>
    </row>
    <row r="2915" spans="1:27" s="210" customFormat="1" ht="15.75" customHeight="1">
      <c r="A2915" s="203" t="str">
        <f>IF(B2915&lt;&gt;"",IF(AND(B2915&gt;=_TM1,B2915&lt;=_TM2,OR(TH!L2915="1111",TH!M2915="1111")),TH!D2915,""),"")</f>
        <v/>
      </c>
      <c r="B2915" s="36">
        <f t="shared" si="48"/>
        <v>4</v>
      </c>
      <c r="C2915" s="899">
        <f t="shared" si="49"/>
        <v>42124</v>
      </c>
      <c r="D2915" s="900" t="s">
        <v>2013</v>
      </c>
      <c r="E2915" s="900">
        <v>42124</v>
      </c>
      <c r="F2915" s="907" t="s">
        <v>636</v>
      </c>
      <c r="G2915" s="902" t="s">
        <v>632</v>
      </c>
      <c r="H2915" s="913" t="s">
        <v>2014</v>
      </c>
      <c r="I2915" s="253">
        <v>303</v>
      </c>
      <c r="J2915" s="253">
        <v>7491.0550837750961</v>
      </c>
      <c r="K2915" s="904">
        <f t="shared" si="50"/>
        <v>2269790</v>
      </c>
      <c r="L2915" s="869" t="s">
        <v>167</v>
      </c>
      <c r="M2915" s="869" t="s">
        <v>165</v>
      </c>
      <c r="N2915" s="52" t="str">
        <f>IF(AND('331-CT'!$E$7=TH!H2915,OR(L2915="331",M2915="331")),"331",IF(AND(OR(L2915="131",M2915="131"),H2915='131-CT'!$E$7),"131",""))</f>
        <v/>
      </c>
      <c r="O2915" s="86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99"/>
    </row>
    <row r="2916" spans="1:27" s="210" customFormat="1" ht="15.75" customHeight="1">
      <c r="A2916" s="203" t="str">
        <f>IF(B2916&lt;&gt;"",IF(AND(B2916&gt;=_TM1,B2916&lt;=_TM2,OR(TH!L2916="1111",TH!M2916="1111")),TH!D2916,""),"")</f>
        <v/>
      </c>
      <c r="B2916" s="36">
        <f t="shared" si="48"/>
        <v>4</v>
      </c>
      <c r="C2916" s="899">
        <f t="shared" si="49"/>
        <v>42124</v>
      </c>
      <c r="D2916" s="900" t="s">
        <v>2013</v>
      </c>
      <c r="E2916" s="900">
        <v>42124</v>
      </c>
      <c r="F2916" s="907" t="s">
        <v>635</v>
      </c>
      <c r="G2916" s="902" t="s">
        <v>632</v>
      </c>
      <c r="H2916" s="913" t="s">
        <v>2014</v>
      </c>
      <c r="I2916" s="253">
        <v>521</v>
      </c>
      <c r="J2916" s="253">
        <v>5696.3231366206455</v>
      </c>
      <c r="K2916" s="904">
        <f t="shared" si="50"/>
        <v>2967784</v>
      </c>
      <c r="L2916" s="869" t="s">
        <v>167</v>
      </c>
      <c r="M2916" s="869" t="s">
        <v>165</v>
      </c>
      <c r="N2916" s="52" t="str">
        <f>IF(AND('331-CT'!$E$7=TH!H2916,OR(L2916="331",M2916="331")),"331",IF(AND(OR(L2916="131",M2916="131"),H2916='131-CT'!$E$7),"131",""))</f>
        <v/>
      </c>
      <c r="O2916" s="86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99"/>
    </row>
    <row r="2917" spans="1:27" s="210" customFormat="1" ht="15.75" customHeight="1">
      <c r="A2917" s="203" t="str">
        <f>IF(B2917&lt;&gt;"",IF(AND(B2917&gt;=_TM1,B2917&lt;=_TM2,OR(TH!L2917="1111",TH!M2917="1111")),TH!D2917,""),"")</f>
        <v/>
      </c>
      <c r="B2917" s="36">
        <f t="shared" si="48"/>
        <v>4</v>
      </c>
      <c r="C2917" s="899">
        <f t="shared" si="49"/>
        <v>42124</v>
      </c>
      <c r="D2917" s="900" t="s">
        <v>2013</v>
      </c>
      <c r="E2917" s="900">
        <v>42124</v>
      </c>
      <c r="F2917" s="907" t="s">
        <v>637</v>
      </c>
      <c r="G2917" s="902" t="s">
        <v>632</v>
      </c>
      <c r="H2917" s="913" t="s">
        <v>2014</v>
      </c>
      <c r="I2917" s="253">
        <v>304</v>
      </c>
      <c r="J2917" s="253">
        <v>7959.2460265110394</v>
      </c>
      <c r="K2917" s="904">
        <f t="shared" si="50"/>
        <v>2419611</v>
      </c>
      <c r="L2917" s="869" t="s">
        <v>167</v>
      </c>
      <c r="M2917" s="869" t="s">
        <v>165</v>
      </c>
      <c r="N2917" s="52" t="str">
        <f>IF(AND('331-CT'!$E$7=TH!H2917,OR(L2917="331",M2917="331")),"331",IF(AND(OR(L2917="131",M2917="131"),H2917='131-CT'!$E$7),"131",""))</f>
        <v/>
      </c>
      <c r="O2917" s="86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99"/>
    </row>
    <row r="2918" spans="1:27" s="210" customFormat="1" ht="15.75" customHeight="1">
      <c r="A2918" s="203" t="str">
        <f>IF(B2918&lt;&gt;"",IF(AND(B2918&gt;=_TM1,B2918&lt;=_TM2,OR(TH!L2918="1111",TH!M2918="1111")),TH!D2918,""),"")</f>
        <v/>
      </c>
      <c r="B2918" s="36">
        <f t="shared" si="48"/>
        <v>4</v>
      </c>
      <c r="C2918" s="899">
        <f t="shared" si="49"/>
        <v>42124</v>
      </c>
      <c r="D2918" s="900" t="s">
        <v>2013</v>
      </c>
      <c r="E2918" s="900">
        <v>42124</v>
      </c>
      <c r="F2918" s="907" t="s">
        <v>638</v>
      </c>
      <c r="G2918" s="902" t="s">
        <v>632</v>
      </c>
      <c r="H2918" s="913" t="s">
        <v>2014</v>
      </c>
      <c r="I2918" s="253">
        <v>307</v>
      </c>
      <c r="J2918" s="253">
        <v>6788.7686696711808</v>
      </c>
      <c r="K2918" s="904">
        <f t="shared" si="50"/>
        <v>2084152</v>
      </c>
      <c r="L2918" s="869" t="s">
        <v>167</v>
      </c>
      <c r="M2918" s="869" t="s">
        <v>165</v>
      </c>
      <c r="N2918" s="52" t="str">
        <f>IF(AND('331-CT'!$E$7=TH!H2918,OR(L2918="331",M2918="331")),"331",IF(AND(OR(L2918="131",M2918="131"),H2918='131-CT'!$E$7),"131",""))</f>
        <v/>
      </c>
      <c r="O2918" s="86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99"/>
    </row>
    <row r="2919" spans="1:27" s="210" customFormat="1" ht="15.75" customHeight="1">
      <c r="A2919" s="203" t="str">
        <f>IF(B2919&lt;&gt;"",IF(AND(B2919&gt;=_TM1,B2919&lt;=_TM2,OR(TH!L2919="1111",TH!M2919="1111")),TH!D2919,""),"")</f>
        <v/>
      </c>
      <c r="B2919" s="36">
        <f t="shared" si="48"/>
        <v>5</v>
      </c>
      <c r="C2919" s="899">
        <f t="shared" si="49"/>
        <v>42127</v>
      </c>
      <c r="D2919" s="900" t="s">
        <v>2013</v>
      </c>
      <c r="E2919" s="900">
        <v>42127</v>
      </c>
      <c r="F2919" s="907" t="s">
        <v>1702</v>
      </c>
      <c r="G2919" s="902" t="s">
        <v>639</v>
      </c>
      <c r="H2919" s="913" t="s">
        <v>2014</v>
      </c>
      <c r="I2919" s="253">
        <v>2000</v>
      </c>
      <c r="J2919" s="253">
        <v>9675.9461498761648</v>
      </c>
      <c r="K2919" s="904">
        <f t="shared" si="50"/>
        <v>19351892</v>
      </c>
      <c r="L2919" s="869" t="s">
        <v>167</v>
      </c>
      <c r="M2919" s="869" t="s">
        <v>165</v>
      </c>
      <c r="N2919" s="52" t="str">
        <f>IF(AND('331-CT'!$E$7=TH!H2919,OR(L2919="331",M2919="331")),"331",IF(AND(OR(L2919="131",M2919="131"),H2919='131-CT'!$E$7),"131",""))</f>
        <v/>
      </c>
      <c r="O2919" s="86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99"/>
    </row>
    <row r="2920" spans="1:27" s="210" customFormat="1" ht="15.75" customHeight="1">
      <c r="A2920" s="203" t="str">
        <f>IF(B2920&lt;&gt;"",IF(AND(B2920&gt;=_TM1,B2920&lt;=_TM2,OR(TH!L2920="1111",TH!M2920="1111")),TH!D2920,""),"")</f>
        <v/>
      </c>
      <c r="B2920" s="36">
        <f t="shared" si="48"/>
        <v>5</v>
      </c>
      <c r="C2920" s="899">
        <f t="shared" si="49"/>
        <v>42127</v>
      </c>
      <c r="D2920" s="900" t="s">
        <v>2013</v>
      </c>
      <c r="E2920" s="900">
        <v>42127</v>
      </c>
      <c r="F2920" s="907" t="s">
        <v>1702</v>
      </c>
      <c r="G2920" s="902" t="s">
        <v>639</v>
      </c>
      <c r="H2920" s="913" t="s">
        <v>2014</v>
      </c>
      <c r="I2920" s="253">
        <v>300</v>
      </c>
      <c r="J2920" s="253">
        <v>9675.9461498761648</v>
      </c>
      <c r="K2920" s="904">
        <f t="shared" si="50"/>
        <v>2902784</v>
      </c>
      <c r="L2920" s="869" t="s">
        <v>167</v>
      </c>
      <c r="M2920" s="869" t="s">
        <v>165</v>
      </c>
      <c r="N2920" s="52" t="str">
        <f>IF(AND('331-CT'!$E$7=TH!H2920,OR(L2920="331",M2920="331")),"331",IF(AND(OR(L2920="131",M2920="131"),H2920='131-CT'!$E$7),"131",""))</f>
        <v/>
      </c>
      <c r="O2920" s="86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99"/>
    </row>
    <row r="2921" spans="1:27" s="210" customFormat="1" ht="15.75" customHeight="1">
      <c r="A2921" s="203" t="str">
        <f>IF(B2921&lt;&gt;"",IF(AND(B2921&gt;=_TM1,B2921&lt;=_TM2,OR(TH!L2921="1111",TH!M2921="1111")),TH!D2921,""),"")</f>
        <v/>
      </c>
      <c r="B2921" s="36">
        <f t="shared" si="48"/>
        <v>5</v>
      </c>
      <c r="C2921" s="899">
        <f t="shared" si="49"/>
        <v>42133</v>
      </c>
      <c r="D2921" s="900" t="s">
        <v>2013</v>
      </c>
      <c r="E2921" s="900">
        <v>42133</v>
      </c>
      <c r="F2921" s="907" t="s">
        <v>518</v>
      </c>
      <c r="G2921" s="902" t="s">
        <v>640</v>
      </c>
      <c r="H2921" s="913" t="s">
        <v>2014</v>
      </c>
      <c r="I2921" s="253">
        <v>1063</v>
      </c>
      <c r="J2921" s="253">
        <v>8115.3096740896872</v>
      </c>
      <c r="K2921" s="904">
        <f t="shared" si="50"/>
        <v>8626574</v>
      </c>
      <c r="L2921" s="869" t="s">
        <v>167</v>
      </c>
      <c r="M2921" s="869" t="s">
        <v>165</v>
      </c>
      <c r="N2921" s="52" t="str">
        <f>IF(AND('331-CT'!$E$7=TH!H2921,OR(L2921="331",M2921="331")),"331",IF(AND(OR(L2921="131",M2921="131"),H2921='131-CT'!$E$7),"131",""))</f>
        <v/>
      </c>
      <c r="O2921" s="86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99"/>
    </row>
    <row r="2922" spans="1:27" s="210" customFormat="1" ht="15.75" customHeight="1">
      <c r="A2922" s="203" t="str">
        <f>IF(B2922&lt;&gt;"",IF(AND(B2922&gt;=_TM1,B2922&lt;=_TM2,OR(TH!L2922="1111",TH!M2922="1111")),TH!D2922,""),"")</f>
        <v/>
      </c>
      <c r="B2922" s="36">
        <f t="shared" si="48"/>
        <v>5</v>
      </c>
      <c r="C2922" s="899">
        <f t="shared" si="49"/>
        <v>42133</v>
      </c>
      <c r="D2922" s="900" t="s">
        <v>2013</v>
      </c>
      <c r="E2922" s="900">
        <v>42133</v>
      </c>
      <c r="F2922" s="907" t="s">
        <v>516</v>
      </c>
      <c r="G2922" s="902" t="s">
        <v>640</v>
      </c>
      <c r="H2922" s="913" t="s">
        <v>2014</v>
      </c>
      <c r="I2922" s="253">
        <v>406</v>
      </c>
      <c r="J2922" s="253">
        <v>7491.0550837750961</v>
      </c>
      <c r="K2922" s="904">
        <f t="shared" si="50"/>
        <v>3041368</v>
      </c>
      <c r="L2922" s="869" t="s">
        <v>167</v>
      </c>
      <c r="M2922" s="869" t="s">
        <v>165</v>
      </c>
      <c r="N2922" s="52" t="str">
        <f>IF(AND('331-CT'!$E$7=TH!H2922,OR(L2922="331",M2922="331")),"331",IF(AND(OR(L2922="131",M2922="131"),H2922='131-CT'!$E$7),"131",""))</f>
        <v/>
      </c>
      <c r="O2922" s="86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99"/>
    </row>
    <row r="2923" spans="1:27" s="210" customFormat="1" ht="15.75" customHeight="1">
      <c r="A2923" s="203" t="str">
        <f>IF(B2923&lt;&gt;"",IF(AND(B2923&gt;=_TM1,B2923&lt;=_TM2,OR(TH!L2923="1111",TH!M2923="1111")),TH!D2923,""),"")</f>
        <v/>
      </c>
      <c r="B2923" s="36">
        <f t="shared" si="48"/>
        <v>5</v>
      </c>
      <c r="C2923" s="899">
        <f t="shared" si="49"/>
        <v>42133</v>
      </c>
      <c r="D2923" s="900" t="s">
        <v>2013</v>
      </c>
      <c r="E2923" s="900">
        <v>42133</v>
      </c>
      <c r="F2923" s="907" t="s">
        <v>413</v>
      </c>
      <c r="G2923" s="902" t="s">
        <v>641</v>
      </c>
      <c r="H2923" s="913" t="s">
        <v>2014</v>
      </c>
      <c r="I2923" s="253">
        <v>298</v>
      </c>
      <c r="J2923" s="253">
        <v>7413.0232599857718</v>
      </c>
      <c r="K2923" s="904">
        <f t="shared" si="50"/>
        <v>2209081</v>
      </c>
      <c r="L2923" s="869" t="s">
        <v>167</v>
      </c>
      <c r="M2923" s="869" t="s">
        <v>165</v>
      </c>
      <c r="N2923" s="52" t="str">
        <f>IF(AND('331-CT'!$E$7=TH!H2923,OR(L2923="331",M2923="331")),"331",IF(AND(OR(L2923="131",M2923="131"),H2923='131-CT'!$E$7),"131",""))</f>
        <v/>
      </c>
      <c r="O2923" s="86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99"/>
    </row>
    <row r="2924" spans="1:27" s="210" customFormat="1" ht="15.75" customHeight="1">
      <c r="A2924" s="203" t="str">
        <f>IF(B2924&lt;&gt;"",IF(AND(B2924&gt;=_TM1,B2924&lt;=_TM2,OR(TH!L2924="1111",TH!M2924="1111")),TH!D2924,""),"")</f>
        <v/>
      </c>
      <c r="B2924" s="36">
        <f t="shared" si="48"/>
        <v>5</v>
      </c>
      <c r="C2924" s="899">
        <f t="shared" si="49"/>
        <v>42136</v>
      </c>
      <c r="D2924" s="900" t="s">
        <v>2013</v>
      </c>
      <c r="E2924" s="900">
        <v>42136</v>
      </c>
      <c r="F2924" s="907" t="s">
        <v>519</v>
      </c>
      <c r="G2924" s="902" t="s">
        <v>642</v>
      </c>
      <c r="H2924" s="913" t="s">
        <v>2014</v>
      </c>
      <c r="I2924" s="253">
        <v>1161</v>
      </c>
      <c r="J2924" s="253">
        <v>8739.56426440428</v>
      </c>
      <c r="K2924" s="904">
        <f t="shared" si="50"/>
        <v>10146634</v>
      </c>
      <c r="L2924" s="869" t="s">
        <v>167</v>
      </c>
      <c r="M2924" s="869" t="s">
        <v>165</v>
      </c>
      <c r="N2924" s="52" t="str">
        <f>IF(AND('331-CT'!$E$7=TH!H2924,OR(L2924="331",M2924="331")),"331",IF(AND(OR(L2924="131",M2924="131"),H2924='131-CT'!$E$7),"131",""))</f>
        <v/>
      </c>
      <c r="O2924" s="86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99"/>
    </row>
    <row r="2925" spans="1:27" s="210" customFormat="1" ht="15.75" customHeight="1">
      <c r="A2925" s="203" t="str">
        <f>IF(B2925&lt;&gt;"",IF(AND(B2925&gt;=_TM1,B2925&lt;=_TM2,OR(TH!L2925="1111",TH!M2925="1111")),TH!D2925,""),"")</f>
        <v/>
      </c>
      <c r="B2925" s="36">
        <f t="shared" si="48"/>
        <v>5</v>
      </c>
      <c r="C2925" s="899">
        <f t="shared" si="49"/>
        <v>42136</v>
      </c>
      <c r="D2925" s="900" t="s">
        <v>2013</v>
      </c>
      <c r="E2925" s="900">
        <v>42136</v>
      </c>
      <c r="F2925" s="907" t="s">
        <v>1661</v>
      </c>
      <c r="G2925" s="902" t="s">
        <v>642</v>
      </c>
      <c r="H2925" s="913" t="s">
        <v>2014</v>
      </c>
      <c r="I2925" s="253">
        <v>2330</v>
      </c>
      <c r="J2925" s="253">
        <v>468.19094273594351</v>
      </c>
      <c r="K2925" s="904">
        <f t="shared" si="50"/>
        <v>1090885</v>
      </c>
      <c r="L2925" s="869" t="s">
        <v>167</v>
      </c>
      <c r="M2925" s="869" t="s">
        <v>165</v>
      </c>
      <c r="N2925" s="52" t="str">
        <f>IF(AND('331-CT'!$E$7=TH!H2925,OR(L2925="331",M2925="331")),"331",IF(AND(OR(L2925="131",M2925="131"),H2925='131-CT'!$E$7),"131",""))</f>
        <v/>
      </c>
      <c r="O2925" s="86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99"/>
    </row>
    <row r="2926" spans="1:27" s="210" customFormat="1" ht="15.75" customHeight="1">
      <c r="A2926" s="203" t="str">
        <f>IF(B2926&lt;&gt;"",IF(AND(B2926&gt;=_TM1,B2926&lt;=_TM2,OR(TH!L2926="1111",TH!M2926="1111")),TH!D2926,""),"")</f>
        <v/>
      </c>
      <c r="B2926" s="36">
        <f t="shared" si="48"/>
        <v>5</v>
      </c>
      <c r="C2926" s="899">
        <f t="shared" si="49"/>
        <v>42137</v>
      </c>
      <c r="D2926" s="900" t="s">
        <v>2013</v>
      </c>
      <c r="E2926" s="900">
        <v>42137</v>
      </c>
      <c r="F2926" s="907" t="s">
        <v>643</v>
      </c>
      <c r="G2926" s="902" t="s">
        <v>644</v>
      </c>
      <c r="H2926" s="913" t="s">
        <v>2014</v>
      </c>
      <c r="I2926" s="253">
        <v>200</v>
      </c>
      <c r="J2926" s="253">
        <v>7725.1505551430673</v>
      </c>
      <c r="K2926" s="904">
        <f t="shared" si="50"/>
        <v>1545030</v>
      </c>
      <c r="L2926" s="869" t="s">
        <v>167</v>
      </c>
      <c r="M2926" s="869" t="s">
        <v>165</v>
      </c>
      <c r="N2926" s="52" t="str">
        <f>IF(AND('331-CT'!$E$7=TH!H2926,OR(L2926="331",M2926="331")),"331",IF(AND(OR(L2926="131",M2926="131"),H2926='131-CT'!$E$7),"131",""))</f>
        <v/>
      </c>
      <c r="O2926" s="86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99"/>
    </row>
    <row r="2927" spans="1:27" s="210" customFormat="1" ht="15.75" customHeight="1">
      <c r="A2927" s="203" t="str">
        <f>IF(B2927&lt;&gt;"",IF(AND(B2927&gt;=_TM1,B2927&lt;=_TM2,OR(TH!L2927="1111",TH!M2927="1111")),TH!D2927,""),"")</f>
        <v/>
      </c>
      <c r="B2927" s="36">
        <f t="shared" si="48"/>
        <v>5</v>
      </c>
      <c r="C2927" s="899">
        <f t="shared" si="49"/>
        <v>42139</v>
      </c>
      <c r="D2927" s="900" t="s">
        <v>2013</v>
      </c>
      <c r="E2927" s="900">
        <v>42139</v>
      </c>
      <c r="F2927" s="907" t="s">
        <v>646</v>
      </c>
      <c r="G2927" s="902" t="s">
        <v>647</v>
      </c>
      <c r="H2927" s="913" t="s">
        <v>2014</v>
      </c>
      <c r="I2927" s="253">
        <v>157</v>
      </c>
      <c r="J2927" s="253">
        <v>6788.7686696711808</v>
      </c>
      <c r="K2927" s="904">
        <f t="shared" si="50"/>
        <v>1065837</v>
      </c>
      <c r="L2927" s="869" t="s">
        <v>167</v>
      </c>
      <c r="M2927" s="869" t="s">
        <v>165</v>
      </c>
      <c r="N2927" s="52" t="str">
        <f>IF(AND('331-CT'!$E$7=TH!H2927,OR(L2927="331",M2927="331")),"331",IF(AND(OR(L2927="131",M2927="131"),H2927='131-CT'!$E$7),"131",""))</f>
        <v/>
      </c>
      <c r="O2927" s="86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99"/>
    </row>
    <row r="2928" spans="1:27" s="210" customFormat="1" ht="15.75" customHeight="1">
      <c r="A2928" s="203" t="str">
        <f>IF(B2928&lt;&gt;"",IF(AND(B2928&gt;=_TM1,B2928&lt;=_TM2,OR(TH!L2928="1111",TH!M2928="1111")),TH!D2928,""),"")</f>
        <v/>
      </c>
      <c r="B2928" s="36">
        <f t="shared" si="48"/>
        <v>5</v>
      </c>
      <c r="C2928" s="899">
        <f t="shared" si="49"/>
        <v>42139</v>
      </c>
      <c r="D2928" s="900" t="s">
        <v>2013</v>
      </c>
      <c r="E2928" s="900">
        <v>42139</v>
      </c>
      <c r="F2928" s="907" t="s">
        <v>1666</v>
      </c>
      <c r="G2928" s="902" t="s">
        <v>647</v>
      </c>
      <c r="H2928" s="913" t="s">
        <v>2014</v>
      </c>
      <c r="I2928" s="253">
        <v>314</v>
      </c>
      <c r="J2928" s="253">
        <v>1014.4137092612109</v>
      </c>
      <c r="K2928" s="904">
        <f t="shared" si="50"/>
        <v>318526</v>
      </c>
      <c r="L2928" s="869" t="s">
        <v>167</v>
      </c>
      <c r="M2928" s="869" t="s">
        <v>165</v>
      </c>
      <c r="N2928" s="52" t="str">
        <f>IF(AND('331-CT'!$E$7=TH!H2928,OR(L2928="331",M2928="331")),"331",IF(AND(OR(L2928="131",M2928="131"),H2928='131-CT'!$E$7),"131",""))</f>
        <v/>
      </c>
      <c r="O2928" s="86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99"/>
    </row>
    <row r="2929" spans="1:27" s="210" customFormat="1" ht="15.75" customHeight="1">
      <c r="A2929" s="203" t="str">
        <f>IF(B2929&lt;&gt;"",IF(AND(B2929&gt;=_TM1,B2929&lt;=_TM2,OR(TH!L2929="1111",TH!M2929="1111")),TH!D2929,""),"")</f>
        <v/>
      </c>
      <c r="B2929" s="36">
        <f t="shared" si="48"/>
        <v>5</v>
      </c>
      <c r="C2929" s="899">
        <f t="shared" si="49"/>
        <v>42144</v>
      </c>
      <c r="D2929" s="900" t="s">
        <v>2013</v>
      </c>
      <c r="E2929" s="900">
        <v>42144</v>
      </c>
      <c r="F2929" s="907" t="s">
        <v>648</v>
      </c>
      <c r="G2929" s="902" t="s">
        <v>649</v>
      </c>
      <c r="H2929" s="913" t="s">
        <v>2014</v>
      </c>
      <c r="I2929" s="253">
        <v>52</v>
      </c>
      <c r="J2929" s="253">
        <v>12172.964511134531</v>
      </c>
      <c r="K2929" s="904">
        <f t="shared" si="50"/>
        <v>632994</v>
      </c>
      <c r="L2929" s="869" t="s">
        <v>167</v>
      </c>
      <c r="M2929" s="869" t="s">
        <v>165</v>
      </c>
      <c r="N2929" s="52" t="str">
        <f>IF(AND('331-CT'!$E$7=TH!H2929,OR(L2929="331",M2929="331")),"331",IF(AND(OR(L2929="131",M2929="131"),H2929='131-CT'!$E$7),"131",""))</f>
        <v/>
      </c>
      <c r="O2929" s="86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99"/>
    </row>
    <row r="2930" spans="1:27" s="210" customFormat="1" ht="15.75" customHeight="1">
      <c r="A2930" s="203" t="str">
        <f>IF(B2930&lt;&gt;"",IF(AND(B2930&gt;=_TM1,B2930&lt;=_TM2,OR(TH!L2930="1111",TH!M2930="1111")),TH!D2930,""),"")</f>
        <v/>
      </c>
      <c r="B2930" s="36">
        <f t="shared" si="48"/>
        <v>5</v>
      </c>
      <c r="C2930" s="899">
        <f t="shared" si="49"/>
        <v>42144</v>
      </c>
      <c r="D2930" s="900" t="s">
        <v>2013</v>
      </c>
      <c r="E2930" s="900">
        <v>42144</v>
      </c>
      <c r="F2930" s="907" t="s">
        <v>650</v>
      </c>
      <c r="G2930" s="902" t="s">
        <v>649</v>
      </c>
      <c r="H2930" s="913" t="s">
        <v>2014</v>
      </c>
      <c r="I2930" s="253">
        <v>260</v>
      </c>
      <c r="J2930" s="253">
        <v>10612.328035348053</v>
      </c>
      <c r="K2930" s="904">
        <f t="shared" si="50"/>
        <v>2759205</v>
      </c>
      <c r="L2930" s="869" t="s">
        <v>167</v>
      </c>
      <c r="M2930" s="869" t="s">
        <v>165</v>
      </c>
      <c r="N2930" s="52" t="str">
        <f>IF(AND('331-CT'!$E$7=TH!H2930,OR(L2930="331",M2930="331")),"331",IF(AND(OR(L2930="131",M2930="131"),H2930='131-CT'!$E$7),"131",""))</f>
        <v/>
      </c>
      <c r="O2930" s="86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99"/>
    </row>
    <row r="2931" spans="1:27" s="210" customFormat="1" ht="15.75" customHeight="1">
      <c r="A2931" s="203" t="str">
        <f>IF(B2931&lt;&gt;"",IF(AND(B2931&gt;=_TM1,B2931&lt;=_TM2,OR(TH!L2931="1111",TH!M2931="1111")),TH!D2931,""),"")</f>
        <v/>
      </c>
      <c r="B2931" s="36">
        <f t="shared" si="48"/>
        <v>5</v>
      </c>
      <c r="C2931" s="899">
        <f t="shared" si="49"/>
        <v>42144</v>
      </c>
      <c r="D2931" s="900" t="s">
        <v>2013</v>
      </c>
      <c r="E2931" s="900">
        <v>42144</v>
      </c>
      <c r="F2931" s="907" t="s">
        <v>602</v>
      </c>
      <c r="G2931" s="902" t="s">
        <v>649</v>
      </c>
      <c r="H2931" s="913" t="s">
        <v>2014</v>
      </c>
      <c r="I2931" s="253">
        <v>924</v>
      </c>
      <c r="J2931" s="253">
        <v>9832.0097974548135</v>
      </c>
      <c r="K2931" s="904">
        <f t="shared" si="50"/>
        <v>9084777</v>
      </c>
      <c r="L2931" s="869" t="s">
        <v>167</v>
      </c>
      <c r="M2931" s="869" t="s">
        <v>165</v>
      </c>
      <c r="N2931" s="52" t="str">
        <f>IF(AND('331-CT'!$E$7=TH!H2931,OR(L2931="331",M2931="331")),"331",IF(AND(OR(L2931="131",M2931="131"),H2931='131-CT'!$E$7),"131",""))</f>
        <v/>
      </c>
      <c r="O2931" s="86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99"/>
    </row>
    <row r="2932" spans="1:27" s="210" customFormat="1" ht="15.75" customHeight="1">
      <c r="A2932" s="203" t="str">
        <f>IF(B2932&lt;&gt;"",IF(AND(B2932&gt;=_TM1,B2932&lt;=_TM2,OR(TH!L2932="1111",TH!M2932="1111")),TH!D2932,""),"")</f>
        <v/>
      </c>
      <c r="B2932" s="36">
        <f t="shared" si="48"/>
        <v>5</v>
      </c>
      <c r="C2932" s="899">
        <f t="shared" si="49"/>
        <v>42144</v>
      </c>
      <c r="D2932" s="900" t="s">
        <v>2013</v>
      </c>
      <c r="E2932" s="900">
        <v>42144</v>
      </c>
      <c r="F2932" s="907" t="s">
        <v>1140</v>
      </c>
      <c r="G2932" s="902" t="s">
        <v>651</v>
      </c>
      <c r="H2932" s="913" t="s">
        <v>2014</v>
      </c>
      <c r="I2932" s="253">
        <v>50</v>
      </c>
      <c r="J2932" s="253">
        <v>8895.6279119829251</v>
      </c>
      <c r="K2932" s="904">
        <f t="shared" si="50"/>
        <v>444781</v>
      </c>
      <c r="L2932" s="869" t="s">
        <v>167</v>
      </c>
      <c r="M2932" s="869" t="s">
        <v>165</v>
      </c>
      <c r="N2932" s="52" t="str">
        <f>IF(AND('331-CT'!$E$7=TH!H2932,OR(L2932="331",M2932="331")),"331",IF(AND(OR(L2932="131",M2932="131"),H2932='131-CT'!$E$7),"131",""))</f>
        <v/>
      </c>
      <c r="O2932" s="86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99"/>
    </row>
    <row r="2933" spans="1:27" s="210" customFormat="1" ht="15.75" customHeight="1">
      <c r="A2933" s="203" t="str">
        <f>IF(B2933&lt;&gt;"",IF(AND(B2933&gt;=_TM1,B2933&lt;=_TM2,OR(TH!L2933="1111",TH!M2933="1111")),TH!D2933,""),"")</f>
        <v/>
      </c>
      <c r="B2933" s="36">
        <f t="shared" si="48"/>
        <v>5</v>
      </c>
      <c r="C2933" s="899">
        <f t="shared" si="49"/>
        <v>42144</v>
      </c>
      <c r="D2933" s="900" t="s">
        <v>2013</v>
      </c>
      <c r="E2933" s="900">
        <v>42144</v>
      </c>
      <c r="F2933" s="907" t="s">
        <v>1140</v>
      </c>
      <c r="G2933" s="902" t="s">
        <v>651</v>
      </c>
      <c r="H2933" s="913" t="s">
        <v>2014</v>
      </c>
      <c r="I2933" s="253">
        <v>669</v>
      </c>
      <c r="J2933" s="253">
        <v>8895.6279119829251</v>
      </c>
      <c r="K2933" s="904">
        <f t="shared" si="50"/>
        <v>5951175</v>
      </c>
      <c r="L2933" s="869" t="s">
        <v>167</v>
      </c>
      <c r="M2933" s="869" t="s">
        <v>165</v>
      </c>
      <c r="N2933" s="52" t="str">
        <f>IF(AND('331-CT'!$E$7=TH!H2933,OR(L2933="331",M2933="331")),"331",IF(AND(OR(L2933="131",M2933="131"),H2933='131-CT'!$E$7),"131",""))</f>
        <v/>
      </c>
      <c r="O2933" s="86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99"/>
    </row>
    <row r="2934" spans="1:27" s="210" customFormat="1" ht="15.75" customHeight="1">
      <c r="A2934" s="203" t="str">
        <f>IF(B2934&lt;&gt;"",IF(AND(B2934&gt;=_TM1,B2934&lt;=_TM2,OR(TH!L2934="1111",TH!M2934="1111")),TH!D2934,""),"")</f>
        <v/>
      </c>
      <c r="B2934" s="36">
        <f t="shared" si="48"/>
        <v>5</v>
      </c>
      <c r="C2934" s="899">
        <f t="shared" si="49"/>
        <v>42144</v>
      </c>
      <c r="D2934" s="900" t="s">
        <v>2013</v>
      </c>
      <c r="E2934" s="900">
        <v>42144</v>
      </c>
      <c r="F2934" s="907" t="s">
        <v>1654</v>
      </c>
      <c r="G2934" s="902" t="s">
        <v>651</v>
      </c>
      <c r="H2934" s="913" t="s">
        <v>2014</v>
      </c>
      <c r="I2934" s="253">
        <v>1438</v>
      </c>
      <c r="J2934" s="253">
        <v>780.31823789323926</v>
      </c>
      <c r="K2934" s="904">
        <f t="shared" si="50"/>
        <v>1122098</v>
      </c>
      <c r="L2934" s="869" t="s">
        <v>167</v>
      </c>
      <c r="M2934" s="869" t="s">
        <v>165</v>
      </c>
      <c r="N2934" s="52" t="str">
        <f>IF(AND('331-CT'!$E$7=TH!H2934,OR(L2934="331",M2934="331")),"331",IF(AND(OR(L2934="131",M2934="131"),H2934='131-CT'!$E$7),"131",""))</f>
        <v/>
      </c>
      <c r="O2934" s="86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99"/>
    </row>
    <row r="2935" spans="1:27" s="210" customFormat="1" ht="15.75" customHeight="1">
      <c r="A2935" s="203" t="str">
        <f>IF(B2935&lt;&gt;"",IF(AND(B2935&gt;=_TM1,B2935&lt;=_TM2,OR(TH!L2935="1111",TH!M2935="1111")),TH!D2935,""),"")</f>
        <v/>
      </c>
      <c r="B2935" s="36">
        <f t="shared" si="48"/>
        <v>5</v>
      </c>
      <c r="C2935" s="899">
        <f t="shared" si="49"/>
        <v>42144</v>
      </c>
      <c r="D2935" s="900" t="s">
        <v>2013</v>
      </c>
      <c r="E2935" s="900">
        <v>42144</v>
      </c>
      <c r="F2935" s="907" t="s">
        <v>494</v>
      </c>
      <c r="G2935" s="902" t="s">
        <v>652</v>
      </c>
      <c r="H2935" s="913" t="s">
        <v>2014</v>
      </c>
      <c r="I2935" s="253">
        <v>432</v>
      </c>
      <c r="J2935" s="253">
        <v>5306.1640176740266</v>
      </c>
      <c r="K2935" s="904">
        <f t="shared" si="50"/>
        <v>2292263</v>
      </c>
      <c r="L2935" s="869" t="s">
        <v>167</v>
      </c>
      <c r="M2935" s="869" t="s">
        <v>165</v>
      </c>
      <c r="N2935" s="52" t="str">
        <f>IF(AND('331-CT'!$E$7=TH!H2935,OR(L2935="331",M2935="331")),"331",IF(AND(OR(L2935="131",M2935="131"),H2935='131-CT'!$E$7),"131",""))</f>
        <v/>
      </c>
      <c r="O2935" s="86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99"/>
    </row>
    <row r="2936" spans="1:27" s="210" customFormat="1" ht="15.75" customHeight="1">
      <c r="A2936" s="203" t="str">
        <f>IF(B2936&lt;&gt;"",IF(AND(B2936&gt;=_TM1,B2936&lt;=_TM2,OR(TH!L2936="1111",TH!M2936="1111")),TH!D2936,""),"")</f>
        <v/>
      </c>
      <c r="B2936" s="36">
        <f t="shared" si="48"/>
        <v>5</v>
      </c>
      <c r="C2936" s="899">
        <f t="shared" si="49"/>
        <v>42144</v>
      </c>
      <c r="D2936" s="900" t="s">
        <v>2013</v>
      </c>
      <c r="E2936" s="900">
        <v>42144</v>
      </c>
      <c r="F2936" s="907" t="s">
        <v>653</v>
      </c>
      <c r="G2936" s="902" t="s">
        <v>656</v>
      </c>
      <c r="H2936" s="913" t="s">
        <v>2014</v>
      </c>
      <c r="I2936" s="253">
        <v>3024</v>
      </c>
      <c r="J2936" s="253">
        <v>6710.7368458818564</v>
      </c>
      <c r="K2936" s="904">
        <f t="shared" si="50"/>
        <v>20293268</v>
      </c>
      <c r="L2936" s="869" t="s">
        <v>167</v>
      </c>
      <c r="M2936" s="869" t="s">
        <v>165</v>
      </c>
      <c r="N2936" s="52" t="str">
        <f>IF(AND('331-CT'!$E$7=TH!H2936,OR(L2936="331",M2936="331")),"331",IF(AND(OR(L2936="131",M2936="131"),H2936='131-CT'!$E$7),"131",""))</f>
        <v/>
      </c>
      <c r="O2936" s="86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99"/>
    </row>
    <row r="2937" spans="1:27" s="210" customFormat="1" ht="15.75" customHeight="1">
      <c r="A2937" s="203" t="str">
        <f>IF(B2937&lt;&gt;"",IF(AND(B2937&gt;=_TM1,B2937&lt;=_TM2,OR(TH!L2937="1111",TH!M2937="1111")),TH!D2937,""),"")</f>
        <v/>
      </c>
      <c r="B2937" s="36">
        <f t="shared" si="48"/>
        <v>5</v>
      </c>
      <c r="C2937" s="899">
        <f t="shared" si="49"/>
        <v>42144</v>
      </c>
      <c r="D2937" s="900" t="s">
        <v>2013</v>
      </c>
      <c r="E2937" s="900">
        <v>42144</v>
      </c>
      <c r="F2937" s="907" t="s">
        <v>654</v>
      </c>
      <c r="G2937" s="902" t="s">
        <v>656</v>
      </c>
      <c r="H2937" s="913" t="s">
        <v>2014</v>
      </c>
      <c r="I2937" s="253">
        <v>161</v>
      </c>
      <c r="J2937" s="253">
        <v>12329.028158713179</v>
      </c>
      <c r="K2937" s="904">
        <f t="shared" si="50"/>
        <v>1984974</v>
      </c>
      <c r="L2937" s="869" t="s">
        <v>167</v>
      </c>
      <c r="M2937" s="869" t="s">
        <v>165</v>
      </c>
      <c r="N2937" s="52" t="str">
        <f>IF(AND('331-CT'!$E$7=TH!H2937,OR(L2937="331",M2937="331")),"331",IF(AND(OR(L2937="131",M2937="131"),H2937='131-CT'!$E$7),"131",""))</f>
        <v/>
      </c>
      <c r="O2937" s="86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99"/>
    </row>
    <row r="2938" spans="1:27" s="210" customFormat="1" ht="15.75" customHeight="1">
      <c r="A2938" s="203" t="str">
        <f>IF(B2938&lt;&gt;"",IF(AND(B2938&gt;=_TM1,B2938&lt;=_TM2,OR(TH!L2938="1111",TH!M2938="1111")),TH!D2938,""),"")</f>
        <v/>
      </c>
      <c r="B2938" s="36">
        <f t="shared" si="48"/>
        <v>5</v>
      </c>
      <c r="C2938" s="899">
        <f t="shared" si="49"/>
        <v>42144</v>
      </c>
      <c r="D2938" s="900" t="s">
        <v>2013</v>
      </c>
      <c r="E2938" s="900">
        <v>42144</v>
      </c>
      <c r="F2938" s="907" t="s">
        <v>655</v>
      </c>
      <c r="G2938" s="902" t="s">
        <v>656</v>
      </c>
      <c r="H2938" s="913" t="s">
        <v>2014</v>
      </c>
      <c r="I2938" s="253">
        <v>21</v>
      </c>
      <c r="J2938" s="253">
        <v>11080.518978083996</v>
      </c>
      <c r="K2938" s="904">
        <f t="shared" si="50"/>
        <v>232691</v>
      </c>
      <c r="L2938" s="869" t="s">
        <v>167</v>
      </c>
      <c r="M2938" s="869" t="s">
        <v>165</v>
      </c>
      <c r="N2938" s="52" t="str">
        <f>IF(AND('331-CT'!$E$7=TH!H2938,OR(L2938="331",M2938="331")),"331",IF(AND(OR(L2938="131",M2938="131"),H2938='131-CT'!$E$7),"131",""))</f>
        <v/>
      </c>
      <c r="O2938" s="86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99"/>
    </row>
    <row r="2939" spans="1:27" s="210" customFormat="1" ht="15.75" customHeight="1">
      <c r="A2939" s="203" t="str">
        <f>IF(B2939&lt;&gt;"",IF(AND(B2939&gt;=_TM1,B2939&lt;=_TM2,OR(TH!L2939="1111",TH!M2939="1111")),TH!D2939,""),"")</f>
        <v/>
      </c>
      <c r="B2939" s="36">
        <f t="shared" si="48"/>
        <v>5</v>
      </c>
      <c r="C2939" s="899">
        <f t="shared" si="49"/>
        <v>42144</v>
      </c>
      <c r="D2939" s="900" t="s">
        <v>2013</v>
      </c>
      <c r="E2939" s="900">
        <v>42144</v>
      </c>
      <c r="F2939" s="907" t="s">
        <v>1663</v>
      </c>
      <c r="G2939" s="902" t="s">
        <v>656</v>
      </c>
      <c r="H2939" s="913" t="s">
        <v>2014</v>
      </c>
      <c r="I2939" s="253">
        <v>6048</v>
      </c>
      <c r="J2939" s="253">
        <v>312.12729515729569</v>
      </c>
      <c r="K2939" s="904">
        <f t="shared" si="50"/>
        <v>1887746</v>
      </c>
      <c r="L2939" s="869" t="s">
        <v>167</v>
      </c>
      <c r="M2939" s="869" t="s">
        <v>165</v>
      </c>
      <c r="N2939" s="52" t="str">
        <f>IF(AND('331-CT'!$E$7=TH!H2939,OR(L2939="331",M2939="331")),"331",IF(AND(OR(L2939="131",M2939="131"),H2939='131-CT'!$E$7),"131",""))</f>
        <v/>
      </c>
      <c r="O2939" s="86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99"/>
    </row>
    <row r="2940" spans="1:27" s="210" customFormat="1" ht="15.75" customHeight="1">
      <c r="A2940" s="203" t="str">
        <f>IF(B2940&lt;&gt;"",IF(AND(B2940&gt;=_TM1,B2940&lt;=_TM2,OR(TH!L2940="1111",TH!M2940="1111")),TH!D2940,""),"")</f>
        <v/>
      </c>
      <c r="B2940" s="36">
        <f t="shared" si="48"/>
        <v>5</v>
      </c>
      <c r="C2940" s="899">
        <f t="shared" si="49"/>
        <v>42144</v>
      </c>
      <c r="D2940" s="900" t="s">
        <v>2013</v>
      </c>
      <c r="E2940" s="900">
        <v>42144</v>
      </c>
      <c r="F2940" s="907" t="s">
        <v>1664</v>
      </c>
      <c r="G2940" s="902" t="s">
        <v>656</v>
      </c>
      <c r="H2940" s="913" t="s">
        <v>2014</v>
      </c>
      <c r="I2940" s="253">
        <v>364</v>
      </c>
      <c r="J2940" s="253">
        <v>624.25459031459138</v>
      </c>
      <c r="K2940" s="904">
        <f t="shared" si="50"/>
        <v>227229</v>
      </c>
      <c r="L2940" s="869" t="s">
        <v>167</v>
      </c>
      <c r="M2940" s="869" t="s">
        <v>165</v>
      </c>
      <c r="N2940" s="52" t="str">
        <f>IF(AND('331-CT'!$E$7=TH!H2940,OR(L2940="331",M2940="331")),"331",IF(AND(OR(L2940="131",M2940="131"),H2940='131-CT'!$E$7),"131",""))</f>
        <v/>
      </c>
      <c r="O2940" s="86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99"/>
    </row>
    <row r="2941" spans="1:27" s="210" customFormat="1" ht="15.75" customHeight="1">
      <c r="A2941" s="203" t="str">
        <f>IF(B2941&lt;&gt;"",IF(AND(B2941&gt;=_TM1,B2941&lt;=_TM2,OR(TH!L2941="1111",TH!M2941="1111")),TH!D2941,""),"")</f>
        <v/>
      </c>
      <c r="B2941" s="36">
        <f t="shared" si="48"/>
        <v>5</v>
      </c>
      <c r="C2941" s="899">
        <f t="shared" si="49"/>
        <v>42144</v>
      </c>
      <c r="D2941" s="900" t="s">
        <v>2013</v>
      </c>
      <c r="E2941" s="900">
        <v>42144</v>
      </c>
      <c r="F2941" s="907" t="s">
        <v>1722</v>
      </c>
      <c r="G2941" s="902" t="s">
        <v>657</v>
      </c>
      <c r="H2941" s="913" t="s">
        <v>2014</v>
      </c>
      <c r="I2941" s="253">
        <v>250</v>
      </c>
      <c r="J2941" s="253">
        <v>13499.505515553037</v>
      </c>
      <c r="K2941" s="904">
        <f t="shared" si="50"/>
        <v>3374876</v>
      </c>
      <c r="L2941" s="869" t="s">
        <v>167</v>
      </c>
      <c r="M2941" s="869" t="s">
        <v>165</v>
      </c>
      <c r="N2941" s="52" t="str">
        <f>IF(AND('331-CT'!$E$7=TH!H2941,OR(L2941="331",M2941="331")),"331",IF(AND(OR(L2941="131",M2941="131"),H2941='131-CT'!$E$7),"131",""))</f>
        <v/>
      </c>
      <c r="O2941" s="86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99"/>
    </row>
    <row r="2942" spans="1:27" s="210" customFormat="1" ht="15.75" customHeight="1">
      <c r="A2942" s="203" t="str">
        <f>IF(B2942&lt;&gt;"",IF(AND(B2942&gt;=_TM1,B2942&lt;=_TM2,OR(TH!L2942="1111",TH!M2942="1111")),TH!D2942,""),"")</f>
        <v/>
      </c>
      <c r="B2942" s="36">
        <f t="shared" si="48"/>
        <v>5</v>
      </c>
      <c r="C2942" s="899">
        <f t="shared" si="49"/>
        <v>42144</v>
      </c>
      <c r="D2942" s="900" t="s">
        <v>2013</v>
      </c>
      <c r="E2942" s="900">
        <v>42144</v>
      </c>
      <c r="F2942" s="907" t="s">
        <v>1723</v>
      </c>
      <c r="G2942" s="902" t="s">
        <v>657</v>
      </c>
      <c r="H2942" s="913" t="s">
        <v>2014</v>
      </c>
      <c r="I2942" s="253">
        <v>75</v>
      </c>
      <c r="J2942" s="253">
        <v>10924.455330505347</v>
      </c>
      <c r="K2942" s="904">
        <f t="shared" si="50"/>
        <v>819334</v>
      </c>
      <c r="L2942" s="869" t="s">
        <v>167</v>
      </c>
      <c r="M2942" s="869" t="s">
        <v>165</v>
      </c>
      <c r="N2942" s="52" t="str">
        <f>IF(AND('331-CT'!$E$7=TH!H2942,OR(L2942="331",M2942="331")),"331",IF(AND(OR(L2942="131",M2942="131"),H2942='131-CT'!$E$7),"131",""))</f>
        <v/>
      </c>
      <c r="O2942" s="86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99"/>
    </row>
    <row r="2943" spans="1:27" s="210" customFormat="1" ht="15.75" customHeight="1">
      <c r="A2943" s="203" t="str">
        <f>IF(B2943&lt;&gt;"",IF(AND(B2943&gt;=_TM1,B2943&lt;=_TM2,OR(TH!L2943="1111",TH!M2943="1111")),TH!D2943,""),"")</f>
        <v/>
      </c>
      <c r="B2943" s="36">
        <f t="shared" si="48"/>
        <v>5</v>
      </c>
      <c r="C2943" s="899">
        <f t="shared" si="49"/>
        <v>42144</v>
      </c>
      <c r="D2943" s="900" t="s">
        <v>2013</v>
      </c>
      <c r="E2943" s="900">
        <v>42144</v>
      </c>
      <c r="F2943" s="907" t="s">
        <v>1724</v>
      </c>
      <c r="G2943" s="902" t="s">
        <v>657</v>
      </c>
      <c r="H2943" s="913" t="s">
        <v>2014</v>
      </c>
      <c r="I2943" s="253">
        <v>166</v>
      </c>
      <c r="J2943" s="253">
        <v>16386.682995758023</v>
      </c>
      <c r="K2943" s="904">
        <f t="shared" si="50"/>
        <v>2720189</v>
      </c>
      <c r="L2943" s="869" t="s">
        <v>167</v>
      </c>
      <c r="M2943" s="869" t="s">
        <v>165</v>
      </c>
      <c r="N2943" s="52" t="str">
        <f>IF(AND('331-CT'!$E$7=TH!H2943,OR(L2943="331",M2943="331")),"331",IF(AND(OR(L2943="131",M2943="131"),H2943='131-CT'!$E$7),"131",""))</f>
        <v/>
      </c>
      <c r="O2943" s="86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99"/>
    </row>
    <row r="2944" spans="1:27" s="210" customFormat="1" ht="15.75" customHeight="1">
      <c r="A2944" s="203" t="str">
        <f>IF(B2944&lt;&gt;"",IF(AND(B2944&gt;=_TM1,B2944&lt;=_TM2,OR(TH!L2944="1111",TH!M2944="1111")),TH!D2944,""),"")</f>
        <v/>
      </c>
      <c r="B2944" s="36">
        <f t="shared" si="48"/>
        <v>5</v>
      </c>
      <c r="C2944" s="899">
        <f t="shared" si="49"/>
        <v>42144</v>
      </c>
      <c r="D2944" s="900" t="s">
        <v>2013</v>
      </c>
      <c r="E2944" s="900">
        <v>42144</v>
      </c>
      <c r="F2944" s="907" t="s">
        <v>1725</v>
      </c>
      <c r="G2944" s="902" t="s">
        <v>657</v>
      </c>
      <c r="H2944" s="913" t="s">
        <v>2014</v>
      </c>
      <c r="I2944" s="253">
        <v>140</v>
      </c>
      <c r="J2944" s="253">
        <v>12641.155453870475</v>
      </c>
      <c r="K2944" s="904">
        <f t="shared" si="50"/>
        <v>1769762</v>
      </c>
      <c r="L2944" s="869" t="s">
        <v>167</v>
      </c>
      <c r="M2944" s="869" t="s">
        <v>165</v>
      </c>
      <c r="N2944" s="52" t="str">
        <f>IF(AND('331-CT'!$E$7=TH!H2944,OR(L2944="331",M2944="331")),"331",IF(AND(OR(L2944="131",M2944="131"),H2944='131-CT'!$E$7),"131",""))</f>
        <v/>
      </c>
      <c r="O2944" s="86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99"/>
    </row>
    <row r="2945" spans="1:27" s="210" customFormat="1" ht="15.75" customHeight="1">
      <c r="A2945" s="203" t="str">
        <f>IF(B2945&lt;&gt;"",IF(AND(B2945&gt;=_TM1,B2945&lt;=_TM2,OR(TH!L2945="1111",TH!M2945="1111")),TH!D2945,""),"")</f>
        <v/>
      </c>
      <c r="B2945" s="36">
        <f t="shared" si="48"/>
        <v>5</v>
      </c>
      <c r="C2945" s="899">
        <f t="shared" si="49"/>
        <v>42144</v>
      </c>
      <c r="D2945" s="900" t="s">
        <v>2013</v>
      </c>
      <c r="E2945" s="900">
        <v>42144</v>
      </c>
      <c r="F2945" s="907" t="s">
        <v>1726</v>
      </c>
      <c r="G2945" s="902" t="s">
        <v>657</v>
      </c>
      <c r="H2945" s="913" t="s">
        <v>2014</v>
      </c>
      <c r="I2945" s="253">
        <v>250</v>
      </c>
      <c r="J2945" s="253">
        <v>15528.332934075459</v>
      </c>
      <c r="K2945" s="904">
        <f t="shared" si="50"/>
        <v>3882083</v>
      </c>
      <c r="L2945" s="869" t="s">
        <v>167</v>
      </c>
      <c r="M2945" s="869" t="s">
        <v>165</v>
      </c>
      <c r="N2945" s="52" t="str">
        <f>IF(AND('331-CT'!$E$7=TH!H2945,OR(L2945="331",M2945="331")),"331",IF(AND(OR(L2945="131",M2945="131"),H2945='131-CT'!$E$7),"131",""))</f>
        <v/>
      </c>
      <c r="O2945" s="86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99"/>
    </row>
    <row r="2946" spans="1:27" s="210" customFormat="1" ht="15.75" customHeight="1">
      <c r="A2946" s="203" t="str">
        <f>IF(B2946&lt;&gt;"",IF(AND(B2946&gt;=_TM1,B2946&lt;=_TM2,OR(TH!L2946="1111",TH!M2946="1111")),TH!D2946,""),"")</f>
        <v/>
      </c>
      <c r="B2946" s="36">
        <f t="shared" si="48"/>
        <v>5</v>
      </c>
      <c r="C2946" s="899">
        <f t="shared" si="49"/>
        <v>42144</v>
      </c>
      <c r="D2946" s="900" t="s">
        <v>2013</v>
      </c>
      <c r="E2946" s="900">
        <v>42144</v>
      </c>
      <c r="F2946" s="907" t="s">
        <v>1727</v>
      </c>
      <c r="G2946" s="902" t="s">
        <v>657</v>
      </c>
      <c r="H2946" s="913" t="s">
        <v>2014</v>
      </c>
      <c r="I2946" s="253">
        <v>25</v>
      </c>
      <c r="J2946" s="253">
        <v>14591.951048603572</v>
      </c>
      <c r="K2946" s="904">
        <f t="shared" si="50"/>
        <v>364799</v>
      </c>
      <c r="L2946" s="869" t="s">
        <v>167</v>
      </c>
      <c r="M2946" s="869" t="s">
        <v>165</v>
      </c>
      <c r="N2946" s="52" t="str">
        <f>IF(AND('331-CT'!$E$7=TH!H2946,OR(L2946="331",M2946="331")),"331",IF(AND(OR(L2946="131",M2946="131"),H2946='131-CT'!$E$7),"131",""))</f>
        <v/>
      </c>
      <c r="O2946" s="86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99"/>
    </row>
    <row r="2947" spans="1:27" s="210" customFormat="1" ht="15.75" customHeight="1">
      <c r="A2947" s="203" t="str">
        <f>IF(B2947&lt;&gt;"",IF(AND(B2947&gt;=_TM1,B2947&lt;=_TM2,OR(TH!L2947="1111",TH!M2947="1111")),TH!D2947,""),"")</f>
        <v/>
      </c>
      <c r="B2947" s="36">
        <f t="shared" si="48"/>
        <v>5</v>
      </c>
      <c r="C2947" s="899">
        <f t="shared" si="49"/>
        <v>42144</v>
      </c>
      <c r="D2947" s="900" t="s">
        <v>2013</v>
      </c>
      <c r="E2947" s="900">
        <v>42144</v>
      </c>
      <c r="F2947" s="907" t="s">
        <v>1728</v>
      </c>
      <c r="G2947" s="902" t="s">
        <v>657</v>
      </c>
      <c r="H2947" s="913" t="s">
        <v>2014</v>
      </c>
      <c r="I2947" s="253">
        <v>25</v>
      </c>
      <c r="J2947" s="253">
        <v>13421.473691763713</v>
      </c>
      <c r="K2947" s="904">
        <f t="shared" si="50"/>
        <v>335537</v>
      </c>
      <c r="L2947" s="869" t="s">
        <v>167</v>
      </c>
      <c r="M2947" s="869" t="s">
        <v>165</v>
      </c>
      <c r="N2947" s="52" t="str">
        <f>IF(AND('331-CT'!$E$7=TH!H2947,OR(L2947="331",M2947="331")),"331",IF(AND(OR(L2947="131",M2947="131"),H2947='131-CT'!$E$7),"131",""))</f>
        <v/>
      </c>
      <c r="O2947" s="86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99"/>
    </row>
    <row r="2948" spans="1:27" s="210" customFormat="1" ht="15.75" customHeight="1">
      <c r="A2948" s="203" t="str">
        <f>IF(B2948&lt;&gt;"",IF(AND(B2948&gt;=_TM1,B2948&lt;=_TM2,OR(TH!L2948="1111",TH!M2948="1111")),TH!D2948,""),"")</f>
        <v/>
      </c>
      <c r="B2948" s="36">
        <f t="shared" si="48"/>
        <v>5</v>
      </c>
      <c r="C2948" s="899">
        <f t="shared" si="49"/>
        <v>42144</v>
      </c>
      <c r="D2948" s="900" t="s">
        <v>2013</v>
      </c>
      <c r="E2948" s="900">
        <v>42144</v>
      </c>
      <c r="F2948" s="907" t="s">
        <v>1729</v>
      </c>
      <c r="G2948" s="902" t="s">
        <v>657</v>
      </c>
      <c r="H2948" s="913" t="s">
        <v>2014</v>
      </c>
      <c r="I2948" s="253">
        <v>40</v>
      </c>
      <c r="J2948" s="253">
        <v>14748.014696182219</v>
      </c>
      <c r="K2948" s="904">
        <f t="shared" si="50"/>
        <v>589921</v>
      </c>
      <c r="L2948" s="869" t="s">
        <v>167</v>
      </c>
      <c r="M2948" s="869" t="s">
        <v>165</v>
      </c>
      <c r="N2948" s="52" t="str">
        <f>IF(AND('331-CT'!$E$7=TH!H2948,OR(L2948="331",M2948="331")),"331",IF(AND(OR(L2948="131",M2948="131"),H2948='131-CT'!$E$7),"131",""))</f>
        <v/>
      </c>
      <c r="O2948" s="86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99"/>
    </row>
    <row r="2949" spans="1:27" s="210" customFormat="1" ht="15.75" customHeight="1">
      <c r="A2949" s="203" t="str">
        <f>IF(B2949&lt;&gt;"",IF(AND(B2949&gt;=_TM1,B2949&lt;=_TM2,OR(TH!L2949="1111",TH!M2949="1111")),TH!D2949,""),"")</f>
        <v/>
      </c>
      <c r="B2949" s="36">
        <f t="shared" si="48"/>
        <v>5</v>
      </c>
      <c r="C2949" s="899">
        <f t="shared" si="49"/>
        <v>42144</v>
      </c>
      <c r="D2949" s="900" t="s">
        <v>2013</v>
      </c>
      <c r="E2949" s="900">
        <v>42144</v>
      </c>
      <c r="F2949" s="907" t="s">
        <v>1730</v>
      </c>
      <c r="G2949" s="902" t="s">
        <v>657</v>
      </c>
      <c r="H2949" s="913" t="s">
        <v>2014</v>
      </c>
      <c r="I2949" s="253">
        <v>40</v>
      </c>
      <c r="J2949" s="253">
        <v>13031.314572817093</v>
      </c>
      <c r="K2949" s="904">
        <f t="shared" si="50"/>
        <v>521253</v>
      </c>
      <c r="L2949" s="869" t="s">
        <v>167</v>
      </c>
      <c r="M2949" s="869" t="s">
        <v>165</v>
      </c>
      <c r="N2949" s="52" t="str">
        <f>IF(AND('331-CT'!$E$7=TH!H2949,OR(L2949="331",M2949="331")),"331",IF(AND(OR(L2949="131",M2949="131"),H2949='131-CT'!$E$7),"131",""))</f>
        <v/>
      </c>
      <c r="O2949" s="86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99"/>
    </row>
    <row r="2950" spans="1:27" s="210" customFormat="1" ht="15.75" customHeight="1">
      <c r="A2950" s="203" t="str">
        <f>IF(B2950&lt;&gt;"",IF(AND(B2950&gt;=_TM1,B2950&lt;=_TM2,OR(TH!L2950="1111",TH!M2950="1111")),TH!D2950,""),"")</f>
        <v/>
      </c>
      <c r="B2950" s="36">
        <f t="shared" si="48"/>
        <v>5</v>
      </c>
      <c r="C2950" s="899">
        <f t="shared" si="49"/>
        <v>42144</v>
      </c>
      <c r="D2950" s="900" t="s">
        <v>2013</v>
      </c>
      <c r="E2950" s="900">
        <v>42144</v>
      </c>
      <c r="F2950" s="907" t="s">
        <v>1725</v>
      </c>
      <c r="G2950" s="902" t="s">
        <v>657</v>
      </c>
      <c r="H2950" s="913" t="s">
        <v>2014</v>
      </c>
      <c r="I2950" s="253">
        <v>140</v>
      </c>
      <c r="J2950" s="253">
        <v>12641.155453870475</v>
      </c>
      <c r="K2950" s="904">
        <f t="shared" si="50"/>
        <v>1769762</v>
      </c>
      <c r="L2950" s="869" t="s">
        <v>167</v>
      </c>
      <c r="M2950" s="869" t="s">
        <v>165</v>
      </c>
      <c r="N2950" s="52" t="str">
        <f>IF(AND('331-CT'!$E$7=TH!H2950,OR(L2950="331",M2950="331")),"331",IF(AND(OR(L2950="131",M2950="131"),H2950='131-CT'!$E$7),"131",""))</f>
        <v/>
      </c>
      <c r="O2950" s="86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99"/>
    </row>
    <row r="2951" spans="1:27" s="210" customFormat="1" ht="15.75" customHeight="1">
      <c r="A2951" s="203" t="str">
        <f>IF(B2951&lt;&gt;"",IF(AND(B2951&gt;=_TM1,B2951&lt;=_TM2,OR(TH!L2951="1111",TH!M2951="1111")),TH!D2951,""),"")</f>
        <v/>
      </c>
      <c r="B2951" s="36">
        <f t="shared" si="48"/>
        <v>5</v>
      </c>
      <c r="C2951" s="899">
        <f t="shared" si="49"/>
        <v>42144</v>
      </c>
      <c r="D2951" s="900" t="s">
        <v>2013</v>
      </c>
      <c r="E2951" s="900">
        <v>42144</v>
      </c>
      <c r="F2951" s="907" t="s">
        <v>585</v>
      </c>
      <c r="G2951" s="902" t="s">
        <v>664</v>
      </c>
      <c r="H2951" s="913" t="s">
        <v>2014</v>
      </c>
      <c r="I2951" s="253">
        <v>102</v>
      </c>
      <c r="J2951" s="253">
        <v>10768.3916829267</v>
      </c>
      <c r="K2951" s="904">
        <f t="shared" si="50"/>
        <v>1098376</v>
      </c>
      <c r="L2951" s="869" t="s">
        <v>167</v>
      </c>
      <c r="M2951" s="869" t="s">
        <v>165</v>
      </c>
      <c r="N2951" s="52" t="str">
        <f>IF(AND('331-CT'!$E$7=TH!H2951,OR(L2951="331",M2951="331")),"331",IF(AND(OR(L2951="131",M2951="131"),H2951='131-CT'!$E$7),"131",""))</f>
        <v/>
      </c>
      <c r="O2951" s="86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99"/>
    </row>
    <row r="2952" spans="1:27" s="210" customFormat="1" ht="15.75" customHeight="1">
      <c r="A2952" s="203" t="str">
        <f>IF(B2952&lt;&gt;"",IF(AND(B2952&gt;=_TM1,B2952&lt;=_TM2,OR(TH!L2952="1111",TH!M2952="1111")),TH!D2952,""),"")</f>
        <v/>
      </c>
      <c r="B2952" s="36">
        <f t="shared" si="48"/>
        <v>5</v>
      </c>
      <c r="C2952" s="899">
        <f t="shared" si="49"/>
        <v>42144</v>
      </c>
      <c r="D2952" s="900" t="s">
        <v>2013</v>
      </c>
      <c r="E2952" s="900">
        <v>42144</v>
      </c>
      <c r="F2952" s="907" t="s">
        <v>600</v>
      </c>
      <c r="G2952" s="902" t="s">
        <v>664</v>
      </c>
      <c r="H2952" s="913" t="s">
        <v>2014</v>
      </c>
      <c r="I2952" s="253">
        <v>106</v>
      </c>
      <c r="J2952" s="253">
        <v>9910.0416212441378</v>
      </c>
      <c r="K2952" s="904">
        <f t="shared" si="50"/>
        <v>1050464</v>
      </c>
      <c r="L2952" s="869" t="s">
        <v>167</v>
      </c>
      <c r="M2952" s="869" t="s">
        <v>165</v>
      </c>
      <c r="N2952" s="52" t="str">
        <f>IF(AND('331-CT'!$E$7=TH!H2952,OR(L2952="331",M2952="331")),"331",IF(AND(OR(L2952="131",M2952="131"),H2952='131-CT'!$E$7),"131",""))</f>
        <v/>
      </c>
      <c r="O2952" s="86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99"/>
    </row>
    <row r="2953" spans="1:27" s="210" customFormat="1" ht="15.75" customHeight="1">
      <c r="A2953" s="203" t="str">
        <f>IF(B2953&lt;&gt;"",IF(AND(B2953&gt;=_TM1,B2953&lt;=_TM2,OR(TH!L2953="1111",TH!M2953="1111")),TH!D2953,""),"")</f>
        <v/>
      </c>
      <c r="B2953" s="36">
        <f t="shared" si="48"/>
        <v>5</v>
      </c>
      <c r="C2953" s="899">
        <f t="shared" si="49"/>
        <v>42144</v>
      </c>
      <c r="D2953" s="900" t="s">
        <v>2013</v>
      </c>
      <c r="E2953" s="900">
        <v>42144</v>
      </c>
      <c r="F2953" s="907" t="s">
        <v>658</v>
      </c>
      <c r="G2953" s="902" t="s">
        <v>664</v>
      </c>
      <c r="H2953" s="913" t="s">
        <v>2014</v>
      </c>
      <c r="I2953" s="253">
        <v>90</v>
      </c>
      <c r="J2953" s="253">
        <v>7725.1505551430673</v>
      </c>
      <c r="K2953" s="904">
        <f t="shared" si="50"/>
        <v>695264</v>
      </c>
      <c r="L2953" s="869" t="s">
        <v>167</v>
      </c>
      <c r="M2953" s="869" t="s">
        <v>165</v>
      </c>
      <c r="N2953" s="52" t="str">
        <f>IF(AND('331-CT'!$E$7=TH!H2953,OR(L2953="331",M2953="331")),"331",IF(AND(OR(L2953="131",M2953="131"),H2953='131-CT'!$E$7),"131",""))</f>
        <v/>
      </c>
      <c r="O2953" s="86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99"/>
    </row>
    <row r="2954" spans="1:27" s="210" customFormat="1" ht="15.75" customHeight="1">
      <c r="A2954" s="203" t="str">
        <f>IF(B2954&lt;&gt;"",IF(AND(B2954&gt;=_TM1,B2954&lt;=_TM2,OR(TH!L2954="1111",TH!M2954="1111")),TH!D2954,""),"")</f>
        <v/>
      </c>
      <c r="B2954" s="36">
        <f t="shared" si="48"/>
        <v>5</v>
      </c>
      <c r="C2954" s="899">
        <f t="shared" si="49"/>
        <v>42144</v>
      </c>
      <c r="D2954" s="900" t="s">
        <v>2013</v>
      </c>
      <c r="E2954" s="900">
        <v>42144</v>
      </c>
      <c r="F2954" s="907" t="s">
        <v>659</v>
      </c>
      <c r="G2954" s="902" t="s">
        <v>664</v>
      </c>
      <c r="H2954" s="913" t="s">
        <v>2014</v>
      </c>
      <c r="I2954" s="253">
        <v>660</v>
      </c>
      <c r="J2954" s="253">
        <v>8973.6597357722494</v>
      </c>
      <c r="K2954" s="904">
        <f t="shared" si="50"/>
        <v>5922615</v>
      </c>
      <c r="L2954" s="869" t="s">
        <v>167</v>
      </c>
      <c r="M2954" s="869" t="s">
        <v>165</v>
      </c>
      <c r="N2954" s="52" t="str">
        <f>IF(AND('331-CT'!$E$7=TH!H2954,OR(L2954="331",M2954="331")),"331",IF(AND(OR(L2954="131",M2954="131"),H2954='131-CT'!$E$7),"131",""))</f>
        <v/>
      </c>
      <c r="O2954" s="86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99"/>
    </row>
    <row r="2955" spans="1:27" s="210" customFormat="1" ht="15.75" customHeight="1">
      <c r="A2955" s="203" t="str">
        <f>IF(B2955&lt;&gt;"",IF(AND(B2955&gt;=_TM1,B2955&lt;=_TM2,OR(TH!L2955="1111",TH!M2955="1111")),TH!D2955,""),"")</f>
        <v/>
      </c>
      <c r="B2955" s="36">
        <f t="shared" si="48"/>
        <v>5</v>
      </c>
      <c r="C2955" s="899">
        <f t="shared" si="49"/>
        <v>42144</v>
      </c>
      <c r="D2955" s="900" t="s">
        <v>2013</v>
      </c>
      <c r="E2955" s="900">
        <v>42144</v>
      </c>
      <c r="F2955" s="907" t="s">
        <v>660</v>
      </c>
      <c r="G2955" s="902" t="s">
        <v>664</v>
      </c>
      <c r="H2955" s="913" t="s">
        <v>2014</v>
      </c>
      <c r="I2955" s="253">
        <v>55</v>
      </c>
      <c r="J2955" s="253">
        <v>9597.9143260868423</v>
      </c>
      <c r="K2955" s="904">
        <f t="shared" si="50"/>
        <v>527885</v>
      </c>
      <c r="L2955" s="869" t="s">
        <v>167</v>
      </c>
      <c r="M2955" s="869" t="s">
        <v>165</v>
      </c>
      <c r="N2955" s="52" t="str">
        <f>IF(AND('331-CT'!$E$7=TH!H2955,OR(L2955="331",M2955="331")),"331",IF(AND(OR(L2955="131",M2955="131"),H2955='131-CT'!$E$7),"131",""))</f>
        <v/>
      </c>
      <c r="O2955" s="86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99"/>
    </row>
    <row r="2956" spans="1:27" s="210" customFormat="1" ht="15.75" customHeight="1">
      <c r="A2956" s="203" t="str">
        <f>IF(B2956&lt;&gt;"",IF(AND(B2956&gt;=_TM1,B2956&lt;=_TM2,OR(TH!L2956="1111",TH!M2956="1111")),TH!D2956,""),"")</f>
        <v/>
      </c>
      <c r="B2956" s="36">
        <f t="shared" si="48"/>
        <v>5</v>
      </c>
      <c r="C2956" s="899">
        <f t="shared" si="49"/>
        <v>42144</v>
      </c>
      <c r="D2956" s="900" t="s">
        <v>2013</v>
      </c>
      <c r="E2956" s="900">
        <v>42144</v>
      </c>
      <c r="F2956" s="907" t="s">
        <v>661</v>
      </c>
      <c r="G2956" s="902" t="s">
        <v>664</v>
      </c>
      <c r="H2956" s="913" t="s">
        <v>2014</v>
      </c>
      <c r="I2956" s="253">
        <v>21</v>
      </c>
      <c r="J2956" s="253">
        <v>8427.4369692469827</v>
      </c>
      <c r="K2956" s="904">
        <f t="shared" si="50"/>
        <v>176976</v>
      </c>
      <c r="L2956" s="869" t="s">
        <v>167</v>
      </c>
      <c r="M2956" s="869" t="s">
        <v>165</v>
      </c>
      <c r="N2956" s="52" t="str">
        <f>IF(AND('331-CT'!$E$7=TH!H2956,OR(L2956="331",M2956="331")),"331",IF(AND(OR(L2956="131",M2956="131"),H2956='131-CT'!$E$7),"131",""))</f>
        <v/>
      </c>
      <c r="O2956" s="86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99"/>
    </row>
    <row r="2957" spans="1:27" s="210" customFormat="1" ht="15.75" customHeight="1">
      <c r="A2957" s="203" t="str">
        <f>IF(B2957&lt;&gt;"",IF(AND(B2957&gt;=_TM1,B2957&lt;=_TM2,OR(TH!L2957="1111",TH!M2957="1111")),TH!D2957,""),"")</f>
        <v/>
      </c>
      <c r="B2957" s="36">
        <f t="shared" si="48"/>
        <v>5</v>
      </c>
      <c r="C2957" s="899">
        <f t="shared" si="49"/>
        <v>42144</v>
      </c>
      <c r="D2957" s="900" t="s">
        <v>2013</v>
      </c>
      <c r="E2957" s="900">
        <v>42144</v>
      </c>
      <c r="F2957" s="907" t="s">
        <v>432</v>
      </c>
      <c r="G2957" s="902" t="s">
        <v>664</v>
      </c>
      <c r="H2957" s="913" t="s">
        <v>2014</v>
      </c>
      <c r="I2957" s="253">
        <v>63</v>
      </c>
      <c r="J2957" s="253">
        <v>10300.200740190758</v>
      </c>
      <c r="K2957" s="904">
        <f t="shared" si="50"/>
        <v>648913</v>
      </c>
      <c r="L2957" s="869" t="s">
        <v>167</v>
      </c>
      <c r="M2957" s="869" t="s">
        <v>165</v>
      </c>
      <c r="N2957" s="52" t="str">
        <f>IF(AND('331-CT'!$E$7=TH!H2957,OR(L2957="331",M2957="331")),"331",IF(AND(OR(L2957="131",M2957="131"),H2957='131-CT'!$E$7),"131",""))</f>
        <v/>
      </c>
      <c r="O2957" s="86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99"/>
    </row>
    <row r="2958" spans="1:27" s="210" customFormat="1" ht="15.75" customHeight="1">
      <c r="A2958" s="203" t="str">
        <f>IF(B2958&lt;&gt;"",IF(AND(B2958&gt;=_TM1,B2958&lt;=_TM2,OR(TH!L2958="1111",TH!M2958="1111")),TH!D2958,""),"")</f>
        <v/>
      </c>
      <c r="B2958" s="36">
        <f t="shared" si="48"/>
        <v>5</v>
      </c>
      <c r="C2958" s="899">
        <f t="shared" si="49"/>
        <v>42144</v>
      </c>
      <c r="D2958" s="900" t="s">
        <v>2013</v>
      </c>
      <c r="E2958" s="900">
        <v>42144</v>
      </c>
      <c r="F2958" s="907" t="s">
        <v>662</v>
      </c>
      <c r="G2958" s="902" t="s">
        <v>664</v>
      </c>
      <c r="H2958" s="913" t="s">
        <v>2014</v>
      </c>
      <c r="I2958" s="253">
        <v>11</v>
      </c>
      <c r="J2958" s="253">
        <v>9675.9461498761648</v>
      </c>
      <c r="K2958" s="904">
        <f t="shared" si="50"/>
        <v>106435</v>
      </c>
      <c r="L2958" s="869" t="s">
        <v>167</v>
      </c>
      <c r="M2958" s="869" t="s">
        <v>165</v>
      </c>
      <c r="N2958" s="52" t="str">
        <f>IF(AND('331-CT'!$E$7=TH!H2958,OR(L2958="331",M2958="331")),"331",IF(AND(OR(L2958="131",M2958="131"),H2958='131-CT'!$E$7),"131",""))</f>
        <v/>
      </c>
      <c r="O2958" s="86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99"/>
    </row>
    <row r="2959" spans="1:27" s="210" customFormat="1" ht="15.75" customHeight="1">
      <c r="A2959" s="203" t="str">
        <f>IF(B2959&lt;&gt;"",IF(AND(B2959&gt;=_TM1,B2959&lt;=_TM2,OR(TH!L2959="1111",TH!M2959="1111")),TH!D2959,""),"")</f>
        <v/>
      </c>
      <c r="B2959" s="36">
        <f t="shared" si="48"/>
        <v>5</v>
      </c>
      <c r="C2959" s="899">
        <f t="shared" si="49"/>
        <v>42144</v>
      </c>
      <c r="D2959" s="900" t="s">
        <v>2013</v>
      </c>
      <c r="E2959" s="900">
        <v>42144</v>
      </c>
      <c r="F2959" s="907" t="s">
        <v>663</v>
      </c>
      <c r="G2959" s="902" t="s">
        <v>664</v>
      </c>
      <c r="H2959" s="913" t="s">
        <v>2014</v>
      </c>
      <c r="I2959" s="253">
        <v>11</v>
      </c>
      <c r="J2959" s="253">
        <v>10144.137092612109</v>
      </c>
      <c r="K2959" s="904">
        <f t="shared" si="50"/>
        <v>111586</v>
      </c>
      <c r="L2959" s="869" t="s">
        <v>167</v>
      </c>
      <c r="M2959" s="869" t="s">
        <v>165</v>
      </c>
      <c r="N2959" s="52" t="str">
        <f>IF(AND('331-CT'!$E$7=TH!H2959,OR(L2959="331",M2959="331")),"331",IF(AND(OR(L2959="131",M2959="131"),H2959='131-CT'!$E$7),"131",""))</f>
        <v/>
      </c>
      <c r="O2959" s="86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99"/>
    </row>
    <row r="2960" spans="1:27" s="210" customFormat="1" ht="15.75" customHeight="1">
      <c r="A2960" s="203" t="str">
        <f>IF(B2960&lt;&gt;"",IF(AND(B2960&gt;=_TM1,B2960&lt;=_TM2,OR(TH!L2960="1111",TH!M2960="1111")),TH!D2960,""),"")</f>
        <v/>
      </c>
      <c r="B2960" s="36">
        <f t="shared" si="48"/>
        <v>5</v>
      </c>
      <c r="C2960" s="899">
        <f t="shared" si="49"/>
        <v>42144</v>
      </c>
      <c r="D2960" s="900" t="s">
        <v>2013</v>
      </c>
      <c r="E2960" s="900">
        <v>42144</v>
      </c>
      <c r="F2960" s="907" t="s">
        <v>602</v>
      </c>
      <c r="G2960" s="902" t="s">
        <v>664</v>
      </c>
      <c r="H2960" s="913" t="s">
        <v>2014</v>
      </c>
      <c r="I2960" s="253">
        <v>202</v>
      </c>
      <c r="J2960" s="253">
        <v>9832.0097974548135</v>
      </c>
      <c r="K2960" s="904">
        <f t="shared" si="50"/>
        <v>1986066</v>
      </c>
      <c r="L2960" s="869" t="s">
        <v>167</v>
      </c>
      <c r="M2960" s="869" t="s">
        <v>165</v>
      </c>
      <c r="N2960" s="52" t="str">
        <f>IF(AND('331-CT'!$E$7=TH!H2960,OR(L2960="331",M2960="331")),"331",IF(AND(OR(L2960="131",M2960="131"),H2960='131-CT'!$E$7),"131",""))</f>
        <v/>
      </c>
      <c r="O2960" s="86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99"/>
    </row>
    <row r="2961" spans="1:27" s="210" customFormat="1" ht="15.75" customHeight="1">
      <c r="A2961" s="203" t="str">
        <f>IF(B2961&lt;&gt;"",IF(AND(B2961&gt;=_TM1,B2961&lt;=_TM2,OR(TH!L2961="1111",TH!M2961="1111")),TH!D2961,""),"")</f>
        <v/>
      </c>
      <c r="B2961" s="36">
        <f t="shared" si="48"/>
        <v>5</v>
      </c>
      <c r="C2961" s="899">
        <f t="shared" si="49"/>
        <v>42146</v>
      </c>
      <c r="D2961" s="900" t="s">
        <v>2013</v>
      </c>
      <c r="E2961" s="900">
        <v>42146</v>
      </c>
      <c r="F2961" s="907" t="s">
        <v>665</v>
      </c>
      <c r="G2961" s="902" t="s">
        <v>666</v>
      </c>
      <c r="H2961" s="913" t="s">
        <v>2014</v>
      </c>
      <c r="I2961" s="253">
        <v>1235</v>
      </c>
      <c r="J2961" s="253">
        <v>10378.232563980082</v>
      </c>
      <c r="K2961" s="904">
        <f t="shared" si="50"/>
        <v>12817117</v>
      </c>
      <c r="L2961" s="869" t="s">
        <v>167</v>
      </c>
      <c r="M2961" s="869" t="s">
        <v>165</v>
      </c>
      <c r="N2961" s="52" t="str">
        <f>IF(AND('331-CT'!$E$7=TH!H2961,OR(L2961="331",M2961="331")),"331",IF(AND(OR(L2961="131",M2961="131"),H2961='131-CT'!$E$7),"131",""))</f>
        <v/>
      </c>
      <c r="O2961" s="86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99"/>
    </row>
    <row r="2962" spans="1:27" s="210" customFormat="1" ht="15.75" customHeight="1">
      <c r="A2962" s="203" t="str">
        <f>IF(B2962&lt;&gt;"",IF(AND(B2962&gt;=_TM1,B2962&lt;=_TM2,OR(TH!L2962="1111",TH!M2962="1111")),TH!D2962,""),"")</f>
        <v/>
      </c>
      <c r="B2962" s="36">
        <f t="shared" si="48"/>
        <v>5</v>
      </c>
      <c r="C2962" s="899">
        <f t="shared" si="49"/>
        <v>42146</v>
      </c>
      <c r="D2962" s="900" t="s">
        <v>2013</v>
      </c>
      <c r="E2962" s="900">
        <v>42146</v>
      </c>
      <c r="F2962" s="907" t="s">
        <v>667</v>
      </c>
      <c r="G2962" s="902" t="s">
        <v>666</v>
      </c>
      <c r="H2962" s="913" t="s">
        <v>2014</v>
      </c>
      <c r="I2962" s="253">
        <v>200</v>
      </c>
      <c r="J2962" s="253">
        <v>11626.741744609264</v>
      </c>
      <c r="K2962" s="904">
        <f t="shared" si="50"/>
        <v>2325348</v>
      </c>
      <c r="L2962" s="869" t="s">
        <v>167</v>
      </c>
      <c r="M2962" s="869" t="s">
        <v>165</v>
      </c>
      <c r="N2962" s="52" t="str">
        <f>IF(AND('331-CT'!$E$7=TH!H2962,OR(L2962="331",M2962="331")),"331",IF(AND(OR(L2962="131",M2962="131"),H2962='131-CT'!$E$7),"131",""))</f>
        <v/>
      </c>
      <c r="O2962" s="86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99"/>
    </row>
    <row r="2963" spans="1:27" s="210" customFormat="1" ht="15.75" customHeight="1">
      <c r="A2963" s="203" t="str">
        <f>IF(B2963&lt;&gt;"",IF(AND(B2963&gt;=_TM1,B2963&lt;=_TM2,OR(TH!L2963="1111",TH!M2963="1111")),TH!D2963,""),"")</f>
        <v/>
      </c>
      <c r="B2963" s="36">
        <f t="shared" si="48"/>
        <v>5</v>
      </c>
      <c r="C2963" s="899">
        <f t="shared" si="49"/>
        <v>42146</v>
      </c>
      <c r="D2963" s="900" t="s">
        <v>2013</v>
      </c>
      <c r="E2963" s="900">
        <v>42146</v>
      </c>
      <c r="F2963" s="907" t="s">
        <v>668</v>
      </c>
      <c r="G2963" s="902" t="s">
        <v>666</v>
      </c>
      <c r="H2963" s="913" t="s">
        <v>2014</v>
      </c>
      <c r="I2963" s="253">
        <v>65</v>
      </c>
      <c r="J2963" s="253">
        <v>17401.096705019234</v>
      </c>
      <c r="K2963" s="904">
        <f t="shared" si="50"/>
        <v>1131071</v>
      </c>
      <c r="L2963" s="869" t="s">
        <v>167</v>
      </c>
      <c r="M2963" s="869" t="s">
        <v>165</v>
      </c>
      <c r="N2963" s="52" t="str">
        <f>IF(AND('331-CT'!$E$7=TH!H2963,OR(L2963="331",M2963="331")),"331",IF(AND(OR(L2963="131",M2963="131"),H2963='131-CT'!$E$7),"131",""))</f>
        <v/>
      </c>
      <c r="O2963" s="86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99"/>
    </row>
    <row r="2964" spans="1:27" s="210" customFormat="1" ht="15.75" customHeight="1">
      <c r="A2964" s="203" t="str">
        <f>IF(B2964&lt;&gt;"",IF(AND(B2964&gt;=_TM1,B2964&lt;=_TM2,OR(TH!L2964="1111",TH!M2964="1111")),TH!D2964,""),"")</f>
        <v/>
      </c>
      <c r="B2964" s="36">
        <f t="shared" si="48"/>
        <v>5</v>
      </c>
      <c r="C2964" s="899">
        <f t="shared" si="49"/>
        <v>42146</v>
      </c>
      <c r="D2964" s="900" t="s">
        <v>2013</v>
      </c>
      <c r="E2964" s="900">
        <v>42146</v>
      </c>
      <c r="F2964" s="907" t="s">
        <v>669</v>
      </c>
      <c r="G2964" s="902" t="s">
        <v>666</v>
      </c>
      <c r="H2964" s="913" t="s">
        <v>2014</v>
      </c>
      <c r="I2964" s="253">
        <v>35</v>
      </c>
      <c r="J2964" s="253">
        <v>5930.4186079886176</v>
      </c>
      <c r="K2964" s="904">
        <f t="shared" si="50"/>
        <v>207565</v>
      </c>
      <c r="L2964" s="869" t="s">
        <v>167</v>
      </c>
      <c r="M2964" s="869" t="s">
        <v>165</v>
      </c>
      <c r="N2964" s="52" t="str">
        <f>IF(AND('331-CT'!$E$7=TH!H2964,OR(L2964="331",M2964="331")),"331",IF(AND(OR(L2964="131",M2964="131"),H2964='131-CT'!$E$7),"131",""))</f>
        <v/>
      </c>
      <c r="O2964" s="86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99"/>
    </row>
    <row r="2965" spans="1:27" s="210" customFormat="1" ht="15.75" customHeight="1">
      <c r="A2965" s="203" t="str">
        <f>IF(B2965&lt;&gt;"",IF(AND(B2965&gt;=_TM1,B2965&lt;=_TM2,OR(TH!L2965="1111",TH!M2965="1111")),TH!D2965,""),"")</f>
        <v/>
      </c>
      <c r="B2965" s="36">
        <f t="shared" si="48"/>
        <v>5</v>
      </c>
      <c r="C2965" s="899">
        <f t="shared" si="49"/>
        <v>42146</v>
      </c>
      <c r="D2965" s="900" t="s">
        <v>2013</v>
      </c>
      <c r="E2965" s="900">
        <v>42146</v>
      </c>
      <c r="F2965" s="907" t="s">
        <v>670</v>
      </c>
      <c r="G2965" s="902" t="s">
        <v>666</v>
      </c>
      <c r="H2965" s="913" t="s">
        <v>2014</v>
      </c>
      <c r="I2965" s="253">
        <v>73</v>
      </c>
      <c r="J2965" s="253">
        <v>4447.8139559914625</v>
      </c>
      <c r="K2965" s="904">
        <f t="shared" si="50"/>
        <v>324690</v>
      </c>
      <c r="L2965" s="869" t="s">
        <v>167</v>
      </c>
      <c r="M2965" s="869" t="s">
        <v>165</v>
      </c>
      <c r="N2965" s="52" t="str">
        <f>IF(AND('331-CT'!$E$7=TH!H2965,OR(L2965="331",M2965="331")),"331",IF(AND(OR(L2965="131",M2965="131"),H2965='131-CT'!$E$7),"131",""))</f>
        <v/>
      </c>
      <c r="O2965" s="86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99"/>
    </row>
    <row r="2966" spans="1:27" s="210" customFormat="1" ht="15.75" customHeight="1">
      <c r="A2966" s="203" t="str">
        <f>IF(B2966&lt;&gt;"",IF(AND(B2966&gt;=_TM1,B2966&lt;=_TM2,OR(TH!L2966="1111",TH!M2966="1111")),TH!D2966,""),"")</f>
        <v/>
      </c>
      <c r="B2966" s="36">
        <f t="shared" si="48"/>
        <v>5</v>
      </c>
      <c r="C2966" s="899">
        <f t="shared" si="49"/>
        <v>42146</v>
      </c>
      <c r="D2966" s="900" t="s">
        <v>2013</v>
      </c>
      <c r="E2966" s="900">
        <v>42146</v>
      </c>
      <c r="F2966" s="907" t="s">
        <v>671</v>
      </c>
      <c r="G2966" s="902" t="s">
        <v>666</v>
      </c>
      <c r="H2966" s="913" t="s">
        <v>2014</v>
      </c>
      <c r="I2966" s="253">
        <v>63</v>
      </c>
      <c r="J2966" s="253">
        <v>5696.3231366206455</v>
      </c>
      <c r="K2966" s="904">
        <f t="shared" si="50"/>
        <v>358868</v>
      </c>
      <c r="L2966" s="869" t="s">
        <v>167</v>
      </c>
      <c r="M2966" s="869" t="s">
        <v>165</v>
      </c>
      <c r="N2966" s="52" t="str">
        <f>IF(AND('331-CT'!$E$7=TH!H2966,OR(L2966="331",M2966="331")),"331",IF(AND(OR(L2966="131",M2966="131"),H2966='131-CT'!$E$7),"131",""))</f>
        <v/>
      </c>
      <c r="O2966" s="86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99"/>
    </row>
    <row r="2967" spans="1:27" s="210" customFormat="1" ht="15.75" customHeight="1">
      <c r="A2967" s="203" t="str">
        <f>IF(B2967&lt;&gt;"",IF(AND(B2967&gt;=_TM1,B2967&lt;=_TM2,OR(TH!L2967="1111",TH!M2967="1111")),TH!D2967,""),"")</f>
        <v/>
      </c>
      <c r="B2967" s="36">
        <f t="shared" si="48"/>
        <v>5</v>
      </c>
      <c r="C2967" s="899">
        <f t="shared" si="49"/>
        <v>42146</v>
      </c>
      <c r="D2967" s="900" t="s">
        <v>2013</v>
      </c>
      <c r="E2967" s="900">
        <v>42146</v>
      </c>
      <c r="F2967" s="907" t="s">
        <v>672</v>
      </c>
      <c r="G2967" s="902" t="s">
        <v>666</v>
      </c>
      <c r="H2967" s="913" t="s">
        <v>2014</v>
      </c>
      <c r="I2967" s="253">
        <v>70</v>
      </c>
      <c r="J2967" s="253">
        <v>11704.773568398588</v>
      </c>
      <c r="K2967" s="904">
        <f t="shared" si="50"/>
        <v>819334</v>
      </c>
      <c r="L2967" s="869" t="s">
        <v>167</v>
      </c>
      <c r="M2967" s="869" t="s">
        <v>165</v>
      </c>
      <c r="N2967" s="52" t="str">
        <f>IF(AND('331-CT'!$E$7=TH!H2967,OR(L2967="331",M2967="331")),"331",IF(AND(OR(L2967="131",M2967="131"),H2967='131-CT'!$E$7),"131",""))</f>
        <v/>
      </c>
      <c r="O2967" s="86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99"/>
    </row>
    <row r="2968" spans="1:27" s="210" customFormat="1" ht="15.75" customHeight="1">
      <c r="A2968" s="203" t="str">
        <f>IF(B2968&lt;&gt;"",IF(AND(B2968&gt;=_TM1,B2968&lt;=_TM2,OR(TH!L2968="1111",TH!M2968="1111")),TH!D2968,""),"")</f>
        <v/>
      </c>
      <c r="B2968" s="36">
        <f t="shared" si="48"/>
        <v>5</v>
      </c>
      <c r="C2968" s="899">
        <f t="shared" si="49"/>
        <v>42146</v>
      </c>
      <c r="D2968" s="900" t="s">
        <v>2013</v>
      </c>
      <c r="E2968" s="900">
        <v>42146</v>
      </c>
      <c r="F2968" s="907" t="s">
        <v>673</v>
      </c>
      <c r="G2968" s="902" t="s">
        <v>666</v>
      </c>
      <c r="H2968" s="913" t="s">
        <v>2014</v>
      </c>
      <c r="I2968" s="253">
        <v>50</v>
      </c>
      <c r="J2968" s="253">
        <v>11392.646273241291</v>
      </c>
      <c r="K2968" s="904">
        <f t="shared" si="50"/>
        <v>569632</v>
      </c>
      <c r="L2968" s="869" t="s">
        <v>167</v>
      </c>
      <c r="M2968" s="869" t="s">
        <v>165</v>
      </c>
      <c r="N2968" s="52" t="str">
        <f>IF(AND('331-CT'!$E$7=TH!H2968,OR(L2968="331",M2968="331")),"331",IF(AND(OR(L2968="131",M2968="131"),H2968='131-CT'!$E$7),"131",""))</f>
        <v/>
      </c>
      <c r="O2968" s="86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99"/>
    </row>
    <row r="2969" spans="1:27" s="210" customFormat="1" ht="15.75" customHeight="1">
      <c r="A2969" s="203" t="str">
        <f>IF(B2969&lt;&gt;"",IF(AND(B2969&gt;=_TM1,B2969&lt;=_TM2,OR(TH!L2969="1111",TH!M2969="1111")),TH!D2969,""),"")</f>
        <v/>
      </c>
      <c r="B2969" s="36">
        <f t="shared" si="48"/>
        <v>5</v>
      </c>
      <c r="C2969" s="899">
        <f t="shared" si="49"/>
        <v>42146</v>
      </c>
      <c r="D2969" s="900" t="s">
        <v>2013</v>
      </c>
      <c r="E2969" s="900">
        <v>42146</v>
      </c>
      <c r="F2969" s="907" t="s">
        <v>674</v>
      </c>
      <c r="G2969" s="902" t="s">
        <v>666</v>
      </c>
      <c r="H2969" s="913" t="s">
        <v>2014</v>
      </c>
      <c r="I2969" s="253">
        <v>100</v>
      </c>
      <c r="J2969" s="253">
        <v>7100.8959648284763</v>
      </c>
      <c r="K2969" s="904">
        <f t="shared" si="50"/>
        <v>710090</v>
      </c>
      <c r="L2969" s="869" t="s">
        <v>167</v>
      </c>
      <c r="M2969" s="869" t="s">
        <v>165</v>
      </c>
      <c r="N2969" s="52" t="str">
        <f>IF(AND('331-CT'!$E$7=TH!H2969,OR(L2969="331",M2969="331")),"331",IF(AND(OR(L2969="131",M2969="131"),H2969='131-CT'!$E$7),"131",""))</f>
        <v/>
      </c>
      <c r="O2969" s="86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99"/>
    </row>
    <row r="2970" spans="1:27" s="210" customFormat="1" ht="15.75" customHeight="1">
      <c r="A2970" s="203" t="str">
        <f>IF(B2970&lt;&gt;"",IF(AND(B2970&gt;=_TM1,B2970&lt;=_TM2,OR(TH!L2970="1111",TH!M2970="1111")),TH!D2970,""),"")</f>
        <v/>
      </c>
      <c r="B2970" s="36">
        <f t="shared" si="48"/>
        <v>5</v>
      </c>
      <c r="C2970" s="899">
        <f t="shared" si="49"/>
        <v>42146</v>
      </c>
      <c r="D2970" s="900" t="s">
        <v>2013</v>
      </c>
      <c r="E2970" s="900">
        <v>42146</v>
      </c>
      <c r="F2970" s="907" t="s">
        <v>675</v>
      </c>
      <c r="G2970" s="902" t="s">
        <v>666</v>
      </c>
      <c r="H2970" s="913" t="s">
        <v>2014</v>
      </c>
      <c r="I2970" s="253">
        <v>25</v>
      </c>
      <c r="J2970" s="253">
        <v>16620.778467125994</v>
      </c>
      <c r="K2970" s="904">
        <f t="shared" si="50"/>
        <v>415519</v>
      </c>
      <c r="L2970" s="869" t="s">
        <v>167</v>
      </c>
      <c r="M2970" s="869" t="s">
        <v>165</v>
      </c>
      <c r="N2970" s="52" t="str">
        <f>IF(AND('331-CT'!$E$7=TH!H2970,OR(L2970="331",M2970="331")),"331",IF(AND(OR(L2970="131",M2970="131"),H2970='131-CT'!$E$7),"131",""))</f>
        <v/>
      </c>
      <c r="O2970" s="86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99"/>
    </row>
    <row r="2971" spans="1:27" s="210" customFormat="1" ht="15.75" customHeight="1">
      <c r="A2971" s="203" t="str">
        <f>IF(B2971&lt;&gt;"",IF(AND(B2971&gt;=_TM1,B2971&lt;=_TM2,OR(TH!L2971="1111",TH!M2971="1111")),TH!D2971,""),"")</f>
        <v/>
      </c>
      <c r="B2971" s="36">
        <f t="shared" si="48"/>
        <v>5</v>
      </c>
      <c r="C2971" s="899">
        <f t="shared" si="49"/>
        <v>42146</v>
      </c>
      <c r="D2971" s="900" t="s">
        <v>2013</v>
      </c>
      <c r="E2971" s="900">
        <v>42146</v>
      </c>
      <c r="F2971" s="907" t="s">
        <v>398</v>
      </c>
      <c r="G2971" s="902" t="s">
        <v>677</v>
      </c>
      <c r="H2971" s="913" t="s">
        <v>2014</v>
      </c>
      <c r="I2971" s="253">
        <v>1220</v>
      </c>
      <c r="J2971" s="253">
        <v>6398.6095507245609</v>
      </c>
      <c r="K2971" s="904">
        <f t="shared" si="50"/>
        <v>7806304</v>
      </c>
      <c r="L2971" s="869" t="s">
        <v>167</v>
      </c>
      <c r="M2971" s="869" t="s">
        <v>165</v>
      </c>
      <c r="N2971" s="52" t="str">
        <f>IF(AND('331-CT'!$E$7=TH!H2971,OR(L2971="331",M2971="331")),"331",IF(AND(OR(L2971="131",M2971="131"),H2971='131-CT'!$E$7),"131",""))</f>
        <v/>
      </c>
      <c r="O2971" s="86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99"/>
    </row>
    <row r="2972" spans="1:27" s="210" customFormat="1" ht="15.75" customHeight="1">
      <c r="A2972" s="203" t="str">
        <f>IF(B2972&lt;&gt;"",IF(AND(B2972&gt;=_TM1,B2972&lt;=_TM2,OR(TH!L2972="1111",TH!M2972="1111")),TH!D2972,""),"")</f>
        <v/>
      </c>
      <c r="B2972" s="36">
        <f t="shared" si="45"/>
        <v>5</v>
      </c>
      <c r="C2972" s="899">
        <f t="shared" si="47"/>
        <v>42146</v>
      </c>
      <c r="D2972" s="900" t="s">
        <v>2013</v>
      </c>
      <c r="E2972" s="900">
        <v>42146</v>
      </c>
      <c r="F2972" s="907" t="s">
        <v>446</v>
      </c>
      <c r="G2972" s="902" t="s">
        <v>677</v>
      </c>
      <c r="H2972" s="913" t="s">
        <v>2014</v>
      </c>
      <c r="I2972" s="253">
        <v>611</v>
      </c>
      <c r="J2972" s="253">
        <v>7100.8959648284763</v>
      </c>
      <c r="K2972" s="904">
        <f t="shared" si="46"/>
        <v>4338647</v>
      </c>
      <c r="L2972" s="869" t="s">
        <v>167</v>
      </c>
      <c r="M2972" s="869" t="s">
        <v>165</v>
      </c>
      <c r="N2972" s="52" t="str">
        <f>IF(AND('331-CT'!$E$7=TH!H2972,OR(L2972="331",M2972="331")),"331",IF(AND(OR(L2972="131",M2972="131"),H2972='131-CT'!$E$7),"131",""))</f>
        <v/>
      </c>
      <c r="O2972" s="86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99"/>
    </row>
    <row r="2973" spans="1:27" s="210" customFormat="1" ht="15.75" customHeight="1">
      <c r="A2973" s="203" t="str">
        <f>IF(B2973&lt;&gt;"",IF(AND(B2973&gt;=_TM1,B2973&lt;=_TM2,OR(TH!L2973="1111",TH!M2973="1111")),TH!D2973,""),"")</f>
        <v/>
      </c>
      <c r="B2973" s="36">
        <f t="shared" si="45"/>
        <v>5</v>
      </c>
      <c r="C2973" s="899">
        <f t="shared" si="47"/>
        <v>42146</v>
      </c>
      <c r="D2973" s="900" t="s">
        <v>2013</v>
      </c>
      <c r="E2973" s="900">
        <v>42146</v>
      </c>
      <c r="F2973" s="907" t="s">
        <v>401</v>
      </c>
      <c r="G2973" s="902" t="s">
        <v>677</v>
      </c>
      <c r="H2973" s="913" t="s">
        <v>2014</v>
      </c>
      <c r="I2973" s="253">
        <v>302</v>
      </c>
      <c r="J2973" s="253">
        <v>7569.0869075644196</v>
      </c>
      <c r="K2973" s="904">
        <f t="shared" si="46"/>
        <v>2285864</v>
      </c>
      <c r="L2973" s="869" t="s">
        <v>167</v>
      </c>
      <c r="M2973" s="869" t="s">
        <v>165</v>
      </c>
      <c r="N2973" s="52" t="str">
        <f>IF(AND('331-CT'!$E$7=TH!H2973,OR(L2973="331",M2973="331")),"331",IF(AND(OR(L2973="131",M2973="131"),H2973='131-CT'!$E$7),"131",""))</f>
        <v/>
      </c>
      <c r="O2973" s="86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99"/>
    </row>
    <row r="2974" spans="1:27" s="210" customFormat="1" ht="15.75" customHeight="1">
      <c r="A2974" s="203" t="str">
        <f>IF(B2974&lt;&gt;"",IF(AND(B2974&gt;=_TM1,B2974&lt;=_TM2,OR(TH!L2974="1111",TH!M2974="1111")),TH!D2974,""),"")</f>
        <v/>
      </c>
      <c r="B2974" s="36">
        <f t="shared" si="45"/>
        <v>5</v>
      </c>
      <c r="C2974" s="899">
        <f t="shared" si="47"/>
        <v>42146</v>
      </c>
      <c r="D2974" s="900" t="s">
        <v>2013</v>
      </c>
      <c r="E2974" s="900">
        <v>42146</v>
      </c>
      <c r="F2974" s="907" t="s">
        <v>501</v>
      </c>
      <c r="G2974" s="902" t="s">
        <v>677</v>
      </c>
      <c r="H2974" s="913" t="s">
        <v>2014</v>
      </c>
      <c r="I2974" s="253">
        <v>303</v>
      </c>
      <c r="J2974" s="253">
        <v>12329.028158713179</v>
      </c>
      <c r="K2974" s="904">
        <f t="shared" si="46"/>
        <v>3735696</v>
      </c>
      <c r="L2974" s="869" t="s">
        <v>167</v>
      </c>
      <c r="M2974" s="869" t="s">
        <v>165</v>
      </c>
      <c r="N2974" s="52" t="str">
        <f>IF(AND('331-CT'!$E$7=TH!H2974,OR(L2974="331",M2974="331")),"331",IF(AND(OR(L2974="131",M2974="131"),H2974='131-CT'!$E$7),"131",""))</f>
        <v/>
      </c>
      <c r="O2974" s="86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99"/>
    </row>
    <row r="2975" spans="1:27" s="210" customFormat="1" ht="15.75" customHeight="1">
      <c r="A2975" s="203" t="str">
        <f>IF(B2975&lt;&gt;"",IF(AND(B2975&gt;=_TM1,B2975&lt;=_TM2,OR(TH!L2975="1111",TH!M2975="1111")),TH!D2975,""),"")</f>
        <v/>
      </c>
      <c r="B2975" s="36">
        <f t="shared" si="45"/>
        <v>5</v>
      </c>
      <c r="C2975" s="899">
        <f t="shared" si="47"/>
        <v>42147</v>
      </c>
      <c r="D2975" s="900" t="s">
        <v>2013</v>
      </c>
      <c r="E2975" s="900">
        <v>42147</v>
      </c>
      <c r="F2975" s="907" t="s">
        <v>678</v>
      </c>
      <c r="G2975" s="902" t="s">
        <v>679</v>
      </c>
      <c r="H2975" s="913" t="s">
        <v>2014</v>
      </c>
      <c r="I2975" s="253">
        <v>109</v>
      </c>
      <c r="J2975" s="253">
        <v>3901.5911894661958</v>
      </c>
      <c r="K2975" s="904">
        <f t="shared" si="46"/>
        <v>425273</v>
      </c>
      <c r="L2975" s="869" t="s">
        <v>167</v>
      </c>
      <c r="M2975" s="869" t="s">
        <v>165</v>
      </c>
      <c r="N2975" s="52" t="str">
        <f>IF(AND('331-CT'!$E$7=TH!H2975,OR(L2975="331",M2975="331")),"331",IF(AND(OR(L2975="131",M2975="131"),H2975='131-CT'!$E$7),"131",""))</f>
        <v/>
      </c>
      <c r="O2975" s="86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99"/>
    </row>
    <row r="2976" spans="1:27" s="210" customFormat="1" ht="15.75" customHeight="1">
      <c r="A2976" s="203" t="str">
        <f>IF(B2976&lt;&gt;"",IF(AND(B2976&gt;=_TM1,B2976&lt;=_TM2,OR(TH!L2976="1111",TH!M2976="1111")),TH!D2976,""),"")</f>
        <v/>
      </c>
      <c r="B2976" s="36">
        <f t="shared" si="45"/>
        <v>5</v>
      </c>
      <c r="C2976" s="899">
        <f t="shared" si="47"/>
        <v>42147</v>
      </c>
      <c r="D2976" s="900" t="s">
        <v>2013</v>
      </c>
      <c r="E2976" s="900">
        <v>42147</v>
      </c>
      <c r="F2976" s="907" t="s">
        <v>439</v>
      </c>
      <c r="G2976" s="902" t="s">
        <v>679</v>
      </c>
      <c r="H2976" s="913" t="s">
        <v>2014</v>
      </c>
      <c r="I2976" s="253">
        <v>219</v>
      </c>
      <c r="J2976" s="253">
        <v>4994.0367225167311</v>
      </c>
      <c r="K2976" s="904">
        <f t="shared" si="46"/>
        <v>1093694</v>
      </c>
      <c r="L2976" s="869" t="s">
        <v>167</v>
      </c>
      <c r="M2976" s="869" t="s">
        <v>165</v>
      </c>
      <c r="N2976" s="52" t="str">
        <f>IF(AND('331-CT'!$E$7=TH!H2976,OR(L2976="331",M2976="331")),"331",IF(AND(OR(L2976="131",M2976="131"),H2976='131-CT'!$E$7),"131",""))</f>
        <v/>
      </c>
      <c r="O2976" s="86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99"/>
    </row>
    <row r="2977" spans="1:27" s="210" customFormat="1" ht="15.75" customHeight="1">
      <c r="A2977" s="203" t="str">
        <f>IF(B2977&lt;&gt;"",IF(AND(B2977&gt;=_TM1,B2977&lt;=_TM2,OR(TH!L2977="1111",TH!M2977="1111")),TH!D2977,""),"")</f>
        <v/>
      </c>
      <c r="B2977" s="36">
        <f t="shared" si="45"/>
        <v>5</v>
      </c>
      <c r="C2977" s="899">
        <f t="shared" si="47"/>
        <v>42147</v>
      </c>
      <c r="D2977" s="900" t="s">
        <v>2013</v>
      </c>
      <c r="E2977" s="900">
        <v>42147</v>
      </c>
      <c r="F2977" s="907" t="s">
        <v>441</v>
      </c>
      <c r="G2977" s="902" t="s">
        <v>679</v>
      </c>
      <c r="H2977" s="913" t="s">
        <v>2014</v>
      </c>
      <c r="I2977" s="253">
        <v>494</v>
      </c>
      <c r="J2977" s="253">
        <v>3979.6230132555197</v>
      </c>
      <c r="K2977" s="904">
        <f t="shared" si="46"/>
        <v>1965934</v>
      </c>
      <c r="L2977" s="869" t="s">
        <v>167</v>
      </c>
      <c r="M2977" s="869" t="s">
        <v>165</v>
      </c>
      <c r="N2977" s="52" t="str">
        <f>IF(AND('331-CT'!$E$7=TH!H2977,OR(L2977="331",M2977="331")),"331",IF(AND(OR(L2977="131",M2977="131"),H2977='131-CT'!$E$7),"131",""))</f>
        <v/>
      </c>
      <c r="O2977" s="86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99"/>
    </row>
    <row r="2978" spans="1:27" s="210" customFormat="1" ht="15.75" customHeight="1">
      <c r="A2978" s="203" t="str">
        <f>IF(B2978&lt;&gt;"",IF(AND(B2978&gt;=_TM1,B2978&lt;=_TM2,OR(TH!L2978="1111",TH!M2978="1111")),TH!D2978,""),"")</f>
        <v/>
      </c>
      <c r="B2978" s="36">
        <f t="shared" si="45"/>
        <v>5</v>
      </c>
      <c r="C2978" s="899">
        <f t="shared" si="47"/>
        <v>42147</v>
      </c>
      <c r="D2978" s="900" t="s">
        <v>2013</v>
      </c>
      <c r="E2978" s="900">
        <v>42147</v>
      </c>
      <c r="F2978" s="907" t="s">
        <v>680</v>
      </c>
      <c r="G2978" s="902" t="s">
        <v>679</v>
      </c>
      <c r="H2978" s="913" t="s">
        <v>2014</v>
      </c>
      <c r="I2978" s="253">
        <v>303</v>
      </c>
      <c r="J2978" s="253">
        <v>4759.941251148759</v>
      </c>
      <c r="K2978" s="904">
        <f t="shared" si="46"/>
        <v>1442262</v>
      </c>
      <c r="L2978" s="869" t="s">
        <v>167</v>
      </c>
      <c r="M2978" s="869" t="s">
        <v>165</v>
      </c>
      <c r="N2978" s="52" t="str">
        <f>IF(AND('331-CT'!$E$7=TH!H2978,OR(L2978="331",M2978="331")),"331",IF(AND(OR(L2978="131",M2978="131"),H2978='131-CT'!$E$7),"131",""))</f>
        <v/>
      </c>
      <c r="O2978" s="86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99"/>
    </row>
    <row r="2979" spans="1:27" s="210" customFormat="1" ht="15.75" customHeight="1">
      <c r="A2979" s="203" t="str">
        <f>IF(B2979&lt;&gt;"",IF(AND(B2979&gt;=_TM1,B2979&lt;=_TM2,OR(TH!L2979="1111",TH!M2979="1111")),TH!D2979,""),"")</f>
        <v/>
      </c>
      <c r="B2979" s="36">
        <f t="shared" si="45"/>
        <v>5</v>
      </c>
      <c r="C2979" s="899">
        <f t="shared" si="47"/>
        <v>42147</v>
      </c>
      <c r="D2979" s="900" t="s">
        <v>2013</v>
      </c>
      <c r="E2979" s="900">
        <v>42147</v>
      </c>
      <c r="F2979" s="907" t="s">
        <v>436</v>
      </c>
      <c r="G2979" s="902" t="s">
        <v>679</v>
      </c>
      <c r="H2979" s="913" t="s">
        <v>2014</v>
      </c>
      <c r="I2979" s="253">
        <v>156</v>
      </c>
      <c r="J2979" s="253">
        <v>6866.8004934605051</v>
      </c>
      <c r="K2979" s="904">
        <f t="shared" si="46"/>
        <v>1071221</v>
      </c>
      <c r="L2979" s="869" t="s">
        <v>167</v>
      </c>
      <c r="M2979" s="869" t="s">
        <v>165</v>
      </c>
      <c r="N2979" s="52" t="str">
        <f>IF(AND('331-CT'!$E$7=TH!H2979,OR(L2979="331",M2979="331")),"331",IF(AND(OR(L2979="131",M2979="131"),H2979='131-CT'!$E$7),"131",""))</f>
        <v/>
      </c>
      <c r="O2979" s="86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799"/>
    </row>
    <row r="2980" spans="1:27" s="210" customFormat="1" ht="15.75" customHeight="1">
      <c r="A2980" s="203" t="str">
        <f>IF(B2980&lt;&gt;"",IF(AND(B2980&gt;=_TM1,B2980&lt;=_TM2,OR(TH!L2980="1111",TH!M2980="1111")),TH!D2980,""),"")</f>
        <v/>
      </c>
      <c r="B2980" s="36">
        <f t="shared" si="45"/>
        <v>5</v>
      </c>
      <c r="C2980" s="899">
        <f t="shared" si="47"/>
        <v>42147</v>
      </c>
      <c r="D2980" s="900" t="s">
        <v>2013</v>
      </c>
      <c r="E2980" s="900">
        <v>42147</v>
      </c>
      <c r="F2980" s="907" t="s">
        <v>413</v>
      </c>
      <c r="G2980" s="902" t="s">
        <v>681</v>
      </c>
      <c r="H2980" s="913" t="s">
        <v>2014</v>
      </c>
      <c r="I2980" s="253">
        <v>512</v>
      </c>
      <c r="J2980" s="253">
        <v>7413.0232599857718</v>
      </c>
      <c r="K2980" s="904">
        <f t="shared" si="46"/>
        <v>3795468</v>
      </c>
      <c r="L2980" s="869" t="s">
        <v>167</v>
      </c>
      <c r="M2980" s="869" t="s">
        <v>165</v>
      </c>
      <c r="N2980" s="52" t="str">
        <f>IF(AND('331-CT'!$E$7=TH!H2980,OR(L2980="331",M2980="331")),"331",IF(AND(OR(L2980="131",M2980="131"),H2980='131-CT'!$E$7),"131",""))</f>
        <v/>
      </c>
      <c r="O2980" s="86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99"/>
    </row>
    <row r="2981" spans="1:27" s="210" customFormat="1" ht="15.75" customHeight="1">
      <c r="A2981" s="203" t="str">
        <f>IF(B2981&lt;&gt;"",IF(AND(B2981&gt;=_TM1,B2981&lt;=_TM2,OR(TH!L2981="1111",TH!M2981="1111")),TH!D2981,""),"")</f>
        <v/>
      </c>
      <c r="B2981" s="36">
        <f t="shared" si="45"/>
        <v>5</v>
      </c>
      <c r="C2981" s="899">
        <f t="shared" si="47"/>
        <v>42149</v>
      </c>
      <c r="D2981" s="900" t="s">
        <v>2013</v>
      </c>
      <c r="E2981" s="900">
        <v>42149</v>
      </c>
      <c r="F2981" s="907" t="s">
        <v>682</v>
      </c>
      <c r="G2981" s="902" t="s">
        <v>683</v>
      </c>
      <c r="H2981" s="913" t="s">
        <v>2014</v>
      </c>
      <c r="I2981" s="253">
        <v>371</v>
      </c>
      <c r="J2981" s="253">
        <v>4135.6866608341679</v>
      </c>
      <c r="K2981" s="904">
        <f t="shared" si="46"/>
        <v>1534340</v>
      </c>
      <c r="L2981" s="869" t="s">
        <v>167</v>
      </c>
      <c r="M2981" s="869" t="s">
        <v>165</v>
      </c>
      <c r="N2981" s="52" t="str">
        <f>IF(AND('331-CT'!$E$7=TH!H2981,OR(L2981="331",M2981="331")),"331",IF(AND(OR(L2981="131",M2981="131"),H2981='131-CT'!$E$7),"131",""))</f>
        <v/>
      </c>
      <c r="O2981" s="86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99"/>
    </row>
    <row r="2982" spans="1:27" s="210" customFormat="1" ht="15.75" customHeight="1">
      <c r="A2982" s="203" t="str">
        <f>IF(B2982&lt;&gt;"",IF(AND(B2982&gt;=_TM1,B2982&lt;=_TM2,OR(TH!L2982="1111",TH!M2982="1111")),TH!D2982,""),"")</f>
        <v/>
      </c>
      <c r="B2982" s="36">
        <f t="shared" si="45"/>
        <v>5</v>
      </c>
      <c r="C2982" s="899">
        <f t="shared" si="47"/>
        <v>42150</v>
      </c>
      <c r="D2982" s="900" t="s">
        <v>2013</v>
      </c>
      <c r="E2982" s="900">
        <v>42150</v>
      </c>
      <c r="F2982" s="907" t="s">
        <v>516</v>
      </c>
      <c r="G2982" s="902" t="s">
        <v>684</v>
      </c>
      <c r="H2982" s="913" t="s">
        <v>2014</v>
      </c>
      <c r="I2982" s="253">
        <v>750</v>
      </c>
      <c r="J2982" s="253">
        <v>7491.0550837750961</v>
      </c>
      <c r="K2982" s="904">
        <f t="shared" si="46"/>
        <v>5618291</v>
      </c>
      <c r="L2982" s="869" t="s">
        <v>167</v>
      </c>
      <c r="M2982" s="869" t="s">
        <v>165</v>
      </c>
      <c r="N2982" s="52" t="str">
        <f>IF(AND('331-CT'!$E$7=TH!H2982,OR(L2982="331",M2982="331")),"331",IF(AND(OR(L2982="131",M2982="131"),H2982='131-CT'!$E$7),"131",""))</f>
        <v/>
      </c>
      <c r="O2982" s="86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99"/>
    </row>
    <row r="2983" spans="1:27" s="210" customFormat="1" ht="15.75" customHeight="1">
      <c r="A2983" s="203" t="str">
        <f>IF(B2983&lt;&gt;"",IF(AND(B2983&gt;=_TM1,B2983&lt;=_TM2,OR(TH!L2983="1111",TH!M2983="1111")),TH!D2983,""),"")</f>
        <v/>
      </c>
      <c r="B2983" s="36">
        <f t="shared" si="45"/>
        <v>5</v>
      </c>
      <c r="C2983" s="899">
        <f t="shared" si="47"/>
        <v>42151</v>
      </c>
      <c r="D2983" s="900" t="s">
        <v>2013</v>
      </c>
      <c r="E2983" s="900">
        <v>42151</v>
      </c>
      <c r="F2983" s="907" t="s">
        <v>685</v>
      </c>
      <c r="G2983" s="902" t="s">
        <v>686</v>
      </c>
      <c r="H2983" s="913" t="s">
        <v>2014</v>
      </c>
      <c r="I2983" s="253">
        <v>300</v>
      </c>
      <c r="J2983" s="253">
        <v>11392.646273241291</v>
      </c>
      <c r="K2983" s="904">
        <f t="shared" si="46"/>
        <v>3417794</v>
      </c>
      <c r="L2983" s="869" t="s">
        <v>167</v>
      </c>
      <c r="M2983" s="869" t="s">
        <v>165</v>
      </c>
      <c r="N2983" s="52" t="str">
        <f>IF(AND('331-CT'!$E$7=TH!H2983,OR(L2983="331",M2983="331")),"331",IF(AND(OR(L2983="131",M2983="131"),H2983='131-CT'!$E$7),"131",""))</f>
        <v/>
      </c>
      <c r="O2983" s="86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99"/>
    </row>
    <row r="2984" spans="1:27" s="210" customFormat="1" ht="15.75" customHeight="1">
      <c r="A2984" s="203" t="str">
        <f>IF(B2984&lt;&gt;"",IF(AND(B2984&gt;=_TM1,B2984&lt;=_TM2,OR(TH!L2984="1111",TH!M2984="1111")),TH!D2984,""),"")</f>
        <v/>
      </c>
      <c r="B2984" s="36">
        <f t="shared" si="45"/>
        <v>5</v>
      </c>
      <c r="C2984" s="899">
        <f t="shared" si="47"/>
        <v>42151</v>
      </c>
      <c r="D2984" s="900" t="s">
        <v>2013</v>
      </c>
      <c r="E2984" s="900">
        <v>42151</v>
      </c>
      <c r="F2984" s="907" t="s">
        <v>687</v>
      </c>
      <c r="G2984" s="902" t="s">
        <v>686</v>
      </c>
      <c r="H2984" s="913" t="s">
        <v>2014</v>
      </c>
      <c r="I2984" s="253">
        <v>440</v>
      </c>
      <c r="J2984" s="253">
        <v>10222.168916401433</v>
      </c>
      <c r="K2984" s="904">
        <f t="shared" si="46"/>
        <v>4497754</v>
      </c>
      <c r="L2984" s="869" t="s">
        <v>167</v>
      </c>
      <c r="M2984" s="869" t="s">
        <v>165</v>
      </c>
      <c r="N2984" s="52" t="str">
        <f>IF(AND('331-CT'!$E$7=TH!H2984,OR(L2984="331",M2984="331")),"331",IF(AND(OR(L2984="131",M2984="131"),H2984='131-CT'!$E$7),"131",""))</f>
        <v/>
      </c>
      <c r="O2984" s="86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99"/>
    </row>
    <row r="2985" spans="1:27" s="210" customFormat="1" ht="15.75" customHeight="1">
      <c r="A2985" s="203" t="str">
        <f>IF(B2985&lt;&gt;"",IF(AND(B2985&gt;=_TM1,B2985&lt;=_TM2,OR(TH!L2985="1111",TH!M2985="1111")),TH!D2985,""),"")</f>
        <v/>
      </c>
      <c r="B2985" s="36">
        <f t="shared" si="45"/>
        <v>5</v>
      </c>
      <c r="C2985" s="899">
        <f t="shared" si="47"/>
        <v>42151</v>
      </c>
      <c r="D2985" s="900" t="s">
        <v>2013</v>
      </c>
      <c r="E2985" s="900">
        <v>42151</v>
      </c>
      <c r="F2985" s="907" t="s">
        <v>688</v>
      </c>
      <c r="G2985" s="902" t="s">
        <v>686</v>
      </c>
      <c r="H2985" s="913" t="s">
        <v>2014</v>
      </c>
      <c r="I2985" s="253">
        <v>200</v>
      </c>
      <c r="J2985" s="253">
        <v>11470.678097030615</v>
      </c>
      <c r="K2985" s="904">
        <f t="shared" si="46"/>
        <v>2294136</v>
      </c>
      <c r="L2985" s="869" t="s">
        <v>167</v>
      </c>
      <c r="M2985" s="869" t="s">
        <v>165</v>
      </c>
      <c r="N2985" s="52" t="str">
        <f>IF(AND('331-CT'!$E$7=TH!H2985,OR(L2985="331",M2985="331")),"331",IF(AND(OR(L2985="131",M2985="131"),H2985='131-CT'!$E$7),"131",""))</f>
        <v/>
      </c>
      <c r="O2985" s="86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99"/>
    </row>
    <row r="2986" spans="1:27" s="210" customFormat="1" ht="15.75" customHeight="1">
      <c r="A2986" s="203" t="str">
        <f>IF(B2986&lt;&gt;"",IF(AND(B2986&gt;=_TM1,B2986&lt;=_TM2,OR(TH!L2986="1111",TH!M2986="1111")),TH!D2986,""),"")</f>
        <v/>
      </c>
      <c r="B2986" s="36">
        <f t="shared" si="45"/>
        <v>5</v>
      </c>
      <c r="C2986" s="899">
        <f t="shared" si="47"/>
        <v>42151</v>
      </c>
      <c r="D2986" s="900" t="s">
        <v>2013</v>
      </c>
      <c r="E2986" s="900">
        <v>42151</v>
      </c>
      <c r="F2986" s="907" t="s">
        <v>689</v>
      </c>
      <c r="G2986" s="902" t="s">
        <v>686</v>
      </c>
      <c r="H2986" s="913" t="s">
        <v>2014</v>
      </c>
      <c r="I2986" s="253">
        <v>25</v>
      </c>
      <c r="J2986" s="253">
        <v>10144.137092612109</v>
      </c>
      <c r="K2986" s="904">
        <f t="shared" si="46"/>
        <v>253603</v>
      </c>
      <c r="L2986" s="869" t="s">
        <v>167</v>
      </c>
      <c r="M2986" s="869" t="s">
        <v>165</v>
      </c>
      <c r="N2986" s="52" t="str">
        <f>IF(AND('331-CT'!$E$7=TH!H2986,OR(L2986="331",M2986="331")),"331",IF(AND(OR(L2986="131",M2986="131"),H2986='131-CT'!$E$7),"131",""))</f>
        <v/>
      </c>
      <c r="O2986" s="86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99"/>
    </row>
    <row r="2987" spans="1:27" s="210" customFormat="1" ht="15.75" customHeight="1">
      <c r="A2987" s="203" t="str">
        <f>IF(B2987&lt;&gt;"",IF(AND(B2987&gt;=_TM1,B2987&lt;=_TM2,OR(TH!L2987="1111",TH!M2987="1111")),TH!D2987,""),"")</f>
        <v/>
      </c>
      <c r="B2987" s="36">
        <f t="shared" si="45"/>
        <v>5</v>
      </c>
      <c r="C2987" s="899">
        <f t="shared" si="47"/>
        <v>42151</v>
      </c>
      <c r="D2987" s="900" t="s">
        <v>2013</v>
      </c>
      <c r="E2987" s="900">
        <v>42151</v>
      </c>
      <c r="F2987" s="907" t="s">
        <v>690</v>
      </c>
      <c r="G2987" s="902" t="s">
        <v>686</v>
      </c>
      <c r="H2987" s="913" t="s">
        <v>2014</v>
      </c>
      <c r="I2987" s="253">
        <v>25</v>
      </c>
      <c r="J2987" s="253">
        <v>15606.364757864783</v>
      </c>
      <c r="K2987" s="904">
        <f t="shared" si="46"/>
        <v>390159</v>
      </c>
      <c r="L2987" s="869" t="s">
        <v>167</v>
      </c>
      <c r="M2987" s="869" t="s">
        <v>165</v>
      </c>
      <c r="N2987" s="52" t="str">
        <f>IF(AND('331-CT'!$E$7=TH!H2987,OR(L2987="331",M2987="331")),"331",IF(AND(OR(L2987="131",M2987="131"),H2987='131-CT'!$E$7),"131",""))</f>
        <v/>
      </c>
      <c r="O2987" s="86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99"/>
    </row>
    <row r="2988" spans="1:27" s="210" customFormat="1" ht="15.75" customHeight="1">
      <c r="A2988" s="203" t="str">
        <f>IF(B2988&lt;&gt;"",IF(AND(B2988&gt;=_TM1,B2988&lt;=_TM2,OR(TH!L2988="1111",TH!M2988="1111")),TH!D2988,""),"")</f>
        <v/>
      </c>
      <c r="B2988" s="36">
        <f t="shared" si="45"/>
        <v>5</v>
      </c>
      <c r="C2988" s="899">
        <f t="shared" si="47"/>
        <v>42151</v>
      </c>
      <c r="D2988" s="900" t="s">
        <v>2013</v>
      </c>
      <c r="E2988" s="900">
        <v>42151</v>
      </c>
      <c r="F2988" s="907" t="s">
        <v>691</v>
      </c>
      <c r="G2988" s="902" t="s">
        <v>686</v>
      </c>
      <c r="H2988" s="913" t="s">
        <v>2014</v>
      </c>
      <c r="I2988" s="253">
        <v>20</v>
      </c>
      <c r="J2988" s="253">
        <v>14826.046519971544</v>
      </c>
      <c r="K2988" s="904">
        <f t="shared" si="46"/>
        <v>296521</v>
      </c>
      <c r="L2988" s="869" t="s">
        <v>167</v>
      </c>
      <c r="M2988" s="869" t="s">
        <v>165</v>
      </c>
      <c r="N2988" s="52" t="str">
        <f>IF(AND('331-CT'!$E$7=TH!H2988,OR(L2988="331",M2988="331")),"331",IF(AND(OR(L2988="131",M2988="131"),H2988='131-CT'!$E$7),"131",""))</f>
        <v/>
      </c>
      <c r="O2988" s="86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99"/>
    </row>
    <row r="2989" spans="1:27" s="210" customFormat="1" ht="15.75" customHeight="1">
      <c r="A2989" s="203" t="str">
        <f>IF(B2989&lt;&gt;"",IF(AND(B2989&gt;=_TM1,B2989&lt;=_TM2,OR(TH!L2989="1111",TH!M2989="1111")),TH!D2989,""),"")</f>
        <v/>
      </c>
      <c r="B2989" s="36">
        <f t="shared" si="45"/>
        <v>5</v>
      </c>
      <c r="C2989" s="899">
        <f t="shared" si="47"/>
        <v>42151</v>
      </c>
      <c r="D2989" s="900" t="s">
        <v>2013</v>
      </c>
      <c r="E2989" s="900">
        <v>42151</v>
      </c>
      <c r="F2989" s="907" t="s">
        <v>692</v>
      </c>
      <c r="G2989" s="902" t="s">
        <v>686</v>
      </c>
      <c r="H2989" s="913" t="s">
        <v>2014</v>
      </c>
      <c r="I2989" s="253">
        <v>50</v>
      </c>
      <c r="J2989" s="253">
        <v>13967.696458288981</v>
      </c>
      <c r="K2989" s="904">
        <f t="shared" si="46"/>
        <v>698385</v>
      </c>
      <c r="L2989" s="869" t="s">
        <v>167</v>
      </c>
      <c r="M2989" s="869" t="s">
        <v>165</v>
      </c>
      <c r="N2989" s="52" t="str">
        <f>IF(AND('331-CT'!$E$7=TH!H2989,OR(L2989="331",M2989="331")),"331",IF(AND(OR(L2989="131",M2989="131"),H2989='131-CT'!$E$7),"131",""))</f>
        <v/>
      </c>
      <c r="O2989" s="86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99"/>
    </row>
    <row r="2990" spans="1:27" s="210" customFormat="1" ht="15.75" customHeight="1">
      <c r="A2990" s="203" t="str">
        <f>IF(B2990&lt;&gt;"",IF(AND(B2990&gt;=_TM1,B2990&lt;=_TM2,OR(TH!L2990="1111",TH!M2990="1111")),TH!D2990,""),"")</f>
        <v/>
      </c>
      <c r="B2990" s="36">
        <f t="shared" si="45"/>
        <v>5</v>
      </c>
      <c r="C2990" s="899">
        <f t="shared" si="47"/>
        <v>42151</v>
      </c>
      <c r="D2990" s="900" t="s">
        <v>2013</v>
      </c>
      <c r="E2990" s="900">
        <v>42151</v>
      </c>
      <c r="F2990" s="907" t="s">
        <v>693</v>
      </c>
      <c r="G2990" s="902" t="s">
        <v>686</v>
      </c>
      <c r="H2990" s="913" t="s">
        <v>2014</v>
      </c>
      <c r="I2990" s="253">
        <v>25</v>
      </c>
      <c r="J2990" s="253">
        <v>11782.805392187911</v>
      </c>
      <c r="K2990" s="904">
        <f t="shared" si="46"/>
        <v>294570</v>
      </c>
      <c r="L2990" s="869" t="s">
        <v>167</v>
      </c>
      <c r="M2990" s="869" t="s">
        <v>165</v>
      </c>
      <c r="N2990" s="52" t="str">
        <f>IF(AND('331-CT'!$E$7=TH!H2990,OR(L2990="331",M2990="331")),"331",IF(AND(OR(L2990="131",M2990="131"),H2990='131-CT'!$E$7),"131",""))</f>
        <v/>
      </c>
      <c r="O2990" s="86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99"/>
    </row>
    <row r="2991" spans="1:27" s="210" customFormat="1" ht="15.75" customHeight="1">
      <c r="A2991" s="203" t="str">
        <f>IF(B2991&lt;&gt;"",IF(AND(B2991&gt;=_TM1,B2991&lt;=_TM2,OR(TH!L2991="1111",TH!M2991="1111")),TH!D2991,""),"")</f>
        <v/>
      </c>
      <c r="B2991" s="36">
        <f t="shared" si="45"/>
        <v>5</v>
      </c>
      <c r="C2991" s="899">
        <f t="shared" si="47"/>
        <v>42151</v>
      </c>
      <c r="D2991" s="900" t="s">
        <v>2013</v>
      </c>
      <c r="E2991" s="900">
        <v>42151</v>
      </c>
      <c r="F2991" s="907" t="s">
        <v>694</v>
      </c>
      <c r="G2991" s="902" t="s">
        <v>686</v>
      </c>
      <c r="H2991" s="913" t="s">
        <v>2014</v>
      </c>
      <c r="I2991" s="253">
        <v>25</v>
      </c>
      <c r="J2991" s="253">
        <v>11470.678097030615</v>
      </c>
      <c r="K2991" s="904">
        <f t="shared" si="46"/>
        <v>286767</v>
      </c>
      <c r="L2991" s="869" t="s">
        <v>167</v>
      </c>
      <c r="M2991" s="869" t="s">
        <v>165</v>
      </c>
      <c r="N2991" s="52" t="str">
        <f>IF(AND('331-CT'!$E$7=TH!H2991,OR(L2991="331",M2991="331")),"331",IF(AND(OR(L2991="131",M2991="131"),H2991='131-CT'!$E$7),"131",""))</f>
        <v/>
      </c>
      <c r="O2991" s="86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99"/>
    </row>
    <row r="2992" spans="1:27" s="210" customFormat="1" ht="15.75" customHeight="1">
      <c r="A2992" s="203" t="str">
        <f>IF(B2992&lt;&gt;"",IF(AND(B2992&gt;=_TM1,B2992&lt;=_TM2,OR(TH!L2992="1111",TH!M2992="1111")),TH!D2992,""),"")</f>
        <v/>
      </c>
      <c r="B2992" s="36">
        <f t="shared" si="45"/>
        <v>5</v>
      </c>
      <c r="C2992" s="899">
        <f t="shared" si="47"/>
        <v>42151</v>
      </c>
      <c r="D2992" s="900" t="s">
        <v>2013</v>
      </c>
      <c r="E2992" s="900">
        <v>42151</v>
      </c>
      <c r="F2992" s="907" t="s">
        <v>695</v>
      </c>
      <c r="G2992" s="902" t="s">
        <v>686</v>
      </c>
      <c r="H2992" s="913" t="s">
        <v>2014</v>
      </c>
      <c r="I2992" s="253">
        <v>40</v>
      </c>
      <c r="J2992" s="253">
        <v>13733.60098692101</v>
      </c>
      <c r="K2992" s="904">
        <f t="shared" si="46"/>
        <v>549344</v>
      </c>
      <c r="L2992" s="869" t="s">
        <v>167</v>
      </c>
      <c r="M2992" s="869" t="s">
        <v>165</v>
      </c>
      <c r="N2992" s="52" t="str">
        <f>IF(AND('331-CT'!$E$7=TH!H2992,OR(L2992="331",M2992="331")),"331",IF(AND(OR(L2992="131",M2992="131"),H2992='131-CT'!$E$7),"131",""))</f>
        <v/>
      </c>
      <c r="O2992" s="86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99"/>
    </row>
    <row r="2993" spans="1:27" s="210" customFormat="1" ht="15.75" customHeight="1">
      <c r="A2993" s="203" t="str">
        <f>IF(B2993&lt;&gt;"",IF(AND(B2993&gt;=_TM1,B2993&lt;=_TM2,OR(TH!L2993="1111",TH!M2993="1111")),TH!D2993,""),"")</f>
        <v/>
      </c>
      <c r="B2993" s="36">
        <f t="shared" si="45"/>
        <v>5</v>
      </c>
      <c r="C2993" s="899">
        <f t="shared" si="47"/>
        <v>42151</v>
      </c>
      <c r="D2993" s="900" t="s">
        <v>2013</v>
      </c>
      <c r="E2993" s="900">
        <v>42151</v>
      </c>
      <c r="F2993" s="907" t="s">
        <v>696</v>
      </c>
      <c r="G2993" s="902" t="s">
        <v>697</v>
      </c>
      <c r="H2993" s="913" t="s">
        <v>2014</v>
      </c>
      <c r="I2993" s="253">
        <v>1112</v>
      </c>
      <c r="J2993" s="253">
        <v>13343.44186797439</v>
      </c>
      <c r="K2993" s="904">
        <f t="shared" si="46"/>
        <v>14837907</v>
      </c>
      <c r="L2993" s="869" t="s">
        <v>167</v>
      </c>
      <c r="M2993" s="869" t="s">
        <v>165</v>
      </c>
      <c r="N2993" s="52" t="str">
        <f>IF(AND('331-CT'!$E$7=TH!H2993,OR(L2993="331",M2993="331")),"331",IF(AND(OR(L2993="131",M2993="131"),H2993='131-CT'!$E$7),"131",""))</f>
        <v/>
      </c>
      <c r="O2993" s="86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99"/>
    </row>
    <row r="2994" spans="1:27" s="210" customFormat="1" ht="15.75" customHeight="1">
      <c r="A2994" s="203" t="str">
        <f>IF(B2994&lt;&gt;"",IF(AND(B2994&gt;=_TM1,B2994&lt;=_TM2,OR(TH!L2994="1111",TH!M2994="1111")),TH!D2994,""),"")</f>
        <v/>
      </c>
      <c r="B2994" s="36">
        <f t="shared" si="45"/>
        <v>5</v>
      </c>
      <c r="C2994" s="899">
        <f t="shared" si="47"/>
        <v>42151</v>
      </c>
      <c r="D2994" s="900" t="s">
        <v>2013</v>
      </c>
      <c r="E2994" s="900">
        <v>42151</v>
      </c>
      <c r="F2994" s="907" t="s">
        <v>698</v>
      </c>
      <c r="G2994" s="902" t="s">
        <v>699</v>
      </c>
      <c r="H2994" s="913" t="s">
        <v>2014</v>
      </c>
      <c r="I2994" s="253">
        <v>331</v>
      </c>
      <c r="J2994" s="253">
        <v>8193.3414978790115</v>
      </c>
      <c r="K2994" s="904">
        <f t="shared" si="46"/>
        <v>2711996</v>
      </c>
      <c r="L2994" s="869" t="s">
        <v>167</v>
      </c>
      <c r="M2994" s="869" t="s">
        <v>165</v>
      </c>
      <c r="N2994" s="52" t="str">
        <f>IF(AND('331-CT'!$E$7=TH!H2994,OR(L2994="331",M2994="331")),"331",IF(AND(OR(L2994="131",M2994="131"),H2994='131-CT'!$E$7),"131",""))</f>
        <v/>
      </c>
      <c r="O2994" s="86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99"/>
    </row>
    <row r="2995" spans="1:27" s="210" customFormat="1" ht="15.75" customHeight="1">
      <c r="A2995" s="203" t="str">
        <f>IF(B2995&lt;&gt;"",IF(AND(B2995&gt;=_TM1,B2995&lt;=_TM2,OR(TH!L2995="1111",TH!M2995="1111")),TH!D2995,""),"")</f>
        <v/>
      </c>
      <c r="B2995" s="36">
        <f t="shared" si="45"/>
        <v>5</v>
      </c>
      <c r="C2995" s="899">
        <f t="shared" si="47"/>
        <v>42151</v>
      </c>
      <c r="D2995" s="900" t="s">
        <v>2013</v>
      </c>
      <c r="E2995" s="900">
        <v>42151</v>
      </c>
      <c r="F2995" s="907" t="s">
        <v>700</v>
      </c>
      <c r="G2995" s="902" t="s">
        <v>699</v>
      </c>
      <c r="H2995" s="913" t="s">
        <v>2014</v>
      </c>
      <c r="I2995" s="253">
        <v>308</v>
      </c>
      <c r="J2995" s="253">
        <v>7491.0550837750961</v>
      </c>
      <c r="K2995" s="904">
        <f t="shared" si="46"/>
        <v>2307245</v>
      </c>
      <c r="L2995" s="869" t="s">
        <v>167</v>
      </c>
      <c r="M2995" s="869" t="s">
        <v>165</v>
      </c>
      <c r="N2995" s="52" t="str">
        <f>IF(AND('331-CT'!$E$7=TH!H2995,OR(L2995="331",M2995="331")),"331",IF(AND(OR(L2995="131",M2995="131"),H2995='131-CT'!$E$7),"131",""))</f>
        <v/>
      </c>
      <c r="O2995" s="86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99"/>
    </row>
    <row r="2996" spans="1:27" s="210" customFormat="1" ht="15.75" customHeight="1">
      <c r="A2996" s="203" t="str">
        <f>IF(B2996&lt;&gt;"",IF(AND(B2996&gt;=_TM1,B2996&lt;=_TM2,OR(TH!L2996="1111",TH!M2996="1111")),TH!D2996,""),"")</f>
        <v/>
      </c>
      <c r="B2996" s="36">
        <f t="shared" si="45"/>
        <v>5</v>
      </c>
      <c r="C2996" s="899">
        <f t="shared" si="47"/>
        <v>42151</v>
      </c>
      <c r="D2996" s="900" t="s">
        <v>2013</v>
      </c>
      <c r="E2996" s="900">
        <v>42151</v>
      </c>
      <c r="F2996" s="907" t="s">
        <v>701</v>
      </c>
      <c r="G2996" s="902" t="s">
        <v>699</v>
      </c>
      <c r="H2996" s="913" t="s">
        <v>2014</v>
      </c>
      <c r="I2996" s="253">
        <v>312</v>
      </c>
      <c r="J2996" s="253">
        <v>7334.9914361964475</v>
      </c>
      <c r="K2996" s="904">
        <f t="shared" si="46"/>
        <v>2288517</v>
      </c>
      <c r="L2996" s="869" t="s">
        <v>167</v>
      </c>
      <c r="M2996" s="869" t="s">
        <v>165</v>
      </c>
      <c r="N2996" s="52" t="str">
        <f>IF(AND('331-CT'!$E$7=TH!H2996,OR(L2996="331",M2996="331")),"331",IF(AND(OR(L2996="131",M2996="131"),H2996='131-CT'!$E$7),"131",""))</f>
        <v/>
      </c>
      <c r="O2996" s="86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99"/>
    </row>
    <row r="2997" spans="1:27" s="210" customFormat="1" ht="15.75" customHeight="1">
      <c r="A2997" s="203" t="str">
        <f>IF(B2997&lt;&gt;"",IF(AND(B2997&gt;=_TM1,B2997&lt;=_TM2,OR(TH!L2997="1111",TH!M2997="1111")),TH!D2997,""),"")</f>
        <v/>
      </c>
      <c r="B2997" s="36">
        <f t="shared" si="45"/>
        <v>5</v>
      </c>
      <c r="C2997" s="899">
        <f t="shared" si="47"/>
        <v>42151</v>
      </c>
      <c r="D2997" s="900" t="s">
        <v>2013</v>
      </c>
      <c r="E2997" s="900">
        <v>42151</v>
      </c>
      <c r="F2997" s="907" t="s">
        <v>702</v>
      </c>
      <c r="G2997" s="902" t="s">
        <v>699</v>
      </c>
      <c r="H2997" s="913" t="s">
        <v>2014</v>
      </c>
      <c r="I2997" s="253">
        <v>313</v>
      </c>
      <c r="J2997" s="253">
        <v>10300.200740190758</v>
      </c>
      <c r="K2997" s="904">
        <f t="shared" si="46"/>
        <v>3223963</v>
      </c>
      <c r="L2997" s="869" t="s">
        <v>167</v>
      </c>
      <c r="M2997" s="869" t="s">
        <v>165</v>
      </c>
      <c r="N2997" s="52" t="str">
        <f>IF(AND('331-CT'!$E$7=TH!H2997,OR(L2997="331",M2997="331")),"331",IF(AND(OR(L2997="131",M2997="131"),H2997='131-CT'!$E$7),"131",""))</f>
        <v/>
      </c>
      <c r="O2997" s="86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99"/>
    </row>
    <row r="2998" spans="1:27" s="210" customFormat="1" ht="15.75" customHeight="1">
      <c r="A2998" s="203" t="str">
        <f>IF(B2998&lt;&gt;"",IF(AND(B2998&gt;=_TM1,B2998&lt;=_TM2,OR(TH!L2998="1111",TH!M2998="1111")),TH!D2998,""),"")</f>
        <v/>
      </c>
      <c r="B2998" s="36">
        <f t="shared" si="45"/>
        <v>5</v>
      </c>
      <c r="C2998" s="899">
        <f t="shared" si="47"/>
        <v>42151</v>
      </c>
      <c r="D2998" s="900" t="s">
        <v>2013</v>
      </c>
      <c r="E2998" s="900">
        <v>42151</v>
      </c>
      <c r="F2998" s="907" t="s">
        <v>703</v>
      </c>
      <c r="G2998" s="902" t="s">
        <v>699</v>
      </c>
      <c r="H2998" s="913" t="s">
        <v>2014</v>
      </c>
      <c r="I2998" s="253">
        <v>507</v>
      </c>
      <c r="J2998" s="253">
        <v>5930.4186079886176</v>
      </c>
      <c r="K2998" s="904">
        <f t="shared" si="46"/>
        <v>3006722</v>
      </c>
      <c r="L2998" s="869" t="s">
        <v>167</v>
      </c>
      <c r="M2998" s="869" t="s">
        <v>165</v>
      </c>
      <c r="N2998" s="52" t="str">
        <f>IF(AND('331-CT'!$E$7=TH!H2998,OR(L2998="331",M2998="331")),"331",IF(AND(OR(L2998="131",M2998="131"),H2998='131-CT'!$E$7),"131",""))</f>
        <v/>
      </c>
      <c r="O2998" s="86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99"/>
    </row>
    <row r="2999" spans="1:27" s="210" customFormat="1" ht="15.75" customHeight="1">
      <c r="A2999" s="203" t="str">
        <f>IF(B2999&lt;&gt;"",IF(AND(B2999&gt;=_TM1,B2999&lt;=_TM2,OR(TH!L2999="1111",TH!M2999="1111")),TH!D2999,""),"")</f>
        <v/>
      </c>
      <c r="B2999" s="36">
        <f t="shared" si="45"/>
        <v>5</v>
      </c>
      <c r="C2999" s="899">
        <f t="shared" si="47"/>
        <v>42151</v>
      </c>
      <c r="D2999" s="900" t="s">
        <v>2013</v>
      </c>
      <c r="E2999" s="900">
        <v>42151</v>
      </c>
      <c r="F2999" s="907" t="s">
        <v>451</v>
      </c>
      <c r="G2999" s="902" t="s">
        <v>704</v>
      </c>
      <c r="H2999" s="913" t="s">
        <v>2014</v>
      </c>
      <c r="I2999" s="253">
        <v>338</v>
      </c>
      <c r="J2999" s="253">
        <v>10456.264387769406</v>
      </c>
      <c r="K2999" s="904">
        <f t="shared" si="46"/>
        <v>3534217</v>
      </c>
      <c r="L2999" s="869" t="s">
        <v>167</v>
      </c>
      <c r="M2999" s="869" t="s">
        <v>165</v>
      </c>
      <c r="N2999" s="52" t="str">
        <f>IF(AND('331-CT'!$E$7=TH!H2999,OR(L2999="331",M2999="331")),"331",IF(AND(OR(L2999="131",M2999="131"),H2999='131-CT'!$E$7),"131",""))</f>
        <v/>
      </c>
      <c r="O2999" s="86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99"/>
    </row>
    <row r="3000" spans="1:27" s="210" customFormat="1" ht="15.75" customHeight="1">
      <c r="A3000" s="203" t="str">
        <f>IF(B3000&lt;&gt;"",IF(AND(B3000&gt;=_TM1,B3000&lt;=_TM2,OR(TH!L3000="1111",TH!M3000="1111")),TH!D3000,""),"")</f>
        <v/>
      </c>
      <c r="B3000" s="36">
        <f t="shared" si="45"/>
        <v>5</v>
      </c>
      <c r="C3000" s="899">
        <f t="shared" si="47"/>
        <v>42151</v>
      </c>
      <c r="D3000" s="900" t="s">
        <v>2013</v>
      </c>
      <c r="E3000" s="900">
        <v>42151</v>
      </c>
      <c r="F3000" s="907" t="s">
        <v>595</v>
      </c>
      <c r="G3000" s="902" t="s">
        <v>704</v>
      </c>
      <c r="H3000" s="913" t="s">
        <v>2014</v>
      </c>
      <c r="I3000" s="253">
        <v>240</v>
      </c>
      <c r="J3000" s="253">
        <v>7256.959612407125</v>
      </c>
      <c r="K3000" s="904">
        <f t="shared" si="46"/>
        <v>1741670</v>
      </c>
      <c r="L3000" s="869" t="s">
        <v>167</v>
      </c>
      <c r="M3000" s="869" t="s">
        <v>165</v>
      </c>
      <c r="N3000" s="52" t="str">
        <f>IF(AND('331-CT'!$E$7=TH!H3000,OR(L3000="331",M3000="331")),"331",IF(AND(OR(L3000="131",M3000="131"),H3000='131-CT'!$E$7),"131",""))</f>
        <v/>
      </c>
      <c r="O3000" s="86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99"/>
    </row>
    <row r="3001" spans="1:27" s="210" customFormat="1" ht="15.75" customHeight="1">
      <c r="A3001" s="203" t="str">
        <f>IF(B3001&lt;&gt;"",IF(AND(B3001&gt;=_TM1,B3001&lt;=_TM2,OR(TH!L3001="1111",TH!M3001="1111")),TH!D3001,""),"")</f>
        <v/>
      </c>
      <c r="B3001" s="36">
        <f t="shared" si="45"/>
        <v>5</v>
      </c>
      <c r="C3001" s="899">
        <f t="shared" si="47"/>
        <v>42151</v>
      </c>
      <c r="D3001" s="900" t="s">
        <v>2013</v>
      </c>
      <c r="E3001" s="900">
        <v>42151</v>
      </c>
      <c r="F3001" s="907" t="s">
        <v>539</v>
      </c>
      <c r="G3001" s="902" t="s">
        <v>704</v>
      </c>
      <c r="H3001" s="913" t="s">
        <v>2014</v>
      </c>
      <c r="I3001" s="253">
        <v>213</v>
      </c>
      <c r="J3001" s="253">
        <v>7334.9914361964475</v>
      </c>
      <c r="K3001" s="904">
        <f t="shared" si="46"/>
        <v>1562353</v>
      </c>
      <c r="L3001" s="869" t="s">
        <v>167</v>
      </c>
      <c r="M3001" s="869" t="s">
        <v>165</v>
      </c>
      <c r="N3001" s="52" t="str">
        <f>IF(AND('331-CT'!$E$7=TH!H3001,OR(L3001="331",M3001="331")),"331",IF(AND(OR(L3001="131",M3001="131"),H3001='131-CT'!$E$7),"131",""))</f>
        <v/>
      </c>
      <c r="O3001" s="86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99"/>
    </row>
    <row r="3002" spans="1:27" s="210" customFormat="1" ht="15.75" customHeight="1">
      <c r="A3002" s="203" t="str">
        <f>IF(B3002&lt;&gt;"",IF(AND(B3002&gt;=_TM1,B3002&lt;=_TM2,OR(TH!L3002="1111",TH!M3002="1111")),TH!D3002,""),"")</f>
        <v/>
      </c>
      <c r="B3002" s="36">
        <f t="shared" si="45"/>
        <v>5</v>
      </c>
      <c r="C3002" s="899">
        <f t="shared" si="47"/>
        <v>42151</v>
      </c>
      <c r="D3002" s="900" t="s">
        <v>2013</v>
      </c>
      <c r="E3002" s="900">
        <v>42151</v>
      </c>
      <c r="F3002" s="907" t="s">
        <v>538</v>
      </c>
      <c r="G3002" s="902" t="s">
        <v>704</v>
      </c>
      <c r="H3002" s="913" t="s">
        <v>2014</v>
      </c>
      <c r="I3002" s="253">
        <v>300</v>
      </c>
      <c r="J3002" s="253">
        <v>6944.8323172498285</v>
      </c>
      <c r="K3002" s="904">
        <f t="shared" si="46"/>
        <v>2083450</v>
      </c>
      <c r="L3002" s="869" t="s">
        <v>167</v>
      </c>
      <c r="M3002" s="869" t="s">
        <v>165</v>
      </c>
      <c r="N3002" s="52" t="str">
        <f>IF(AND('331-CT'!$E$7=TH!H3002,OR(L3002="331",M3002="331")),"331",IF(AND(OR(L3002="131",M3002="131"),H3002='131-CT'!$E$7),"131",""))</f>
        <v/>
      </c>
      <c r="O3002" s="86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99"/>
    </row>
    <row r="3003" spans="1:27" s="210" customFormat="1" ht="15.75" customHeight="1">
      <c r="A3003" s="203" t="str">
        <f>IF(B3003&lt;&gt;"",IF(AND(B3003&gt;=_TM1,B3003&lt;=_TM2,OR(TH!L3003="1111",TH!M3003="1111")),TH!D3003,""),"")</f>
        <v/>
      </c>
      <c r="B3003" s="36">
        <f t="shared" si="45"/>
        <v>5</v>
      </c>
      <c r="C3003" s="899">
        <f t="shared" si="47"/>
        <v>42151</v>
      </c>
      <c r="D3003" s="900" t="s">
        <v>2013</v>
      </c>
      <c r="E3003" s="900">
        <v>42151</v>
      </c>
      <c r="F3003" s="907" t="s">
        <v>705</v>
      </c>
      <c r="G3003" s="902" t="s">
        <v>706</v>
      </c>
      <c r="H3003" s="913" t="s">
        <v>2014</v>
      </c>
      <c r="I3003" s="253">
        <v>204</v>
      </c>
      <c r="J3003" s="253">
        <v>8115.3096740896872</v>
      </c>
      <c r="K3003" s="904">
        <f t="shared" si="46"/>
        <v>1655523</v>
      </c>
      <c r="L3003" s="869" t="s">
        <v>167</v>
      </c>
      <c r="M3003" s="869" t="s">
        <v>165</v>
      </c>
      <c r="N3003" s="52" t="str">
        <f>IF(AND('331-CT'!$E$7=TH!H3003,OR(L3003="331",M3003="331")),"331",IF(AND(OR(L3003="131",M3003="131"),H3003='131-CT'!$E$7),"131",""))</f>
        <v/>
      </c>
      <c r="O3003" s="86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99"/>
    </row>
    <row r="3004" spans="1:27" s="210" customFormat="1" ht="15.75" customHeight="1">
      <c r="A3004" s="203" t="str">
        <f>IF(B3004&lt;&gt;"",IF(AND(B3004&gt;=_TM1,B3004&lt;=_TM2,OR(TH!L3004="1111",TH!M3004="1111")),TH!D3004,""),"")</f>
        <v/>
      </c>
      <c r="B3004" s="36">
        <f t="shared" si="45"/>
        <v>5</v>
      </c>
      <c r="C3004" s="899">
        <f t="shared" si="47"/>
        <v>42151</v>
      </c>
      <c r="D3004" s="900" t="s">
        <v>2013</v>
      </c>
      <c r="E3004" s="900">
        <v>42151</v>
      </c>
      <c r="F3004" s="907" t="s">
        <v>708</v>
      </c>
      <c r="G3004" s="902" t="s">
        <v>706</v>
      </c>
      <c r="H3004" s="913" t="s">
        <v>2014</v>
      </c>
      <c r="I3004" s="253">
        <v>200</v>
      </c>
      <c r="J3004" s="253">
        <v>8037.2778503003638</v>
      </c>
      <c r="K3004" s="904">
        <f t="shared" si="46"/>
        <v>1607456</v>
      </c>
      <c r="L3004" s="869" t="s">
        <v>167</v>
      </c>
      <c r="M3004" s="869" t="s">
        <v>165</v>
      </c>
      <c r="N3004" s="52" t="str">
        <f>IF(AND('331-CT'!$E$7=TH!H3004,OR(L3004="331",M3004="331")),"331",IF(AND(OR(L3004="131",M3004="131"),H3004='131-CT'!$E$7),"131",""))</f>
        <v/>
      </c>
      <c r="O3004" s="86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99"/>
    </row>
    <row r="3005" spans="1:27" s="210" customFormat="1" ht="15.75" customHeight="1">
      <c r="A3005" s="203" t="str">
        <f>IF(B3005&lt;&gt;"",IF(AND(B3005&gt;=_TM1,B3005&lt;=_TM2,OR(TH!L3005="1111",TH!M3005="1111")),TH!D3005,""),"")</f>
        <v/>
      </c>
      <c r="B3005" s="36">
        <f t="shared" si="45"/>
        <v>5</v>
      </c>
      <c r="C3005" s="899">
        <f t="shared" si="47"/>
        <v>42152</v>
      </c>
      <c r="D3005" s="900" t="s">
        <v>2013</v>
      </c>
      <c r="E3005" s="900">
        <v>42152</v>
      </c>
      <c r="F3005" s="907" t="s">
        <v>709</v>
      </c>
      <c r="G3005" s="902" t="s">
        <v>710</v>
      </c>
      <c r="H3005" s="913" t="s">
        <v>2014</v>
      </c>
      <c r="I3005" s="253">
        <v>200</v>
      </c>
      <c r="J3005" s="253">
        <v>7647.1187313537439</v>
      </c>
      <c r="K3005" s="904">
        <f t="shared" si="46"/>
        <v>1529424</v>
      </c>
      <c r="L3005" s="869" t="s">
        <v>167</v>
      </c>
      <c r="M3005" s="869" t="s">
        <v>165</v>
      </c>
      <c r="N3005" s="52" t="str">
        <f>IF(AND('331-CT'!$E$7=TH!H3005,OR(L3005="331",M3005="331")),"331",IF(AND(OR(L3005="131",M3005="131"),H3005='131-CT'!$E$7),"131",""))</f>
        <v/>
      </c>
      <c r="O3005" s="86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99"/>
    </row>
    <row r="3006" spans="1:27" s="210" customFormat="1" ht="15.75" customHeight="1">
      <c r="A3006" s="203" t="str">
        <f>IF(B3006&lt;&gt;"",IF(AND(B3006&gt;=_TM1,B3006&lt;=_TM2,OR(TH!L3006="1111",TH!M3006="1111")),TH!D3006,""),"")</f>
        <v/>
      </c>
      <c r="B3006" s="36">
        <f t="shared" si="45"/>
        <v>5</v>
      </c>
      <c r="C3006" s="899">
        <f t="shared" si="47"/>
        <v>42152</v>
      </c>
      <c r="D3006" s="900" t="s">
        <v>2013</v>
      </c>
      <c r="E3006" s="900">
        <v>42152</v>
      </c>
      <c r="F3006" s="907" t="s">
        <v>711</v>
      </c>
      <c r="G3006" s="902" t="s">
        <v>712</v>
      </c>
      <c r="H3006" s="913" t="s">
        <v>2014</v>
      </c>
      <c r="I3006" s="253">
        <v>250</v>
      </c>
      <c r="J3006" s="253">
        <v>10924.455330505347</v>
      </c>
      <c r="K3006" s="904">
        <f t="shared" si="46"/>
        <v>2731114</v>
      </c>
      <c r="L3006" s="869" t="s">
        <v>167</v>
      </c>
      <c r="M3006" s="869" t="s">
        <v>165</v>
      </c>
      <c r="N3006" s="52" t="str">
        <f>IF(AND('331-CT'!$E$7=TH!H3006,OR(L3006="331",M3006="331")),"331",IF(AND(OR(L3006="131",M3006="131"),H3006='131-CT'!$E$7),"131",""))</f>
        <v/>
      </c>
      <c r="O3006" s="86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99"/>
    </row>
    <row r="3007" spans="1:27" s="210" customFormat="1" ht="15.75" customHeight="1">
      <c r="A3007" s="203" t="str">
        <f>IF(B3007&lt;&gt;"",IF(AND(B3007&gt;=_TM1,B3007&lt;=_TM2,OR(TH!L3007="1111",TH!M3007="1111")),TH!D3007,""),"")</f>
        <v/>
      </c>
      <c r="B3007" s="36">
        <f t="shared" si="45"/>
        <v>5</v>
      </c>
      <c r="C3007" s="899">
        <f t="shared" si="47"/>
        <v>42154</v>
      </c>
      <c r="D3007" s="900" t="s">
        <v>2013</v>
      </c>
      <c r="E3007" s="900">
        <v>42154</v>
      </c>
      <c r="F3007" s="907" t="s">
        <v>713</v>
      </c>
      <c r="G3007" s="902" t="s">
        <v>714</v>
      </c>
      <c r="H3007" s="913" t="s">
        <v>2014</v>
      </c>
      <c r="I3007" s="253">
        <v>595</v>
      </c>
      <c r="J3007" s="253">
        <v>8349.4051454576602</v>
      </c>
      <c r="K3007" s="904">
        <f t="shared" si="46"/>
        <v>4967896</v>
      </c>
      <c r="L3007" s="869" t="s">
        <v>167</v>
      </c>
      <c r="M3007" s="869" t="s">
        <v>165</v>
      </c>
      <c r="N3007" s="52" t="str">
        <f>IF(AND('331-CT'!$E$7=TH!H3007,OR(L3007="331",M3007="331")),"331",IF(AND(OR(L3007="131",M3007="131"),H3007='131-CT'!$E$7),"131",""))</f>
        <v/>
      </c>
      <c r="O3007" s="86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99"/>
    </row>
    <row r="3008" spans="1:27" s="210" customFormat="1" ht="15.75" customHeight="1">
      <c r="A3008" s="203" t="str">
        <f>IF(B3008&lt;&gt;"",IF(AND(B3008&gt;=_TM1,B3008&lt;=_TM2,OR(TH!L3008="1111",TH!M3008="1111")),TH!D3008,""),"")</f>
        <v/>
      </c>
      <c r="B3008" s="36">
        <f t="shared" si="45"/>
        <v>5</v>
      </c>
      <c r="C3008" s="899">
        <f t="shared" si="47"/>
        <v>42154</v>
      </c>
      <c r="D3008" s="900" t="s">
        <v>2013</v>
      </c>
      <c r="E3008" s="900">
        <v>42154</v>
      </c>
      <c r="F3008" s="907" t="s">
        <v>716</v>
      </c>
      <c r="G3008" s="902" t="s">
        <v>714</v>
      </c>
      <c r="H3008" s="913" t="s">
        <v>2014</v>
      </c>
      <c r="I3008" s="253">
        <v>297</v>
      </c>
      <c r="J3008" s="253">
        <v>6242.5459031459141</v>
      </c>
      <c r="K3008" s="904">
        <f t="shared" si="46"/>
        <v>1854036</v>
      </c>
      <c r="L3008" s="869" t="s">
        <v>167</v>
      </c>
      <c r="M3008" s="869" t="s">
        <v>165</v>
      </c>
      <c r="N3008" s="52" t="str">
        <f>IF(AND('331-CT'!$E$7=TH!H3008,OR(L3008="331",M3008="331")),"331",IF(AND(OR(L3008="131",M3008="131"),H3008='131-CT'!$E$7),"131",""))</f>
        <v/>
      </c>
      <c r="O3008" s="86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99"/>
    </row>
    <row r="3009" spans="1:27" s="210" customFormat="1" ht="15.75" customHeight="1">
      <c r="A3009" s="203" t="str">
        <f>IF(B3009&lt;&gt;"",IF(AND(B3009&gt;=_TM1,B3009&lt;=_TM2,OR(TH!L3009="1111",TH!M3009="1111")),TH!D3009,""),"")</f>
        <v/>
      </c>
      <c r="B3009" s="36">
        <f t="shared" si="45"/>
        <v>5</v>
      </c>
      <c r="C3009" s="899">
        <f t="shared" si="47"/>
        <v>42154</v>
      </c>
      <c r="D3009" s="900" t="s">
        <v>2013</v>
      </c>
      <c r="E3009" s="900">
        <v>42154</v>
      </c>
      <c r="F3009" s="907" t="s">
        <v>717</v>
      </c>
      <c r="G3009" s="902" t="s">
        <v>714</v>
      </c>
      <c r="H3009" s="913" t="s">
        <v>2014</v>
      </c>
      <c r="I3009" s="253">
        <v>306</v>
      </c>
      <c r="J3009" s="253">
        <v>7178.9277886178006</v>
      </c>
      <c r="K3009" s="904">
        <f t="shared" si="46"/>
        <v>2196752</v>
      </c>
      <c r="L3009" s="869" t="s">
        <v>167</v>
      </c>
      <c r="M3009" s="869" t="s">
        <v>165</v>
      </c>
      <c r="N3009" s="52" t="str">
        <f>IF(AND('331-CT'!$E$7=TH!H3009,OR(L3009="331",M3009="331")),"331",IF(AND(OR(L3009="131",M3009="131"),H3009='131-CT'!$E$7),"131",""))</f>
        <v/>
      </c>
      <c r="O3009" s="86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99"/>
    </row>
    <row r="3010" spans="1:27" s="210" customFormat="1" ht="15.75" customHeight="1">
      <c r="A3010" s="203" t="str">
        <f>IF(B3010&lt;&gt;"",IF(AND(B3010&gt;=_TM1,B3010&lt;=_TM2,OR(TH!L3010="1111",TH!M3010="1111")),TH!D3010,""),"")</f>
        <v/>
      </c>
      <c r="B3010" s="36">
        <f t="shared" si="45"/>
        <v>5</v>
      </c>
      <c r="C3010" s="899">
        <f t="shared" si="47"/>
        <v>42154</v>
      </c>
      <c r="D3010" s="900" t="s">
        <v>2013</v>
      </c>
      <c r="E3010" s="900">
        <v>42154</v>
      </c>
      <c r="F3010" s="907" t="s">
        <v>386</v>
      </c>
      <c r="G3010" s="902" t="s">
        <v>714</v>
      </c>
      <c r="H3010" s="913" t="s">
        <v>2014</v>
      </c>
      <c r="I3010" s="253">
        <v>207</v>
      </c>
      <c r="J3010" s="253">
        <v>10534.296211558729</v>
      </c>
      <c r="K3010" s="904">
        <f t="shared" si="46"/>
        <v>2180599</v>
      </c>
      <c r="L3010" s="869" t="s">
        <v>167</v>
      </c>
      <c r="M3010" s="869" t="s">
        <v>165</v>
      </c>
      <c r="N3010" s="52" t="str">
        <f>IF(AND('331-CT'!$E$7=TH!H3010,OR(L3010="331",M3010="331")),"331",IF(AND(OR(L3010="131",M3010="131"),H3010='131-CT'!$E$7),"131",""))</f>
        <v/>
      </c>
      <c r="O3010" s="86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99"/>
    </row>
    <row r="3011" spans="1:27" s="210" customFormat="1" ht="15.75" customHeight="1">
      <c r="A3011" s="203" t="str">
        <f>IF(B3011&lt;&gt;"",IF(AND(B3011&gt;=_TM1,B3011&lt;=_TM2,OR(TH!L3011="1111",TH!M3011="1111")),TH!D3011,""),"")</f>
        <v/>
      </c>
      <c r="B3011" s="36">
        <f t="shared" si="45"/>
        <v>5</v>
      </c>
      <c r="C3011" s="899">
        <f t="shared" si="47"/>
        <v>42154</v>
      </c>
      <c r="D3011" s="900" t="s">
        <v>2013</v>
      </c>
      <c r="E3011" s="900">
        <v>42154</v>
      </c>
      <c r="F3011" s="907" t="s">
        <v>718</v>
      </c>
      <c r="G3011" s="902" t="s">
        <v>714</v>
      </c>
      <c r="H3011" s="913" t="s">
        <v>2014</v>
      </c>
      <c r="I3011" s="253">
        <v>177</v>
      </c>
      <c r="J3011" s="253">
        <v>8817.5960881936026</v>
      </c>
      <c r="K3011" s="904">
        <f t="shared" si="46"/>
        <v>1560715</v>
      </c>
      <c r="L3011" s="869" t="s">
        <v>167</v>
      </c>
      <c r="M3011" s="869" t="s">
        <v>165</v>
      </c>
      <c r="N3011" s="52" t="str">
        <f>IF(AND('331-CT'!$E$7=TH!H3011,OR(L3011="331",M3011="331")),"331",IF(AND(OR(L3011="131",M3011="131"),H3011='131-CT'!$E$7),"131",""))</f>
        <v/>
      </c>
      <c r="O3011" s="86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99"/>
    </row>
    <row r="3012" spans="1:27" s="210" customFormat="1" ht="15.75" customHeight="1">
      <c r="A3012" s="203" t="str">
        <f>IF(B3012&lt;&gt;"",IF(AND(B3012&gt;=_TM1,B3012&lt;=_TM2,OR(TH!L3012="1111",TH!M3012="1111")),TH!D3012,""),"")</f>
        <v/>
      </c>
      <c r="B3012" s="36">
        <f t="shared" si="45"/>
        <v>5</v>
      </c>
      <c r="C3012" s="899">
        <f t="shared" si="47"/>
        <v>42154</v>
      </c>
      <c r="D3012" s="900" t="s">
        <v>2013</v>
      </c>
      <c r="E3012" s="900">
        <v>42154</v>
      </c>
      <c r="F3012" s="907" t="s">
        <v>602</v>
      </c>
      <c r="G3012" s="902" t="s">
        <v>719</v>
      </c>
      <c r="H3012" s="913" t="s">
        <v>2014</v>
      </c>
      <c r="I3012" s="253">
        <v>473</v>
      </c>
      <c r="J3012" s="253">
        <v>9832.0097974548135</v>
      </c>
      <c r="K3012" s="904">
        <f t="shared" si="46"/>
        <v>4650541</v>
      </c>
      <c r="L3012" s="869" t="s">
        <v>167</v>
      </c>
      <c r="M3012" s="869" t="s">
        <v>165</v>
      </c>
      <c r="N3012" s="52" t="str">
        <f>IF(AND('331-CT'!$E$7=TH!H3012,OR(L3012="331",M3012="331")),"331",IF(AND(OR(L3012="131",M3012="131"),H3012='131-CT'!$E$7),"131",""))</f>
        <v/>
      </c>
      <c r="O3012" s="86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99"/>
    </row>
    <row r="3013" spans="1:27" s="210" customFormat="1" ht="15.75" customHeight="1">
      <c r="A3013" s="203" t="str">
        <f>IF(B3013&lt;&gt;"",IF(AND(B3013&gt;=_TM1,B3013&lt;=_TM2,OR(TH!L3013="1111",TH!M3013="1111")),TH!D3013,""),"")</f>
        <v/>
      </c>
      <c r="B3013" s="36">
        <f t="shared" si="45"/>
        <v>5</v>
      </c>
      <c r="C3013" s="899">
        <f t="shared" si="47"/>
        <v>42154</v>
      </c>
      <c r="D3013" s="900" t="s">
        <v>2013</v>
      </c>
      <c r="E3013" s="900">
        <v>42154</v>
      </c>
      <c r="F3013" s="907" t="s">
        <v>720</v>
      </c>
      <c r="G3013" s="902" t="s">
        <v>721</v>
      </c>
      <c r="H3013" s="913" t="s">
        <v>2014</v>
      </c>
      <c r="I3013" s="253">
        <v>50</v>
      </c>
      <c r="J3013" s="253">
        <v>13655.569163131686</v>
      </c>
      <c r="K3013" s="904">
        <f t="shared" si="46"/>
        <v>682778</v>
      </c>
      <c r="L3013" s="869" t="s">
        <v>167</v>
      </c>
      <c r="M3013" s="869" t="s">
        <v>165</v>
      </c>
      <c r="N3013" s="52" t="str">
        <f>IF(AND('331-CT'!$E$7=TH!H3013,OR(L3013="331",M3013="331")),"331",IF(AND(OR(L3013="131",M3013="131"),H3013='131-CT'!$E$7),"131",""))</f>
        <v/>
      </c>
      <c r="O3013" s="86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99"/>
    </row>
    <row r="3014" spans="1:27" s="210" customFormat="1" ht="15.75" customHeight="1">
      <c r="A3014" s="203" t="str">
        <f>IF(B3014&lt;&gt;"",IF(AND(B3014&gt;=_TM1,B3014&lt;=_TM2,OR(TH!L3014="1111",TH!M3014="1111")),TH!D3014,""),"")</f>
        <v/>
      </c>
      <c r="B3014" s="36">
        <f t="shared" si="45"/>
        <v>5</v>
      </c>
      <c r="C3014" s="899">
        <f t="shared" si="47"/>
        <v>42154</v>
      </c>
      <c r="D3014" s="900" t="s">
        <v>2013</v>
      </c>
      <c r="E3014" s="900">
        <v>42154</v>
      </c>
      <c r="F3014" s="907" t="s">
        <v>722</v>
      </c>
      <c r="G3014" s="902" t="s">
        <v>721</v>
      </c>
      <c r="H3014" s="913" t="s">
        <v>2014</v>
      </c>
      <c r="I3014" s="253">
        <v>50</v>
      </c>
      <c r="J3014" s="253">
        <v>11236.582625662644</v>
      </c>
      <c r="K3014" s="904">
        <f t="shared" si="46"/>
        <v>561829</v>
      </c>
      <c r="L3014" s="869" t="s">
        <v>167</v>
      </c>
      <c r="M3014" s="869" t="s">
        <v>165</v>
      </c>
      <c r="N3014" s="52" t="str">
        <f>IF(AND('331-CT'!$E$7=TH!H3014,OR(L3014="331",M3014="331")),"331",IF(AND(OR(L3014="131",M3014="131"),H3014='131-CT'!$E$7),"131",""))</f>
        <v/>
      </c>
      <c r="O3014" s="86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9"/>
    </row>
    <row r="3015" spans="1:27" s="210" customFormat="1" ht="15.75" customHeight="1">
      <c r="A3015" s="203" t="str">
        <f>IF(B3015&lt;&gt;"",IF(AND(B3015&gt;=_TM1,B3015&lt;=_TM2,OR(TH!L3015="1111",TH!M3015="1111")),TH!D3015,""),"")</f>
        <v/>
      </c>
      <c r="B3015" s="36">
        <f t="shared" si="45"/>
        <v>5</v>
      </c>
      <c r="C3015" s="899">
        <f t="shared" si="47"/>
        <v>42154</v>
      </c>
      <c r="D3015" s="900" t="s">
        <v>2013</v>
      </c>
      <c r="E3015" s="900">
        <v>42154</v>
      </c>
      <c r="F3015" s="907" t="s">
        <v>723</v>
      </c>
      <c r="G3015" s="902" t="s">
        <v>721</v>
      </c>
      <c r="H3015" s="913" t="s">
        <v>2014</v>
      </c>
      <c r="I3015" s="253">
        <v>34</v>
      </c>
      <c r="J3015" s="253">
        <v>12797.219101449122</v>
      </c>
      <c r="K3015" s="904">
        <f t="shared" si="46"/>
        <v>435105</v>
      </c>
      <c r="L3015" s="869" t="s">
        <v>167</v>
      </c>
      <c r="M3015" s="869" t="s">
        <v>165</v>
      </c>
      <c r="N3015" s="52" t="str">
        <f>IF(AND('331-CT'!$E$7=TH!H3015,OR(L3015="331",M3015="331")),"331",IF(AND(OR(L3015="131",M3015="131"),H3015='131-CT'!$E$7),"131",""))</f>
        <v/>
      </c>
      <c r="O3015" s="86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99"/>
    </row>
    <row r="3016" spans="1:27" s="210" customFormat="1" ht="15.75" customHeight="1">
      <c r="A3016" s="203" t="str">
        <f>IF(B3016&lt;&gt;"",IF(AND(B3016&gt;=_TM1,B3016&lt;=_TM2,OR(TH!L3016="1111",TH!M3016="1111")),TH!D3016,""),"")</f>
        <v/>
      </c>
      <c r="B3016" s="36">
        <f t="shared" si="45"/>
        <v>5</v>
      </c>
      <c r="C3016" s="899">
        <f t="shared" si="47"/>
        <v>42154</v>
      </c>
      <c r="D3016" s="900" t="s">
        <v>2013</v>
      </c>
      <c r="E3016" s="900">
        <v>42154</v>
      </c>
      <c r="F3016" s="907" t="s">
        <v>724</v>
      </c>
      <c r="G3016" s="902" t="s">
        <v>721</v>
      </c>
      <c r="H3016" s="913" t="s">
        <v>2014</v>
      </c>
      <c r="I3016" s="253">
        <v>183</v>
      </c>
      <c r="J3016" s="253">
        <v>18571.57406185909</v>
      </c>
      <c r="K3016" s="904">
        <f t="shared" si="46"/>
        <v>3398598</v>
      </c>
      <c r="L3016" s="869" t="s">
        <v>167</v>
      </c>
      <c r="M3016" s="869" t="s">
        <v>165</v>
      </c>
      <c r="N3016" s="52" t="str">
        <f>IF(AND('331-CT'!$E$7=TH!H3016,OR(L3016="331",M3016="331")),"331",IF(AND(OR(L3016="131",M3016="131"),H3016='131-CT'!$E$7),"131",""))</f>
        <v/>
      </c>
      <c r="O3016" s="86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99"/>
    </row>
    <row r="3017" spans="1:27" s="210" customFormat="1" ht="15.75" customHeight="1">
      <c r="A3017" s="203" t="str">
        <f>IF(B3017&lt;&gt;"",IF(AND(B3017&gt;=_TM1,B3017&lt;=_TM2,OR(TH!L3017="1111",TH!M3017="1111")),TH!D3017,""),"")</f>
        <v/>
      </c>
      <c r="B3017" s="36">
        <f t="shared" si="45"/>
        <v>5</v>
      </c>
      <c r="C3017" s="899">
        <f t="shared" si="47"/>
        <v>42154</v>
      </c>
      <c r="D3017" s="900" t="s">
        <v>2013</v>
      </c>
      <c r="E3017" s="900">
        <v>42154</v>
      </c>
      <c r="F3017" s="907" t="s">
        <v>725</v>
      </c>
      <c r="G3017" s="902" t="s">
        <v>721</v>
      </c>
      <c r="H3017" s="913" t="s">
        <v>2014</v>
      </c>
      <c r="I3017" s="253">
        <v>450</v>
      </c>
      <c r="J3017" s="253">
        <v>12875.250925238446</v>
      </c>
      <c r="K3017" s="904">
        <f t="shared" si="46"/>
        <v>5793863</v>
      </c>
      <c r="L3017" s="869" t="s">
        <v>167</v>
      </c>
      <c r="M3017" s="869" t="s">
        <v>165</v>
      </c>
      <c r="N3017" s="52" t="str">
        <f>IF(AND('331-CT'!$E$7=TH!H3017,OR(L3017="331",M3017="331")),"331",IF(AND(OR(L3017="131",M3017="131"),H3017='131-CT'!$E$7),"131",""))</f>
        <v/>
      </c>
      <c r="O3017" s="86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99"/>
    </row>
    <row r="3018" spans="1:27" s="210" customFormat="1" ht="15.75" customHeight="1">
      <c r="A3018" s="203" t="str">
        <f>IF(B3018&lt;&gt;"",IF(AND(B3018&gt;=_TM1,B3018&lt;=_TM2,OR(TH!L3018="1111",TH!M3018="1111")),TH!D3018,""),"")</f>
        <v/>
      </c>
      <c r="B3018" s="36">
        <f t="shared" si="45"/>
        <v>5</v>
      </c>
      <c r="C3018" s="899">
        <f t="shared" si="47"/>
        <v>42154</v>
      </c>
      <c r="D3018" s="900" t="s">
        <v>2013</v>
      </c>
      <c r="E3018" s="900">
        <v>42154</v>
      </c>
      <c r="F3018" s="907" t="s">
        <v>726</v>
      </c>
      <c r="G3018" s="902" t="s">
        <v>721</v>
      </c>
      <c r="H3018" s="913" t="s">
        <v>2014</v>
      </c>
      <c r="I3018" s="253">
        <v>40</v>
      </c>
      <c r="J3018" s="253">
        <v>8037.2778503003638</v>
      </c>
      <c r="K3018" s="904">
        <f t="shared" si="46"/>
        <v>321491</v>
      </c>
      <c r="L3018" s="869" t="s">
        <v>167</v>
      </c>
      <c r="M3018" s="869" t="s">
        <v>165</v>
      </c>
      <c r="N3018" s="52" t="str">
        <f>IF(AND('331-CT'!$E$7=TH!H3018,OR(L3018="331",M3018="331")),"331",IF(AND(OR(L3018="131",M3018="131"),H3018='131-CT'!$E$7),"131",""))</f>
        <v/>
      </c>
      <c r="O3018" s="86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99"/>
    </row>
    <row r="3019" spans="1:27" s="210" customFormat="1" ht="15.75" customHeight="1">
      <c r="A3019" s="203" t="str">
        <f>IF(B3019&lt;&gt;"",IF(AND(B3019&gt;=_TM1,B3019&lt;=_TM2,OR(TH!L3019="1111",TH!M3019="1111")),TH!D3019,""),"")</f>
        <v/>
      </c>
      <c r="B3019" s="36">
        <f t="shared" si="45"/>
        <v>5</v>
      </c>
      <c r="C3019" s="899">
        <f t="shared" si="47"/>
        <v>42154</v>
      </c>
      <c r="D3019" s="900" t="s">
        <v>2013</v>
      </c>
      <c r="E3019" s="900">
        <v>42154</v>
      </c>
      <c r="F3019" s="907" t="s">
        <v>727</v>
      </c>
      <c r="G3019" s="902" t="s">
        <v>721</v>
      </c>
      <c r="H3019" s="913" t="s">
        <v>2014</v>
      </c>
      <c r="I3019" s="253">
        <v>167</v>
      </c>
      <c r="J3019" s="253">
        <v>7647.1187313537439</v>
      </c>
      <c r="K3019" s="904">
        <f t="shared" si="46"/>
        <v>1277069</v>
      </c>
      <c r="L3019" s="869" t="s">
        <v>167</v>
      </c>
      <c r="M3019" s="869" t="s">
        <v>165</v>
      </c>
      <c r="N3019" s="52" t="str">
        <f>IF(AND('331-CT'!$E$7=TH!H3019,OR(L3019="331",M3019="331")),"331",IF(AND(OR(L3019="131",M3019="131"),H3019='131-CT'!$E$7),"131",""))</f>
        <v/>
      </c>
      <c r="O3019" s="86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99"/>
    </row>
    <row r="3020" spans="1:27" s="210" customFormat="1" ht="15.75" customHeight="1">
      <c r="A3020" s="203" t="str">
        <f>IF(B3020&lt;&gt;"",IF(AND(B3020&gt;=_TM1,B3020&lt;=_TM2,OR(TH!L3020="1111",TH!M3020="1111")),TH!D3020,""),"")</f>
        <v/>
      </c>
      <c r="B3020" s="36">
        <f t="shared" si="45"/>
        <v>5</v>
      </c>
      <c r="C3020" s="899">
        <f t="shared" si="47"/>
        <v>42154</v>
      </c>
      <c r="D3020" s="900" t="s">
        <v>2013</v>
      </c>
      <c r="E3020" s="900">
        <v>42154</v>
      </c>
      <c r="F3020" s="907" t="s">
        <v>728</v>
      </c>
      <c r="G3020" s="902" t="s">
        <v>721</v>
      </c>
      <c r="H3020" s="913" t="s">
        <v>2014</v>
      </c>
      <c r="I3020" s="253">
        <v>500</v>
      </c>
      <c r="J3020" s="253">
        <v>13265.410044185066</v>
      </c>
      <c r="K3020" s="904">
        <f t="shared" si="46"/>
        <v>6632705</v>
      </c>
      <c r="L3020" s="869" t="s">
        <v>167</v>
      </c>
      <c r="M3020" s="869" t="s">
        <v>165</v>
      </c>
      <c r="N3020" s="52" t="str">
        <f>IF(AND('331-CT'!$E$7=TH!H3020,OR(L3020="331",M3020="331")),"331",IF(AND(OR(L3020="131",M3020="131"),H3020='131-CT'!$E$7),"131",""))</f>
        <v/>
      </c>
      <c r="O3020" s="86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99"/>
    </row>
    <row r="3021" spans="1:27" s="210" customFormat="1" ht="15.75" customHeight="1">
      <c r="A3021" s="203" t="str">
        <f>IF(B3021&lt;&gt;"",IF(AND(B3021&gt;=_TM1,B3021&lt;=_TM2,OR(TH!L3021="1111",TH!M3021="1111")),TH!D3021,""),"")</f>
        <v/>
      </c>
      <c r="B3021" s="36">
        <f t="shared" si="45"/>
        <v>5</v>
      </c>
      <c r="C3021" s="899">
        <f t="shared" si="47"/>
        <v>42154</v>
      </c>
      <c r="D3021" s="900" t="s">
        <v>2013</v>
      </c>
      <c r="E3021" s="900">
        <v>42154</v>
      </c>
      <c r="F3021" s="907" t="s">
        <v>729</v>
      </c>
      <c r="G3021" s="902" t="s">
        <v>721</v>
      </c>
      <c r="H3021" s="913" t="s">
        <v>2014</v>
      </c>
      <c r="I3021" s="253">
        <v>20</v>
      </c>
      <c r="J3021" s="253">
        <v>11392.646273241291</v>
      </c>
      <c r="K3021" s="904">
        <f t="shared" si="46"/>
        <v>227853</v>
      </c>
      <c r="L3021" s="869" t="s">
        <v>167</v>
      </c>
      <c r="M3021" s="869" t="s">
        <v>165</v>
      </c>
      <c r="N3021" s="52" t="str">
        <f>IF(AND('331-CT'!$E$7=TH!H3021,OR(L3021="331",M3021="331")),"331",IF(AND(OR(L3021="131",M3021="131"),H3021='131-CT'!$E$7),"131",""))</f>
        <v/>
      </c>
      <c r="O3021" s="86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99"/>
    </row>
    <row r="3022" spans="1:27" s="210" customFormat="1" ht="15.75" customHeight="1">
      <c r="A3022" s="203" t="str">
        <f>IF(B3022&lt;&gt;"",IF(AND(B3022&gt;=_TM1,B3022&lt;=_TM2,OR(TH!L3022="1111",TH!M3022="1111")),TH!D3022,""),"")</f>
        <v/>
      </c>
      <c r="B3022" s="36">
        <f t="shared" si="45"/>
        <v>5</v>
      </c>
      <c r="C3022" s="899">
        <f t="shared" si="47"/>
        <v>42154</v>
      </c>
      <c r="D3022" s="900" t="s">
        <v>2013</v>
      </c>
      <c r="E3022" s="900">
        <v>42154</v>
      </c>
      <c r="F3022" s="907" t="s">
        <v>730</v>
      </c>
      <c r="G3022" s="902" t="s">
        <v>721</v>
      </c>
      <c r="H3022" s="913" t="s">
        <v>2014</v>
      </c>
      <c r="I3022" s="253">
        <v>100</v>
      </c>
      <c r="J3022" s="253">
        <v>5696.3231366206455</v>
      </c>
      <c r="K3022" s="904">
        <f t="shared" si="46"/>
        <v>569632</v>
      </c>
      <c r="L3022" s="869" t="s">
        <v>167</v>
      </c>
      <c r="M3022" s="869" t="s">
        <v>165</v>
      </c>
      <c r="N3022" s="52" t="str">
        <f>IF(AND('331-CT'!$E$7=TH!H3022,OR(L3022="331",M3022="331")),"331",IF(AND(OR(L3022="131",M3022="131"),H3022='131-CT'!$E$7),"131",""))</f>
        <v/>
      </c>
      <c r="O3022" s="86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99"/>
    </row>
    <row r="3023" spans="1:27" s="210" customFormat="1" ht="15.75" customHeight="1">
      <c r="A3023" s="203" t="str">
        <f>IF(B3023&lt;&gt;"",IF(AND(B3023&gt;=_TM1,B3023&lt;=_TM2,OR(TH!L3023="1111",TH!M3023="1111")),TH!D3023,""),"")</f>
        <v/>
      </c>
      <c r="B3023" s="36">
        <f t="shared" si="45"/>
        <v>5</v>
      </c>
      <c r="C3023" s="899">
        <f t="shared" si="47"/>
        <v>42154</v>
      </c>
      <c r="D3023" s="900" t="s">
        <v>2013</v>
      </c>
      <c r="E3023" s="900">
        <v>42154</v>
      </c>
      <c r="F3023" s="907" t="s">
        <v>454</v>
      </c>
      <c r="G3023" s="902" t="s">
        <v>732</v>
      </c>
      <c r="H3023" s="913" t="s">
        <v>2014</v>
      </c>
      <c r="I3023" s="253">
        <v>295</v>
      </c>
      <c r="J3023" s="253">
        <v>56573.072247259843</v>
      </c>
      <c r="K3023" s="904">
        <f t="shared" si="46"/>
        <v>16689056</v>
      </c>
      <c r="L3023" s="869" t="s">
        <v>167</v>
      </c>
      <c r="M3023" s="869" t="s">
        <v>165</v>
      </c>
      <c r="N3023" s="52" t="str">
        <f>IF(AND('331-CT'!$E$7=TH!H3023,OR(L3023="331",M3023="331")),"331",IF(AND(OR(L3023="131",M3023="131"),H3023='131-CT'!$E$7),"131",""))</f>
        <v/>
      </c>
      <c r="O3023" s="86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99"/>
    </row>
    <row r="3024" spans="1:27" s="210" customFormat="1" ht="15.75" customHeight="1">
      <c r="A3024" s="203" t="str">
        <f>IF(B3024&lt;&gt;"",IF(AND(B3024&gt;=_TM1,B3024&lt;=_TM2,OR(TH!L3024="1111",TH!M3024="1111")),TH!D3024,""),"")</f>
        <v/>
      </c>
      <c r="B3024" s="36">
        <f t="shared" si="45"/>
        <v>5</v>
      </c>
      <c r="C3024" s="899">
        <f t="shared" si="47"/>
        <v>42155</v>
      </c>
      <c r="D3024" s="900" t="s">
        <v>2013</v>
      </c>
      <c r="E3024" s="900">
        <v>42155</v>
      </c>
      <c r="F3024" s="907" t="s">
        <v>734</v>
      </c>
      <c r="G3024" s="902" t="s">
        <v>735</v>
      </c>
      <c r="H3024" s="913" t="s">
        <v>2014</v>
      </c>
      <c r="I3024" s="253">
        <v>102</v>
      </c>
      <c r="J3024" s="253">
        <v>54934.403947684041</v>
      </c>
      <c r="K3024" s="904">
        <f t="shared" si="46"/>
        <v>5603309</v>
      </c>
      <c r="L3024" s="869" t="s">
        <v>167</v>
      </c>
      <c r="M3024" s="869" t="s">
        <v>165</v>
      </c>
      <c r="N3024" s="52" t="str">
        <f>IF(AND('331-CT'!$E$7=TH!H3024,OR(L3024="331",M3024="331")),"331",IF(AND(OR(L3024="131",M3024="131"),H3024='131-CT'!$E$7),"131",""))</f>
        <v/>
      </c>
      <c r="O3024" s="86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99"/>
    </row>
    <row r="3025" spans="1:27" s="210" customFormat="1" ht="15.75" customHeight="1">
      <c r="A3025" s="203" t="str">
        <f>IF(B3025&lt;&gt;"",IF(AND(B3025&gt;=_TM1,B3025&lt;=_TM2,OR(TH!L3025="1111",TH!M3025="1111")),TH!D3025,""),"")</f>
        <v/>
      </c>
      <c r="B3025" s="36">
        <f t="shared" si="45"/>
        <v>5</v>
      </c>
      <c r="C3025" s="899">
        <f t="shared" si="47"/>
        <v>42155</v>
      </c>
      <c r="D3025" s="900" t="s">
        <v>2013</v>
      </c>
      <c r="E3025" s="900">
        <v>42155</v>
      </c>
      <c r="F3025" s="907" t="s">
        <v>736</v>
      </c>
      <c r="G3025" s="902" t="s">
        <v>735</v>
      </c>
      <c r="H3025" s="913" t="s">
        <v>2014</v>
      </c>
      <c r="I3025" s="253">
        <v>418</v>
      </c>
      <c r="J3025" s="253">
        <v>8193.3414978790115</v>
      </c>
      <c r="K3025" s="904">
        <f t="shared" si="46"/>
        <v>3424817</v>
      </c>
      <c r="L3025" s="869" t="s">
        <v>167</v>
      </c>
      <c r="M3025" s="869" t="s">
        <v>165</v>
      </c>
      <c r="N3025" s="52" t="str">
        <f>IF(AND('331-CT'!$E$7=TH!H3025,OR(L3025="331",M3025="331")),"331",IF(AND(OR(L3025="131",M3025="131"),H3025='131-CT'!$E$7),"131",""))</f>
        <v/>
      </c>
      <c r="O3025" s="86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99"/>
    </row>
    <row r="3026" spans="1:27" s="210" customFormat="1" ht="15.75" customHeight="1">
      <c r="A3026" s="203" t="str">
        <f>IF(B3026&lt;&gt;"",IF(AND(B3026&gt;=_TM1,B3026&lt;=_TM2,OR(TH!L3026="1111",TH!M3026="1111")),TH!D3026,""),"")</f>
        <v/>
      </c>
      <c r="B3026" s="36">
        <f t="shared" si="45"/>
        <v>5</v>
      </c>
      <c r="C3026" s="899">
        <f t="shared" si="47"/>
        <v>42155</v>
      </c>
      <c r="D3026" s="900" t="s">
        <v>2013</v>
      </c>
      <c r="E3026" s="900">
        <v>42155</v>
      </c>
      <c r="F3026" s="907" t="s">
        <v>737</v>
      </c>
      <c r="G3026" s="902" t="s">
        <v>735</v>
      </c>
      <c r="H3026" s="913" t="s">
        <v>2014</v>
      </c>
      <c r="I3026" s="253">
        <v>28</v>
      </c>
      <c r="J3026" s="253">
        <v>11626.741744609264</v>
      </c>
      <c r="K3026" s="904">
        <f t="shared" si="46"/>
        <v>325549</v>
      </c>
      <c r="L3026" s="869" t="s">
        <v>167</v>
      </c>
      <c r="M3026" s="869" t="s">
        <v>165</v>
      </c>
      <c r="N3026" s="52" t="str">
        <f>IF(AND('331-CT'!$E$7=TH!H3026,OR(L3026="331",M3026="331")),"331",IF(AND(OR(L3026="131",M3026="131"),H3026='131-CT'!$E$7),"131",""))</f>
        <v/>
      </c>
      <c r="O3026" s="86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99"/>
    </row>
    <row r="3027" spans="1:27" s="210" customFormat="1" ht="15.75" customHeight="1">
      <c r="A3027" s="203" t="str">
        <f>IF(B3027&lt;&gt;"",IF(AND(B3027&gt;=_TM1,B3027&lt;=_TM2,OR(TH!L3027="1111",TH!M3027="1111")),TH!D3027,""),"")</f>
        <v/>
      </c>
      <c r="B3027" s="36">
        <f t="shared" si="45"/>
        <v>5</v>
      </c>
      <c r="C3027" s="899">
        <f t="shared" si="47"/>
        <v>42155</v>
      </c>
      <c r="D3027" s="900" t="s">
        <v>2013</v>
      </c>
      <c r="E3027" s="900">
        <v>42155</v>
      </c>
      <c r="F3027" s="907" t="s">
        <v>738</v>
      </c>
      <c r="G3027" s="902" t="s">
        <v>735</v>
      </c>
      <c r="H3027" s="913" t="s">
        <v>2014</v>
      </c>
      <c r="I3027" s="253">
        <v>25</v>
      </c>
      <c r="J3027" s="253">
        <v>11782.805392187911</v>
      </c>
      <c r="K3027" s="904">
        <f t="shared" si="46"/>
        <v>294570</v>
      </c>
      <c r="L3027" s="869" t="s">
        <v>167</v>
      </c>
      <c r="M3027" s="869" t="s">
        <v>165</v>
      </c>
      <c r="N3027" s="52" t="str">
        <f>IF(AND('331-CT'!$E$7=TH!H3027,OR(L3027="331",M3027="331")),"331",IF(AND(OR(L3027="131",M3027="131"),H3027='131-CT'!$E$7),"131",""))</f>
        <v/>
      </c>
      <c r="O3027" s="86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99"/>
    </row>
    <row r="3028" spans="1:27" s="210" customFormat="1" ht="15.75" customHeight="1">
      <c r="A3028" s="203" t="str">
        <f>IF(B3028&lt;&gt;"",IF(AND(B3028&gt;=_TM1,B3028&lt;=_TM2,OR(TH!L3028="1111",TH!M3028="1111")),TH!D3028,""),"")</f>
        <v/>
      </c>
      <c r="B3028" s="36">
        <f t="shared" si="45"/>
        <v>5</v>
      </c>
      <c r="C3028" s="899">
        <f t="shared" si="47"/>
        <v>42155</v>
      </c>
      <c r="D3028" s="900" t="s">
        <v>2013</v>
      </c>
      <c r="E3028" s="900">
        <v>42155</v>
      </c>
      <c r="F3028" s="907" t="s">
        <v>739</v>
      </c>
      <c r="G3028" s="902" t="s">
        <v>740</v>
      </c>
      <c r="H3028" s="913" t="s">
        <v>2014</v>
      </c>
      <c r="I3028" s="253">
        <v>400</v>
      </c>
      <c r="J3028" s="253">
        <v>12172.964511134531</v>
      </c>
      <c r="K3028" s="904">
        <f t="shared" si="46"/>
        <v>4869186</v>
      </c>
      <c r="L3028" s="869" t="s">
        <v>167</v>
      </c>
      <c r="M3028" s="869" t="s">
        <v>165</v>
      </c>
      <c r="N3028" s="52" t="str">
        <f>IF(AND('331-CT'!$E$7=TH!H3028,OR(L3028="331",M3028="331")),"331",IF(AND(OR(L3028="131",M3028="131"),H3028='131-CT'!$E$7),"131",""))</f>
        <v/>
      </c>
      <c r="O3028" s="86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99"/>
    </row>
    <row r="3029" spans="1:27" s="210" customFormat="1" ht="15.75" customHeight="1">
      <c r="A3029" s="203" t="str">
        <f>IF(B3029&lt;&gt;"",IF(AND(B3029&gt;=_TM1,B3029&lt;=_TM2,OR(TH!L3029="1111",TH!M3029="1111")),TH!D3029,""),"")</f>
        <v/>
      </c>
      <c r="B3029" s="36">
        <f t="shared" si="45"/>
        <v>5</v>
      </c>
      <c r="C3029" s="899">
        <f t="shared" si="47"/>
        <v>42155</v>
      </c>
      <c r="D3029" s="900" t="s">
        <v>2013</v>
      </c>
      <c r="E3029" s="900">
        <v>42155</v>
      </c>
      <c r="F3029" s="907" t="s">
        <v>741</v>
      </c>
      <c r="G3029" s="902" t="s">
        <v>740</v>
      </c>
      <c r="H3029" s="913" t="s">
        <v>2014</v>
      </c>
      <c r="I3029" s="253">
        <v>100</v>
      </c>
      <c r="J3029" s="253">
        <v>7725.1505551430673</v>
      </c>
      <c r="K3029" s="904">
        <f t="shared" si="46"/>
        <v>772515</v>
      </c>
      <c r="L3029" s="869" t="s">
        <v>167</v>
      </c>
      <c r="M3029" s="869" t="s">
        <v>165</v>
      </c>
      <c r="N3029" s="52" t="str">
        <f>IF(AND('331-CT'!$E$7=TH!H3029,OR(L3029="331",M3029="331")),"331",IF(AND(OR(L3029="131",M3029="131"),H3029='131-CT'!$E$7),"131",""))</f>
        <v/>
      </c>
      <c r="O3029" s="86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99"/>
    </row>
    <row r="3030" spans="1:27" s="210" customFormat="1" ht="15.75" customHeight="1">
      <c r="A3030" s="203" t="str">
        <f>IF(B3030&lt;&gt;"",IF(AND(B3030&gt;=_TM1,B3030&lt;=_TM2,OR(TH!L3030="1111",TH!M3030="1111")),TH!D3030,""),"")</f>
        <v/>
      </c>
      <c r="B3030" s="36">
        <f t="shared" si="45"/>
        <v>5</v>
      </c>
      <c r="C3030" s="899">
        <f t="shared" si="47"/>
        <v>42155</v>
      </c>
      <c r="D3030" s="900" t="s">
        <v>2013</v>
      </c>
      <c r="E3030" s="900">
        <v>42155</v>
      </c>
      <c r="F3030" s="907" t="s">
        <v>742</v>
      </c>
      <c r="G3030" s="902" t="s">
        <v>740</v>
      </c>
      <c r="H3030" s="913" t="s">
        <v>2014</v>
      </c>
      <c r="I3030" s="253">
        <v>70</v>
      </c>
      <c r="J3030" s="253">
        <v>15294.237462707488</v>
      </c>
      <c r="K3030" s="904">
        <f t="shared" si="46"/>
        <v>1070597</v>
      </c>
      <c r="L3030" s="869" t="s">
        <v>167</v>
      </c>
      <c r="M3030" s="869" t="s">
        <v>165</v>
      </c>
      <c r="N3030" s="52" t="str">
        <f>IF(AND('331-CT'!$E$7=TH!H3030,OR(L3030="331",M3030="331")),"331",IF(AND(OR(L3030="131",M3030="131"),H3030='131-CT'!$E$7),"131",""))</f>
        <v/>
      </c>
      <c r="O3030" s="86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99"/>
    </row>
    <row r="3031" spans="1:27" s="210" customFormat="1" ht="15.75" customHeight="1">
      <c r="A3031" s="203" t="str">
        <f>IF(B3031&lt;&gt;"",IF(AND(B3031&gt;=_TM1,B3031&lt;=_TM2,OR(TH!L3031="1111",TH!M3031="1111")),TH!D3031,""),"")</f>
        <v/>
      </c>
      <c r="B3031" s="36">
        <f t="shared" si="45"/>
        <v>5</v>
      </c>
      <c r="C3031" s="899">
        <f t="shared" si="47"/>
        <v>42155</v>
      </c>
      <c r="D3031" s="900" t="s">
        <v>2013</v>
      </c>
      <c r="E3031" s="900">
        <v>42155</v>
      </c>
      <c r="F3031" s="907" t="s">
        <v>743</v>
      </c>
      <c r="G3031" s="902" t="s">
        <v>740</v>
      </c>
      <c r="H3031" s="913" t="s">
        <v>2014</v>
      </c>
      <c r="I3031" s="253">
        <v>60</v>
      </c>
      <c r="J3031" s="253">
        <v>3979.6230132555197</v>
      </c>
      <c r="K3031" s="904">
        <f t="shared" si="46"/>
        <v>238777</v>
      </c>
      <c r="L3031" s="869" t="s">
        <v>167</v>
      </c>
      <c r="M3031" s="869" t="s">
        <v>165</v>
      </c>
      <c r="N3031" s="52" t="str">
        <f>IF(AND('331-CT'!$E$7=TH!H3031,OR(L3031="331",M3031="331")),"331",IF(AND(OR(L3031="131",M3031="131"),H3031='131-CT'!$E$7),"131",""))</f>
        <v/>
      </c>
      <c r="O3031" s="86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99"/>
    </row>
    <row r="3032" spans="1:27" s="210" customFormat="1" ht="15.75" customHeight="1">
      <c r="A3032" s="203" t="str">
        <f>IF(B3032&lt;&gt;"",IF(AND(B3032&gt;=_TM1,B3032&lt;=_TM2,OR(TH!L3032="1111",TH!M3032="1111")),TH!D3032,""),"")</f>
        <v/>
      </c>
      <c r="B3032" s="36">
        <f t="shared" si="45"/>
        <v>5</v>
      </c>
      <c r="C3032" s="899">
        <f t="shared" si="47"/>
        <v>42155</v>
      </c>
      <c r="D3032" s="900" t="s">
        <v>2013</v>
      </c>
      <c r="E3032" s="900">
        <v>42155</v>
      </c>
      <c r="F3032" s="907" t="s">
        <v>744</v>
      </c>
      <c r="G3032" s="902" t="s">
        <v>740</v>
      </c>
      <c r="H3032" s="913" t="s">
        <v>2014</v>
      </c>
      <c r="I3032" s="253">
        <v>27</v>
      </c>
      <c r="J3032" s="253">
        <v>10456.264387769406</v>
      </c>
      <c r="K3032" s="904">
        <f t="shared" si="46"/>
        <v>282319</v>
      </c>
      <c r="L3032" s="869" t="s">
        <v>167</v>
      </c>
      <c r="M3032" s="869" t="s">
        <v>165</v>
      </c>
      <c r="N3032" s="52" t="str">
        <f>IF(AND('331-CT'!$E$7=TH!H3032,OR(L3032="331",M3032="331")),"331",IF(AND(OR(L3032="131",M3032="131"),H3032='131-CT'!$E$7),"131",""))</f>
        <v/>
      </c>
      <c r="O3032" s="86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99"/>
    </row>
    <row r="3033" spans="1:27" s="210" customFormat="1" ht="15.75" customHeight="1">
      <c r="A3033" s="203" t="str">
        <f>IF(B3033&lt;&gt;"",IF(AND(B3033&gt;=_TM1,B3033&lt;=_TM2,OR(TH!L3033="1111",TH!M3033="1111")),TH!D3033,""),"")</f>
        <v/>
      </c>
      <c r="B3033" s="36">
        <f t="shared" si="45"/>
        <v>5</v>
      </c>
      <c r="C3033" s="899">
        <f t="shared" si="47"/>
        <v>42155</v>
      </c>
      <c r="D3033" s="900" t="s">
        <v>2013</v>
      </c>
      <c r="E3033" s="900">
        <v>42155</v>
      </c>
      <c r="F3033" s="907" t="s">
        <v>745</v>
      </c>
      <c r="G3033" s="902" t="s">
        <v>740</v>
      </c>
      <c r="H3033" s="913" t="s">
        <v>2014</v>
      </c>
      <c r="I3033" s="253">
        <v>200</v>
      </c>
      <c r="J3033" s="253">
        <v>8271.3733216683358</v>
      </c>
      <c r="K3033" s="904">
        <f t="shared" si="46"/>
        <v>1654275</v>
      </c>
      <c r="L3033" s="869" t="s">
        <v>167</v>
      </c>
      <c r="M3033" s="869" t="s">
        <v>165</v>
      </c>
      <c r="N3033" s="52" t="str">
        <f>IF(AND('331-CT'!$E$7=TH!H3033,OR(L3033="331",M3033="331")),"331",IF(AND(OR(L3033="131",M3033="131"),H3033='131-CT'!$E$7),"131",""))</f>
        <v/>
      </c>
      <c r="O3033" s="86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99"/>
    </row>
    <row r="3034" spans="1:27" s="210" customFormat="1" ht="15.75" customHeight="1">
      <c r="A3034" s="203" t="str">
        <f>IF(B3034&lt;&gt;"",IF(AND(B3034&gt;=_TM1,B3034&lt;=_TM2,OR(TH!L3034="1111",TH!M3034="1111")),TH!D3034,""),"")</f>
        <v/>
      </c>
      <c r="B3034" s="36">
        <f t="shared" si="45"/>
        <v>5</v>
      </c>
      <c r="C3034" s="899">
        <f t="shared" si="47"/>
        <v>42155</v>
      </c>
      <c r="D3034" s="900" t="s">
        <v>2013</v>
      </c>
      <c r="E3034" s="900">
        <v>42155</v>
      </c>
      <c r="F3034" s="907" t="s">
        <v>746</v>
      </c>
      <c r="G3034" s="902" t="s">
        <v>740</v>
      </c>
      <c r="H3034" s="913" t="s">
        <v>2014</v>
      </c>
      <c r="I3034" s="253">
        <v>300</v>
      </c>
      <c r="J3034" s="253">
        <v>18025.351295333825</v>
      </c>
      <c r="K3034" s="904">
        <f t="shared" si="46"/>
        <v>5407605</v>
      </c>
      <c r="L3034" s="869" t="s">
        <v>167</v>
      </c>
      <c r="M3034" s="869" t="s">
        <v>165</v>
      </c>
      <c r="N3034" s="52" t="str">
        <f>IF(AND('331-CT'!$E$7=TH!H3034,OR(L3034="331",M3034="331")),"331",IF(AND(OR(L3034="131",M3034="131"),H3034='131-CT'!$E$7),"131",""))</f>
        <v/>
      </c>
      <c r="O3034" s="86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99"/>
    </row>
    <row r="3035" spans="1:27" s="210" customFormat="1" ht="15.75" customHeight="1">
      <c r="A3035" s="203" t="str">
        <f>IF(B3035&lt;&gt;"",IF(AND(B3035&gt;=_TM1,B3035&lt;=_TM2,OR(TH!L3035="1111",TH!M3035="1111")),TH!D3035,""),"")</f>
        <v/>
      </c>
      <c r="B3035" s="36">
        <f t="shared" si="45"/>
        <v>5</v>
      </c>
      <c r="C3035" s="899">
        <f t="shared" si="47"/>
        <v>42155</v>
      </c>
      <c r="D3035" s="900" t="s">
        <v>2013</v>
      </c>
      <c r="E3035" s="900">
        <v>42155</v>
      </c>
      <c r="F3035" s="907" t="s">
        <v>747</v>
      </c>
      <c r="G3035" s="902" t="s">
        <v>740</v>
      </c>
      <c r="H3035" s="913" t="s">
        <v>2014</v>
      </c>
      <c r="I3035" s="253">
        <v>300</v>
      </c>
      <c r="J3035" s="253">
        <v>4135.6866608341679</v>
      </c>
      <c r="K3035" s="904">
        <f t="shared" si="46"/>
        <v>1240706</v>
      </c>
      <c r="L3035" s="869" t="s">
        <v>167</v>
      </c>
      <c r="M3035" s="869" t="s">
        <v>165</v>
      </c>
      <c r="N3035" s="52" t="str">
        <f>IF(AND('331-CT'!$E$7=TH!H3035,OR(L3035="331",M3035="331")),"331",IF(AND(OR(L3035="131",M3035="131"),H3035='131-CT'!$E$7),"131",""))</f>
        <v/>
      </c>
      <c r="O3035" s="86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99"/>
    </row>
    <row r="3036" spans="1:27" s="210" customFormat="1" ht="15.75" customHeight="1">
      <c r="A3036" s="203" t="str">
        <f>IF(B3036&lt;&gt;"",IF(AND(B3036&gt;=_TM1,B3036&lt;=_TM2,OR(TH!L3036="1111",TH!M3036="1111")),TH!D3036,""),"")</f>
        <v/>
      </c>
      <c r="B3036" s="36">
        <f t="shared" si="45"/>
        <v>5</v>
      </c>
      <c r="C3036" s="899">
        <f t="shared" si="47"/>
        <v>42155</v>
      </c>
      <c r="D3036" s="900" t="s">
        <v>2013</v>
      </c>
      <c r="E3036" s="900">
        <v>42155</v>
      </c>
      <c r="F3036" s="907" t="s">
        <v>748</v>
      </c>
      <c r="G3036" s="902" t="s">
        <v>740</v>
      </c>
      <c r="H3036" s="913" t="s">
        <v>2014</v>
      </c>
      <c r="I3036" s="253">
        <v>100</v>
      </c>
      <c r="J3036" s="253">
        <v>14591.951048603572</v>
      </c>
      <c r="K3036" s="904">
        <f t="shared" si="46"/>
        <v>1459195</v>
      </c>
      <c r="L3036" s="869" t="s">
        <v>167</v>
      </c>
      <c r="M3036" s="869" t="s">
        <v>165</v>
      </c>
      <c r="N3036" s="52" t="str">
        <f>IF(AND('331-CT'!$E$7=TH!H3036,OR(L3036="331",M3036="331")),"331",IF(AND(OR(L3036="131",M3036="131"),H3036='131-CT'!$E$7),"131",""))</f>
        <v/>
      </c>
      <c r="O3036" s="86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99"/>
    </row>
    <row r="3037" spans="1:27" s="210" customFormat="1" ht="15.75" customHeight="1">
      <c r="A3037" s="203" t="str">
        <f>IF(B3037&lt;&gt;"",IF(AND(B3037&gt;=_TM1,B3037&lt;=_TM2,OR(TH!L3037="1111",TH!M3037="1111")),TH!D3037,""),"")</f>
        <v/>
      </c>
      <c r="B3037" s="36">
        <f t="shared" si="45"/>
        <v>5</v>
      </c>
      <c r="C3037" s="899">
        <f t="shared" si="47"/>
        <v>42155</v>
      </c>
      <c r="D3037" s="900" t="s">
        <v>2013</v>
      </c>
      <c r="E3037" s="900">
        <v>42155</v>
      </c>
      <c r="F3037" s="907" t="s">
        <v>748</v>
      </c>
      <c r="G3037" s="902" t="s">
        <v>740</v>
      </c>
      <c r="H3037" s="913" t="s">
        <v>2014</v>
      </c>
      <c r="I3037" s="253">
        <v>125</v>
      </c>
      <c r="J3037" s="253">
        <v>14591.951048603572</v>
      </c>
      <c r="K3037" s="904">
        <f t="shared" si="46"/>
        <v>1823994</v>
      </c>
      <c r="L3037" s="869" t="s">
        <v>167</v>
      </c>
      <c r="M3037" s="869" t="s">
        <v>165</v>
      </c>
      <c r="N3037" s="52" t="str">
        <f>IF(AND('331-CT'!$E$7=TH!H3037,OR(L3037="331",M3037="331")),"331",IF(AND(OR(L3037="131",M3037="131"),H3037='131-CT'!$E$7),"131",""))</f>
        <v/>
      </c>
      <c r="O3037" s="86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99"/>
    </row>
    <row r="3038" spans="1:27" s="210" customFormat="1" ht="15.75" customHeight="1">
      <c r="A3038" s="203" t="str">
        <f>IF(B3038&lt;&gt;"",IF(AND(B3038&gt;=_TM1,B3038&lt;=_TM2,OR(TH!L3038="1111",TH!M3038="1111")),TH!D3038,""),"")</f>
        <v/>
      </c>
      <c r="B3038" s="36">
        <f t="shared" si="45"/>
        <v>6</v>
      </c>
      <c r="C3038" s="899">
        <f t="shared" si="47"/>
        <v>42156</v>
      </c>
      <c r="D3038" s="900" t="s">
        <v>2013</v>
      </c>
      <c r="E3038" s="900">
        <v>42156</v>
      </c>
      <c r="F3038" s="907" t="s">
        <v>536</v>
      </c>
      <c r="G3038" s="902" t="s">
        <v>749</v>
      </c>
      <c r="H3038" s="913" t="s">
        <v>2014</v>
      </c>
      <c r="I3038" s="253">
        <v>300</v>
      </c>
      <c r="J3038" s="253">
        <v>14982.110167550192</v>
      </c>
      <c r="K3038" s="904">
        <f t="shared" si="46"/>
        <v>4494633</v>
      </c>
      <c r="L3038" s="869" t="s">
        <v>167</v>
      </c>
      <c r="M3038" s="869" t="s">
        <v>165</v>
      </c>
      <c r="N3038" s="52" t="str">
        <f>IF(AND('331-CT'!$E$7=TH!H3038,OR(L3038="331",M3038="331")),"331",IF(AND(OR(L3038="131",M3038="131"),H3038='131-CT'!$E$7),"131",""))</f>
        <v/>
      </c>
      <c r="O3038" s="86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99"/>
    </row>
    <row r="3039" spans="1:27" s="210" customFormat="1" ht="15.75" customHeight="1">
      <c r="A3039" s="203" t="str">
        <f>IF(B3039&lt;&gt;"",IF(AND(B3039&gt;=_TM1,B3039&lt;=_TM2,OR(TH!L3039="1111",TH!M3039="1111")),TH!D3039,""),"")</f>
        <v/>
      </c>
      <c r="B3039" s="36">
        <f t="shared" ref="B3039:B3105" si="51">IF(C3039&lt;&gt;"",MONTH(C3039),"")</f>
        <v>6</v>
      </c>
      <c r="C3039" s="899">
        <f t="shared" ref="C3039:C3105" si="52">E3039</f>
        <v>42156</v>
      </c>
      <c r="D3039" s="900" t="s">
        <v>2013</v>
      </c>
      <c r="E3039" s="900">
        <v>42156</v>
      </c>
      <c r="F3039" s="907" t="s">
        <v>398</v>
      </c>
      <c r="G3039" s="902" t="s">
        <v>749</v>
      </c>
      <c r="H3039" s="913" t="s">
        <v>2014</v>
      </c>
      <c r="I3039" s="253">
        <v>907</v>
      </c>
      <c r="J3039" s="253">
        <v>6398.6095507245609</v>
      </c>
      <c r="K3039" s="904">
        <f t="shared" ref="K3039:K3105" si="53">ROUND(I3039*J3039,0)</f>
        <v>5803539</v>
      </c>
      <c r="L3039" s="869" t="s">
        <v>167</v>
      </c>
      <c r="M3039" s="869" t="s">
        <v>165</v>
      </c>
      <c r="N3039" s="52" t="str">
        <f>IF(AND('331-CT'!$E$7=TH!H3039,OR(L3039="331",M3039="331")),"331",IF(AND(OR(L3039="131",M3039="131"),H3039='131-CT'!$E$7),"131",""))</f>
        <v/>
      </c>
      <c r="O3039" s="86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99"/>
    </row>
    <row r="3040" spans="1:27" s="210" customFormat="1" ht="15.75" customHeight="1">
      <c r="A3040" s="203" t="str">
        <f>IF(B3040&lt;&gt;"",IF(AND(B3040&gt;=_TM1,B3040&lt;=_TM2,OR(TH!L3040="1111",TH!M3040="1111")),TH!D3040,""),"")</f>
        <v/>
      </c>
      <c r="B3040" s="36">
        <f t="shared" si="51"/>
        <v>6</v>
      </c>
      <c r="C3040" s="899">
        <f t="shared" si="52"/>
        <v>42157</v>
      </c>
      <c r="D3040" s="900" t="s">
        <v>2013</v>
      </c>
      <c r="E3040" s="900">
        <v>42157</v>
      </c>
      <c r="F3040" s="907" t="s">
        <v>682</v>
      </c>
      <c r="G3040" s="902" t="s">
        <v>750</v>
      </c>
      <c r="H3040" s="913" t="s">
        <v>2014</v>
      </c>
      <c r="I3040" s="253">
        <v>534</v>
      </c>
      <c r="J3040" s="253">
        <v>4135.6866608341679</v>
      </c>
      <c r="K3040" s="904">
        <f t="shared" si="53"/>
        <v>2208457</v>
      </c>
      <c r="L3040" s="869" t="s">
        <v>167</v>
      </c>
      <c r="M3040" s="869" t="s">
        <v>165</v>
      </c>
      <c r="N3040" s="52" t="str">
        <f>IF(AND('331-CT'!$E$7=TH!H3040,OR(L3040="331",M3040="331")),"331",IF(AND(OR(L3040="131",M3040="131"),H3040='131-CT'!$E$7),"131",""))</f>
        <v/>
      </c>
      <c r="O3040" s="86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99"/>
    </row>
    <row r="3041" spans="1:27" s="210" customFormat="1" ht="15.75" customHeight="1">
      <c r="A3041" s="203" t="str">
        <f>IF(B3041&lt;&gt;"",IF(AND(B3041&gt;=_TM1,B3041&lt;=_TM2,OR(TH!L3041="1111",TH!M3041="1111")),TH!D3041,""),"")</f>
        <v/>
      </c>
      <c r="B3041" s="36">
        <f t="shared" si="51"/>
        <v>6</v>
      </c>
      <c r="C3041" s="899">
        <f t="shared" si="52"/>
        <v>42157</v>
      </c>
      <c r="D3041" s="900" t="s">
        <v>2013</v>
      </c>
      <c r="E3041" s="900">
        <v>42157</v>
      </c>
      <c r="F3041" s="907" t="s">
        <v>494</v>
      </c>
      <c r="G3041" s="902" t="s">
        <v>750</v>
      </c>
      <c r="H3041" s="913" t="s">
        <v>2014</v>
      </c>
      <c r="I3041" s="253">
        <v>504</v>
      </c>
      <c r="J3041" s="253">
        <v>5306.1640176740266</v>
      </c>
      <c r="K3041" s="904">
        <f t="shared" si="53"/>
        <v>2674307</v>
      </c>
      <c r="L3041" s="869" t="s">
        <v>167</v>
      </c>
      <c r="M3041" s="869" t="s">
        <v>165</v>
      </c>
      <c r="N3041" s="52" t="str">
        <f>IF(AND('331-CT'!$E$7=TH!H3041,OR(L3041="331",M3041="331")),"331",IF(AND(OR(L3041="131",M3041="131"),H3041='131-CT'!$E$7),"131",""))</f>
        <v/>
      </c>
      <c r="O3041" s="86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99"/>
    </row>
    <row r="3042" spans="1:27" s="210" customFormat="1" ht="15.75" customHeight="1">
      <c r="A3042" s="203" t="str">
        <f>IF(B3042&lt;&gt;"",IF(AND(B3042&gt;=_TM1,B3042&lt;=_TM2,OR(TH!L3042="1111",TH!M3042="1111")),TH!D3042,""),"")</f>
        <v/>
      </c>
      <c r="B3042" s="36">
        <f t="shared" si="51"/>
        <v>6</v>
      </c>
      <c r="C3042" s="899">
        <f t="shared" si="52"/>
        <v>42157</v>
      </c>
      <c r="D3042" s="900" t="s">
        <v>2013</v>
      </c>
      <c r="E3042" s="900">
        <v>42157</v>
      </c>
      <c r="F3042" s="907" t="s">
        <v>494</v>
      </c>
      <c r="G3042" s="902" t="s">
        <v>750</v>
      </c>
      <c r="H3042" s="913" t="s">
        <v>2014</v>
      </c>
      <c r="I3042" s="253">
        <v>1060</v>
      </c>
      <c r="J3042" s="253">
        <v>5306.1640176740266</v>
      </c>
      <c r="K3042" s="904">
        <f t="shared" si="53"/>
        <v>5624534</v>
      </c>
      <c r="L3042" s="869" t="s">
        <v>167</v>
      </c>
      <c r="M3042" s="869" t="s">
        <v>165</v>
      </c>
      <c r="N3042" s="52" t="str">
        <f>IF(AND('331-CT'!$E$7=TH!H3042,OR(L3042="331",M3042="331")),"331",IF(AND(OR(L3042="131",M3042="131"),H3042='131-CT'!$E$7),"131",""))</f>
        <v/>
      </c>
      <c r="O3042" s="86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99"/>
    </row>
    <row r="3043" spans="1:27" s="210" customFormat="1" ht="15.75" customHeight="1">
      <c r="A3043" s="203" t="str">
        <f>IF(B3043&lt;&gt;"",IF(AND(B3043&gt;=_TM1,B3043&lt;=_TM2,OR(TH!L3043="1111",TH!M3043="1111")),TH!D3043,""),"")</f>
        <v/>
      </c>
      <c r="B3043" s="36">
        <f t="shared" si="51"/>
        <v>6</v>
      </c>
      <c r="C3043" s="899">
        <f t="shared" si="52"/>
        <v>42157</v>
      </c>
      <c r="D3043" s="900" t="s">
        <v>2013</v>
      </c>
      <c r="E3043" s="900">
        <v>42157</v>
      </c>
      <c r="F3043" s="907" t="s">
        <v>494</v>
      </c>
      <c r="G3043" s="902" t="s">
        <v>750</v>
      </c>
      <c r="H3043" s="913" t="s">
        <v>2014</v>
      </c>
      <c r="I3043" s="253">
        <v>500</v>
      </c>
      <c r="J3043" s="253">
        <v>5306.1640176740266</v>
      </c>
      <c r="K3043" s="904">
        <f t="shared" si="53"/>
        <v>2653082</v>
      </c>
      <c r="L3043" s="869" t="s">
        <v>167</v>
      </c>
      <c r="M3043" s="869" t="s">
        <v>165</v>
      </c>
      <c r="N3043" s="52" t="str">
        <f>IF(AND('331-CT'!$E$7=TH!H3043,OR(L3043="331",M3043="331")),"331",IF(AND(OR(L3043="131",M3043="131"),H3043='131-CT'!$E$7),"131",""))</f>
        <v/>
      </c>
      <c r="O3043" s="86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99"/>
    </row>
    <row r="3044" spans="1:27" s="210" customFormat="1" ht="15.75" customHeight="1">
      <c r="A3044" s="203" t="str">
        <f>IF(B3044&lt;&gt;"",IF(AND(B3044&gt;=_TM1,B3044&lt;=_TM2,OR(TH!L3044="1111",TH!M3044="1111")),TH!D3044,""),"")</f>
        <v/>
      </c>
      <c r="B3044" s="36">
        <f t="shared" si="51"/>
        <v>6</v>
      </c>
      <c r="C3044" s="899">
        <f t="shared" si="52"/>
        <v>42157</v>
      </c>
      <c r="D3044" s="900" t="s">
        <v>2013</v>
      </c>
      <c r="E3044" s="900">
        <v>42157</v>
      </c>
      <c r="F3044" s="907" t="s">
        <v>1731</v>
      </c>
      <c r="G3044" s="902" t="s">
        <v>751</v>
      </c>
      <c r="H3044" s="913" t="s">
        <v>2014</v>
      </c>
      <c r="I3044" s="253">
        <v>500</v>
      </c>
      <c r="J3044" s="253">
        <v>1326.5410044185066</v>
      </c>
      <c r="K3044" s="904">
        <f t="shared" si="53"/>
        <v>663271</v>
      </c>
      <c r="L3044" s="869" t="s">
        <v>167</v>
      </c>
      <c r="M3044" s="869" t="s">
        <v>165</v>
      </c>
      <c r="N3044" s="52" t="str">
        <f>IF(AND('331-CT'!$E$7=TH!H3044,OR(L3044="331",M3044="331")),"331",IF(AND(OR(L3044="131",M3044="131"),H3044='131-CT'!$E$7),"131",""))</f>
        <v/>
      </c>
      <c r="O3044" s="86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99"/>
    </row>
    <row r="3045" spans="1:27" s="210" customFormat="1" ht="15.75" customHeight="1">
      <c r="A3045" s="203" t="str">
        <f>IF(B3045&lt;&gt;"",IF(AND(B3045&gt;=_TM1,B3045&lt;=_TM2,OR(TH!L3045="1111",TH!M3045="1111")),TH!D3045,""),"")</f>
        <v/>
      </c>
      <c r="B3045" s="36">
        <f t="shared" si="51"/>
        <v>6</v>
      </c>
      <c r="C3045" s="899">
        <f t="shared" si="52"/>
        <v>42157</v>
      </c>
      <c r="D3045" s="900" t="s">
        <v>2013</v>
      </c>
      <c r="E3045" s="900">
        <v>42157</v>
      </c>
      <c r="F3045" s="907" t="s">
        <v>1690</v>
      </c>
      <c r="G3045" s="902" t="s">
        <v>751</v>
      </c>
      <c r="H3045" s="913" t="s">
        <v>2014</v>
      </c>
      <c r="I3045" s="253">
        <v>500</v>
      </c>
      <c r="J3045" s="253">
        <v>1872.763770943774</v>
      </c>
      <c r="K3045" s="904">
        <f t="shared" si="53"/>
        <v>936382</v>
      </c>
      <c r="L3045" s="869" t="s">
        <v>167</v>
      </c>
      <c r="M3045" s="869" t="s">
        <v>165</v>
      </c>
      <c r="N3045" s="52" t="str">
        <f>IF(AND('331-CT'!$E$7=TH!H3045,OR(L3045="331",M3045="331")),"331",IF(AND(OR(L3045="131",M3045="131"),H3045='131-CT'!$E$7),"131",""))</f>
        <v/>
      </c>
      <c r="O3045" s="86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99"/>
    </row>
    <row r="3046" spans="1:27" s="210" customFormat="1" ht="15.75" customHeight="1">
      <c r="A3046" s="203" t="str">
        <f>IF(B3046&lt;&gt;"",IF(AND(B3046&gt;=_TM1,B3046&lt;=_TM2,OR(TH!L3046="1111",TH!M3046="1111")),TH!D3046,""),"")</f>
        <v/>
      </c>
      <c r="B3046" s="36">
        <f t="shared" si="51"/>
        <v>6</v>
      </c>
      <c r="C3046" s="899">
        <f t="shared" si="52"/>
        <v>42157</v>
      </c>
      <c r="D3046" s="900" t="s">
        <v>2013</v>
      </c>
      <c r="E3046" s="900">
        <v>42157</v>
      </c>
      <c r="F3046" s="907" t="s">
        <v>752</v>
      </c>
      <c r="G3046" s="902" t="s">
        <v>751</v>
      </c>
      <c r="H3046" s="913" t="s">
        <v>2014</v>
      </c>
      <c r="I3046" s="253">
        <v>506</v>
      </c>
      <c r="J3046" s="253">
        <v>4681.9094273594346</v>
      </c>
      <c r="K3046" s="904">
        <f t="shared" si="53"/>
        <v>2369046</v>
      </c>
      <c r="L3046" s="869" t="s">
        <v>167</v>
      </c>
      <c r="M3046" s="869" t="s">
        <v>165</v>
      </c>
      <c r="N3046" s="52" t="str">
        <f>IF(AND('331-CT'!$E$7=TH!H3046,OR(L3046="331",M3046="331")),"331",IF(AND(OR(L3046="131",M3046="131"),H3046='131-CT'!$E$7),"131",""))</f>
        <v/>
      </c>
      <c r="O3046" s="86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99"/>
    </row>
    <row r="3047" spans="1:27" s="210" customFormat="1" ht="15.75" customHeight="1">
      <c r="A3047" s="203" t="str">
        <f>IF(B3047&lt;&gt;"",IF(AND(B3047&gt;=_TM1,B3047&lt;=_TM2,OR(TH!L3047="1111",TH!M3047="1111")),TH!D3047,""),"")</f>
        <v/>
      </c>
      <c r="B3047" s="36">
        <f t="shared" si="51"/>
        <v>6</v>
      </c>
      <c r="C3047" s="899">
        <f t="shared" si="52"/>
        <v>42157</v>
      </c>
      <c r="D3047" s="900" t="s">
        <v>2013</v>
      </c>
      <c r="E3047" s="900">
        <v>42157</v>
      </c>
      <c r="F3047" s="907" t="s">
        <v>753</v>
      </c>
      <c r="G3047" s="902" t="s">
        <v>751</v>
      </c>
      <c r="H3047" s="913" t="s">
        <v>2014</v>
      </c>
      <c r="I3047" s="253">
        <v>512</v>
      </c>
      <c r="J3047" s="253">
        <v>5540.2594890419978</v>
      </c>
      <c r="K3047" s="904">
        <f t="shared" si="53"/>
        <v>2836613</v>
      </c>
      <c r="L3047" s="869" t="s">
        <v>167</v>
      </c>
      <c r="M3047" s="869" t="s">
        <v>165</v>
      </c>
      <c r="N3047" s="52" t="str">
        <f>IF(AND('331-CT'!$E$7=TH!H3047,OR(L3047="331",M3047="331")),"331",IF(AND(OR(L3047="131",M3047="131"),H3047='131-CT'!$E$7),"131",""))</f>
        <v/>
      </c>
      <c r="O3047" s="86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99"/>
    </row>
    <row r="3048" spans="1:27" s="210" customFormat="1" ht="15.75" customHeight="1">
      <c r="A3048" s="203" t="str">
        <f>IF(B3048&lt;&gt;"",IF(AND(B3048&gt;=_TM1,B3048&lt;=_TM2,OR(TH!L3048="1111",TH!M3048="1111")),TH!D3048,""),"")</f>
        <v/>
      </c>
      <c r="B3048" s="36">
        <f t="shared" si="51"/>
        <v>6</v>
      </c>
      <c r="C3048" s="899">
        <f t="shared" si="52"/>
        <v>42157</v>
      </c>
      <c r="D3048" s="900" t="s">
        <v>2013</v>
      </c>
      <c r="E3048" s="900">
        <v>42157</v>
      </c>
      <c r="F3048" s="907" t="s">
        <v>1935</v>
      </c>
      <c r="G3048" s="902" t="s">
        <v>754</v>
      </c>
      <c r="H3048" s="913" t="s">
        <v>2014</v>
      </c>
      <c r="I3048" s="253">
        <v>1000</v>
      </c>
      <c r="J3048" s="253">
        <v>5852.3867841992942</v>
      </c>
      <c r="K3048" s="904">
        <f t="shared" si="53"/>
        <v>5852387</v>
      </c>
      <c r="L3048" s="869" t="s">
        <v>167</v>
      </c>
      <c r="M3048" s="869" t="s">
        <v>165</v>
      </c>
      <c r="N3048" s="52" t="str">
        <f>IF(AND('331-CT'!$E$7=TH!H3048,OR(L3048="331",M3048="331")),"331",IF(AND(OR(L3048="131",M3048="131"),H3048='131-CT'!$E$7),"131",""))</f>
        <v/>
      </c>
      <c r="O3048" s="86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99"/>
    </row>
    <row r="3049" spans="1:27" s="210" customFormat="1" ht="15.75" customHeight="1">
      <c r="A3049" s="203" t="str">
        <f>IF(B3049&lt;&gt;"",IF(AND(B3049&gt;=_TM1,B3049&lt;=_TM2,OR(TH!L3049="1111",TH!M3049="1111")),TH!D3049,""),"")</f>
        <v/>
      </c>
      <c r="B3049" s="36">
        <f t="shared" si="51"/>
        <v>6</v>
      </c>
      <c r="C3049" s="899">
        <f t="shared" si="52"/>
        <v>42158</v>
      </c>
      <c r="D3049" s="900" t="s">
        <v>2013</v>
      </c>
      <c r="E3049" s="900">
        <v>42158</v>
      </c>
      <c r="F3049" s="907" t="s">
        <v>678</v>
      </c>
      <c r="G3049" s="902" t="s">
        <v>757</v>
      </c>
      <c r="H3049" s="913" t="s">
        <v>2014</v>
      </c>
      <c r="I3049" s="253">
        <v>303</v>
      </c>
      <c r="J3049" s="253">
        <v>5696.3231366206455</v>
      </c>
      <c r="K3049" s="904">
        <f t="shared" si="53"/>
        <v>1725986</v>
      </c>
      <c r="L3049" s="869" t="s">
        <v>167</v>
      </c>
      <c r="M3049" s="869" t="s">
        <v>165</v>
      </c>
      <c r="N3049" s="52" t="str">
        <f>IF(AND('331-CT'!$E$7=TH!H3049,OR(L3049="331",M3049="331")),"331",IF(AND(OR(L3049="131",M3049="131"),H3049='131-CT'!$E$7),"131",""))</f>
        <v/>
      </c>
      <c r="O3049" s="86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99"/>
    </row>
    <row r="3050" spans="1:27" s="210" customFormat="1" ht="15.75" customHeight="1">
      <c r="A3050" s="203" t="str">
        <f>IF(B3050&lt;&gt;"",IF(AND(B3050&gt;=_TM1,B3050&lt;=_TM2,OR(TH!L3050="1111",TH!M3050="1111")),TH!D3050,""),"")</f>
        <v/>
      </c>
      <c r="B3050" s="36">
        <f t="shared" si="51"/>
        <v>6</v>
      </c>
      <c r="C3050" s="899">
        <f t="shared" si="52"/>
        <v>42158</v>
      </c>
      <c r="D3050" s="900" t="s">
        <v>2013</v>
      </c>
      <c r="E3050" s="900">
        <v>42158</v>
      </c>
      <c r="F3050" s="907" t="s">
        <v>441</v>
      </c>
      <c r="G3050" s="902" t="s">
        <v>757</v>
      </c>
      <c r="H3050" s="913" t="s">
        <v>2014</v>
      </c>
      <c r="I3050" s="253">
        <v>1016</v>
      </c>
      <c r="J3050" s="253">
        <v>3979.6230132555197</v>
      </c>
      <c r="K3050" s="904">
        <f t="shared" si="53"/>
        <v>4043297</v>
      </c>
      <c r="L3050" s="869" t="s">
        <v>167</v>
      </c>
      <c r="M3050" s="869" t="s">
        <v>165</v>
      </c>
      <c r="N3050" s="52" t="str">
        <f>IF(AND('331-CT'!$E$7=TH!H3050,OR(L3050="331",M3050="331")),"331",IF(AND(OR(L3050="131",M3050="131"),H3050='131-CT'!$E$7),"131",""))</f>
        <v/>
      </c>
      <c r="O3050" s="86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99"/>
    </row>
    <row r="3051" spans="1:27" s="210" customFormat="1" ht="15.75" customHeight="1">
      <c r="A3051" s="203" t="str">
        <f>IF(B3051&lt;&gt;"",IF(AND(B3051&gt;=_TM1,B3051&lt;=_TM2,OR(TH!L3051="1111",TH!M3051="1111")),TH!D3051,""),"")</f>
        <v/>
      </c>
      <c r="B3051" s="36">
        <f t="shared" si="51"/>
        <v>6</v>
      </c>
      <c r="C3051" s="899">
        <f t="shared" si="52"/>
        <v>42158</v>
      </c>
      <c r="D3051" s="900" t="s">
        <v>2013</v>
      </c>
      <c r="E3051" s="900">
        <v>42158</v>
      </c>
      <c r="F3051" s="907" t="s">
        <v>758</v>
      </c>
      <c r="G3051" s="902" t="s">
        <v>759</v>
      </c>
      <c r="H3051" s="913" t="s">
        <v>2014</v>
      </c>
      <c r="I3051" s="253">
        <v>200</v>
      </c>
      <c r="J3051" s="253">
        <v>5306.1640176740266</v>
      </c>
      <c r="K3051" s="904">
        <f t="shared" si="53"/>
        <v>1061233</v>
      </c>
      <c r="L3051" s="869" t="s">
        <v>167</v>
      </c>
      <c r="M3051" s="869" t="s">
        <v>165</v>
      </c>
      <c r="N3051" s="52" t="str">
        <f>IF(AND('331-CT'!$E$7=TH!H3051,OR(L3051="331",M3051="331")),"331",IF(AND(OR(L3051="131",M3051="131"),H3051='131-CT'!$E$7),"131",""))</f>
        <v/>
      </c>
      <c r="O3051" s="86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99"/>
    </row>
    <row r="3052" spans="1:27" s="210" customFormat="1" ht="15.75" customHeight="1">
      <c r="A3052" s="203" t="str">
        <f>IF(B3052&lt;&gt;"",IF(AND(B3052&gt;=_TM1,B3052&lt;=_TM2,OR(TH!L3052="1111",TH!M3052="1111")),TH!D3052,""),"")</f>
        <v/>
      </c>
      <c r="B3052" s="36">
        <f t="shared" si="51"/>
        <v>6</v>
      </c>
      <c r="C3052" s="899">
        <f t="shared" si="52"/>
        <v>42158</v>
      </c>
      <c r="D3052" s="900" t="s">
        <v>2013</v>
      </c>
      <c r="E3052" s="900">
        <v>42158</v>
      </c>
      <c r="F3052" s="907" t="s">
        <v>413</v>
      </c>
      <c r="G3052" s="902" t="s">
        <v>759</v>
      </c>
      <c r="H3052" s="913" t="s">
        <v>2014</v>
      </c>
      <c r="I3052" s="253">
        <v>500</v>
      </c>
      <c r="J3052" s="253">
        <v>7413.0232599857718</v>
      </c>
      <c r="K3052" s="904">
        <f t="shared" si="53"/>
        <v>3706512</v>
      </c>
      <c r="L3052" s="869" t="s">
        <v>167</v>
      </c>
      <c r="M3052" s="869" t="s">
        <v>165</v>
      </c>
      <c r="N3052" s="52" t="str">
        <f>IF(AND('331-CT'!$E$7=TH!H3052,OR(L3052="331",M3052="331")),"331",IF(AND(OR(L3052="131",M3052="131"),H3052='131-CT'!$E$7),"131",""))</f>
        <v/>
      </c>
      <c r="O3052" s="86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99"/>
    </row>
    <row r="3053" spans="1:27" s="210" customFormat="1" ht="15.75" customHeight="1">
      <c r="A3053" s="203" t="str">
        <f>IF(B3053&lt;&gt;"",IF(AND(B3053&gt;=_TM1,B3053&lt;=_TM2,OR(TH!L3053="1111",TH!M3053="1111")),TH!D3053,""),"")</f>
        <v/>
      </c>
      <c r="B3053" s="36">
        <f t="shared" si="51"/>
        <v>6</v>
      </c>
      <c r="C3053" s="899">
        <f t="shared" si="52"/>
        <v>42159</v>
      </c>
      <c r="D3053" s="900" t="s">
        <v>2013</v>
      </c>
      <c r="E3053" s="900">
        <v>42159</v>
      </c>
      <c r="F3053" s="907" t="s">
        <v>760</v>
      </c>
      <c r="G3053" s="902" t="s">
        <v>761</v>
      </c>
      <c r="H3053" s="913" t="s">
        <v>2014</v>
      </c>
      <c r="I3053" s="253">
        <v>500</v>
      </c>
      <c r="J3053" s="253">
        <v>9988.0734450334621</v>
      </c>
      <c r="K3053" s="904">
        <f t="shared" si="53"/>
        <v>4994037</v>
      </c>
      <c r="L3053" s="869" t="s">
        <v>167</v>
      </c>
      <c r="M3053" s="869" t="s">
        <v>165</v>
      </c>
      <c r="N3053" s="52" t="str">
        <f>IF(AND('331-CT'!$E$7=TH!H3053,OR(L3053="331",M3053="331")),"331",IF(AND(OR(L3053="131",M3053="131"),H3053='131-CT'!$E$7),"131",""))</f>
        <v/>
      </c>
      <c r="O3053" s="86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99"/>
    </row>
    <row r="3054" spans="1:27" s="210" customFormat="1" ht="15.75" customHeight="1">
      <c r="A3054" s="203" t="str">
        <f>IF(B3054&lt;&gt;"",IF(AND(B3054&gt;=_TM1,B3054&lt;=_TM2,OR(TH!L3054="1111",TH!M3054="1111")),TH!D3054,""),"")</f>
        <v/>
      </c>
      <c r="B3054" s="36">
        <f t="shared" si="51"/>
        <v>6</v>
      </c>
      <c r="C3054" s="899">
        <f t="shared" si="52"/>
        <v>42159</v>
      </c>
      <c r="D3054" s="900" t="s">
        <v>2013</v>
      </c>
      <c r="E3054" s="900">
        <v>42159</v>
      </c>
      <c r="F3054" s="907" t="s">
        <v>474</v>
      </c>
      <c r="G3054" s="902" t="s">
        <v>763</v>
      </c>
      <c r="H3054" s="913" t="s">
        <v>2014</v>
      </c>
      <c r="I3054" s="253">
        <v>330</v>
      </c>
      <c r="J3054" s="253">
        <v>9441.8506785081936</v>
      </c>
      <c r="K3054" s="904">
        <f t="shared" si="53"/>
        <v>3115811</v>
      </c>
      <c r="L3054" s="869" t="s">
        <v>167</v>
      </c>
      <c r="M3054" s="869" t="s">
        <v>165</v>
      </c>
      <c r="N3054" s="52" t="str">
        <f>IF(AND('331-CT'!$E$7=TH!H3054,OR(L3054="331",M3054="331")),"331",IF(AND(OR(L3054="131",M3054="131"),H3054='131-CT'!$E$7),"131",""))</f>
        <v/>
      </c>
      <c r="O3054" s="86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99"/>
    </row>
    <row r="3055" spans="1:27" s="210" customFormat="1" ht="15.75" customHeight="1">
      <c r="A3055" s="203" t="str">
        <f>IF(B3055&lt;&gt;"",IF(AND(B3055&gt;=_TM1,B3055&lt;=_TM2,OR(TH!L3055="1111",TH!M3055="1111")),TH!D3055,""),"")</f>
        <v/>
      </c>
      <c r="B3055" s="36">
        <f t="shared" si="51"/>
        <v>6</v>
      </c>
      <c r="C3055" s="899">
        <f t="shared" si="52"/>
        <v>42161</v>
      </c>
      <c r="D3055" s="900" t="s">
        <v>2013</v>
      </c>
      <c r="E3055" s="900">
        <v>42161</v>
      </c>
      <c r="F3055" s="907" t="s">
        <v>765</v>
      </c>
      <c r="G3055" s="902" t="s">
        <v>766</v>
      </c>
      <c r="H3055" s="913" t="s">
        <v>2014</v>
      </c>
      <c r="I3055" s="253">
        <v>70</v>
      </c>
      <c r="J3055" s="253">
        <v>19273.860475963011</v>
      </c>
      <c r="K3055" s="904">
        <f t="shared" si="53"/>
        <v>1349170</v>
      </c>
      <c r="L3055" s="869" t="s">
        <v>167</v>
      </c>
      <c r="M3055" s="869" t="s">
        <v>165</v>
      </c>
      <c r="N3055" s="52" t="str">
        <f>IF(AND('331-CT'!$E$7=TH!H3055,OR(L3055="331",M3055="331")),"331",IF(AND(OR(L3055="131",M3055="131"),H3055='131-CT'!$E$7),"131",""))</f>
        <v/>
      </c>
      <c r="O3055" s="86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99"/>
    </row>
    <row r="3056" spans="1:27" s="210" customFormat="1" ht="15.75" customHeight="1">
      <c r="A3056" s="203" t="str">
        <f>IF(B3056&lt;&gt;"",IF(AND(B3056&gt;=_TM1,B3056&lt;=_TM2,OR(TH!L3056="1111",TH!M3056="1111")),TH!D3056,""),"")</f>
        <v/>
      </c>
      <c r="B3056" s="36">
        <f t="shared" si="51"/>
        <v>6</v>
      </c>
      <c r="C3056" s="899">
        <f t="shared" si="52"/>
        <v>42161</v>
      </c>
      <c r="D3056" s="900" t="s">
        <v>2013</v>
      </c>
      <c r="E3056" s="900">
        <v>42161</v>
      </c>
      <c r="F3056" s="907" t="s">
        <v>768</v>
      </c>
      <c r="G3056" s="902" t="s">
        <v>766</v>
      </c>
      <c r="H3056" s="913" t="s">
        <v>2014</v>
      </c>
      <c r="I3056" s="253">
        <v>92</v>
      </c>
      <c r="J3056" s="253">
        <v>21614.815189642726</v>
      </c>
      <c r="K3056" s="904">
        <f t="shared" si="53"/>
        <v>1988563</v>
      </c>
      <c r="L3056" s="869" t="s">
        <v>167</v>
      </c>
      <c r="M3056" s="869" t="s">
        <v>165</v>
      </c>
      <c r="N3056" s="52" t="str">
        <f>IF(AND('331-CT'!$E$7=TH!H3056,OR(L3056="331",M3056="331")),"331",IF(AND(OR(L3056="131",M3056="131"),H3056='131-CT'!$E$7),"131",""))</f>
        <v/>
      </c>
      <c r="O3056" s="86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99"/>
    </row>
    <row r="3057" spans="1:27" s="210" customFormat="1" ht="15.75" customHeight="1">
      <c r="A3057" s="203" t="str">
        <f>IF(B3057&lt;&gt;"",IF(AND(B3057&gt;=_TM1,B3057&lt;=_TM2,OR(TH!L3057="1111",TH!M3057="1111")),TH!D3057,""),"")</f>
        <v/>
      </c>
      <c r="B3057" s="36">
        <f t="shared" si="51"/>
        <v>6</v>
      </c>
      <c r="C3057" s="899">
        <f t="shared" si="52"/>
        <v>42161</v>
      </c>
      <c r="D3057" s="900" t="s">
        <v>2013</v>
      </c>
      <c r="E3057" s="900">
        <v>42161</v>
      </c>
      <c r="F3057" s="907" t="s">
        <v>769</v>
      </c>
      <c r="G3057" s="902" t="s">
        <v>766</v>
      </c>
      <c r="H3057" s="913" t="s">
        <v>2014</v>
      </c>
      <c r="I3057" s="253">
        <v>67</v>
      </c>
      <c r="J3057" s="253">
        <v>24345.929022269062</v>
      </c>
      <c r="K3057" s="904">
        <f t="shared" si="53"/>
        <v>1631177</v>
      </c>
      <c r="L3057" s="869" t="s">
        <v>167</v>
      </c>
      <c r="M3057" s="869" t="s">
        <v>165</v>
      </c>
      <c r="N3057" s="52" t="str">
        <f>IF(AND('331-CT'!$E$7=TH!H3057,OR(L3057="331",M3057="331")),"331",IF(AND(OR(L3057="131",M3057="131"),H3057='131-CT'!$E$7),"131",""))</f>
        <v/>
      </c>
      <c r="O3057" s="86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99"/>
    </row>
    <row r="3058" spans="1:27" s="210" customFormat="1" ht="15.75" customHeight="1">
      <c r="A3058" s="203" t="str">
        <f>IF(B3058&lt;&gt;"",IF(AND(B3058&gt;=_TM1,B3058&lt;=_TM2,OR(TH!L3058="1111",TH!M3058="1111")),TH!D3058,""),"")</f>
        <v/>
      </c>
      <c r="B3058" s="36">
        <f t="shared" si="51"/>
        <v>6</v>
      </c>
      <c r="C3058" s="899">
        <f t="shared" si="52"/>
        <v>42161</v>
      </c>
      <c r="D3058" s="900" t="s">
        <v>2013</v>
      </c>
      <c r="E3058" s="900">
        <v>42161</v>
      </c>
      <c r="F3058" s="907" t="s">
        <v>770</v>
      </c>
      <c r="G3058" s="902" t="s">
        <v>766</v>
      </c>
      <c r="H3058" s="913" t="s">
        <v>2014</v>
      </c>
      <c r="I3058" s="253">
        <v>100</v>
      </c>
      <c r="J3058" s="253">
        <v>22629.228898903933</v>
      </c>
      <c r="K3058" s="904">
        <f t="shared" si="53"/>
        <v>2262923</v>
      </c>
      <c r="L3058" s="869" t="s">
        <v>167</v>
      </c>
      <c r="M3058" s="869" t="s">
        <v>165</v>
      </c>
      <c r="N3058" s="52" t="str">
        <f>IF(AND('331-CT'!$E$7=TH!H3058,OR(L3058="331",M3058="331")),"331",IF(AND(OR(L3058="131",M3058="131"),H3058='131-CT'!$E$7),"131",""))</f>
        <v/>
      </c>
      <c r="O3058" s="86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99"/>
    </row>
    <row r="3059" spans="1:27" s="210" customFormat="1" ht="15.75" customHeight="1">
      <c r="A3059" s="203" t="str">
        <f>IF(B3059&lt;&gt;"",IF(AND(B3059&gt;=_TM1,B3059&lt;=_TM2,OR(TH!L3059="1111",TH!M3059="1111")),TH!D3059,""),"")</f>
        <v/>
      </c>
      <c r="B3059" s="36">
        <f t="shared" si="51"/>
        <v>6</v>
      </c>
      <c r="C3059" s="899">
        <f t="shared" si="52"/>
        <v>42163</v>
      </c>
      <c r="D3059" s="900" t="s">
        <v>2013</v>
      </c>
      <c r="E3059" s="900">
        <v>42163</v>
      </c>
      <c r="F3059" s="907" t="s">
        <v>413</v>
      </c>
      <c r="G3059" s="902" t="s">
        <v>771</v>
      </c>
      <c r="H3059" s="913" t="s">
        <v>2014</v>
      </c>
      <c r="I3059" s="253">
        <v>309</v>
      </c>
      <c r="J3059" s="253">
        <v>7413.0232599857718</v>
      </c>
      <c r="K3059" s="904">
        <f t="shared" si="53"/>
        <v>2290624</v>
      </c>
      <c r="L3059" s="869" t="s">
        <v>167</v>
      </c>
      <c r="M3059" s="869" t="s">
        <v>165</v>
      </c>
      <c r="N3059" s="52" t="str">
        <f>IF(AND('331-CT'!$E$7=TH!H3059,OR(L3059="331",M3059="331")),"331",IF(AND(OR(L3059="131",M3059="131"),H3059='131-CT'!$E$7),"131",""))</f>
        <v/>
      </c>
      <c r="O3059" s="86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99"/>
    </row>
    <row r="3060" spans="1:27" s="210" customFormat="1" ht="15.75" customHeight="1">
      <c r="A3060" s="203" t="str">
        <f>IF(B3060&lt;&gt;"",IF(AND(B3060&gt;=_TM1,B3060&lt;=_TM2,OR(TH!L3060="1111",TH!M3060="1111")),TH!D3060,""),"")</f>
        <v/>
      </c>
      <c r="B3060" s="36">
        <f t="shared" si="51"/>
        <v>6</v>
      </c>
      <c r="C3060" s="899">
        <f t="shared" si="52"/>
        <v>42163</v>
      </c>
      <c r="D3060" s="900" t="s">
        <v>2013</v>
      </c>
      <c r="E3060" s="900">
        <v>42163</v>
      </c>
      <c r="F3060" s="907" t="s">
        <v>413</v>
      </c>
      <c r="G3060" s="902" t="s">
        <v>771</v>
      </c>
      <c r="H3060" s="913" t="s">
        <v>2014</v>
      </c>
      <c r="I3060" s="253">
        <v>300</v>
      </c>
      <c r="J3060" s="253">
        <v>7413.0232599857718</v>
      </c>
      <c r="K3060" s="904">
        <f t="shared" si="53"/>
        <v>2223907</v>
      </c>
      <c r="L3060" s="869" t="s">
        <v>167</v>
      </c>
      <c r="M3060" s="869" t="s">
        <v>165</v>
      </c>
      <c r="N3060" s="52" t="str">
        <f>IF(AND('331-CT'!$E$7=TH!H3060,OR(L3060="331",M3060="331")),"331",IF(AND(OR(L3060="131",M3060="131"),H3060='131-CT'!$E$7),"131",""))</f>
        <v/>
      </c>
      <c r="O3060" s="86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99"/>
    </row>
    <row r="3061" spans="1:27" s="210" customFormat="1" ht="15.75" customHeight="1">
      <c r="A3061" s="203" t="str">
        <f>IF(B3061&lt;&gt;"",IF(AND(B3061&gt;=_TM1,B3061&lt;=_TM2,OR(TH!L3061="1111",TH!M3061="1111")),TH!D3061,""),"")</f>
        <v/>
      </c>
      <c r="B3061" s="36">
        <f t="shared" si="51"/>
        <v>6</v>
      </c>
      <c r="C3061" s="899">
        <f t="shared" si="52"/>
        <v>42163</v>
      </c>
      <c r="D3061" s="900" t="s">
        <v>2013</v>
      </c>
      <c r="E3061" s="900">
        <v>42163</v>
      </c>
      <c r="F3061" s="907" t="s">
        <v>413</v>
      </c>
      <c r="G3061" s="902" t="s">
        <v>771</v>
      </c>
      <c r="H3061" s="913" t="s">
        <v>2014</v>
      </c>
      <c r="I3061" s="253">
        <v>300</v>
      </c>
      <c r="J3061" s="253">
        <v>7413.0232599857718</v>
      </c>
      <c r="K3061" s="904">
        <f t="shared" si="53"/>
        <v>2223907</v>
      </c>
      <c r="L3061" s="869" t="s">
        <v>167</v>
      </c>
      <c r="M3061" s="869" t="s">
        <v>165</v>
      </c>
      <c r="N3061" s="52" t="str">
        <f>IF(AND('331-CT'!$E$7=TH!H3061,OR(L3061="331",M3061="331")),"331",IF(AND(OR(L3061="131",M3061="131"),H3061='131-CT'!$E$7),"131",""))</f>
        <v/>
      </c>
      <c r="O3061" s="86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99"/>
    </row>
    <row r="3062" spans="1:27" s="210" customFormat="1" ht="15.75" customHeight="1">
      <c r="A3062" s="203" t="str">
        <f>IF(B3062&lt;&gt;"",IF(AND(B3062&gt;=_TM1,B3062&lt;=_TM2,OR(TH!L3062="1111",TH!M3062="1111")),TH!D3062,""),"")</f>
        <v/>
      </c>
      <c r="B3062" s="36">
        <f t="shared" si="51"/>
        <v>6</v>
      </c>
      <c r="C3062" s="899">
        <f t="shared" si="52"/>
        <v>42163</v>
      </c>
      <c r="D3062" s="900" t="s">
        <v>2013</v>
      </c>
      <c r="E3062" s="900">
        <v>42163</v>
      </c>
      <c r="F3062" s="907" t="s">
        <v>772</v>
      </c>
      <c r="G3062" s="902" t="s">
        <v>773</v>
      </c>
      <c r="H3062" s="913" t="s">
        <v>2014</v>
      </c>
      <c r="I3062" s="253">
        <v>502</v>
      </c>
      <c r="J3062" s="253">
        <v>3745.5275418875481</v>
      </c>
      <c r="K3062" s="904">
        <f t="shared" si="53"/>
        <v>1880255</v>
      </c>
      <c r="L3062" s="869" t="s">
        <v>167</v>
      </c>
      <c r="M3062" s="869" t="s">
        <v>165</v>
      </c>
      <c r="N3062" s="52" t="str">
        <f>IF(AND('331-CT'!$E$7=TH!H3062,OR(L3062="331",M3062="331")),"331",IF(AND(OR(L3062="131",M3062="131"),H3062='131-CT'!$E$7),"131",""))</f>
        <v/>
      </c>
      <c r="O3062" s="86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99"/>
    </row>
    <row r="3063" spans="1:27" s="210" customFormat="1" ht="15.75" customHeight="1">
      <c r="A3063" s="203" t="str">
        <f>IF(B3063&lt;&gt;"",IF(AND(B3063&gt;=_TM1,B3063&lt;=_TM2,OR(TH!L3063="1111",TH!M3063="1111")),TH!D3063,""),"")</f>
        <v/>
      </c>
      <c r="B3063" s="36">
        <f t="shared" si="51"/>
        <v>6</v>
      </c>
      <c r="C3063" s="899">
        <f t="shared" si="52"/>
        <v>42163</v>
      </c>
      <c r="D3063" s="900" t="s">
        <v>2013</v>
      </c>
      <c r="E3063" s="900">
        <v>42163</v>
      </c>
      <c r="F3063" s="907" t="s">
        <v>772</v>
      </c>
      <c r="G3063" s="902" t="s">
        <v>773</v>
      </c>
      <c r="H3063" s="913" t="s">
        <v>2014</v>
      </c>
      <c r="I3063" s="253">
        <v>516</v>
      </c>
      <c r="J3063" s="253">
        <v>3745.5275418875481</v>
      </c>
      <c r="K3063" s="904">
        <f t="shared" si="53"/>
        <v>1932692</v>
      </c>
      <c r="L3063" s="869" t="s">
        <v>167</v>
      </c>
      <c r="M3063" s="869" t="s">
        <v>165</v>
      </c>
      <c r="N3063" s="52" t="str">
        <f>IF(AND('331-CT'!$E$7=TH!H3063,OR(L3063="331",M3063="331")),"331",IF(AND(OR(L3063="131",M3063="131"),H3063='131-CT'!$E$7),"131",""))</f>
        <v/>
      </c>
      <c r="O3063" s="86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99"/>
    </row>
    <row r="3064" spans="1:27" s="210" customFormat="1" ht="15.75" customHeight="1">
      <c r="A3064" s="203" t="str">
        <f>IF(B3064&lt;&gt;"",IF(AND(B3064&gt;=_TM1,B3064&lt;=_TM2,OR(TH!L3064="1111",TH!M3064="1111")),TH!D3064,""),"")</f>
        <v/>
      </c>
      <c r="B3064" s="36">
        <f t="shared" si="51"/>
        <v>6</v>
      </c>
      <c r="C3064" s="899">
        <f t="shared" si="52"/>
        <v>42167</v>
      </c>
      <c r="D3064" s="900" t="s">
        <v>2013</v>
      </c>
      <c r="E3064" s="900">
        <v>42167</v>
      </c>
      <c r="F3064" s="907" t="s">
        <v>494</v>
      </c>
      <c r="G3064" s="902" t="s">
        <v>775</v>
      </c>
      <c r="H3064" s="913" t="s">
        <v>2014</v>
      </c>
      <c r="I3064" s="253">
        <v>1080</v>
      </c>
      <c r="J3064" s="253">
        <v>5306.1640176740266</v>
      </c>
      <c r="K3064" s="904">
        <f t="shared" si="53"/>
        <v>5730657</v>
      </c>
      <c r="L3064" s="869" t="s">
        <v>167</v>
      </c>
      <c r="M3064" s="869" t="s">
        <v>165</v>
      </c>
      <c r="N3064" s="52" t="str">
        <f>IF(AND('331-CT'!$E$7=TH!H3064,OR(L3064="331",M3064="331")),"331",IF(AND(OR(L3064="131",M3064="131"),H3064='131-CT'!$E$7),"131",""))</f>
        <v/>
      </c>
      <c r="O3064" s="86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99"/>
    </row>
    <row r="3065" spans="1:27" s="210" customFormat="1" ht="15.75" customHeight="1">
      <c r="A3065" s="203" t="str">
        <f>IF(B3065&lt;&gt;"",IF(AND(B3065&gt;=_TM1,B3065&lt;=_TM2,OR(TH!L3065="1111",TH!M3065="1111")),TH!D3065,""),"")</f>
        <v/>
      </c>
      <c r="B3065" s="36">
        <f t="shared" si="51"/>
        <v>6</v>
      </c>
      <c r="C3065" s="899">
        <f t="shared" si="52"/>
        <v>42170</v>
      </c>
      <c r="D3065" s="900" t="s">
        <v>2013</v>
      </c>
      <c r="E3065" s="900">
        <v>42170</v>
      </c>
      <c r="F3065" s="907" t="s">
        <v>474</v>
      </c>
      <c r="G3065" s="902" t="s">
        <v>776</v>
      </c>
      <c r="H3065" s="913" t="s">
        <v>2014</v>
      </c>
      <c r="I3065" s="253">
        <v>282</v>
      </c>
      <c r="J3065" s="253">
        <v>9441.8506785081936</v>
      </c>
      <c r="K3065" s="904">
        <f t="shared" si="53"/>
        <v>2662602</v>
      </c>
      <c r="L3065" s="869" t="s">
        <v>167</v>
      </c>
      <c r="M3065" s="869" t="s">
        <v>165</v>
      </c>
      <c r="N3065" s="52" t="str">
        <f>IF(AND('331-CT'!$E$7=TH!H3065,OR(L3065="331",M3065="331")),"331",IF(AND(OR(L3065="131",M3065="131"),H3065='131-CT'!$E$7),"131",""))</f>
        <v/>
      </c>
      <c r="O3065" s="86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99"/>
    </row>
    <row r="3066" spans="1:27" s="210" customFormat="1" ht="15.75" customHeight="1">
      <c r="A3066" s="203" t="str">
        <f>IF(B3066&lt;&gt;"",IF(AND(B3066&gt;=_TM1,B3066&lt;=_TM2,OR(TH!L3066="1111",TH!M3066="1111")),TH!D3066,""),"")</f>
        <v/>
      </c>
      <c r="B3066" s="36">
        <f t="shared" si="51"/>
        <v>6</v>
      </c>
      <c r="C3066" s="899">
        <f t="shared" si="52"/>
        <v>42170</v>
      </c>
      <c r="D3066" s="900" t="s">
        <v>2013</v>
      </c>
      <c r="E3066" s="900">
        <v>42170</v>
      </c>
      <c r="F3066" s="907" t="s">
        <v>777</v>
      </c>
      <c r="G3066" s="902" t="s">
        <v>778</v>
      </c>
      <c r="H3066" s="913" t="s">
        <v>2014</v>
      </c>
      <c r="I3066" s="253">
        <v>500</v>
      </c>
      <c r="J3066" s="253">
        <v>7256.959612407125</v>
      </c>
      <c r="K3066" s="904">
        <f t="shared" si="53"/>
        <v>3628480</v>
      </c>
      <c r="L3066" s="869" t="s">
        <v>167</v>
      </c>
      <c r="M3066" s="869" t="s">
        <v>165</v>
      </c>
      <c r="N3066" s="52" t="str">
        <f>IF(AND('331-CT'!$E$7=TH!H3066,OR(L3066="331",M3066="331")),"331",IF(AND(OR(L3066="131",M3066="131"),H3066='131-CT'!$E$7),"131",""))</f>
        <v/>
      </c>
      <c r="O3066" s="86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99"/>
    </row>
    <row r="3067" spans="1:27" s="210" customFormat="1" ht="15.75" customHeight="1">
      <c r="A3067" s="203" t="str">
        <f>IF(B3067&lt;&gt;"",IF(AND(B3067&gt;=_TM1,B3067&lt;=_TM2,OR(TH!L3067="1111",TH!M3067="1111")),TH!D3067,""),"")</f>
        <v/>
      </c>
      <c r="B3067" s="36">
        <f t="shared" si="51"/>
        <v>6</v>
      </c>
      <c r="C3067" s="899">
        <f t="shared" si="52"/>
        <v>42171</v>
      </c>
      <c r="D3067" s="900" t="s">
        <v>2013</v>
      </c>
      <c r="E3067" s="900">
        <v>42171</v>
      </c>
      <c r="F3067" s="907" t="s">
        <v>518</v>
      </c>
      <c r="G3067" s="902" t="s">
        <v>780</v>
      </c>
      <c r="H3067" s="913" t="s">
        <v>2014</v>
      </c>
      <c r="I3067" s="253">
        <v>205</v>
      </c>
      <c r="J3067" s="253">
        <v>8115.3096740896872</v>
      </c>
      <c r="K3067" s="904">
        <f t="shared" si="53"/>
        <v>1663638</v>
      </c>
      <c r="L3067" s="869" t="s">
        <v>167</v>
      </c>
      <c r="M3067" s="869" t="s">
        <v>165</v>
      </c>
      <c r="N3067" s="52" t="str">
        <f>IF(AND('331-CT'!$E$7=TH!H3067,OR(L3067="331",M3067="331")),"331",IF(AND(OR(L3067="131",M3067="131"),H3067='131-CT'!$E$7),"131",""))</f>
        <v/>
      </c>
      <c r="O3067" s="86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99"/>
    </row>
    <row r="3068" spans="1:27" s="210" customFormat="1" ht="15.75" customHeight="1">
      <c r="A3068" s="203" t="str">
        <f>IF(B3068&lt;&gt;"",IF(AND(B3068&gt;=_TM1,B3068&lt;=_TM2,OR(TH!L3068="1111",TH!M3068="1111")),TH!D3068,""),"")</f>
        <v/>
      </c>
      <c r="B3068" s="36">
        <f t="shared" si="51"/>
        <v>6</v>
      </c>
      <c r="C3068" s="899">
        <f t="shared" si="52"/>
        <v>42171</v>
      </c>
      <c r="D3068" s="900" t="s">
        <v>2013</v>
      </c>
      <c r="E3068" s="900">
        <v>42171</v>
      </c>
      <c r="F3068" s="907" t="s">
        <v>1661</v>
      </c>
      <c r="G3068" s="902" t="s">
        <v>780</v>
      </c>
      <c r="H3068" s="913" t="s">
        <v>2014</v>
      </c>
      <c r="I3068" s="253">
        <v>205</v>
      </c>
      <c r="J3068" s="253">
        <v>468.19094273594351</v>
      </c>
      <c r="K3068" s="904">
        <f t="shared" si="53"/>
        <v>95979</v>
      </c>
      <c r="L3068" s="869" t="s">
        <v>167</v>
      </c>
      <c r="M3068" s="869" t="s">
        <v>165</v>
      </c>
      <c r="N3068" s="52" t="str">
        <f>IF(AND('331-CT'!$E$7=TH!H3068,OR(L3068="331",M3068="331")),"331",IF(AND(OR(L3068="131",M3068="131"),H3068='131-CT'!$E$7),"131",""))</f>
        <v/>
      </c>
      <c r="O3068" s="86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99"/>
    </row>
    <row r="3069" spans="1:27" s="210" customFormat="1" ht="15.75" customHeight="1">
      <c r="A3069" s="203" t="str">
        <f>IF(B3069&lt;&gt;"",IF(AND(B3069&gt;=_TM1,B3069&lt;=_TM2,OR(TH!L3069="1111",TH!M3069="1111")),TH!D3069,""),"")</f>
        <v/>
      </c>
      <c r="B3069" s="36">
        <f t="shared" si="51"/>
        <v>6</v>
      </c>
      <c r="C3069" s="899">
        <f t="shared" si="52"/>
        <v>42171</v>
      </c>
      <c r="D3069" s="900" t="s">
        <v>2013</v>
      </c>
      <c r="E3069" s="900">
        <v>42171</v>
      </c>
      <c r="F3069" s="907" t="s">
        <v>781</v>
      </c>
      <c r="G3069" s="902" t="s">
        <v>782</v>
      </c>
      <c r="H3069" s="913" t="s">
        <v>2014</v>
      </c>
      <c r="I3069" s="253">
        <v>308</v>
      </c>
      <c r="J3069" s="253">
        <v>10846.423506716024</v>
      </c>
      <c r="K3069" s="904">
        <f t="shared" si="53"/>
        <v>3340698</v>
      </c>
      <c r="L3069" s="869" t="s">
        <v>167</v>
      </c>
      <c r="M3069" s="869" t="s">
        <v>165</v>
      </c>
      <c r="N3069" s="52" t="str">
        <f>IF(AND('331-CT'!$E$7=TH!H3069,OR(L3069="331",M3069="331")),"331",IF(AND(OR(L3069="131",M3069="131"),H3069='131-CT'!$E$7),"131",""))</f>
        <v/>
      </c>
      <c r="O3069" s="86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99"/>
    </row>
    <row r="3070" spans="1:27" s="210" customFormat="1" ht="15.75" customHeight="1">
      <c r="A3070" s="203" t="str">
        <f>IF(B3070&lt;&gt;"",IF(AND(B3070&gt;=_TM1,B3070&lt;=_TM2,OR(TH!L3070="1111",TH!M3070="1111")),TH!D3070,""),"")</f>
        <v/>
      </c>
      <c r="B3070" s="36">
        <f t="shared" si="51"/>
        <v>6</v>
      </c>
      <c r="C3070" s="899">
        <f t="shared" si="52"/>
        <v>42172</v>
      </c>
      <c r="D3070" s="900" t="s">
        <v>2013</v>
      </c>
      <c r="E3070" s="900">
        <v>42172</v>
      </c>
      <c r="F3070" s="907" t="s">
        <v>784</v>
      </c>
      <c r="G3070" s="902" t="s">
        <v>785</v>
      </c>
      <c r="H3070" s="913" t="s">
        <v>2014</v>
      </c>
      <c r="I3070" s="253">
        <v>286</v>
      </c>
      <c r="J3070" s="253">
        <v>8271.3733216683358</v>
      </c>
      <c r="K3070" s="904">
        <f t="shared" si="53"/>
        <v>2365613</v>
      </c>
      <c r="L3070" s="869" t="s">
        <v>167</v>
      </c>
      <c r="M3070" s="869" t="s">
        <v>165</v>
      </c>
      <c r="N3070" s="52" t="str">
        <f>IF(AND('331-CT'!$E$7=TH!H3070,OR(L3070="331",M3070="331")),"331",IF(AND(OR(L3070="131",M3070="131"),H3070='131-CT'!$E$7),"131",""))</f>
        <v/>
      </c>
      <c r="O3070" s="86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99"/>
    </row>
    <row r="3071" spans="1:27" s="210" customFormat="1" ht="15.75" customHeight="1">
      <c r="A3071" s="203" t="str">
        <f>IF(B3071&lt;&gt;"",IF(AND(B3071&gt;=_TM1,B3071&lt;=_TM2,OR(TH!L3071="1111",TH!M3071="1111")),TH!D3071,""),"")</f>
        <v/>
      </c>
      <c r="B3071" s="36">
        <f t="shared" si="51"/>
        <v>6</v>
      </c>
      <c r="C3071" s="899">
        <f t="shared" si="52"/>
        <v>42172</v>
      </c>
      <c r="D3071" s="900" t="s">
        <v>2013</v>
      </c>
      <c r="E3071" s="900">
        <v>42172</v>
      </c>
      <c r="F3071" s="907" t="s">
        <v>1732</v>
      </c>
      <c r="G3071" s="902" t="s">
        <v>787</v>
      </c>
      <c r="H3071" s="913" t="s">
        <v>2014</v>
      </c>
      <c r="I3071" s="253">
        <v>80</v>
      </c>
      <c r="J3071" s="253">
        <v>10768.3916829267</v>
      </c>
      <c r="K3071" s="904">
        <f t="shared" si="53"/>
        <v>861471</v>
      </c>
      <c r="L3071" s="869" t="s">
        <v>167</v>
      </c>
      <c r="M3071" s="869" t="s">
        <v>165</v>
      </c>
      <c r="N3071" s="52" t="str">
        <f>IF(AND('331-CT'!$E$7=TH!H3071,OR(L3071="331",M3071="331")),"331",IF(AND(OR(L3071="131",M3071="131"),H3071='131-CT'!$E$7),"131",""))</f>
        <v/>
      </c>
      <c r="O3071" s="86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99"/>
    </row>
    <row r="3072" spans="1:27" s="210" customFormat="1" ht="15.75" customHeight="1">
      <c r="A3072" s="203" t="str">
        <f>IF(B3072&lt;&gt;"",IF(AND(B3072&gt;=_TM1,B3072&lt;=_TM2,OR(TH!L3072="1111",TH!M3072="1111")),TH!D3072,""),"")</f>
        <v/>
      </c>
      <c r="B3072" s="36">
        <f t="shared" si="51"/>
        <v>6</v>
      </c>
      <c r="C3072" s="899">
        <f t="shared" si="52"/>
        <v>42172</v>
      </c>
      <c r="D3072" s="900" t="s">
        <v>2013</v>
      </c>
      <c r="E3072" s="900">
        <v>42172</v>
      </c>
      <c r="F3072" s="907" t="s">
        <v>1733</v>
      </c>
      <c r="G3072" s="902" t="s">
        <v>787</v>
      </c>
      <c r="H3072" s="913" t="s">
        <v>2014</v>
      </c>
      <c r="I3072" s="253">
        <v>74</v>
      </c>
      <c r="J3072" s="253">
        <v>19664.019594909627</v>
      </c>
      <c r="K3072" s="904">
        <f t="shared" si="53"/>
        <v>1455137</v>
      </c>
      <c r="L3072" s="869" t="s">
        <v>167</v>
      </c>
      <c r="M3072" s="869" t="s">
        <v>165</v>
      </c>
      <c r="N3072" s="52" t="str">
        <f>IF(AND('331-CT'!$E$7=TH!H3072,OR(L3072="331",M3072="331")),"331",IF(AND(OR(L3072="131",M3072="131"),H3072='131-CT'!$E$7),"131",""))</f>
        <v/>
      </c>
      <c r="O3072" s="86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99"/>
    </row>
    <row r="3073" spans="1:27" s="210" customFormat="1" ht="15.75" customHeight="1">
      <c r="A3073" s="203" t="str">
        <f>IF(B3073&lt;&gt;"",IF(AND(B3073&gt;=_TM1,B3073&lt;=_TM2,OR(TH!L3073="1111",TH!M3073="1111")),TH!D3073,""),"")</f>
        <v/>
      </c>
      <c r="B3073" s="36">
        <f t="shared" si="51"/>
        <v>6</v>
      </c>
      <c r="C3073" s="899">
        <f t="shared" si="52"/>
        <v>42172</v>
      </c>
      <c r="D3073" s="900" t="s">
        <v>2013</v>
      </c>
      <c r="E3073" s="900">
        <v>42172</v>
      </c>
      <c r="F3073" s="907" t="s">
        <v>1734</v>
      </c>
      <c r="G3073" s="902" t="s">
        <v>787</v>
      </c>
      <c r="H3073" s="913" t="s">
        <v>2014</v>
      </c>
      <c r="I3073" s="253">
        <v>205</v>
      </c>
      <c r="J3073" s="253">
        <v>13655.569163131686</v>
      </c>
      <c r="K3073" s="904">
        <f t="shared" si="53"/>
        <v>2799392</v>
      </c>
      <c r="L3073" s="869" t="s">
        <v>167</v>
      </c>
      <c r="M3073" s="869" t="s">
        <v>165</v>
      </c>
      <c r="N3073" s="52" t="str">
        <f>IF(AND('331-CT'!$E$7=TH!H3073,OR(L3073="331",M3073="331")),"331",IF(AND(OR(L3073="131",M3073="131"),H3073='131-CT'!$E$7),"131",""))</f>
        <v/>
      </c>
      <c r="O3073" s="86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99"/>
    </row>
    <row r="3074" spans="1:27" s="210" customFormat="1" ht="15.75" customHeight="1">
      <c r="A3074" s="203" t="str">
        <f>IF(B3074&lt;&gt;"",IF(AND(B3074&gt;=_TM1,B3074&lt;=_TM2,OR(TH!L3074="1111",TH!M3074="1111")),TH!D3074,""),"")</f>
        <v/>
      </c>
      <c r="B3074" s="36">
        <f t="shared" si="51"/>
        <v>6</v>
      </c>
      <c r="C3074" s="899">
        <f t="shared" si="52"/>
        <v>42172</v>
      </c>
      <c r="D3074" s="900" t="s">
        <v>2013</v>
      </c>
      <c r="E3074" s="900">
        <v>42172</v>
      </c>
      <c r="F3074" s="907" t="s">
        <v>1735</v>
      </c>
      <c r="G3074" s="902" t="s">
        <v>788</v>
      </c>
      <c r="H3074" s="913" t="s">
        <v>2014</v>
      </c>
      <c r="I3074" s="253">
        <v>100</v>
      </c>
      <c r="J3074" s="253">
        <v>6710.7368458818564</v>
      </c>
      <c r="K3074" s="904">
        <f t="shared" si="53"/>
        <v>671074</v>
      </c>
      <c r="L3074" s="869" t="s">
        <v>167</v>
      </c>
      <c r="M3074" s="869" t="s">
        <v>165</v>
      </c>
      <c r="N3074" s="52" t="str">
        <f>IF(AND('331-CT'!$E$7=TH!H3074,OR(L3074="331",M3074="331")),"331",IF(AND(OR(L3074="131",M3074="131"),H3074='131-CT'!$E$7),"131",""))</f>
        <v/>
      </c>
      <c r="O3074" s="86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99"/>
    </row>
    <row r="3075" spans="1:27" s="210" customFormat="1" ht="15.75" customHeight="1">
      <c r="A3075" s="203" t="str">
        <f>IF(B3075&lt;&gt;"",IF(AND(B3075&gt;=_TM1,B3075&lt;=_TM2,OR(TH!L3075="1111",TH!M3075="1111")),TH!D3075,""),"")</f>
        <v/>
      </c>
      <c r="B3075" s="36">
        <f t="shared" si="51"/>
        <v>6</v>
      </c>
      <c r="C3075" s="899">
        <f t="shared" si="52"/>
        <v>42172</v>
      </c>
      <c r="D3075" s="900" t="s">
        <v>2013</v>
      </c>
      <c r="E3075" s="900">
        <v>42172</v>
      </c>
      <c r="F3075" s="907" t="s">
        <v>741</v>
      </c>
      <c r="G3075" s="902" t="s">
        <v>788</v>
      </c>
      <c r="H3075" s="913" t="s">
        <v>2014</v>
      </c>
      <c r="I3075" s="253">
        <v>200</v>
      </c>
      <c r="J3075" s="253">
        <v>7725.1505551430673</v>
      </c>
      <c r="K3075" s="904">
        <f t="shared" si="53"/>
        <v>1545030</v>
      </c>
      <c r="L3075" s="869" t="s">
        <v>167</v>
      </c>
      <c r="M3075" s="869" t="s">
        <v>165</v>
      </c>
      <c r="N3075" s="52" t="str">
        <f>IF(AND('331-CT'!$E$7=TH!H3075,OR(L3075="331",M3075="331")),"331",IF(AND(OR(L3075="131",M3075="131"),H3075='131-CT'!$E$7),"131",""))</f>
        <v/>
      </c>
      <c r="O3075" s="86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99"/>
    </row>
    <row r="3076" spans="1:27" s="210" customFormat="1" ht="15.75" customHeight="1">
      <c r="A3076" s="203" t="str">
        <f>IF(B3076&lt;&gt;"",IF(AND(B3076&gt;=_TM1,B3076&lt;=_TM2,OR(TH!L3076="1111",TH!M3076="1111")),TH!D3076,""),"")</f>
        <v/>
      </c>
      <c r="B3076" s="36">
        <f t="shared" si="51"/>
        <v>6</v>
      </c>
      <c r="C3076" s="899">
        <f t="shared" si="52"/>
        <v>42172</v>
      </c>
      <c r="D3076" s="900" t="s">
        <v>2013</v>
      </c>
      <c r="E3076" s="900">
        <v>42172</v>
      </c>
      <c r="F3076" s="907" t="s">
        <v>692</v>
      </c>
      <c r="G3076" s="902" t="s">
        <v>788</v>
      </c>
      <c r="H3076" s="913" t="s">
        <v>2014</v>
      </c>
      <c r="I3076" s="253">
        <v>75</v>
      </c>
      <c r="J3076" s="253">
        <v>13967.696458288981</v>
      </c>
      <c r="K3076" s="904">
        <f t="shared" si="53"/>
        <v>1047577</v>
      </c>
      <c r="L3076" s="869" t="s">
        <v>167</v>
      </c>
      <c r="M3076" s="869" t="s">
        <v>165</v>
      </c>
      <c r="N3076" s="52" t="str">
        <f>IF(AND('331-CT'!$E$7=TH!H3076,OR(L3076="331",M3076="331")),"331",IF(AND(OR(L3076="131",M3076="131"),H3076='131-CT'!$E$7),"131",""))</f>
        <v/>
      </c>
      <c r="O3076" s="86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99"/>
    </row>
    <row r="3077" spans="1:27" s="210" customFormat="1" ht="15.75" customHeight="1">
      <c r="A3077" s="203" t="str">
        <f>IF(B3077&lt;&gt;"",IF(AND(B3077&gt;=_TM1,B3077&lt;=_TM2,OR(TH!L3077="1111",TH!M3077="1111")),TH!D3077,""),"")</f>
        <v/>
      </c>
      <c r="B3077" s="36">
        <f t="shared" si="51"/>
        <v>6</v>
      </c>
      <c r="C3077" s="899">
        <f t="shared" si="52"/>
        <v>42172</v>
      </c>
      <c r="D3077" s="900" t="s">
        <v>2013</v>
      </c>
      <c r="E3077" s="900">
        <v>42172</v>
      </c>
      <c r="F3077" s="907" t="s">
        <v>692</v>
      </c>
      <c r="G3077" s="902" t="s">
        <v>788</v>
      </c>
      <c r="H3077" s="913" t="s">
        <v>2014</v>
      </c>
      <c r="I3077" s="253">
        <v>30</v>
      </c>
      <c r="J3077" s="253">
        <v>13967.696458288981</v>
      </c>
      <c r="K3077" s="904">
        <f t="shared" si="53"/>
        <v>419031</v>
      </c>
      <c r="L3077" s="869" t="s">
        <v>167</v>
      </c>
      <c r="M3077" s="869" t="s">
        <v>165</v>
      </c>
      <c r="N3077" s="52" t="str">
        <f>IF(AND('331-CT'!$E$7=TH!H3077,OR(L3077="331",M3077="331")),"331",IF(AND(OR(L3077="131",M3077="131"),H3077='131-CT'!$E$7),"131",""))</f>
        <v/>
      </c>
      <c r="O3077" s="86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99"/>
    </row>
    <row r="3078" spans="1:27" s="210" customFormat="1" ht="15.75" customHeight="1">
      <c r="A3078" s="203" t="str">
        <f>IF(B3078&lt;&gt;"",IF(AND(B3078&gt;=_TM1,B3078&lt;=_TM2,OR(TH!L3078="1111",TH!M3078="1111")),TH!D3078,""),"")</f>
        <v/>
      </c>
      <c r="B3078" s="36">
        <f t="shared" si="51"/>
        <v>6</v>
      </c>
      <c r="C3078" s="899">
        <f t="shared" si="52"/>
        <v>42172</v>
      </c>
      <c r="D3078" s="900" t="s">
        <v>2013</v>
      </c>
      <c r="E3078" s="900">
        <v>42172</v>
      </c>
      <c r="F3078" s="907" t="s">
        <v>1704</v>
      </c>
      <c r="G3078" s="902" t="s">
        <v>788</v>
      </c>
      <c r="H3078" s="913" t="s">
        <v>2014</v>
      </c>
      <c r="I3078" s="253">
        <v>25</v>
      </c>
      <c r="J3078" s="253">
        <v>12953.282749027769</v>
      </c>
      <c r="K3078" s="904">
        <f t="shared" si="53"/>
        <v>323832</v>
      </c>
      <c r="L3078" s="869" t="s">
        <v>167</v>
      </c>
      <c r="M3078" s="869" t="s">
        <v>165</v>
      </c>
      <c r="N3078" s="52" t="str">
        <f>IF(AND('331-CT'!$E$7=TH!H3078,OR(L3078="331",M3078="331")),"331",IF(AND(OR(L3078="131",M3078="131"),H3078='131-CT'!$E$7),"131",""))</f>
        <v/>
      </c>
      <c r="O3078" s="86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99"/>
    </row>
    <row r="3079" spans="1:27" s="210" customFormat="1" ht="15.75" customHeight="1">
      <c r="A3079" s="203" t="str">
        <f>IF(B3079&lt;&gt;"",IF(AND(B3079&gt;=_TM1,B3079&lt;=_TM2,OR(TH!L3079="1111",TH!M3079="1111")),TH!D3079,""),"")</f>
        <v/>
      </c>
      <c r="B3079" s="36">
        <f t="shared" si="51"/>
        <v>6</v>
      </c>
      <c r="C3079" s="899">
        <f t="shared" si="52"/>
        <v>42172</v>
      </c>
      <c r="D3079" s="900" t="s">
        <v>2013</v>
      </c>
      <c r="E3079" s="900">
        <v>42172</v>
      </c>
      <c r="F3079" s="907" t="s">
        <v>1736</v>
      </c>
      <c r="G3079" s="902" t="s">
        <v>788</v>
      </c>
      <c r="H3079" s="913" t="s">
        <v>2014</v>
      </c>
      <c r="I3079" s="253">
        <v>40</v>
      </c>
      <c r="J3079" s="253">
        <v>14045.728282078306</v>
      </c>
      <c r="K3079" s="904">
        <f t="shared" si="53"/>
        <v>561829</v>
      </c>
      <c r="L3079" s="869" t="s">
        <v>167</v>
      </c>
      <c r="M3079" s="869" t="s">
        <v>165</v>
      </c>
      <c r="N3079" s="52" t="str">
        <f>IF(AND('331-CT'!$E$7=TH!H3079,OR(L3079="331",M3079="331")),"331",IF(AND(OR(L3079="131",M3079="131"),H3079='131-CT'!$E$7),"131",""))</f>
        <v/>
      </c>
      <c r="O3079" s="86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99"/>
    </row>
    <row r="3080" spans="1:27" s="210" customFormat="1" ht="15.75" customHeight="1">
      <c r="A3080" s="203" t="str">
        <f>IF(B3080&lt;&gt;"",IF(AND(B3080&gt;=_TM1,B3080&lt;=_TM2,OR(TH!L3080="1111",TH!M3080="1111")),TH!D3080,""),"")</f>
        <v/>
      </c>
      <c r="B3080" s="36">
        <f t="shared" si="51"/>
        <v>6</v>
      </c>
      <c r="C3080" s="899">
        <f t="shared" si="52"/>
        <v>42172</v>
      </c>
      <c r="D3080" s="900" t="s">
        <v>2013</v>
      </c>
      <c r="E3080" s="900">
        <v>42172</v>
      </c>
      <c r="F3080" s="907" t="s">
        <v>695</v>
      </c>
      <c r="G3080" s="902" t="s">
        <v>788</v>
      </c>
      <c r="H3080" s="913" t="s">
        <v>2014</v>
      </c>
      <c r="I3080" s="253">
        <v>25</v>
      </c>
      <c r="J3080" s="253">
        <v>13733.60098692101</v>
      </c>
      <c r="K3080" s="904">
        <f t="shared" si="53"/>
        <v>343340</v>
      </c>
      <c r="L3080" s="869" t="s">
        <v>167</v>
      </c>
      <c r="M3080" s="869" t="s">
        <v>165</v>
      </c>
      <c r="N3080" s="52" t="str">
        <f>IF(AND('331-CT'!$E$7=TH!H3080,OR(L3080="331",M3080="331")),"331",IF(AND(OR(L3080="131",M3080="131"),H3080='131-CT'!$E$7),"131",""))</f>
        <v/>
      </c>
      <c r="O3080" s="86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99"/>
    </row>
    <row r="3081" spans="1:27" s="210" customFormat="1" ht="15.75" customHeight="1">
      <c r="A3081" s="203" t="str">
        <f>IF(B3081&lt;&gt;"",IF(AND(B3081&gt;=_TM1,B3081&lt;=_TM2,OR(TH!L3081="1111",TH!M3081="1111")),TH!D3081,""),"")</f>
        <v/>
      </c>
      <c r="B3081" s="36">
        <f t="shared" si="51"/>
        <v>6</v>
      </c>
      <c r="C3081" s="899">
        <f t="shared" si="52"/>
        <v>42172</v>
      </c>
      <c r="D3081" s="900" t="s">
        <v>2013</v>
      </c>
      <c r="E3081" s="900">
        <v>42172</v>
      </c>
      <c r="F3081" s="907" t="s">
        <v>1737</v>
      </c>
      <c r="G3081" s="902" t="s">
        <v>788</v>
      </c>
      <c r="H3081" s="913" t="s">
        <v>2014</v>
      </c>
      <c r="I3081" s="253">
        <v>50</v>
      </c>
      <c r="J3081" s="253">
        <v>12875.250925238446</v>
      </c>
      <c r="K3081" s="904">
        <f t="shared" si="53"/>
        <v>643763</v>
      </c>
      <c r="L3081" s="869" t="s">
        <v>167</v>
      </c>
      <c r="M3081" s="869" t="s">
        <v>165</v>
      </c>
      <c r="N3081" s="52" t="str">
        <f>IF(AND('331-CT'!$E$7=TH!H3081,OR(L3081="331",M3081="331")),"331",IF(AND(OR(L3081="131",M3081="131"),H3081='131-CT'!$E$7),"131",""))</f>
        <v/>
      </c>
      <c r="O3081" s="86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99"/>
    </row>
    <row r="3082" spans="1:27" s="210" customFormat="1" ht="15.75" customHeight="1">
      <c r="A3082" s="203" t="str">
        <f>IF(B3082&lt;&gt;"",IF(AND(B3082&gt;=_TM1,B3082&lt;=_TM2,OR(TH!L3082="1111",TH!M3082="1111")),TH!D3082,""),"")</f>
        <v/>
      </c>
      <c r="B3082" s="36">
        <f t="shared" si="51"/>
        <v>6</v>
      </c>
      <c r="C3082" s="899">
        <f t="shared" si="52"/>
        <v>42172</v>
      </c>
      <c r="D3082" s="900" t="s">
        <v>2013</v>
      </c>
      <c r="E3082" s="900">
        <v>42172</v>
      </c>
      <c r="F3082" s="907" t="s">
        <v>1738</v>
      </c>
      <c r="G3082" s="902" t="s">
        <v>788</v>
      </c>
      <c r="H3082" s="913" t="s">
        <v>2014</v>
      </c>
      <c r="I3082" s="253">
        <v>25</v>
      </c>
      <c r="J3082" s="253">
        <v>10300.200740190758</v>
      </c>
      <c r="K3082" s="904">
        <f t="shared" si="53"/>
        <v>257505</v>
      </c>
      <c r="L3082" s="869" t="s">
        <v>167</v>
      </c>
      <c r="M3082" s="869" t="s">
        <v>165</v>
      </c>
      <c r="N3082" s="52" t="str">
        <f>IF(AND('331-CT'!$E$7=TH!H3082,OR(L3082="331",M3082="331")),"331",IF(AND(OR(L3082="131",M3082="131"),H3082='131-CT'!$E$7),"131",""))</f>
        <v/>
      </c>
      <c r="O3082" s="86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99"/>
    </row>
    <row r="3083" spans="1:27" s="210" customFormat="1" ht="15.75" customHeight="1">
      <c r="A3083" s="203" t="str">
        <f>IF(B3083&lt;&gt;"",IF(AND(B3083&gt;=_TM1,B3083&lt;=_TM2,OR(TH!L3083="1111",TH!M3083="1111")),TH!D3083,""),"")</f>
        <v/>
      </c>
      <c r="B3083" s="36">
        <f t="shared" si="51"/>
        <v>6</v>
      </c>
      <c r="C3083" s="899">
        <f t="shared" si="52"/>
        <v>42172</v>
      </c>
      <c r="D3083" s="900" t="s">
        <v>2013</v>
      </c>
      <c r="E3083" s="900">
        <v>42172</v>
      </c>
      <c r="F3083" s="907" t="s">
        <v>1705</v>
      </c>
      <c r="G3083" s="902" t="s">
        <v>788</v>
      </c>
      <c r="H3083" s="913" t="s">
        <v>2014</v>
      </c>
      <c r="I3083" s="253">
        <v>100</v>
      </c>
      <c r="J3083" s="253">
        <v>7100.8959648284763</v>
      </c>
      <c r="K3083" s="904">
        <f t="shared" si="53"/>
        <v>710090</v>
      </c>
      <c r="L3083" s="869" t="s">
        <v>167</v>
      </c>
      <c r="M3083" s="869" t="s">
        <v>165</v>
      </c>
      <c r="N3083" s="52" t="str">
        <f>IF(AND('331-CT'!$E$7=TH!H3083,OR(L3083="331",M3083="331")),"331",IF(AND(OR(L3083="131",M3083="131"),H3083='131-CT'!$E$7),"131",""))</f>
        <v/>
      </c>
      <c r="O3083" s="86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99"/>
    </row>
    <row r="3084" spans="1:27" s="210" customFormat="1" ht="15.75" customHeight="1">
      <c r="A3084" s="203" t="str">
        <f>IF(B3084&lt;&gt;"",IF(AND(B3084&gt;=_TM1,B3084&lt;=_TM2,OR(TH!L3084="1111",TH!M3084="1111")),TH!D3084,""),"")</f>
        <v/>
      </c>
      <c r="B3084" s="36">
        <f t="shared" si="51"/>
        <v>6</v>
      </c>
      <c r="C3084" s="899">
        <f t="shared" si="52"/>
        <v>42173</v>
      </c>
      <c r="D3084" s="900" t="s">
        <v>2013</v>
      </c>
      <c r="E3084" s="900">
        <v>42173</v>
      </c>
      <c r="F3084" s="907" t="s">
        <v>1739</v>
      </c>
      <c r="G3084" s="902" t="s">
        <v>789</v>
      </c>
      <c r="H3084" s="913" t="s">
        <v>2014</v>
      </c>
      <c r="I3084" s="253">
        <v>17</v>
      </c>
      <c r="J3084" s="253">
        <v>10456.264387769406</v>
      </c>
      <c r="K3084" s="904">
        <f t="shared" si="53"/>
        <v>177756</v>
      </c>
      <c r="L3084" s="869" t="s">
        <v>167</v>
      </c>
      <c r="M3084" s="869" t="s">
        <v>165</v>
      </c>
      <c r="N3084" s="52" t="str">
        <f>IF(AND('331-CT'!$E$7=TH!H3084,OR(L3084="331",M3084="331")),"331",IF(AND(OR(L3084="131",M3084="131"),H3084='131-CT'!$E$7),"131",""))</f>
        <v/>
      </c>
      <c r="O3084" s="86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99"/>
    </row>
    <row r="3085" spans="1:27" s="210" customFormat="1" ht="15.75" customHeight="1">
      <c r="A3085" s="203" t="str">
        <f>IF(B3085&lt;&gt;"",IF(AND(B3085&gt;=_TM1,B3085&lt;=_TM2,OR(TH!L3085="1111",TH!M3085="1111")),TH!D3085,""),"")</f>
        <v/>
      </c>
      <c r="B3085" s="36">
        <f t="shared" si="51"/>
        <v>6</v>
      </c>
      <c r="C3085" s="899">
        <f t="shared" si="52"/>
        <v>42173</v>
      </c>
      <c r="D3085" s="900" t="s">
        <v>2013</v>
      </c>
      <c r="E3085" s="900">
        <v>42173</v>
      </c>
      <c r="F3085" s="907" t="s">
        <v>1715</v>
      </c>
      <c r="G3085" s="902" t="s">
        <v>789</v>
      </c>
      <c r="H3085" s="913" t="s">
        <v>2014</v>
      </c>
      <c r="I3085" s="253">
        <v>200</v>
      </c>
      <c r="J3085" s="253">
        <v>11626.741744609264</v>
      </c>
      <c r="K3085" s="904">
        <f t="shared" si="53"/>
        <v>2325348</v>
      </c>
      <c r="L3085" s="869" t="s">
        <v>167</v>
      </c>
      <c r="M3085" s="869" t="s">
        <v>165</v>
      </c>
      <c r="N3085" s="52" t="str">
        <f>IF(AND('331-CT'!$E$7=TH!H3085,OR(L3085="331",M3085="331")),"331",IF(AND(OR(L3085="131",M3085="131"),H3085='131-CT'!$E$7),"131",""))</f>
        <v/>
      </c>
      <c r="O3085" s="86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99"/>
    </row>
    <row r="3086" spans="1:27" s="210" customFormat="1" ht="15.75" customHeight="1">
      <c r="A3086" s="203" t="str">
        <f>IF(B3086&lt;&gt;"",IF(AND(B3086&gt;=_TM1,B3086&lt;=_TM2,OR(TH!L3086="1111",TH!M3086="1111")),TH!D3086,""),"")</f>
        <v/>
      </c>
      <c r="B3086" s="36">
        <f t="shared" si="51"/>
        <v>6</v>
      </c>
      <c r="C3086" s="899">
        <f t="shared" si="52"/>
        <v>42173</v>
      </c>
      <c r="D3086" s="900" t="s">
        <v>2013</v>
      </c>
      <c r="E3086" s="900">
        <v>42173</v>
      </c>
      <c r="F3086" s="907" t="s">
        <v>1740</v>
      </c>
      <c r="G3086" s="902" t="s">
        <v>789</v>
      </c>
      <c r="H3086" s="913" t="s">
        <v>2014</v>
      </c>
      <c r="I3086" s="253">
        <v>85</v>
      </c>
      <c r="J3086" s="253">
        <v>9207.7552071402224</v>
      </c>
      <c r="K3086" s="904">
        <f t="shared" si="53"/>
        <v>782659</v>
      </c>
      <c r="L3086" s="869" t="s">
        <v>167</v>
      </c>
      <c r="M3086" s="869" t="s">
        <v>165</v>
      </c>
      <c r="N3086" s="52" t="str">
        <f>IF(AND('331-CT'!$E$7=TH!H3086,OR(L3086="331",M3086="331")),"331",IF(AND(OR(L3086="131",M3086="131"),H3086='131-CT'!$E$7),"131",""))</f>
        <v/>
      </c>
      <c r="O3086" s="86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99"/>
    </row>
    <row r="3087" spans="1:27" s="210" customFormat="1" ht="15.75" customHeight="1">
      <c r="A3087" s="203" t="str">
        <f>IF(B3087&lt;&gt;"",IF(AND(B3087&gt;=_TM1,B3087&lt;=_TM2,OR(TH!L3087="1111",TH!M3087="1111")),TH!D3087,""),"")</f>
        <v/>
      </c>
      <c r="B3087" s="36">
        <f t="shared" si="51"/>
        <v>6</v>
      </c>
      <c r="C3087" s="899">
        <f t="shared" si="52"/>
        <v>42173</v>
      </c>
      <c r="D3087" s="900" t="s">
        <v>2013</v>
      </c>
      <c r="E3087" s="900">
        <v>42173</v>
      </c>
      <c r="F3087" s="907" t="s">
        <v>687</v>
      </c>
      <c r="G3087" s="902" t="s">
        <v>789</v>
      </c>
      <c r="H3087" s="913" t="s">
        <v>2014</v>
      </c>
      <c r="I3087" s="253">
        <v>360</v>
      </c>
      <c r="J3087" s="253">
        <v>10222.168916401433</v>
      </c>
      <c r="K3087" s="904">
        <f t="shared" si="53"/>
        <v>3679981</v>
      </c>
      <c r="L3087" s="869" t="s">
        <v>167</v>
      </c>
      <c r="M3087" s="869" t="s">
        <v>165</v>
      </c>
      <c r="N3087" s="52" t="str">
        <f>IF(AND('331-CT'!$E$7=TH!H3087,OR(L3087="331",M3087="331")),"331",IF(AND(OR(L3087="131",M3087="131"),H3087='131-CT'!$E$7),"131",""))</f>
        <v/>
      </c>
      <c r="O3087" s="86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99"/>
    </row>
    <row r="3088" spans="1:27" s="210" customFormat="1" ht="15.75" customHeight="1">
      <c r="A3088" s="203" t="str">
        <f>IF(B3088&lt;&gt;"",IF(AND(B3088&gt;=_TM1,B3088&lt;=_TM2,OR(TH!L3088="1111",TH!M3088="1111")),TH!D3088,""),"")</f>
        <v/>
      </c>
      <c r="B3088" s="36">
        <f t="shared" si="51"/>
        <v>6</v>
      </c>
      <c r="C3088" s="899">
        <f t="shared" si="52"/>
        <v>42173</v>
      </c>
      <c r="D3088" s="900" t="s">
        <v>2013</v>
      </c>
      <c r="E3088" s="900">
        <v>42173</v>
      </c>
      <c r="F3088" s="907" t="s">
        <v>1741</v>
      </c>
      <c r="G3088" s="902" t="s">
        <v>789</v>
      </c>
      <c r="H3088" s="913" t="s">
        <v>2014</v>
      </c>
      <c r="I3088" s="253">
        <v>25</v>
      </c>
      <c r="J3088" s="253">
        <v>8661.5324406149557</v>
      </c>
      <c r="K3088" s="904">
        <f t="shared" si="53"/>
        <v>216538</v>
      </c>
      <c r="L3088" s="869" t="s">
        <v>167</v>
      </c>
      <c r="M3088" s="869" t="s">
        <v>165</v>
      </c>
      <c r="N3088" s="52" t="str">
        <f>IF(AND('331-CT'!$E$7=TH!H3088,OR(L3088="331",M3088="331")),"331",IF(AND(OR(L3088="131",M3088="131"),H3088='131-CT'!$E$7),"131",""))</f>
        <v/>
      </c>
      <c r="O3088" s="86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99"/>
    </row>
    <row r="3089" spans="1:27" s="210" customFormat="1" ht="15.75" customHeight="1">
      <c r="A3089" s="203" t="str">
        <f>IF(B3089&lt;&gt;"",IF(AND(B3089&gt;=_TM1,B3089&lt;=_TM2,OR(TH!L3089="1111",TH!M3089="1111")),TH!D3089,""),"")</f>
        <v/>
      </c>
      <c r="B3089" s="36">
        <f t="shared" si="51"/>
        <v>6</v>
      </c>
      <c r="C3089" s="899">
        <f t="shared" si="52"/>
        <v>42173</v>
      </c>
      <c r="D3089" s="900" t="s">
        <v>2013</v>
      </c>
      <c r="E3089" s="900">
        <v>42173</v>
      </c>
      <c r="F3089" s="907" t="s">
        <v>668</v>
      </c>
      <c r="G3089" s="902" t="s">
        <v>789</v>
      </c>
      <c r="H3089" s="913" t="s">
        <v>2014</v>
      </c>
      <c r="I3089" s="253">
        <v>50</v>
      </c>
      <c r="J3089" s="253">
        <v>17401.096705019234</v>
      </c>
      <c r="K3089" s="904">
        <f t="shared" si="53"/>
        <v>870055</v>
      </c>
      <c r="L3089" s="869" t="s">
        <v>167</v>
      </c>
      <c r="M3089" s="869" t="s">
        <v>165</v>
      </c>
      <c r="N3089" s="52" t="str">
        <f>IF(AND('331-CT'!$E$7=TH!H3089,OR(L3089="331",M3089="331")),"331",IF(AND(OR(L3089="131",M3089="131"),H3089='131-CT'!$E$7),"131",""))</f>
        <v/>
      </c>
      <c r="O3089" s="86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99"/>
    </row>
    <row r="3090" spans="1:27" s="210" customFormat="1" ht="15.75" customHeight="1">
      <c r="A3090" s="203" t="str">
        <f>IF(B3090&lt;&gt;"",IF(AND(B3090&gt;=_TM1,B3090&lt;=_TM2,OR(TH!L3090="1111",TH!M3090="1111")),TH!D3090,""),"")</f>
        <v/>
      </c>
      <c r="B3090" s="36">
        <f t="shared" si="51"/>
        <v>6</v>
      </c>
      <c r="C3090" s="899">
        <f t="shared" si="52"/>
        <v>42173</v>
      </c>
      <c r="D3090" s="900" t="s">
        <v>2013</v>
      </c>
      <c r="E3090" s="900">
        <v>42173</v>
      </c>
      <c r="F3090" s="907" t="s">
        <v>690</v>
      </c>
      <c r="G3090" s="902" t="s">
        <v>789</v>
      </c>
      <c r="H3090" s="913" t="s">
        <v>2014</v>
      </c>
      <c r="I3090" s="253">
        <v>30</v>
      </c>
      <c r="J3090" s="253">
        <v>15606.364757864783</v>
      </c>
      <c r="K3090" s="904">
        <f t="shared" si="53"/>
        <v>468191</v>
      </c>
      <c r="L3090" s="869" t="s">
        <v>167</v>
      </c>
      <c r="M3090" s="869" t="s">
        <v>165</v>
      </c>
      <c r="N3090" s="52" t="str">
        <f>IF(AND('331-CT'!$E$7=TH!H3090,OR(L3090="331",M3090="331")),"331",IF(AND(OR(L3090="131",M3090="131"),H3090='131-CT'!$E$7),"131",""))</f>
        <v/>
      </c>
      <c r="O3090" s="86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99"/>
    </row>
    <row r="3091" spans="1:27" s="210" customFormat="1" ht="15.75" customHeight="1">
      <c r="A3091" s="203" t="str">
        <f>IF(B3091&lt;&gt;"",IF(AND(B3091&gt;=_TM1,B3091&lt;=_TM2,OR(TH!L3091="1111",TH!M3091="1111")),TH!D3091,""),"")</f>
        <v/>
      </c>
      <c r="B3091" s="36">
        <f t="shared" si="51"/>
        <v>6</v>
      </c>
      <c r="C3091" s="899">
        <f t="shared" si="52"/>
        <v>42173</v>
      </c>
      <c r="D3091" s="900" t="s">
        <v>2013</v>
      </c>
      <c r="E3091" s="900">
        <v>42173</v>
      </c>
      <c r="F3091" s="907" t="s">
        <v>1742</v>
      </c>
      <c r="G3091" s="902" t="s">
        <v>789</v>
      </c>
      <c r="H3091" s="913" t="s">
        <v>2014</v>
      </c>
      <c r="I3091" s="253">
        <v>25</v>
      </c>
      <c r="J3091" s="253">
        <v>10378.232563980082</v>
      </c>
      <c r="K3091" s="904">
        <f t="shared" si="53"/>
        <v>259456</v>
      </c>
      <c r="L3091" s="869" t="s">
        <v>167</v>
      </c>
      <c r="M3091" s="869" t="s">
        <v>165</v>
      </c>
      <c r="N3091" s="52" t="str">
        <f>IF(AND('331-CT'!$E$7=TH!H3091,OR(L3091="331",M3091="331")),"331",IF(AND(OR(L3091="131",M3091="131"),H3091='131-CT'!$E$7),"131",""))</f>
        <v/>
      </c>
      <c r="O3091" s="86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99"/>
    </row>
    <row r="3092" spans="1:27" s="210" customFormat="1" ht="15.75" customHeight="1">
      <c r="A3092" s="203" t="str">
        <f>IF(B3092&lt;&gt;"",IF(AND(B3092&gt;=_TM1,B3092&lt;=_TM2,OR(TH!L3092="1111",TH!M3092="1111")),TH!D3092,""),"")</f>
        <v/>
      </c>
      <c r="B3092" s="36">
        <f t="shared" si="51"/>
        <v>6</v>
      </c>
      <c r="C3092" s="899">
        <f t="shared" si="52"/>
        <v>42173</v>
      </c>
      <c r="D3092" s="900" t="s">
        <v>2013</v>
      </c>
      <c r="E3092" s="900">
        <v>42173</v>
      </c>
      <c r="F3092" s="907" t="s">
        <v>742</v>
      </c>
      <c r="G3092" s="902" t="s">
        <v>789</v>
      </c>
      <c r="H3092" s="913" t="s">
        <v>2014</v>
      </c>
      <c r="I3092" s="253">
        <v>50</v>
      </c>
      <c r="J3092" s="253">
        <v>15294.237462707488</v>
      </c>
      <c r="K3092" s="904">
        <f t="shared" si="53"/>
        <v>764712</v>
      </c>
      <c r="L3092" s="869" t="s">
        <v>167</v>
      </c>
      <c r="M3092" s="869" t="s">
        <v>165</v>
      </c>
      <c r="N3092" s="52" t="str">
        <f>IF(AND('331-CT'!$E$7=TH!H3092,OR(L3092="331",M3092="331")),"331",IF(AND(OR(L3092="131",M3092="131"),H3092='131-CT'!$E$7),"131",""))</f>
        <v/>
      </c>
      <c r="O3092" s="86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99"/>
    </row>
    <row r="3093" spans="1:27" s="210" customFormat="1" ht="15.75" customHeight="1">
      <c r="A3093" s="203" t="str">
        <f>IF(B3093&lt;&gt;"",IF(AND(B3093&gt;=_TM1,B3093&lt;=_TM2,OR(TH!L3093="1111",TH!M3093="1111")),TH!D3093,""),"")</f>
        <v/>
      </c>
      <c r="B3093" s="36">
        <f t="shared" si="51"/>
        <v>6</v>
      </c>
      <c r="C3093" s="899">
        <f t="shared" si="52"/>
        <v>42173</v>
      </c>
      <c r="D3093" s="900" t="s">
        <v>2013</v>
      </c>
      <c r="E3093" s="900">
        <v>42173</v>
      </c>
      <c r="F3093" s="907" t="s">
        <v>1743</v>
      </c>
      <c r="G3093" s="902" t="s">
        <v>789</v>
      </c>
      <c r="H3093" s="913" t="s">
        <v>2014</v>
      </c>
      <c r="I3093" s="253">
        <v>85</v>
      </c>
      <c r="J3093" s="253">
        <v>6710.7368458818564</v>
      </c>
      <c r="K3093" s="904">
        <f t="shared" si="53"/>
        <v>570413</v>
      </c>
      <c r="L3093" s="869" t="s">
        <v>167</v>
      </c>
      <c r="M3093" s="869" t="s">
        <v>165</v>
      </c>
      <c r="N3093" s="52" t="str">
        <f>IF(AND('331-CT'!$E$7=TH!H3093,OR(L3093="331",M3093="331")),"331",IF(AND(OR(L3093="131",M3093="131"),H3093='131-CT'!$E$7),"131",""))</f>
        <v/>
      </c>
      <c r="O3093" s="86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99"/>
    </row>
    <row r="3094" spans="1:27" s="210" customFormat="1" ht="15.75" customHeight="1">
      <c r="A3094" s="203" t="str">
        <f>IF(B3094&lt;&gt;"",IF(AND(B3094&gt;=_TM1,B3094&lt;=_TM2,OR(TH!L3094="1111",TH!M3094="1111")),TH!D3094,""),"")</f>
        <v/>
      </c>
      <c r="B3094" s="36">
        <f t="shared" si="51"/>
        <v>6</v>
      </c>
      <c r="C3094" s="899">
        <f t="shared" si="52"/>
        <v>42173</v>
      </c>
      <c r="D3094" s="900" t="s">
        <v>2013</v>
      </c>
      <c r="E3094" s="900">
        <v>42173</v>
      </c>
      <c r="F3094" s="907" t="s">
        <v>403</v>
      </c>
      <c r="G3094" s="902" t="s">
        <v>790</v>
      </c>
      <c r="H3094" s="913" t="s">
        <v>2014</v>
      </c>
      <c r="I3094" s="253">
        <v>1206</v>
      </c>
      <c r="J3094" s="253">
        <v>7022.8641410391529</v>
      </c>
      <c r="K3094" s="904">
        <f t="shared" si="53"/>
        <v>8469574</v>
      </c>
      <c r="L3094" s="869" t="s">
        <v>167</v>
      </c>
      <c r="M3094" s="869" t="s">
        <v>165</v>
      </c>
      <c r="N3094" s="52" t="str">
        <f>IF(AND('331-CT'!$E$7=TH!H3094,OR(L3094="331",M3094="331")),"331",IF(AND(OR(L3094="131",M3094="131"),H3094='131-CT'!$E$7),"131",""))</f>
        <v/>
      </c>
      <c r="O3094" s="86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99"/>
    </row>
    <row r="3095" spans="1:27" s="210" customFormat="1" ht="15.75" customHeight="1">
      <c r="A3095" s="203" t="str">
        <f>IF(B3095&lt;&gt;"",IF(AND(B3095&gt;=_TM1,B3095&lt;=_TM2,OR(TH!L3095="1111",TH!M3095="1111")),TH!D3095,""),"")</f>
        <v/>
      </c>
      <c r="B3095" s="36">
        <f t="shared" si="51"/>
        <v>6</v>
      </c>
      <c r="C3095" s="899">
        <f t="shared" si="52"/>
        <v>42174</v>
      </c>
      <c r="D3095" s="900" t="s">
        <v>2013</v>
      </c>
      <c r="E3095" s="900">
        <v>42174</v>
      </c>
      <c r="F3095" s="907" t="s">
        <v>791</v>
      </c>
      <c r="G3095" s="902" t="s">
        <v>792</v>
      </c>
      <c r="H3095" s="913" t="s">
        <v>2014</v>
      </c>
      <c r="I3095" s="253">
        <v>252</v>
      </c>
      <c r="J3095" s="253">
        <v>9285.7870309295449</v>
      </c>
      <c r="K3095" s="904">
        <f t="shared" si="53"/>
        <v>2340018</v>
      </c>
      <c r="L3095" s="869" t="s">
        <v>167</v>
      </c>
      <c r="M3095" s="869" t="s">
        <v>165</v>
      </c>
      <c r="N3095" s="52" t="str">
        <f>IF(AND('331-CT'!$E$7=TH!H3095,OR(L3095="331",M3095="331")),"331",IF(AND(OR(L3095="131",M3095="131"),H3095='131-CT'!$E$7),"131",""))</f>
        <v/>
      </c>
      <c r="O3095" s="86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99"/>
    </row>
    <row r="3096" spans="1:27" s="210" customFormat="1" ht="15.75" customHeight="1">
      <c r="A3096" s="203" t="str">
        <f>IF(B3096&lt;&gt;"",IF(AND(B3096&gt;=_TM1,B3096&lt;=_TM2,OR(TH!L3096="1111",TH!M3096="1111")),TH!D3096,""),"")</f>
        <v/>
      </c>
      <c r="B3096" s="36">
        <f t="shared" si="51"/>
        <v>6</v>
      </c>
      <c r="C3096" s="899">
        <f t="shared" si="52"/>
        <v>42174</v>
      </c>
      <c r="D3096" s="900" t="s">
        <v>2013</v>
      </c>
      <c r="E3096" s="900">
        <v>42174</v>
      </c>
      <c r="F3096" s="907" t="s">
        <v>1667</v>
      </c>
      <c r="G3096" s="902" t="s">
        <v>792</v>
      </c>
      <c r="H3096" s="913" t="s">
        <v>2014</v>
      </c>
      <c r="I3096" s="253">
        <v>504</v>
      </c>
      <c r="J3096" s="253">
        <v>1638.6682995758022</v>
      </c>
      <c r="K3096" s="904">
        <f t="shared" si="53"/>
        <v>825889</v>
      </c>
      <c r="L3096" s="869" t="s">
        <v>167</v>
      </c>
      <c r="M3096" s="869" t="s">
        <v>165</v>
      </c>
      <c r="N3096" s="52" t="str">
        <f>IF(AND('331-CT'!$E$7=TH!H3096,OR(L3096="331",M3096="331")),"331",IF(AND(OR(L3096="131",M3096="131"),H3096='131-CT'!$E$7),"131",""))</f>
        <v/>
      </c>
      <c r="O3096" s="86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99"/>
    </row>
    <row r="3097" spans="1:27" s="210" customFormat="1" ht="15.75" customHeight="1">
      <c r="A3097" s="203" t="str">
        <f>IF(B3097&lt;&gt;"",IF(AND(B3097&gt;=_TM1,B3097&lt;=_TM2,OR(TH!L3097="1111",TH!M3097="1111")),TH!D3097,""),"")</f>
        <v/>
      </c>
      <c r="B3097" s="36">
        <f t="shared" si="51"/>
        <v>6</v>
      </c>
      <c r="C3097" s="899">
        <f t="shared" si="52"/>
        <v>42174</v>
      </c>
      <c r="D3097" s="900" t="s">
        <v>2013</v>
      </c>
      <c r="E3097" s="900">
        <v>42174</v>
      </c>
      <c r="F3097" s="907" t="s">
        <v>646</v>
      </c>
      <c r="G3097" s="902" t="s">
        <v>792</v>
      </c>
      <c r="H3097" s="913" t="s">
        <v>2014</v>
      </c>
      <c r="I3097" s="253">
        <v>100</v>
      </c>
      <c r="J3097" s="253">
        <v>6788.7686696711808</v>
      </c>
      <c r="K3097" s="904">
        <f t="shared" si="53"/>
        <v>678877</v>
      </c>
      <c r="L3097" s="869" t="s">
        <v>167</v>
      </c>
      <c r="M3097" s="869" t="s">
        <v>165</v>
      </c>
      <c r="N3097" s="52" t="str">
        <f>IF(AND('331-CT'!$E$7=TH!H3097,OR(L3097="331",M3097="331")),"331",IF(AND(OR(L3097="131",M3097="131"),H3097='131-CT'!$E$7),"131",""))</f>
        <v/>
      </c>
      <c r="O3097" s="86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99"/>
    </row>
    <row r="3098" spans="1:27" s="210" customFormat="1" ht="15.75" customHeight="1">
      <c r="A3098" s="203" t="str">
        <f>IF(B3098&lt;&gt;"",IF(AND(B3098&gt;=_TM1,B3098&lt;=_TM2,OR(TH!L3098="1111",TH!M3098="1111")),TH!D3098,""),"")</f>
        <v/>
      </c>
      <c r="B3098" s="36">
        <f t="shared" si="51"/>
        <v>6</v>
      </c>
      <c r="C3098" s="899">
        <f t="shared" si="52"/>
        <v>42174</v>
      </c>
      <c r="D3098" s="900" t="s">
        <v>2013</v>
      </c>
      <c r="E3098" s="900">
        <v>42174</v>
      </c>
      <c r="F3098" s="907" t="s">
        <v>1668</v>
      </c>
      <c r="G3098" s="902" t="s">
        <v>792</v>
      </c>
      <c r="H3098" s="913" t="s">
        <v>2014</v>
      </c>
      <c r="I3098" s="253">
        <v>200</v>
      </c>
      <c r="J3098" s="253">
        <v>1092.445533050535</v>
      </c>
      <c r="K3098" s="904">
        <f t="shared" si="53"/>
        <v>218489</v>
      </c>
      <c r="L3098" s="869" t="s">
        <v>167</v>
      </c>
      <c r="M3098" s="869" t="s">
        <v>165</v>
      </c>
      <c r="N3098" s="52" t="str">
        <f>IF(AND('331-CT'!$E$7=TH!H3098,OR(L3098="331",M3098="331")),"331",IF(AND(OR(L3098="131",M3098="131"),H3098='131-CT'!$E$7),"131",""))</f>
        <v/>
      </c>
      <c r="O3098" s="86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99"/>
    </row>
    <row r="3099" spans="1:27" s="210" customFormat="1" ht="15.75" customHeight="1">
      <c r="A3099" s="203" t="str">
        <f>IF(B3099&lt;&gt;"",IF(AND(B3099&gt;=_TM1,B3099&lt;=_TM2,OR(TH!L3099="1111",TH!M3099="1111")),TH!D3099,""),"")</f>
        <v/>
      </c>
      <c r="B3099" s="36">
        <f t="shared" si="51"/>
        <v>6</v>
      </c>
      <c r="C3099" s="899">
        <f t="shared" si="52"/>
        <v>42174</v>
      </c>
      <c r="D3099" s="900" t="s">
        <v>2013</v>
      </c>
      <c r="E3099" s="900">
        <v>42174</v>
      </c>
      <c r="F3099" s="907" t="s">
        <v>794</v>
      </c>
      <c r="G3099" s="902" t="s">
        <v>792</v>
      </c>
      <c r="H3099" s="913" t="s">
        <v>2014</v>
      </c>
      <c r="I3099" s="253">
        <v>160</v>
      </c>
      <c r="J3099" s="253">
        <v>8973.6597357722494</v>
      </c>
      <c r="K3099" s="904">
        <f t="shared" si="53"/>
        <v>1435786</v>
      </c>
      <c r="L3099" s="869" t="s">
        <v>167</v>
      </c>
      <c r="M3099" s="869" t="s">
        <v>165</v>
      </c>
      <c r="N3099" s="52" t="str">
        <f>IF(AND('331-CT'!$E$7=TH!H3099,OR(L3099="331",M3099="331")),"331",IF(AND(OR(L3099="131",M3099="131"),H3099='131-CT'!$E$7),"131",""))</f>
        <v/>
      </c>
      <c r="O3099" s="86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99"/>
    </row>
    <row r="3100" spans="1:27" s="210" customFormat="1" ht="15.75" customHeight="1">
      <c r="A3100" s="203" t="str">
        <f>IF(B3100&lt;&gt;"",IF(AND(B3100&gt;=_TM1,B3100&lt;=_TM2,OR(TH!L3100="1111",TH!M3100="1111")),TH!D3100,""),"")</f>
        <v/>
      </c>
      <c r="B3100" s="36">
        <f t="shared" si="51"/>
        <v>6</v>
      </c>
      <c r="C3100" s="899">
        <f t="shared" si="52"/>
        <v>42174</v>
      </c>
      <c r="D3100" s="900" t="s">
        <v>2013</v>
      </c>
      <c r="E3100" s="900">
        <v>42174</v>
      </c>
      <c r="F3100" s="907" t="s">
        <v>1669</v>
      </c>
      <c r="G3100" s="902" t="s">
        <v>792</v>
      </c>
      <c r="H3100" s="913" t="s">
        <v>2014</v>
      </c>
      <c r="I3100" s="253">
        <v>320</v>
      </c>
      <c r="J3100" s="253">
        <v>1404.5728282078305</v>
      </c>
      <c r="K3100" s="904">
        <f t="shared" si="53"/>
        <v>449463</v>
      </c>
      <c r="L3100" s="869" t="s">
        <v>167</v>
      </c>
      <c r="M3100" s="869" t="s">
        <v>165</v>
      </c>
      <c r="N3100" s="52" t="str">
        <f>IF(AND('331-CT'!$E$7=TH!H3100,OR(L3100="331",M3100="331")),"331",IF(AND(OR(L3100="131",M3100="131"),H3100='131-CT'!$E$7),"131",""))</f>
        <v/>
      </c>
      <c r="O3100" s="86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99"/>
    </row>
    <row r="3101" spans="1:27" s="210" customFormat="1" ht="15.75" customHeight="1">
      <c r="A3101" s="203" t="str">
        <f>IF(B3101&lt;&gt;"",IF(AND(B3101&gt;=_TM1,B3101&lt;=_TM2,OR(TH!L3101="1111",TH!M3101="1111")),TH!D3101,""),"")</f>
        <v/>
      </c>
      <c r="B3101" s="36">
        <f t="shared" si="51"/>
        <v>6</v>
      </c>
      <c r="C3101" s="899">
        <f t="shared" si="52"/>
        <v>42174</v>
      </c>
      <c r="D3101" s="900" t="s">
        <v>2013</v>
      </c>
      <c r="E3101" s="900">
        <v>42174</v>
      </c>
      <c r="F3101" s="907" t="s">
        <v>795</v>
      </c>
      <c r="G3101" s="902" t="s">
        <v>792</v>
      </c>
      <c r="H3101" s="913" t="s">
        <v>2014</v>
      </c>
      <c r="I3101" s="253">
        <v>160</v>
      </c>
      <c r="J3101" s="253">
        <v>11392.646273241291</v>
      </c>
      <c r="K3101" s="904">
        <f t="shared" si="53"/>
        <v>1822823</v>
      </c>
      <c r="L3101" s="869" t="s">
        <v>167</v>
      </c>
      <c r="M3101" s="869" t="s">
        <v>165</v>
      </c>
      <c r="N3101" s="52" t="str">
        <f>IF(AND('331-CT'!$E$7=TH!H3101,OR(L3101="331",M3101="331")),"331",IF(AND(OR(L3101="131",M3101="131"),H3101='131-CT'!$E$7),"131",""))</f>
        <v/>
      </c>
      <c r="O3101" s="86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99"/>
    </row>
    <row r="3102" spans="1:27" s="210" customFormat="1" ht="15.75" customHeight="1">
      <c r="A3102" s="203" t="str">
        <f>IF(B3102&lt;&gt;"",IF(AND(B3102&gt;=_TM1,B3102&lt;=_TM2,OR(TH!L3102="1111",TH!M3102="1111")),TH!D3102,""),"")</f>
        <v/>
      </c>
      <c r="B3102" s="36">
        <f t="shared" si="51"/>
        <v>6</v>
      </c>
      <c r="C3102" s="899">
        <f t="shared" si="52"/>
        <v>42174</v>
      </c>
      <c r="D3102" s="900" t="s">
        <v>2013</v>
      </c>
      <c r="E3102" s="900">
        <v>42174</v>
      </c>
      <c r="F3102" s="907" t="s">
        <v>1670</v>
      </c>
      <c r="G3102" s="902" t="s">
        <v>792</v>
      </c>
      <c r="H3102" s="913" t="s">
        <v>2014</v>
      </c>
      <c r="I3102" s="253">
        <v>320</v>
      </c>
      <c r="J3102" s="253">
        <v>2028.8274185224218</v>
      </c>
      <c r="K3102" s="904">
        <f t="shared" si="53"/>
        <v>649225</v>
      </c>
      <c r="L3102" s="869" t="s">
        <v>167</v>
      </c>
      <c r="M3102" s="869" t="s">
        <v>165</v>
      </c>
      <c r="N3102" s="52" t="str">
        <f>IF(AND('331-CT'!$E$7=TH!H3102,OR(L3102="331",M3102="331")),"331",IF(AND(OR(L3102="131",M3102="131"),H3102='131-CT'!$E$7),"131",""))</f>
        <v/>
      </c>
      <c r="O3102" s="86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99"/>
    </row>
    <row r="3103" spans="1:27" s="210" customFormat="1" ht="15.75" customHeight="1">
      <c r="A3103" s="203" t="str">
        <f>IF(B3103&lt;&gt;"",IF(AND(B3103&gt;=_TM1,B3103&lt;=_TM2,OR(TH!L3103="1111",TH!M3103="1111")),TH!D3103,""),"")</f>
        <v/>
      </c>
      <c r="B3103" s="36">
        <f t="shared" si="51"/>
        <v>6</v>
      </c>
      <c r="C3103" s="899">
        <f t="shared" si="52"/>
        <v>42174</v>
      </c>
      <c r="D3103" s="900" t="s">
        <v>2013</v>
      </c>
      <c r="E3103" s="900">
        <v>42174</v>
      </c>
      <c r="F3103" s="907" t="s">
        <v>696</v>
      </c>
      <c r="G3103" s="902" t="s">
        <v>796</v>
      </c>
      <c r="H3103" s="913" t="s">
        <v>2014</v>
      </c>
      <c r="I3103" s="253">
        <v>1050</v>
      </c>
      <c r="J3103" s="253">
        <v>13343.44186797439</v>
      </c>
      <c r="K3103" s="904">
        <f t="shared" si="53"/>
        <v>14010614</v>
      </c>
      <c r="L3103" s="869" t="s">
        <v>167</v>
      </c>
      <c r="M3103" s="869" t="s">
        <v>165</v>
      </c>
      <c r="N3103" s="52" t="str">
        <f>IF(AND('331-CT'!$E$7=TH!H3103,OR(L3103="331",M3103="331")),"331",IF(AND(OR(L3103="131",M3103="131"),H3103='131-CT'!$E$7),"131",""))</f>
        <v/>
      </c>
      <c r="O3103" s="86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99"/>
    </row>
    <row r="3104" spans="1:27" s="210" customFormat="1" ht="15.75" customHeight="1">
      <c r="A3104" s="203" t="str">
        <f>IF(B3104&lt;&gt;"",IF(AND(B3104&gt;=_TM1,B3104&lt;=_TM2,OR(TH!L3104="1111",TH!M3104="1111")),TH!D3104,""),"")</f>
        <v/>
      </c>
      <c r="B3104" s="36">
        <f t="shared" si="51"/>
        <v>6</v>
      </c>
      <c r="C3104" s="899">
        <f t="shared" si="52"/>
        <v>42174</v>
      </c>
      <c r="D3104" s="900" t="s">
        <v>2013</v>
      </c>
      <c r="E3104" s="900">
        <v>42174</v>
      </c>
      <c r="F3104" s="907" t="s">
        <v>1733</v>
      </c>
      <c r="G3104" s="902" t="s">
        <v>796</v>
      </c>
      <c r="H3104" s="913" t="s">
        <v>2014</v>
      </c>
      <c r="I3104" s="253">
        <v>200</v>
      </c>
      <c r="J3104" s="253">
        <v>19664.019594909627</v>
      </c>
      <c r="K3104" s="904">
        <f t="shared" si="53"/>
        <v>3932804</v>
      </c>
      <c r="L3104" s="869" t="s">
        <v>167</v>
      </c>
      <c r="M3104" s="869" t="s">
        <v>165</v>
      </c>
      <c r="N3104" s="52" t="str">
        <f>IF(AND('331-CT'!$E$7=TH!H3104,OR(L3104="331",M3104="331")),"331",IF(AND(OR(L3104="131",M3104="131"),H3104='131-CT'!$E$7),"131",""))</f>
        <v/>
      </c>
      <c r="O3104" s="86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99"/>
    </row>
    <row r="3105" spans="1:27" s="210" customFormat="1" ht="15.75" customHeight="1">
      <c r="A3105" s="203" t="str">
        <f>IF(B3105&lt;&gt;"",IF(AND(B3105&gt;=_TM1,B3105&lt;=_TM2,OR(TH!L3105="1111",TH!M3105="1111")),TH!D3105,""),"")</f>
        <v/>
      </c>
      <c r="B3105" s="36">
        <f t="shared" si="51"/>
        <v>6</v>
      </c>
      <c r="C3105" s="899">
        <f t="shared" si="52"/>
        <v>42174</v>
      </c>
      <c r="D3105" s="900" t="s">
        <v>2013</v>
      </c>
      <c r="E3105" s="900">
        <v>42174</v>
      </c>
      <c r="F3105" s="907" t="s">
        <v>797</v>
      </c>
      <c r="G3105" s="902" t="s">
        <v>798</v>
      </c>
      <c r="H3105" s="913" t="s">
        <v>2014</v>
      </c>
      <c r="I3105" s="253">
        <v>29</v>
      </c>
      <c r="J3105" s="253">
        <v>19117.796828384362</v>
      </c>
      <c r="K3105" s="904">
        <f t="shared" si="53"/>
        <v>554416</v>
      </c>
      <c r="L3105" s="869" t="s">
        <v>167</v>
      </c>
      <c r="M3105" s="869" t="s">
        <v>165</v>
      </c>
      <c r="N3105" s="52" t="str">
        <f>IF(AND('331-CT'!$E$7=TH!H3105,OR(L3105="331",M3105="331")),"331",IF(AND(OR(L3105="131",M3105="131"),H3105='131-CT'!$E$7),"131",""))</f>
        <v/>
      </c>
      <c r="O3105" s="86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99"/>
    </row>
    <row r="3106" spans="1:27" s="210" customFormat="1" ht="15.75" customHeight="1">
      <c r="A3106" s="203" t="str">
        <f>IF(B3106&lt;&gt;"",IF(AND(B3106&gt;=_TM1,B3106&lt;=_TM2,OR(TH!L3106="1111",TH!M3106="1111")),TH!D3106,""),"")</f>
        <v/>
      </c>
      <c r="B3106" s="36">
        <f t="shared" si="45"/>
        <v>6</v>
      </c>
      <c r="C3106" s="899">
        <f t="shared" si="47"/>
        <v>42174</v>
      </c>
      <c r="D3106" s="900" t="s">
        <v>2013</v>
      </c>
      <c r="E3106" s="900">
        <v>42174</v>
      </c>
      <c r="F3106" s="907" t="s">
        <v>800</v>
      </c>
      <c r="G3106" s="902" t="s">
        <v>798</v>
      </c>
      <c r="H3106" s="913" t="s">
        <v>2014</v>
      </c>
      <c r="I3106" s="253">
        <v>30</v>
      </c>
      <c r="J3106" s="253">
        <v>23877.738079533119</v>
      </c>
      <c r="K3106" s="904">
        <f t="shared" si="46"/>
        <v>716332</v>
      </c>
      <c r="L3106" s="869" t="s">
        <v>167</v>
      </c>
      <c r="M3106" s="869" t="s">
        <v>165</v>
      </c>
      <c r="N3106" s="52" t="str">
        <f>IF(AND('331-CT'!$E$7=TH!H3106,OR(L3106="331",M3106="331")),"331",IF(AND(OR(L3106="131",M3106="131"),H3106='131-CT'!$E$7),"131",""))</f>
        <v/>
      </c>
      <c r="O3106" s="86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99"/>
    </row>
    <row r="3107" spans="1:27" s="210" customFormat="1" ht="15.75" customHeight="1">
      <c r="A3107" s="203" t="str">
        <f>IF(B3107&lt;&gt;"",IF(AND(B3107&gt;=_TM1,B3107&lt;=_TM2,OR(TH!L3107="1111",TH!M3107="1111")),TH!D3107,""),"")</f>
        <v/>
      </c>
      <c r="B3107" s="36">
        <f t="shared" si="45"/>
        <v>6</v>
      </c>
      <c r="C3107" s="899">
        <f t="shared" si="47"/>
        <v>42174</v>
      </c>
      <c r="D3107" s="900" t="s">
        <v>2013</v>
      </c>
      <c r="E3107" s="900">
        <v>42174</v>
      </c>
      <c r="F3107" s="907" t="s">
        <v>801</v>
      </c>
      <c r="G3107" s="902" t="s">
        <v>798</v>
      </c>
      <c r="H3107" s="913" t="s">
        <v>2014</v>
      </c>
      <c r="I3107" s="253">
        <v>30</v>
      </c>
      <c r="J3107" s="253">
        <v>19820.083242488276</v>
      </c>
      <c r="K3107" s="904">
        <f t="shared" si="46"/>
        <v>594602</v>
      </c>
      <c r="L3107" s="869" t="s">
        <v>167</v>
      </c>
      <c r="M3107" s="869" t="s">
        <v>165</v>
      </c>
      <c r="N3107" s="52" t="str">
        <f>IF(AND('331-CT'!$E$7=TH!H3107,OR(L3107="331",M3107="331")),"331",IF(AND(OR(L3107="131",M3107="131"),H3107='131-CT'!$E$7),"131",""))</f>
        <v/>
      </c>
      <c r="O3107" s="86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99"/>
    </row>
    <row r="3108" spans="1:27" s="210" customFormat="1" ht="15.75" customHeight="1">
      <c r="A3108" s="203" t="str">
        <f>IF(B3108&lt;&gt;"",IF(AND(B3108&gt;=_TM1,B3108&lt;=_TM2,OR(TH!L3108="1111",TH!M3108="1111")),TH!D3108,""),"")</f>
        <v/>
      </c>
      <c r="B3108" s="36">
        <f t="shared" si="45"/>
        <v>6</v>
      </c>
      <c r="C3108" s="899">
        <f t="shared" si="47"/>
        <v>42174</v>
      </c>
      <c r="D3108" s="900" t="s">
        <v>2013</v>
      </c>
      <c r="E3108" s="900">
        <v>42174</v>
      </c>
      <c r="F3108" s="907" t="s">
        <v>802</v>
      </c>
      <c r="G3108" s="902" t="s">
        <v>798</v>
      </c>
      <c r="H3108" s="913" t="s">
        <v>2014</v>
      </c>
      <c r="I3108" s="253">
        <v>104</v>
      </c>
      <c r="J3108" s="253">
        <v>7647.1187313537439</v>
      </c>
      <c r="K3108" s="904">
        <f t="shared" si="46"/>
        <v>795300</v>
      </c>
      <c r="L3108" s="869" t="s">
        <v>167</v>
      </c>
      <c r="M3108" s="869" t="s">
        <v>165</v>
      </c>
      <c r="N3108" s="52" t="str">
        <f>IF(AND('331-CT'!$E$7=TH!H3108,OR(L3108="331",M3108="331")),"331",IF(AND(OR(L3108="131",M3108="131"),H3108='131-CT'!$E$7),"131",""))</f>
        <v/>
      </c>
      <c r="O3108" s="86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99"/>
    </row>
    <row r="3109" spans="1:27" s="210" customFormat="1" ht="15.75" customHeight="1">
      <c r="A3109" s="203" t="str">
        <f>IF(B3109&lt;&gt;"",IF(AND(B3109&gt;=_TM1,B3109&lt;=_TM2,OR(TH!L3109="1111",TH!M3109="1111")),TH!D3109,""),"")</f>
        <v/>
      </c>
      <c r="B3109" s="36">
        <f t="shared" si="45"/>
        <v>6</v>
      </c>
      <c r="C3109" s="899">
        <f t="shared" si="47"/>
        <v>42174</v>
      </c>
      <c r="D3109" s="900" t="s">
        <v>2013</v>
      </c>
      <c r="E3109" s="900">
        <v>42174</v>
      </c>
      <c r="F3109" s="907" t="s">
        <v>741</v>
      </c>
      <c r="G3109" s="902" t="s">
        <v>798</v>
      </c>
      <c r="H3109" s="913" t="s">
        <v>2014</v>
      </c>
      <c r="I3109" s="253">
        <v>263</v>
      </c>
      <c r="J3109" s="253">
        <v>7725.1505551430673</v>
      </c>
      <c r="K3109" s="904">
        <f t="shared" si="46"/>
        <v>2031715</v>
      </c>
      <c r="L3109" s="869" t="s">
        <v>167</v>
      </c>
      <c r="M3109" s="869" t="s">
        <v>165</v>
      </c>
      <c r="N3109" s="52" t="str">
        <f>IF(AND('331-CT'!$E$7=TH!H3109,OR(L3109="331",M3109="331")),"331",IF(AND(OR(L3109="131",M3109="131"),H3109='131-CT'!$E$7),"131",""))</f>
        <v/>
      </c>
      <c r="O3109" s="86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99"/>
    </row>
    <row r="3110" spans="1:27" s="210" customFormat="1" ht="15.75" customHeight="1">
      <c r="A3110" s="203" t="str">
        <f>IF(B3110&lt;&gt;"",IF(AND(B3110&gt;=_TM1,B3110&lt;=_TM2,OR(TH!L3110="1111",TH!M3110="1111")),TH!D3110,""),"")</f>
        <v/>
      </c>
      <c r="B3110" s="36">
        <f t="shared" si="45"/>
        <v>6</v>
      </c>
      <c r="C3110" s="899">
        <f t="shared" si="47"/>
        <v>42174</v>
      </c>
      <c r="D3110" s="900" t="s">
        <v>2013</v>
      </c>
      <c r="E3110" s="900">
        <v>42174</v>
      </c>
      <c r="F3110" s="907" t="s">
        <v>803</v>
      </c>
      <c r="G3110" s="902" t="s">
        <v>798</v>
      </c>
      <c r="H3110" s="913" t="s">
        <v>2014</v>
      </c>
      <c r="I3110" s="253">
        <v>51</v>
      </c>
      <c r="J3110" s="253">
        <v>8661.5324406149557</v>
      </c>
      <c r="K3110" s="904">
        <f t="shared" si="46"/>
        <v>441738</v>
      </c>
      <c r="L3110" s="869" t="s">
        <v>167</v>
      </c>
      <c r="M3110" s="869" t="s">
        <v>165</v>
      </c>
      <c r="N3110" s="52" t="str">
        <f>IF(AND('331-CT'!$E$7=TH!H3110,OR(L3110="331",M3110="331")),"331",IF(AND(OR(L3110="131",M3110="131"),H3110='131-CT'!$E$7),"131",""))</f>
        <v/>
      </c>
      <c r="O3110" s="86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99"/>
    </row>
    <row r="3111" spans="1:27" s="210" customFormat="1" ht="15.75" customHeight="1">
      <c r="A3111" s="203" t="str">
        <f>IF(B3111&lt;&gt;"",IF(AND(B3111&gt;=_TM1,B3111&lt;=_TM2,OR(TH!L3111="1111",TH!M3111="1111")),TH!D3111,""),"")</f>
        <v/>
      </c>
      <c r="B3111" s="36">
        <f t="shared" si="45"/>
        <v>6</v>
      </c>
      <c r="C3111" s="899">
        <f t="shared" si="47"/>
        <v>42174</v>
      </c>
      <c r="D3111" s="900" t="s">
        <v>2013</v>
      </c>
      <c r="E3111" s="900">
        <v>42174</v>
      </c>
      <c r="F3111" s="907" t="s">
        <v>804</v>
      </c>
      <c r="G3111" s="902" t="s">
        <v>798</v>
      </c>
      <c r="H3111" s="913" t="s">
        <v>2014</v>
      </c>
      <c r="I3111" s="253">
        <v>55</v>
      </c>
      <c r="J3111" s="253">
        <v>11782.805392187911</v>
      </c>
      <c r="K3111" s="904">
        <f t="shared" si="46"/>
        <v>648054</v>
      </c>
      <c r="L3111" s="869" t="s">
        <v>167</v>
      </c>
      <c r="M3111" s="869" t="s">
        <v>165</v>
      </c>
      <c r="N3111" s="52" t="str">
        <f>IF(AND('331-CT'!$E$7=TH!H3111,OR(L3111="331",M3111="331")),"331",IF(AND(OR(L3111="131",M3111="131"),H3111='131-CT'!$E$7),"131",""))</f>
        <v/>
      </c>
      <c r="O3111" s="86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99"/>
    </row>
    <row r="3112" spans="1:27" s="210" customFormat="1" ht="15.75" customHeight="1">
      <c r="A3112" s="203" t="str">
        <f>IF(B3112&lt;&gt;"",IF(AND(B3112&gt;=_TM1,B3112&lt;=_TM2,OR(TH!L3112="1111",TH!M3112="1111")),TH!D3112,""),"")</f>
        <v/>
      </c>
      <c r="B3112" s="36">
        <f t="shared" si="45"/>
        <v>6</v>
      </c>
      <c r="C3112" s="899">
        <f t="shared" si="47"/>
        <v>42174</v>
      </c>
      <c r="D3112" s="900" t="s">
        <v>2013</v>
      </c>
      <c r="E3112" s="900">
        <v>42174</v>
      </c>
      <c r="F3112" s="907" t="s">
        <v>805</v>
      </c>
      <c r="G3112" s="902" t="s">
        <v>798</v>
      </c>
      <c r="H3112" s="913" t="s">
        <v>2014</v>
      </c>
      <c r="I3112" s="253">
        <v>50</v>
      </c>
      <c r="J3112" s="253">
        <v>12485.091806291828</v>
      </c>
      <c r="K3112" s="904">
        <f t="shared" si="46"/>
        <v>624255</v>
      </c>
      <c r="L3112" s="869" t="s">
        <v>167</v>
      </c>
      <c r="M3112" s="869" t="s">
        <v>165</v>
      </c>
      <c r="N3112" s="52" t="str">
        <f>IF(AND('331-CT'!$E$7=TH!H3112,OR(L3112="331",M3112="331")),"331",IF(AND(OR(L3112="131",M3112="131"),H3112='131-CT'!$E$7),"131",""))</f>
        <v/>
      </c>
      <c r="O3112" s="86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99"/>
    </row>
    <row r="3113" spans="1:27" s="210" customFormat="1" ht="15.75" customHeight="1">
      <c r="A3113" s="203" t="str">
        <f>IF(B3113&lt;&gt;"",IF(AND(B3113&gt;=_TM1,B3113&lt;=_TM2,OR(TH!L3113="1111",TH!M3113="1111")),TH!D3113,""),"")</f>
        <v/>
      </c>
      <c r="B3113" s="36">
        <f t="shared" si="45"/>
        <v>6</v>
      </c>
      <c r="C3113" s="899">
        <f t="shared" si="47"/>
        <v>42174</v>
      </c>
      <c r="D3113" s="900" t="s">
        <v>2013</v>
      </c>
      <c r="E3113" s="900">
        <v>42174</v>
      </c>
      <c r="F3113" s="907" t="s">
        <v>806</v>
      </c>
      <c r="G3113" s="902" t="s">
        <v>798</v>
      </c>
      <c r="H3113" s="913" t="s">
        <v>2014</v>
      </c>
      <c r="I3113" s="253">
        <v>30</v>
      </c>
      <c r="J3113" s="253">
        <v>27779.329268999314</v>
      </c>
      <c r="K3113" s="904">
        <f t="shared" si="46"/>
        <v>833380</v>
      </c>
      <c r="L3113" s="869" t="s">
        <v>167</v>
      </c>
      <c r="M3113" s="869" t="s">
        <v>165</v>
      </c>
      <c r="N3113" s="52" t="str">
        <f>IF(AND('331-CT'!$E$7=TH!H3113,OR(L3113="331",M3113="331")),"331",IF(AND(OR(L3113="131",M3113="131"),H3113='131-CT'!$E$7),"131",""))</f>
        <v/>
      </c>
      <c r="O3113" s="86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99"/>
    </row>
    <row r="3114" spans="1:27" s="210" customFormat="1" ht="15.75" customHeight="1">
      <c r="A3114" s="203" t="str">
        <f>IF(B3114&lt;&gt;"",IF(AND(B3114&gt;=_TM1,B3114&lt;=_TM2,OR(TH!L3114="1111",TH!M3114="1111")),TH!D3114,""),"")</f>
        <v/>
      </c>
      <c r="B3114" s="36">
        <f t="shared" si="45"/>
        <v>6</v>
      </c>
      <c r="C3114" s="899">
        <f t="shared" si="47"/>
        <v>42174</v>
      </c>
      <c r="D3114" s="900" t="s">
        <v>2013</v>
      </c>
      <c r="E3114" s="900">
        <v>42174</v>
      </c>
      <c r="F3114" s="907" t="s">
        <v>807</v>
      </c>
      <c r="G3114" s="902" t="s">
        <v>798</v>
      </c>
      <c r="H3114" s="913" t="s">
        <v>2014</v>
      </c>
      <c r="I3114" s="253">
        <v>31</v>
      </c>
      <c r="J3114" s="253">
        <v>32227.143224990778</v>
      </c>
      <c r="K3114" s="904">
        <f t="shared" si="46"/>
        <v>999041</v>
      </c>
      <c r="L3114" s="869" t="s">
        <v>167</v>
      </c>
      <c r="M3114" s="869" t="s">
        <v>165</v>
      </c>
      <c r="N3114" s="52" t="str">
        <f>IF(AND('331-CT'!$E$7=TH!H3114,OR(L3114="331",M3114="331")),"331",IF(AND(OR(L3114="131",M3114="131"),H3114='131-CT'!$E$7),"131",""))</f>
        <v/>
      </c>
      <c r="O3114" s="86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99"/>
    </row>
    <row r="3115" spans="1:27" s="210" customFormat="1" ht="15.75" customHeight="1">
      <c r="A3115" s="203" t="str">
        <f>IF(B3115&lt;&gt;"",IF(AND(B3115&gt;=_TM1,B3115&lt;=_TM2,OR(TH!L3115="1111",TH!M3115="1111")),TH!D3115,""),"")</f>
        <v/>
      </c>
      <c r="B3115" s="36">
        <f t="shared" si="45"/>
        <v>6</v>
      </c>
      <c r="C3115" s="899">
        <f t="shared" si="47"/>
        <v>42175</v>
      </c>
      <c r="D3115" s="900" t="s">
        <v>2013</v>
      </c>
      <c r="E3115" s="900">
        <v>42175</v>
      </c>
      <c r="F3115" s="907" t="s">
        <v>808</v>
      </c>
      <c r="G3115" s="902" t="s">
        <v>809</v>
      </c>
      <c r="H3115" s="913" t="s">
        <v>2014</v>
      </c>
      <c r="I3115" s="253">
        <v>206</v>
      </c>
      <c r="J3115" s="253">
        <v>17010.937586072614</v>
      </c>
      <c r="K3115" s="904">
        <f t="shared" si="46"/>
        <v>3504253</v>
      </c>
      <c r="L3115" s="869" t="s">
        <v>167</v>
      </c>
      <c r="M3115" s="869" t="s">
        <v>165</v>
      </c>
      <c r="N3115" s="52" t="str">
        <f>IF(AND('331-CT'!$E$7=TH!H3115,OR(L3115="331",M3115="331")),"331",IF(AND(OR(L3115="131",M3115="131"),H3115='131-CT'!$E$7),"131",""))</f>
        <v/>
      </c>
      <c r="O3115" s="86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99"/>
    </row>
    <row r="3116" spans="1:27" s="210" customFormat="1" ht="15.75" customHeight="1">
      <c r="A3116" s="203" t="str">
        <f>IF(B3116&lt;&gt;"",IF(AND(B3116&gt;=_TM1,B3116&lt;=_TM2,OR(TH!L3116="1111",TH!M3116="1111")),TH!D3116,""),"")</f>
        <v/>
      </c>
      <c r="B3116" s="36">
        <f t="shared" si="45"/>
        <v>6</v>
      </c>
      <c r="C3116" s="899">
        <f t="shared" si="47"/>
        <v>42175</v>
      </c>
      <c r="D3116" s="900" t="s">
        <v>2013</v>
      </c>
      <c r="E3116" s="900">
        <v>42175</v>
      </c>
      <c r="F3116" s="907" t="s">
        <v>810</v>
      </c>
      <c r="G3116" s="902" t="s">
        <v>809</v>
      </c>
      <c r="H3116" s="913" t="s">
        <v>2014</v>
      </c>
      <c r="I3116" s="253">
        <v>20</v>
      </c>
      <c r="J3116" s="253">
        <v>55636.690361787951</v>
      </c>
      <c r="K3116" s="904">
        <f t="shared" si="46"/>
        <v>1112734</v>
      </c>
      <c r="L3116" s="869" t="s">
        <v>167</v>
      </c>
      <c r="M3116" s="869" t="s">
        <v>165</v>
      </c>
      <c r="N3116" s="52" t="str">
        <f>IF(AND('331-CT'!$E$7=TH!H3116,OR(L3116="331",M3116="331")),"331",IF(AND(OR(L3116="131",M3116="131"),H3116='131-CT'!$E$7),"131",""))</f>
        <v/>
      </c>
      <c r="O3116" s="86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99"/>
    </row>
    <row r="3117" spans="1:27" s="210" customFormat="1" ht="15.75" customHeight="1">
      <c r="A3117" s="203" t="str">
        <f>IF(B3117&lt;&gt;"",IF(AND(B3117&gt;=_TM1,B3117&lt;=_TM2,OR(TH!L3117="1111",TH!M3117="1111")),TH!D3117,""),"")</f>
        <v/>
      </c>
      <c r="B3117" s="36">
        <f t="shared" si="45"/>
        <v>6</v>
      </c>
      <c r="C3117" s="899">
        <f t="shared" si="47"/>
        <v>42175</v>
      </c>
      <c r="D3117" s="900" t="s">
        <v>2013</v>
      </c>
      <c r="E3117" s="900">
        <v>42175</v>
      </c>
      <c r="F3117" s="907" t="s">
        <v>811</v>
      </c>
      <c r="G3117" s="902" t="s">
        <v>809</v>
      </c>
      <c r="H3117" s="913" t="s">
        <v>2014</v>
      </c>
      <c r="I3117" s="253">
        <v>20</v>
      </c>
      <c r="J3117" s="253">
        <v>72257.468828913945</v>
      </c>
      <c r="K3117" s="904">
        <f t="shared" si="46"/>
        <v>1445149</v>
      </c>
      <c r="L3117" s="869" t="s">
        <v>167</v>
      </c>
      <c r="M3117" s="869" t="s">
        <v>165</v>
      </c>
      <c r="N3117" s="52" t="str">
        <f>IF(AND('331-CT'!$E$7=TH!H3117,OR(L3117="331",M3117="331")),"331",IF(AND(OR(L3117="131",M3117="131"),H3117='131-CT'!$E$7),"131",""))</f>
        <v/>
      </c>
      <c r="O3117" s="86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99"/>
    </row>
    <row r="3118" spans="1:27" s="210" customFormat="1" ht="15.75" customHeight="1">
      <c r="A3118" s="203" t="str">
        <f>IF(B3118&lt;&gt;"",IF(AND(B3118&gt;=_TM1,B3118&lt;=_TM2,OR(TH!L3118="1111",TH!M3118="1111")),TH!D3118,""),"")</f>
        <v/>
      </c>
      <c r="B3118" s="36">
        <f t="shared" si="45"/>
        <v>6</v>
      </c>
      <c r="C3118" s="899">
        <f t="shared" si="47"/>
        <v>42175</v>
      </c>
      <c r="D3118" s="900" t="s">
        <v>2013</v>
      </c>
      <c r="E3118" s="900">
        <v>42175</v>
      </c>
      <c r="F3118" s="907" t="s">
        <v>812</v>
      </c>
      <c r="G3118" s="902" t="s">
        <v>809</v>
      </c>
      <c r="H3118" s="913" t="s">
        <v>2014</v>
      </c>
      <c r="I3118" s="253">
        <v>20</v>
      </c>
      <c r="J3118" s="253">
        <v>64454.286449981555</v>
      </c>
      <c r="K3118" s="904">
        <f t="shared" si="46"/>
        <v>1289086</v>
      </c>
      <c r="L3118" s="869" t="s">
        <v>167</v>
      </c>
      <c r="M3118" s="869" t="s">
        <v>165</v>
      </c>
      <c r="N3118" s="52" t="str">
        <f>IF(AND('331-CT'!$E$7=TH!H3118,OR(L3118="331",M3118="331")),"331",IF(AND(OR(L3118="131",M3118="131"),H3118='131-CT'!$E$7),"131",""))</f>
        <v/>
      </c>
      <c r="O3118" s="86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99"/>
    </row>
    <row r="3119" spans="1:27" s="210" customFormat="1" ht="15.75" customHeight="1">
      <c r="A3119" s="203" t="str">
        <f>IF(B3119&lt;&gt;"",IF(AND(B3119&gt;=_TM1,B3119&lt;=_TM2,OR(TH!L3119="1111",TH!M3119="1111")),TH!D3119,""),"")</f>
        <v/>
      </c>
      <c r="B3119" s="36">
        <f t="shared" si="45"/>
        <v>6</v>
      </c>
      <c r="C3119" s="899">
        <f t="shared" si="47"/>
        <v>42175</v>
      </c>
      <c r="D3119" s="900" t="s">
        <v>2013</v>
      </c>
      <c r="E3119" s="900">
        <v>42175</v>
      </c>
      <c r="F3119" s="907" t="s">
        <v>813</v>
      </c>
      <c r="G3119" s="902" t="s">
        <v>809</v>
      </c>
      <c r="H3119" s="913" t="s">
        <v>2014</v>
      </c>
      <c r="I3119" s="253">
        <v>30</v>
      </c>
      <c r="J3119" s="253">
        <v>25438.374555319595</v>
      </c>
      <c r="K3119" s="904">
        <f t="shared" si="46"/>
        <v>763151</v>
      </c>
      <c r="L3119" s="869" t="s">
        <v>167</v>
      </c>
      <c r="M3119" s="869" t="s">
        <v>165</v>
      </c>
      <c r="N3119" s="52" t="str">
        <f>IF(AND('331-CT'!$E$7=TH!H3119,OR(L3119="331",M3119="331")),"331",IF(AND(OR(L3119="131",M3119="131"),H3119='131-CT'!$E$7),"131",""))</f>
        <v/>
      </c>
      <c r="O3119" s="86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99"/>
    </row>
    <row r="3120" spans="1:27" s="210" customFormat="1" ht="15.75" customHeight="1">
      <c r="A3120" s="203" t="str">
        <f>IF(B3120&lt;&gt;"",IF(AND(B3120&gt;=_TM1,B3120&lt;=_TM2,OR(TH!L3120="1111",TH!M3120="1111")),TH!D3120,""),"")</f>
        <v/>
      </c>
      <c r="B3120" s="36">
        <f t="shared" si="45"/>
        <v>6</v>
      </c>
      <c r="C3120" s="899">
        <f t="shared" si="47"/>
        <v>42175</v>
      </c>
      <c r="D3120" s="900" t="s">
        <v>2013</v>
      </c>
      <c r="E3120" s="900">
        <v>42175</v>
      </c>
      <c r="F3120" s="907" t="s">
        <v>814</v>
      </c>
      <c r="G3120" s="902" t="s">
        <v>809</v>
      </c>
      <c r="H3120" s="913" t="s">
        <v>2014</v>
      </c>
      <c r="I3120" s="253">
        <v>251</v>
      </c>
      <c r="J3120" s="253">
        <v>1092.445533050535</v>
      </c>
      <c r="K3120" s="904">
        <f t="shared" si="46"/>
        <v>274204</v>
      </c>
      <c r="L3120" s="869" t="s">
        <v>167</v>
      </c>
      <c r="M3120" s="869" t="s">
        <v>165</v>
      </c>
      <c r="N3120" s="52" t="str">
        <f>IF(AND('331-CT'!$E$7=TH!H3120,OR(L3120="331",M3120="331")),"331",IF(AND(OR(L3120="131",M3120="131"),H3120='131-CT'!$E$7),"131",""))</f>
        <v/>
      </c>
      <c r="O3120" s="86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99"/>
    </row>
    <row r="3121" spans="1:27" s="210" customFormat="1" ht="15.75" customHeight="1">
      <c r="A3121" s="203" t="str">
        <f>IF(B3121&lt;&gt;"",IF(AND(B3121&gt;=_TM1,B3121&lt;=_TM2,OR(TH!L3121="1111",TH!M3121="1111")),TH!D3121,""),"")</f>
        <v/>
      </c>
      <c r="B3121" s="36">
        <f t="shared" si="45"/>
        <v>6</v>
      </c>
      <c r="C3121" s="899">
        <f t="shared" si="47"/>
        <v>42175</v>
      </c>
      <c r="D3121" s="900" t="s">
        <v>2013</v>
      </c>
      <c r="E3121" s="900">
        <v>42175</v>
      </c>
      <c r="F3121" s="907" t="s">
        <v>815</v>
      </c>
      <c r="G3121" s="902" t="s">
        <v>809</v>
      </c>
      <c r="H3121" s="913" t="s">
        <v>2014</v>
      </c>
      <c r="I3121" s="253">
        <v>31</v>
      </c>
      <c r="J3121" s="253">
        <v>36284.798062035625</v>
      </c>
      <c r="K3121" s="904">
        <f t="shared" si="46"/>
        <v>1124829</v>
      </c>
      <c r="L3121" s="869" t="s">
        <v>167</v>
      </c>
      <c r="M3121" s="869" t="s">
        <v>165</v>
      </c>
      <c r="N3121" s="52" t="str">
        <f>IF(AND('331-CT'!$E$7=TH!H3121,OR(L3121="331",M3121="331")),"331",IF(AND(OR(L3121="131",M3121="131"),H3121='131-CT'!$E$7),"131",""))</f>
        <v/>
      </c>
      <c r="O3121" s="86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99"/>
    </row>
    <row r="3122" spans="1:27" s="210" customFormat="1" ht="15.75" customHeight="1">
      <c r="A3122" s="203" t="str">
        <f>IF(B3122&lt;&gt;"",IF(AND(B3122&gt;=_TM1,B3122&lt;=_TM2,OR(TH!L3122="1111",TH!M3122="1111")),TH!D3122,""),"")</f>
        <v/>
      </c>
      <c r="B3122" s="36">
        <f t="shared" si="45"/>
        <v>6</v>
      </c>
      <c r="C3122" s="899">
        <f t="shared" si="47"/>
        <v>42175</v>
      </c>
      <c r="D3122" s="900" t="s">
        <v>2013</v>
      </c>
      <c r="E3122" s="900">
        <v>42175</v>
      </c>
      <c r="F3122" s="907" t="s">
        <v>816</v>
      </c>
      <c r="G3122" s="902" t="s">
        <v>809</v>
      </c>
      <c r="H3122" s="913" t="s">
        <v>2014</v>
      </c>
      <c r="I3122" s="253">
        <v>30</v>
      </c>
      <c r="J3122" s="253">
        <v>33163.525110462666</v>
      </c>
      <c r="K3122" s="904">
        <f t="shared" si="46"/>
        <v>994906</v>
      </c>
      <c r="L3122" s="869" t="s">
        <v>167</v>
      </c>
      <c r="M3122" s="869" t="s">
        <v>165</v>
      </c>
      <c r="N3122" s="52" t="str">
        <f>IF(AND('331-CT'!$E$7=TH!H3122,OR(L3122="331",M3122="331")),"331",IF(AND(OR(L3122="131",M3122="131"),H3122='131-CT'!$E$7),"131",""))</f>
        <v/>
      </c>
      <c r="O3122" s="86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99"/>
    </row>
    <row r="3123" spans="1:27" s="210" customFormat="1" ht="15.75" customHeight="1">
      <c r="A3123" s="203" t="str">
        <f>IF(B3123&lt;&gt;"",IF(AND(B3123&gt;=_TM1,B3123&lt;=_TM2,OR(TH!L3123="1111",TH!M3123="1111")),TH!D3123,""),"")</f>
        <v/>
      </c>
      <c r="B3123" s="36">
        <f t="shared" si="45"/>
        <v>6</v>
      </c>
      <c r="C3123" s="899">
        <f t="shared" si="47"/>
        <v>42175</v>
      </c>
      <c r="D3123" s="900" t="s">
        <v>2013</v>
      </c>
      <c r="E3123" s="900">
        <v>42175</v>
      </c>
      <c r="F3123" s="907" t="s">
        <v>817</v>
      </c>
      <c r="G3123" s="902" t="s">
        <v>809</v>
      </c>
      <c r="H3123" s="913" t="s">
        <v>2014</v>
      </c>
      <c r="I3123" s="253">
        <v>207</v>
      </c>
      <c r="J3123" s="253">
        <v>12485.091806291828</v>
      </c>
      <c r="K3123" s="904">
        <f t="shared" si="46"/>
        <v>2584414</v>
      </c>
      <c r="L3123" s="869" t="s">
        <v>167</v>
      </c>
      <c r="M3123" s="869" t="s">
        <v>165</v>
      </c>
      <c r="N3123" s="52" t="str">
        <f>IF(AND('331-CT'!$E$7=TH!H3123,OR(L3123="331",M3123="331")),"331",IF(AND(OR(L3123="131",M3123="131"),H3123='131-CT'!$E$7),"131",""))</f>
        <v/>
      </c>
      <c r="O3123" s="86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99"/>
    </row>
    <row r="3124" spans="1:27" s="210" customFormat="1" ht="15.75" customHeight="1">
      <c r="A3124" s="203" t="str">
        <f>IF(B3124&lt;&gt;"",IF(AND(B3124&gt;=_TM1,B3124&lt;=_TM2,OR(TH!L3124="1111",TH!M3124="1111")),TH!D3124,""),"")</f>
        <v/>
      </c>
      <c r="B3124" s="36">
        <f t="shared" si="45"/>
        <v>6</v>
      </c>
      <c r="C3124" s="899">
        <f t="shared" si="47"/>
        <v>42175</v>
      </c>
      <c r="D3124" s="900" t="s">
        <v>2013</v>
      </c>
      <c r="E3124" s="900">
        <v>42175</v>
      </c>
      <c r="F3124" s="907" t="s">
        <v>818</v>
      </c>
      <c r="G3124" s="902" t="s">
        <v>809</v>
      </c>
      <c r="H3124" s="913" t="s">
        <v>2014</v>
      </c>
      <c r="I3124" s="253">
        <v>103</v>
      </c>
      <c r="J3124" s="253">
        <v>9753.9779736654891</v>
      </c>
      <c r="K3124" s="904">
        <f t="shared" si="46"/>
        <v>1004660</v>
      </c>
      <c r="L3124" s="869" t="s">
        <v>167</v>
      </c>
      <c r="M3124" s="869" t="s">
        <v>165</v>
      </c>
      <c r="N3124" s="52" t="str">
        <f>IF(AND('331-CT'!$E$7=TH!H3124,OR(L3124="331",M3124="331")),"331",IF(AND(OR(L3124="131",M3124="131"),H3124='131-CT'!$E$7),"131",""))</f>
        <v/>
      </c>
      <c r="O3124" s="86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99"/>
    </row>
    <row r="3125" spans="1:27" s="210" customFormat="1" ht="15.75" customHeight="1">
      <c r="A3125" s="203" t="str">
        <f>IF(B3125&lt;&gt;"",IF(AND(B3125&gt;=_TM1,B3125&lt;=_TM2,OR(TH!L3125="1111",TH!M3125="1111")),TH!D3125,""),"")</f>
        <v/>
      </c>
      <c r="B3125" s="36">
        <f t="shared" si="45"/>
        <v>6</v>
      </c>
      <c r="C3125" s="899">
        <f t="shared" si="47"/>
        <v>42177</v>
      </c>
      <c r="D3125" s="900" t="s">
        <v>2013</v>
      </c>
      <c r="E3125" s="900">
        <v>42177</v>
      </c>
      <c r="F3125" s="907" t="s">
        <v>398</v>
      </c>
      <c r="G3125" s="902" t="s">
        <v>819</v>
      </c>
      <c r="H3125" s="913" t="s">
        <v>2014</v>
      </c>
      <c r="I3125" s="253">
        <v>905</v>
      </c>
      <c r="J3125" s="253">
        <v>6398.6095507245609</v>
      </c>
      <c r="K3125" s="904">
        <f t="shared" si="46"/>
        <v>5790742</v>
      </c>
      <c r="L3125" s="869" t="s">
        <v>167</v>
      </c>
      <c r="M3125" s="869" t="s">
        <v>165</v>
      </c>
      <c r="N3125" s="52" t="str">
        <f>IF(AND('331-CT'!$E$7=TH!H3125,OR(L3125="331",M3125="331")),"331",IF(AND(OR(L3125="131",M3125="131"),H3125='131-CT'!$E$7),"131",""))</f>
        <v/>
      </c>
      <c r="O3125" s="86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99"/>
    </row>
    <row r="3126" spans="1:27" s="210" customFormat="1" ht="15.75" customHeight="1">
      <c r="A3126" s="203" t="str">
        <f>IF(B3126&lt;&gt;"",IF(AND(B3126&gt;=_TM1,B3126&lt;=_TM2,OR(TH!L3126="1111",TH!M3126="1111")),TH!D3126,""),"")</f>
        <v/>
      </c>
      <c r="B3126" s="36">
        <f t="shared" si="45"/>
        <v>6</v>
      </c>
      <c r="C3126" s="899">
        <f t="shared" si="47"/>
        <v>42177</v>
      </c>
      <c r="D3126" s="900" t="s">
        <v>2013</v>
      </c>
      <c r="E3126" s="900">
        <v>42177</v>
      </c>
      <c r="F3126" s="907" t="s">
        <v>446</v>
      </c>
      <c r="G3126" s="902" t="s">
        <v>819</v>
      </c>
      <c r="H3126" s="913" t="s">
        <v>2014</v>
      </c>
      <c r="I3126" s="253">
        <v>307</v>
      </c>
      <c r="J3126" s="253">
        <v>7100.8959648284763</v>
      </c>
      <c r="K3126" s="904">
        <f t="shared" si="46"/>
        <v>2179975</v>
      </c>
      <c r="L3126" s="869" t="s">
        <v>167</v>
      </c>
      <c r="M3126" s="869" t="s">
        <v>165</v>
      </c>
      <c r="N3126" s="52" t="str">
        <f>IF(AND('331-CT'!$E$7=TH!H3126,OR(L3126="331",M3126="331")),"331",IF(AND(OR(L3126="131",M3126="131"),H3126='131-CT'!$E$7),"131",""))</f>
        <v/>
      </c>
      <c r="O3126" s="86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99"/>
    </row>
    <row r="3127" spans="1:27" s="210" customFormat="1" ht="15.75" customHeight="1">
      <c r="A3127" s="203" t="str">
        <f>IF(B3127&lt;&gt;"",IF(AND(B3127&gt;=_TM1,B3127&lt;=_TM2,OR(TH!L3127="1111",TH!M3127="1111")),TH!D3127,""),"")</f>
        <v/>
      </c>
      <c r="B3127" s="36">
        <f t="shared" si="45"/>
        <v>6</v>
      </c>
      <c r="C3127" s="899">
        <f t="shared" si="47"/>
        <v>42177</v>
      </c>
      <c r="D3127" s="900" t="s">
        <v>2013</v>
      </c>
      <c r="E3127" s="900">
        <v>42177</v>
      </c>
      <c r="F3127" s="907" t="s">
        <v>501</v>
      </c>
      <c r="G3127" s="902" t="s">
        <v>819</v>
      </c>
      <c r="H3127" s="913" t="s">
        <v>2014</v>
      </c>
      <c r="I3127" s="253">
        <v>134</v>
      </c>
      <c r="J3127" s="253">
        <v>12329.028158713179</v>
      </c>
      <c r="K3127" s="904">
        <f t="shared" si="46"/>
        <v>1652090</v>
      </c>
      <c r="L3127" s="869" t="s">
        <v>167</v>
      </c>
      <c r="M3127" s="869" t="s">
        <v>165</v>
      </c>
      <c r="N3127" s="52" t="str">
        <f>IF(AND('331-CT'!$E$7=TH!H3127,OR(L3127="331",M3127="331")),"331",IF(AND(OR(L3127="131",M3127="131"),H3127='131-CT'!$E$7),"131",""))</f>
        <v/>
      </c>
      <c r="O3127" s="86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99"/>
    </row>
    <row r="3128" spans="1:27" s="210" customFormat="1" ht="15.75" customHeight="1">
      <c r="A3128" s="203" t="str">
        <f>IF(B3128&lt;&gt;"",IF(AND(B3128&gt;=_TM1,B3128&lt;=_TM2,OR(TH!L3128="1111",TH!M3128="1111")),TH!D3128,""),"")</f>
        <v/>
      </c>
      <c r="B3128" s="36">
        <f t="shared" si="45"/>
        <v>6</v>
      </c>
      <c r="C3128" s="899">
        <f t="shared" si="47"/>
        <v>42177</v>
      </c>
      <c r="D3128" s="900" t="s">
        <v>2013</v>
      </c>
      <c r="E3128" s="900">
        <v>42177</v>
      </c>
      <c r="F3128" s="907" t="s">
        <v>1744</v>
      </c>
      <c r="G3128" s="902" t="s">
        <v>820</v>
      </c>
      <c r="H3128" s="913" t="s">
        <v>2014</v>
      </c>
      <c r="I3128" s="253">
        <v>85</v>
      </c>
      <c r="J3128" s="253">
        <v>6164.5140793565897</v>
      </c>
      <c r="K3128" s="904">
        <f t="shared" si="46"/>
        <v>523984</v>
      </c>
      <c r="L3128" s="869" t="s">
        <v>167</v>
      </c>
      <c r="M3128" s="869" t="s">
        <v>165</v>
      </c>
      <c r="N3128" s="52" t="str">
        <f>IF(AND('331-CT'!$E$7=TH!H3128,OR(L3128="331",M3128="331")),"331",IF(AND(OR(L3128="131",M3128="131"),H3128='131-CT'!$E$7),"131",""))</f>
        <v/>
      </c>
      <c r="O3128" s="86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99"/>
    </row>
    <row r="3129" spans="1:27" s="210" customFormat="1" ht="15.75" customHeight="1">
      <c r="A3129" s="203" t="str">
        <f>IF(B3129&lt;&gt;"",IF(AND(B3129&gt;=_TM1,B3129&lt;=_TM2,OR(TH!L3129="1111",TH!M3129="1111")),TH!D3129,""),"")</f>
        <v/>
      </c>
      <c r="B3129" s="36">
        <f t="shared" si="45"/>
        <v>6</v>
      </c>
      <c r="C3129" s="899">
        <f t="shared" si="47"/>
        <v>42177</v>
      </c>
      <c r="D3129" s="900" t="s">
        <v>2013</v>
      </c>
      <c r="E3129" s="900">
        <v>42177</v>
      </c>
      <c r="F3129" s="907" t="s">
        <v>1745</v>
      </c>
      <c r="G3129" s="902" t="s">
        <v>820</v>
      </c>
      <c r="H3129" s="913" t="s">
        <v>2014</v>
      </c>
      <c r="I3129" s="253">
        <v>185</v>
      </c>
      <c r="J3129" s="253">
        <v>9051.6915595615737</v>
      </c>
      <c r="K3129" s="904">
        <f t="shared" si="46"/>
        <v>1674563</v>
      </c>
      <c r="L3129" s="869" t="s">
        <v>167</v>
      </c>
      <c r="M3129" s="869" t="s">
        <v>165</v>
      </c>
      <c r="N3129" s="52" t="str">
        <f>IF(AND('331-CT'!$E$7=TH!H3129,OR(L3129="331",M3129="331")),"331",IF(AND(OR(L3129="131",M3129="131"),H3129='131-CT'!$E$7),"131",""))</f>
        <v/>
      </c>
      <c r="O3129" s="86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99"/>
    </row>
    <row r="3130" spans="1:27" s="210" customFormat="1" ht="15.75" customHeight="1">
      <c r="A3130" s="203" t="str">
        <f>IF(B3130&lt;&gt;"",IF(AND(B3130&gt;=_TM1,B3130&lt;=_TM2,OR(TH!L3130="1111",TH!M3130="1111")),TH!D3130,""),"")</f>
        <v/>
      </c>
      <c r="B3130" s="36">
        <f t="shared" si="45"/>
        <v>6</v>
      </c>
      <c r="C3130" s="899">
        <f t="shared" si="47"/>
        <v>42177</v>
      </c>
      <c r="D3130" s="900" t="s">
        <v>2013</v>
      </c>
      <c r="E3130" s="900">
        <v>42177</v>
      </c>
      <c r="F3130" s="907" t="s">
        <v>1746</v>
      </c>
      <c r="G3130" s="902" t="s">
        <v>820</v>
      </c>
      <c r="H3130" s="913" t="s">
        <v>2014</v>
      </c>
      <c r="I3130" s="253">
        <v>185</v>
      </c>
      <c r="J3130" s="253">
        <v>8349.4051454576602</v>
      </c>
      <c r="K3130" s="904">
        <f t="shared" si="46"/>
        <v>1544640</v>
      </c>
      <c r="L3130" s="869" t="s">
        <v>167</v>
      </c>
      <c r="M3130" s="869" t="s">
        <v>165</v>
      </c>
      <c r="N3130" s="52" t="str">
        <f>IF(AND('331-CT'!$E$7=TH!H3130,OR(L3130="331",M3130="331")),"331",IF(AND(OR(L3130="131",M3130="131"),H3130='131-CT'!$E$7),"131",""))</f>
        <v/>
      </c>
      <c r="O3130" s="86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99"/>
    </row>
    <row r="3131" spans="1:27" s="210" customFormat="1" ht="15.75" customHeight="1">
      <c r="A3131" s="203" t="str">
        <f>IF(B3131&lt;&gt;"",IF(AND(B3131&gt;=_TM1,B3131&lt;=_TM2,OR(TH!L3131="1111",TH!M3131="1111")),TH!D3131,""),"")</f>
        <v/>
      </c>
      <c r="B3131" s="36">
        <f t="shared" si="45"/>
        <v>6</v>
      </c>
      <c r="C3131" s="899">
        <f t="shared" si="47"/>
        <v>42177</v>
      </c>
      <c r="D3131" s="900" t="s">
        <v>2013</v>
      </c>
      <c r="E3131" s="900">
        <v>42177</v>
      </c>
      <c r="F3131" s="907" t="s">
        <v>1715</v>
      </c>
      <c r="G3131" s="902" t="s">
        <v>820</v>
      </c>
      <c r="H3131" s="913" t="s">
        <v>2014</v>
      </c>
      <c r="I3131" s="253">
        <v>500</v>
      </c>
      <c r="J3131" s="253">
        <v>11626.741744609264</v>
      </c>
      <c r="K3131" s="904">
        <f t="shared" si="46"/>
        <v>5813371</v>
      </c>
      <c r="L3131" s="869" t="s">
        <v>167</v>
      </c>
      <c r="M3131" s="869" t="s">
        <v>165</v>
      </c>
      <c r="N3131" s="52" t="str">
        <f>IF(AND('331-CT'!$E$7=TH!H3131,OR(L3131="331",M3131="331")),"331",IF(AND(OR(L3131="131",M3131="131"),H3131='131-CT'!$E$7),"131",""))</f>
        <v/>
      </c>
      <c r="O3131" s="86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99"/>
    </row>
    <row r="3132" spans="1:27" s="210" customFormat="1" ht="15.75" customHeight="1">
      <c r="A3132" s="203" t="str">
        <f>IF(B3132&lt;&gt;"",IF(AND(B3132&gt;=_TM1,B3132&lt;=_TM2,OR(TH!L3132="1111",TH!M3132="1111")),TH!D3132,""),"")</f>
        <v/>
      </c>
      <c r="B3132" s="36">
        <f t="shared" si="45"/>
        <v>6</v>
      </c>
      <c r="C3132" s="899">
        <f t="shared" si="47"/>
        <v>42177</v>
      </c>
      <c r="D3132" s="900" t="s">
        <v>2013</v>
      </c>
      <c r="E3132" s="900">
        <v>42177</v>
      </c>
      <c r="F3132" s="907" t="s">
        <v>1747</v>
      </c>
      <c r="G3132" s="902" t="s">
        <v>820</v>
      </c>
      <c r="H3132" s="913" t="s">
        <v>2014</v>
      </c>
      <c r="I3132" s="253">
        <v>50</v>
      </c>
      <c r="J3132" s="253">
        <v>5540.2594890419978</v>
      </c>
      <c r="K3132" s="904">
        <f t="shared" si="46"/>
        <v>277013</v>
      </c>
      <c r="L3132" s="869" t="s">
        <v>167</v>
      </c>
      <c r="M3132" s="869" t="s">
        <v>165</v>
      </c>
      <c r="N3132" s="52" t="str">
        <f>IF(AND('331-CT'!$E$7=TH!H3132,OR(L3132="331",M3132="331")),"331",IF(AND(OR(L3132="131",M3132="131"),H3132='131-CT'!$E$7),"131",""))</f>
        <v/>
      </c>
      <c r="O3132" s="86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99"/>
    </row>
    <row r="3133" spans="1:27" s="210" customFormat="1" ht="15.75" customHeight="1">
      <c r="A3133" s="203" t="str">
        <f>IF(B3133&lt;&gt;"",IF(AND(B3133&gt;=_TM1,B3133&lt;=_TM2,OR(TH!L3133="1111",TH!M3133="1111")),TH!D3133,""),"")</f>
        <v/>
      </c>
      <c r="B3133" s="36">
        <f t="shared" si="45"/>
        <v>6</v>
      </c>
      <c r="C3133" s="899">
        <f t="shared" si="47"/>
        <v>42177</v>
      </c>
      <c r="D3133" s="900" t="s">
        <v>2013</v>
      </c>
      <c r="E3133" s="900">
        <v>42177</v>
      </c>
      <c r="F3133" s="907" t="s">
        <v>1748</v>
      </c>
      <c r="G3133" s="902" t="s">
        <v>820</v>
      </c>
      <c r="H3133" s="913" t="s">
        <v>2014</v>
      </c>
      <c r="I3133" s="253">
        <v>150</v>
      </c>
      <c r="J3133" s="253">
        <v>9051.6915595615737</v>
      </c>
      <c r="K3133" s="904">
        <f t="shared" si="46"/>
        <v>1357754</v>
      </c>
      <c r="L3133" s="869" t="s">
        <v>167</v>
      </c>
      <c r="M3133" s="869" t="s">
        <v>165</v>
      </c>
      <c r="N3133" s="52" t="str">
        <f>IF(AND('331-CT'!$E$7=TH!H3133,OR(L3133="331",M3133="331")),"331",IF(AND(OR(L3133="131",M3133="131"),H3133='131-CT'!$E$7),"131",""))</f>
        <v/>
      </c>
      <c r="O3133" s="86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99"/>
    </row>
    <row r="3134" spans="1:27" s="210" customFormat="1" ht="15.75" customHeight="1">
      <c r="A3134" s="203" t="str">
        <f>IF(B3134&lt;&gt;"",IF(AND(B3134&gt;=_TM1,B3134&lt;=_TM2,OR(TH!L3134="1111",TH!M3134="1111")),TH!D3134,""),"")</f>
        <v/>
      </c>
      <c r="B3134" s="36">
        <f t="shared" si="45"/>
        <v>6</v>
      </c>
      <c r="C3134" s="899">
        <f t="shared" si="47"/>
        <v>42177</v>
      </c>
      <c r="D3134" s="900" t="s">
        <v>2013</v>
      </c>
      <c r="E3134" s="900">
        <v>42177</v>
      </c>
      <c r="F3134" s="907" t="s">
        <v>821</v>
      </c>
      <c r="G3134" s="902" t="s">
        <v>822</v>
      </c>
      <c r="H3134" s="913" t="s">
        <v>2014</v>
      </c>
      <c r="I3134" s="253">
        <v>107</v>
      </c>
      <c r="J3134" s="253">
        <v>7022.8641410391529</v>
      </c>
      <c r="K3134" s="904">
        <f t="shared" si="46"/>
        <v>751446</v>
      </c>
      <c r="L3134" s="869" t="s">
        <v>167</v>
      </c>
      <c r="M3134" s="869" t="s">
        <v>165</v>
      </c>
      <c r="N3134" s="52" t="str">
        <f>IF(AND('331-CT'!$E$7=TH!H3134,OR(L3134="331",M3134="331")),"331",IF(AND(OR(L3134="131",M3134="131"),H3134='131-CT'!$E$7),"131",""))</f>
        <v/>
      </c>
      <c r="O3134" s="86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99"/>
    </row>
    <row r="3135" spans="1:27" s="210" customFormat="1" ht="15.75" customHeight="1">
      <c r="A3135" s="203" t="str">
        <f>IF(B3135&lt;&gt;"",IF(AND(B3135&gt;=_TM1,B3135&lt;=_TM2,OR(TH!L3135="1111",TH!M3135="1111")),TH!D3135,""),"")</f>
        <v/>
      </c>
      <c r="B3135" s="36">
        <f t="shared" si="45"/>
        <v>6</v>
      </c>
      <c r="C3135" s="899">
        <f t="shared" si="47"/>
        <v>42177</v>
      </c>
      <c r="D3135" s="900" t="s">
        <v>2013</v>
      </c>
      <c r="E3135" s="900">
        <v>42177</v>
      </c>
      <c r="F3135" s="907" t="s">
        <v>823</v>
      </c>
      <c r="G3135" s="902" t="s">
        <v>822</v>
      </c>
      <c r="H3135" s="913" t="s">
        <v>2014</v>
      </c>
      <c r="I3135" s="253">
        <v>31</v>
      </c>
      <c r="J3135" s="253">
        <v>40186.389251501823</v>
      </c>
      <c r="K3135" s="904">
        <f t="shared" si="46"/>
        <v>1245778</v>
      </c>
      <c r="L3135" s="869" t="s">
        <v>167</v>
      </c>
      <c r="M3135" s="869" t="s">
        <v>165</v>
      </c>
      <c r="N3135" s="52" t="str">
        <f>IF(AND('331-CT'!$E$7=TH!H3135,OR(L3135="331",M3135="331")),"331",IF(AND(OR(L3135="131",M3135="131"),H3135='131-CT'!$E$7),"131",""))</f>
        <v/>
      </c>
      <c r="O3135" s="86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99"/>
    </row>
    <row r="3136" spans="1:27" s="210" customFormat="1" ht="15.75" customHeight="1">
      <c r="A3136" s="203" t="str">
        <f>IF(B3136&lt;&gt;"",IF(AND(B3136&gt;=_TM1,B3136&lt;=_TM2,OR(TH!L3136="1111",TH!M3136="1111")),TH!D3136,""),"")</f>
        <v/>
      </c>
      <c r="B3136" s="36">
        <f t="shared" si="45"/>
        <v>6</v>
      </c>
      <c r="C3136" s="899">
        <f t="shared" si="47"/>
        <v>42177</v>
      </c>
      <c r="D3136" s="900" t="s">
        <v>2013</v>
      </c>
      <c r="E3136" s="900">
        <v>42177</v>
      </c>
      <c r="F3136" s="907" t="s">
        <v>824</v>
      </c>
      <c r="G3136" s="902" t="s">
        <v>822</v>
      </c>
      <c r="H3136" s="913" t="s">
        <v>2014</v>
      </c>
      <c r="I3136" s="253">
        <v>31</v>
      </c>
      <c r="J3136" s="253">
        <v>47209.253392540966</v>
      </c>
      <c r="K3136" s="904">
        <f t="shared" si="46"/>
        <v>1463487</v>
      </c>
      <c r="L3136" s="869" t="s">
        <v>167</v>
      </c>
      <c r="M3136" s="869" t="s">
        <v>165</v>
      </c>
      <c r="N3136" s="52" t="str">
        <f>IF(AND('331-CT'!$E$7=TH!H3136,OR(L3136="331",M3136="331")),"331",IF(AND(OR(L3136="131",M3136="131"),H3136='131-CT'!$E$7),"131",""))</f>
        <v/>
      </c>
      <c r="O3136" s="86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99"/>
    </row>
    <row r="3137" spans="1:27" s="210" customFormat="1" ht="15.75" customHeight="1">
      <c r="A3137" s="203" t="str">
        <f>IF(B3137&lt;&gt;"",IF(AND(B3137&gt;=_TM1,B3137&lt;=_TM2,OR(TH!L3137="1111",TH!M3137="1111")),TH!D3137,""),"")</f>
        <v/>
      </c>
      <c r="B3137" s="36">
        <f t="shared" si="45"/>
        <v>6</v>
      </c>
      <c r="C3137" s="899">
        <f t="shared" si="47"/>
        <v>42177</v>
      </c>
      <c r="D3137" s="900" t="s">
        <v>2013</v>
      </c>
      <c r="E3137" s="900">
        <v>42177</v>
      </c>
      <c r="F3137" s="907" t="s">
        <v>825</v>
      </c>
      <c r="G3137" s="902" t="s">
        <v>822</v>
      </c>
      <c r="H3137" s="913" t="s">
        <v>2014</v>
      </c>
      <c r="I3137" s="253">
        <v>60</v>
      </c>
      <c r="J3137" s="253">
        <v>1950.7955947330979</v>
      </c>
      <c r="K3137" s="904">
        <f t="shared" si="46"/>
        <v>117048</v>
      </c>
      <c r="L3137" s="869" t="s">
        <v>167</v>
      </c>
      <c r="M3137" s="869" t="s">
        <v>165</v>
      </c>
      <c r="N3137" s="52" t="str">
        <f>IF(AND('331-CT'!$E$7=TH!H3137,OR(L3137="331",M3137="331")),"331",IF(AND(OR(L3137="131",M3137="131"),H3137='131-CT'!$E$7),"131",""))</f>
        <v/>
      </c>
      <c r="O3137" s="86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99"/>
    </row>
    <row r="3138" spans="1:27" s="210" customFormat="1" ht="15.75" customHeight="1">
      <c r="A3138" s="203" t="str">
        <f>IF(B3138&lt;&gt;"",IF(AND(B3138&gt;=_TM1,B3138&lt;=_TM2,OR(TH!L3138="1111",TH!M3138="1111")),TH!D3138,""),"")</f>
        <v/>
      </c>
      <c r="B3138" s="36">
        <f t="shared" si="45"/>
        <v>6</v>
      </c>
      <c r="C3138" s="899">
        <f t="shared" si="47"/>
        <v>42177</v>
      </c>
      <c r="D3138" s="900" t="s">
        <v>2013</v>
      </c>
      <c r="E3138" s="900">
        <v>42177</v>
      </c>
      <c r="F3138" s="907" t="s">
        <v>826</v>
      </c>
      <c r="G3138" s="902" t="s">
        <v>822</v>
      </c>
      <c r="H3138" s="913" t="s">
        <v>2014</v>
      </c>
      <c r="I3138" s="253">
        <v>20</v>
      </c>
      <c r="J3138" s="253">
        <v>63986.095507245605</v>
      </c>
      <c r="K3138" s="904">
        <f t="shared" si="46"/>
        <v>1279722</v>
      </c>
      <c r="L3138" s="869" t="s">
        <v>167</v>
      </c>
      <c r="M3138" s="869" t="s">
        <v>165</v>
      </c>
      <c r="N3138" s="52" t="str">
        <f>IF(AND('331-CT'!$E$7=TH!H3138,OR(L3138="331",M3138="331")),"331",IF(AND(OR(L3138="131",M3138="131"),H3138='131-CT'!$E$7),"131",""))</f>
        <v/>
      </c>
      <c r="O3138" s="86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99"/>
    </row>
    <row r="3139" spans="1:27" s="210" customFormat="1" ht="15.75" customHeight="1">
      <c r="A3139" s="203" t="str">
        <f>IF(B3139&lt;&gt;"",IF(AND(B3139&gt;=_TM1,B3139&lt;=_TM2,OR(TH!L3139="1111",TH!M3139="1111")),TH!D3139,""),"")</f>
        <v/>
      </c>
      <c r="B3139" s="36">
        <f t="shared" si="45"/>
        <v>6</v>
      </c>
      <c r="C3139" s="899">
        <f t="shared" si="47"/>
        <v>42177</v>
      </c>
      <c r="D3139" s="900" t="s">
        <v>2013</v>
      </c>
      <c r="E3139" s="900">
        <v>42177</v>
      </c>
      <c r="F3139" s="907" t="s">
        <v>827</v>
      </c>
      <c r="G3139" s="902" t="s">
        <v>822</v>
      </c>
      <c r="H3139" s="913" t="s">
        <v>2014</v>
      </c>
      <c r="I3139" s="253">
        <v>10</v>
      </c>
      <c r="J3139" s="253">
        <v>57041.263189995778</v>
      </c>
      <c r="K3139" s="904">
        <f t="shared" si="46"/>
        <v>570413</v>
      </c>
      <c r="L3139" s="869" t="s">
        <v>167</v>
      </c>
      <c r="M3139" s="869" t="s">
        <v>165</v>
      </c>
      <c r="N3139" s="52" t="str">
        <f>IF(AND('331-CT'!$E$7=TH!H3139,OR(L3139="331",M3139="331")),"331",IF(AND(OR(L3139="131",M3139="131"),H3139='131-CT'!$E$7),"131",""))</f>
        <v/>
      </c>
      <c r="O3139" s="86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99"/>
    </row>
    <row r="3140" spans="1:27" s="210" customFormat="1" ht="15.75" customHeight="1">
      <c r="A3140" s="203" t="str">
        <f>IF(B3140&lt;&gt;"",IF(AND(B3140&gt;=_TM1,B3140&lt;=_TM2,OR(TH!L3140="1111",TH!M3140="1111")),TH!D3140,""),"")</f>
        <v/>
      </c>
      <c r="B3140" s="36">
        <f t="shared" si="45"/>
        <v>6</v>
      </c>
      <c r="C3140" s="899">
        <f t="shared" si="47"/>
        <v>42177</v>
      </c>
      <c r="D3140" s="900" t="s">
        <v>2013</v>
      </c>
      <c r="E3140" s="900">
        <v>42177</v>
      </c>
      <c r="F3140" s="907" t="s">
        <v>827</v>
      </c>
      <c r="G3140" s="902" t="s">
        <v>822</v>
      </c>
      <c r="H3140" s="913" t="s">
        <v>2014</v>
      </c>
      <c r="I3140" s="253">
        <v>10</v>
      </c>
      <c r="J3140" s="253">
        <v>57041.263189995778</v>
      </c>
      <c r="K3140" s="904">
        <f t="shared" si="46"/>
        <v>570413</v>
      </c>
      <c r="L3140" s="869" t="s">
        <v>167</v>
      </c>
      <c r="M3140" s="869" t="s">
        <v>165</v>
      </c>
      <c r="N3140" s="52" t="str">
        <f>IF(AND('331-CT'!$E$7=TH!H3140,OR(L3140="331",M3140="331")),"331",IF(AND(OR(L3140="131",M3140="131"),H3140='131-CT'!$E$7),"131",""))</f>
        <v/>
      </c>
      <c r="O3140" s="86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99"/>
    </row>
    <row r="3141" spans="1:27" s="210" customFormat="1" ht="15.75" customHeight="1">
      <c r="A3141" s="203" t="str">
        <f>IF(B3141&lt;&gt;"",IF(AND(B3141&gt;=_TM1,B3141&lt;=_TM2,OR(TH!L3141="1111",TH!M3141="1111")),TH!D3141,""),"")</f>
        <v/>
      </c>
      <c r="B3141" s="36">
        <f t="shared" si="45"/>
        <v>6</v>
      </c>
      <c r="C3141" s="899">
        <f t="shared" si="47"/>
        <v>42177</v>
      </c>
      <c r="D3141" s="900" t="s">
        <v>2013</v>
      </c>
      <c r="E3141" s="900">
        <v>42177</v>
      </c>
      <c r="F3141" s="907" t="s">
        <v>826</v>
      </c>
      <c r="G3141" s="902" t="s">
        <v>822</v>
      </c>
      <c r="H3141" s="913" t="s">
        <v>2014</v>
      </c>
      <c r="I3141" s="253">
        <v>223</v>
      </c>
      <c r="J3141" s="253">
        <v>63986.095507245605</v>
      </c>
      <c r="K3141" s="904">
        <f t="shared" si="46"/>
        <v>14268899</v>
      </c>
      <c r="L3141" s="869" t="s">
        <v>167</v>
      </c>
      <c r="M3141" s="869" t="s">
        <v>165</v>
      </c>
      <c r="N3141" s="52" t="str">
        <f>IF(AND('331-CT'!$E$7=TH!H3141,OR(L3141="331",M3141="331")),"331",IF(AND(OR(L3141="131",M3141="131"),H3141='131-CT'!$E$7),"131",""))</f>
        <v/>
      </c>
      <c r="O3141" s="86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99"/>
    </row>
    <row r="3142" spans="1:27" s="210" customFormat="1" ht="15.75" customHeight="1">
      <c r="A3142" s="203" t="str">
        <f>IF(B3142&lt;&gt;"",IF(AND(B3142&gt;=_TM1,B3142&lt;=_TM2,OR(TH!L3142="1111",TH!M3142="1111")),TH!D3142,""),"")</f>
        <v/>
      </c>
      <c r="B3142" s="36">
        <f t="shared" si="45"/>
        <v>6</v>
      </c>
      <c r="C3142" s="899">
        <f t="shared" si="47"/>
        <v>42177</v>
      </c>
      <c r="D3142" s="900" t="s">
        <v>2013</v>
      </c>
      <c r="E3142" s="900">
        <v>42177</v>
      </c>
      <c r="F3142" s="907" t="s">
        <v>827</v>
      </c>
      <c r="G3142" s="902" t="s">
        <v>822</v>
      </c>
      <c r="H3142" s="913" t="s">
        <v>2014</v>
      </c>
      <c r="I3142" s="253">
        <v>15</v>
      </c>
      <c r="J3142" s="253">
        <v>57041.263189995778</v>
      </c>
      <c r="K3142" s="904">
        <f t="shared" si="46"/>
        <v>855619</v>
      </c>
      <c r="L3142" s="869" t="s">
        <v>167</v>
      </c>
      <c r="M3142" s="869" t="s">
        <v>165</v>
      </c>
      <c r="N3142" s="52" t="str">
        <f>IF(AND('331-CT'!$E$7=TH!H3142,OR(L3142="331",M3142="331")),"331",IF(AND(OR(L3142="131",M3142="131"),H3142='131-CT'!$E$7),"131",""))</f>
        <v/>
      </c>
      <c r="O3142" s="86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99"/>
    </row>
    <row r="3143" spans="1:27" s="210" customFormat="1" ht="15.75" customHeight="1">
      <c r="A3143" s="203" t="str">
        <f>IF(B3143&lt;&gt;"",IF(AND(B3143&gt;=_TM1,B3143&lt;=_TM2,OR(TH!L3143="1111",TH!M3143="1111")),TH!D3143,""),"")</f>
        <v/>
      </c>
      <c r="B3143" s="36">
        <f t="shared" si="45"/>
        <v>6</v>
      </c>
      <c r="C3143" s="899">
        <f t="shared" si="47"/>
        <v>42177</v>
      </c>
      <c r="D3143" s="900" t="s">
        <v>2013</v>
      </c>
      <c r="E3143" s="900">
        <v>42177</v>
      </c>
      <c r="F3143" s="907" t="s">
        <v>828</v>
      </c>
      <c r="G3143" s="902" t="s">
        <v>822</v>
      </c>
      <c r="H3143" s="913" t="s">
        <v>2014</v>
      </c>
      <c r="I3143" s="253">
        <v>21</v>
      </c>
      <c r="J3143" s="253">
        <v>53373.767471897561</v>
      </c>
      <c r="K3143" s="904">
        <f t="shared" si="46"/>
        <v>1120849</v>
      </c>
      <c r="L3143" s="869" t="s">
        <v>167</v>
      </c>
      <c r="M3143" s="869" t="s">
        <v>165</v>
      </c>
      <c r="N3143" s="52" t="str">
        <f>IF(AND('331-CT'!$E$7=TH!H3143,OR(L3143="331",M3143="331")),"331",IF(AND(OR(L3143="131",M3143="131"),H3143='131-CT'!$E$7),"131",""))</f>
        <v/>
      </c>
      <c r="O3143" s="86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99"/>
    </row>
    <row r="3144" spans="1:27" s="210" customFormat="1" ht="15.75" customHeight="1">
      <c r="A3144" s="203" t="str">
        <f>IF(B3144&lt;&gt;"",IF(AND(B3144&gt;=_TM1,B3144&lt;=_TM2,OR(TH!L3144="1111",TH!M3144="1111")),TH!D3144,""),"")</f>
        <v/>
      </c>
      <c r="B3144" s="36">
        <f t="shared" si="45"/>
        <v>6</v>
      </c>
      <c r="C3144" s="899">
        <f t="shared" si="47"/>
        <v>42178</v>
      </c>
      <c r="D3144" s="900" t="s">
        <v>2013</v>
      </c>
      <c r="E3144" s="900">
        <v>42178</v>
      </c>
      <c r="F3144" s="907" t="s">
        <v>595</v>
      </c>
      <c r="G3144" s="902" t="s">
        <v>829</v>
      </c>
      <c r="H3144" s="913" t="s">
        <v>2014</v>
      </c>
      <c r="I3144" s="253">
        <v>205</v>
      </c>
      <c r="J3144" s="253">
        <v>7256.959612407125</v>
      </c>
      <c r="K3144" s="904">
        <f t="shared" si="46"/>
        <v>1487677</v>
      </c>
      <c r="L3144" s="869" t="s">
        <v>167</v>
      </c>
      <c r="M3144" s="869" t="s">
        <v>165</v>
      </c>
      <c r="N3144" s="52" t="str">
        <f>IF(AND('331-CT'!$E$7=TH!H3144,OR(L3144="331",M3144="331")),"331",IF(AND(OR(L3144="131",M3144="131"),H3144='131-CT'!$E$7),"131",""))</f>
        <v/>
      </c>
      <c r="O3144" s="86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99"/>
    </row>
    <row r="3145" spans="1:27" s="210" customFormat="1" ht="15.75" customHeight="1">
      <c r="A3145" s="203" t="str">
        <f>IF(B3145&lt;&gt;"",IF(AND(B3145&gt;=_TM1,B3145&lt;=_TM2,OR(TH!L3145="1111",TH!M3145="1111")),TH!D3145,""),"")</f>
        <v/>
      </c>
      <c r="B3145" s="36">
        <f t="shared" si="45"/>
        <v>6</v>
      </c>
      <c r="C3145" s="899">
        <f t="shared" si="47"/>
        <v>42179</v>
      </c>
      <c r="D3145" s="900" t="s">
        <v>2013</v>
      </c>
      <c r="E3145" s="900">
        <v>42179</v>
      </c>
      <c r="F3145" s="907" t="s">
        <v>830</v>
      </c>
      <c r="G3145" s="902" t="s">
        <v>831</v>
      </c>
      <c r="H3145" s="913" t="s">
        <v>2014</v>
      </c>
      <c r="I3145" s="253">
        <v>280</v>
      </c>
      <c r="J3145" s="253">
        <v>11080.518978083996</v>
      </c>
      <c r="K3145" s="904">
        <f t="shared" si="46"/>
        <v>3102545</v>
      </c>
      <c r="L3145" s="869" t="s">
        <v>167</v>
      </c>
      <c r="M3145" s="869" t="s">
        <v>165</v>
      </c>
      <c r="N3145" s="52" t="str">
        <f>IF(AND('331-CT'!$E$7=TH!H3145,OR(L3145="331",M3145="331")),"331",IF(AND(OR(L3145="131",M3145="131"),H3145='131-CT'!$E$7),"131",""))</f>
        <v/>
      </c>
      <c r="O3145" s="86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99"/>
    </row>
    <row r="3146" spans="1:27" s="210" customFormat="1" ht="15.75" customHeight="1">
      <c r="A3146" s="203" t="str">
        <f>IF(B3146&lt;&gt;"",IF(AND(B3146&gt;=_TM1,B3146&lt;=_TM2,OR(TH!L3146="1111",TH!M3146="1111")),TH!D3146,""),"")</f>
        <v/>
      </c>
      <c r="B3146" s="36">
        <f t="shared" si="45"/>
        <v>6</v>
      </c>
      <c r="C3146" s="899">
        <f t="shared" si="47"/>
        <v>42180</v>
      </c>
      <c r="D3146" s="900" t="s">
        <v>2013</v>
      </c>
      <c r="E3146" s="900">
        <v>42180</v>
      </c>
      <c r="F3146" s="907" t="s">
        <v>494</v>
      </c>
      <c r="G3146" s="902" t="s">
        <v>833</v>
      </c>
      <c r="H3146" s="913" t="s">
        <v>2014</v>
      </c>
      <c r="I3146" s="253">
        <v>502</v>
      </c>
      <c r="J3146" s="253">
        <v>5306.1640176740266</v>
      </c>
      <c r="K3146" s="904">
        <f t="shared" si="46"/>
        <v>2663694</v>
      </c>
      <c r="L3146" s="869" t="s">
        <v>167</v>
      </c>
      <c r="M3146" s="869" t="s">
        <v>165</v>
      </c>
      <c r="N3146" s="52" t="str">
        <f>IF(AND('331-CT'!$E$7=TH!H3146,OR(L3146="331",M3146="331")),"331",IF(AND(OR(L3146="131",M3146="131"),H3146='131-CT'!$E$7),"131",""))</f>
        <v/>
      </c>
      <c r="O3146" s="86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99"/>
    </row>
    <row r="3147" spans="1:27" s="210" customFormat="1" ht="15.75" customHeight="1">
      <c r="A3147" s="203" t="str">
        <f>IF(B3147&lt;&gt;"",IF(AND(B3147&gt;=_TM1,B3147&lt;=_TM2,OR(TH!L3147="1111",TH!M3147="1111")),TH!D3147,""),"")</f>
        <v/>
      </c>
      <c r="B3147" s="36">
        <f t="shared" si="45"/>
        <v>6</v>
      </c>
      <c r="C3147" s="899">
        <f t="shared" si="47"/>
        <v>42180</v>
      </c>
      <c r="D3147" s="900" t="s">
        <v>2013</v>
      </c>
      <c r="E3147" s="900">
        <v>42180</v>
      </c>
      <c r="F3147" s="907" t="s">
        <v>494</v>
      </c>
      <c r="G3147" s="902" t="s">
        <v>833</v>
      </c>
      <c r="H3147" s="913" t="s">
        <v>2014</v>
      </c>
      <c r="I3147" s="253">
        <v>504</v>
      </c>
      <c r="J3147" s="253">
        <v>5306.1640176740266</v>
      </c>
      <c r="K3147" s="904">
        <f t="shared" si="46"/>
        <v>2674307</v>
      </c>
      <c r="L3147" s="869" t="s">
        <v>167</v>
      </c>
      <c r="M3147" s="869" t="s">
        <v>165</v>
      </c>
      <c r="N3147" s="52" t="str">
        <f>IF(AND('331-CT'!$E$7=TH!H3147,OR(L3147="331",M3147="331")),"331",IF(AND(OR(L3147="131",M3147="131"),H3147='131-CT'!$E$7),"131",""))</f>
        <v/>
      </c>
      <c r="O3147" s="86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99"/>
    </row>
    <row r="3148" spans="1:27" s="210" customFormat="1" ht="15.75" customHeight="1">
      <c r="A3148" s="203" t="str">
        <f>IF(B3148&lt;&gt;"",IF(AND(B3148&gt;=_TM1,B3148&lt;=_TM2,OR(TH!L3148="1111",TH!M3148="1111")),TH!D3148,""),"")</f>
        <v/>
      </c>
      <c r="B3148" s="36">
        <f t="shared" si="45"/>
        <v>6</v>
      </c>
      <c r="C3148" s="899">
        <f t="shared" si="47"/>
        <v>42180</v>
      </c>
      <c r="D3148" s="900" t="s">
        <v>2013</v>
      </c>
      <c r="E3148" s="900">
        <v>42180</v>
      </c>
      <c r="F3148" s="907" t="s">
        <v>1935</v>
      </c>
      <c r="G3148" s="902" t="s">
        <v>835</v>
      </c>
      <c r="H3148" s="913" t="s">
        <v>2014</v>
      </c>
      <c r="I3148" s="253">
        <v>5457</v>
      </c>
      <c r="J3148" s="253">
        <v>5852.3867841992942</v>
      </c>
      <c r="K3148" s="904">
        <f t="shared" si="46"/>
        <v>31936475</v>
      </c>
      <c r="L3148" s="869" t="s">
        <v>167</v>
      </c>
      <c r="M3148" s="869" t="s">
        <v>165</v>
      </c>
      <c r="N3148" s="52" t="str">
        <f>IF(AND('331-CT'!$E$7=TH!H3148,OR(L3148="331",M3148="331")),"331",IF(AND(OR(L3148="131",M3148="131"),H3148='131-CT'!$E$7),"131",""))</f>
        <v/>
      </c>
      <c r="O3148" s="86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99"/>
    </row>
    <row r="3149" spans="1:27" s="210" customFormat="1" ht="15.75" customHeight="1">
      <c r="A3149" s="203" t="str">
        <f>IF(B3149&lt;&gt;"",IF(AND(B3149&gt;=_TM1,B3149&lt;=_TM2,OR(TH!L3149="1111",TH!M3149="1111")),TH!D3149,""),"")</f>
        <v/>
      </c>
      <c r="B3149" s="36">
        <f t="shared" si="45"/>
        <v>6</v>
      </c>
      <c r="C3149" s="899">
        <f t="shared" si="47"/>
        <v>42180</v>
      </c>
      <c r="D3149" s="900" t="s">
        <v>2013</v>
      </c>
      <c r="E3149" s="900">
        <v>42180</v>
      </c>
      <c r="F3149" s="907" t="s">
        <v>409</v>
      </c>
      <c r="G3149" s="902" t="s">
        <v>836</v>
      </c>
      <c r="H3149" s="913" t="s">
        <v>2014</v>
      </c>
      <c r="I3149" s="253">
        <v>1000</v>
      </c>
      <c r="J3149" s="253">
        <v>5774.3549604099699</v>
      </c>
      <c r="K3149" s="904">
        <f t="shared" si="46"/>
        <v>5774355</v>
      </c>
      <c r="L3149" s="869" t="s">
        <v>167</v>
      </c>
      <c r="M3149" s="869" t="s">
        <v>165</v>
      </c>
      <c r="N3149" s="52" t="str">
        <f>IF(AND('331-CT'!$E$7=TH!H3149,OR(L3149="331",M3149="331")),"331",IF(AND(OR(L3149="131",M3149="131"),H3149='131-CT'!$E$7),"131",""))</f>
        <v/>
      </c>
      <c r="O3149" s="86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99"/>
    </row>
    <row r="3150" spans="1:27" s="210" customFormat="1" ht="15.75" customHeight="1">
      <c r="A3150" s="203" t="str">
        <f>IF(B3150&lt;&gt;"",IF(AND(B3150&gt;=_TM1,B3150&lt;=_TM2,OR(TH!L3150="1111",TH!M3150="1111")),TH!D3150,""),"")</f>
        <v/>
      </c>
      <c r="B3150" s="36">
        <f t="shared" si="45"/>
        <v>6</v>
      </c>
      <c r="C3150" s="899">
        <f t="shared" si="47"/>
        <v>42180</v>
      </c>
      <c r="D3150" s="900" t="s">
        <v>2013</v>
      </c>
      <c r="E3150" s="900">
        <v>42180</v>
      </c>
      <c r="F3150" s="907" t="s">
        <v>1702</v>
      </c>
      <c r="G3150" s="902" t="s">
        <v>838</v>
      </c>
      <c r="H3150" s="913" t="s">
        <v>2014</v>
      </c>
      <c r="I3150" s="253">
        <v>2000</v>
      </c>
      <c r="J3150" s="253">
        <v>9675.9461498761648</v>
      </c>
      <c r="K3150" s="904">
        <f t="shared" si="46"/>
        <v>19351892</v>
      </c>
      <c r="L3150" s="869" t="s">
        <v>167</v>
      </c>
      <c r="M3150" s="869" t="s">
        <v>165</v>
      </c>
      <c r="N3150" s="52" t="str">
        <f>IF(AND('331-CT'!$E$7=TH!H3150,OR(L3150="331",M3150="331")),"331",IF(AND(OR(L3150="131",M3150="131"),H3150='131-CT'!$E$7),"131",""))</f>
        <v/>
      </c>
      <c r="O3150" s="86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99"/>
    </row>
    <row r="3151" spans="1:27" s="210" customFormat="1" ht="15.75" customHeight="1">
      <c r="A3151" s="203" t="str">
        <f>IF(B3151&lt;&gt;"",IF(AND(B3151&gt;=_TM1,B3151&lt;=_TM2,OR(TH!L3151="1111",TH!M3151="1111")),TH!D3151,""),"")</f>
        <v/>
      </c>
      <c r="B3151" s="36">
        <f t="shared" si="45"/>
        <v>6</v>
      </c>
      <c r="C3151" s="899">
        <f t="shared" si="47"/>
        <v>42180</v>
      </c>
      <c r="D3151" s="900" t="s">
        <v>2013</v>
      </c>
      <c r="E3151" s="900">
        <v>42180</v>
      </c>
      <c r="F3151" s="907" t="s">
        <v>839</v>
      </c>
      <c r="G3151" s="902" t="s">
        <v>840</v>
      </c>
      <c r="H3151" s="913" t="s">
        <v>2014</v>
      </c>
      <c r="I3151" s="253">
        <v>27</v>
      </c>
      <c r="J3151" s="253">
        <v>43541.757674442742</v>
      </c>
      <c r="K3151" s="904">
        <f t="shared" si="46"/>
        <v>1175627</v>
      </c>
      <c r="L3151" s="869" t="s">
        <v>167</v>
      </c>
      <c r="M3151" s="869" t="s">
        <v>165</v>
      </c>
      <c r="N3151" s="52" t="str">
        <f>IF(AND('331-CT'!$E$7=TH!H3151,OR(L3151="331",M3151="331")),"331",IF(AND(OR(L3151="131",M3151="131"),H3151='131-CT'!$E$7),"131",""))</f>
        <v/>
      </c>
      <c r="O3151" s="86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99"/>
    </row>
    <row r="3152" spans="1:27" s="210" customFormat="1" ht="15.75" customHeight="1">
      <c r="A3152" s="203" t="str">
        <f>IF(B3152&lt;&gt;"",IF(AND(B3152&gt;=_TM1,B3152&lt;=_TM2,OR(TH!L3152="1111",TH!M3152="1111")),TH!D3152,""),"")</f>
        <v/>
      </c>
      <c r="B3152" s="36">
        <f t="shared" si="45"/>
        <v>6</v>
      </c>
      <c r="C3152" s="899">
        <f t="shared" si="47"/>
        <v>42180</v>
      </c>
      <c r="D3152" s="900" t="s">
        <v>2013</v>
      </c>
      <c r="E3152" s="900">
        <v>42180</v>
      </c>
      <c r="F3152" s="907" t="s">
        <v>841</v>
      </c>
      <c r="G3152" s="902" t="s">
        <v>840</v>
      </c>
      <c r="H3152" s="913" t="s">
        <v>2014</v>
      </c>
      <c r="I3152" s="253">
        <v>45</v>
      </c>
      <c r="J3152" s="253">
        <v>48301.69892559151</v>
      </c>
      <c r="K3152" s="904">
        <f t="shared" si="46"/>
        <v>2173576</v>
      </c>
      <c r="L3152" s="869" t="s">
        <v>167</v>
      </c>
      <c r="M3152" s="869" t="s">
        <v>165</v>
      </c>
      <c r="N3152" s="52" t="str">
        <f>IF(AND('331-CT'!$E$7=TH!H3152,OR(L3152="331",M3152="331")),"331",IF(AND(OR(L3152="131",M3152="131"),H3152='131-CT'!$E$7),"131",""))</f>
        <v/>
      </c>
      <c r="O3152" s="86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99"/>
    </row>
    <row r="3153" spans="1:27" s="210" customFormat="1" ht="15.75" customHeight="1">
      <c r="A3153" s="203" t="str">
        <f>IF(B3153&lt;&gt;"",IF(AND(B3153&gt;=_TM1,B3153&lt;=_TM2,OR(TH!L3153="1111",TH!M3153="1111")),TH!D3153,""),"")</f>
        <v/>
      </c>
      <c r="B3153" s="36">
        <f t="shared" si="45"/>
        <v>6</v>
      </c>
      <c r="C3153" s="899">
        <f t="shared" si="47"/>
        <v>42180</v>
      </c>
      <c r="D3153" s="900" t="s">
        <v>2013</v>
      </c>
      <c r="E3153" s="900">
        <v>42180</v>
      </c>
      <c r="F3153" s="907" t="s">
        <v>454</v>
      </c>
      <c r="G3153" s="902" t="s">
        <v>840</v>
      </c>
      <c r="H3153" s="913" t="s">
        <v>2014</v>
      </c>
      <c r="I3153" s="253">
        <v>149</v>
      </c>
      <c r="J3153" s="253">
        <v>56573.072247259843</v>
      </c>
      <c r="K3153" s="904">
        <f t="shared" si="46"/>
        <v>8429388</v>
      </c>
      <c r="L3153" s="869" t="s">
        <v>167</v>
      </c>
      <c r="M3153" s="869" t="s">
        <v>165</v>
      </c>
      <c r="N3153" s="52" t="str">
        <f>IF(AND('331-CT'!$E$7=TH!H3153,OR(L3153="331",M3153="331")),"331",IF(AND(OR(L3153="131",M3153="131"),H3153='131-CT'!$E$7),"131",""))</f>
        <v/>
      </c>
      <c r="O3153" s="86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99"/>
    </row>
    <row r="3154" spans="1:27" s="210" customFormat="1" ht="15.75" customHeight="1">
      <c r="A3154" s="203" t="str">
        <f>IF(B3154&lt;&gt;"",IF(AND(B3154&gt;=_TM1,B3154&lt;=_TM2,OR(TH!L3154="1111",TH!M3154="1111")),TH!D3154,""),"")</f>
        <v/>
      </c>
      <c r="B3154" s="36">
        <f t="shared" si="45"/>
        <v>6</v>
      </c>
      <c r="C3154" s="899">
        <f t="shared" si="47"/>
        <v>42180</v>
      </c>
      <c r="D3154" s="900" t="s">
        <v>2013</v>
      </c>
      <c r="E3154" s="900">
        <v>42180</v>
      </c>
      <c r="F3154" s="907" t="s">
        <v>842</v>
      </c>
      <c r="G3154" s="902" t="s">
        <v>840</v>
      </c>
      <c r="H3154" s="913" t="s">
        <v>2014</v>
      </c>
      <c r="I3154" s="253">
        <v>11</v>
      </c>
      <c r="J3154" s="253">
        <v>53061.640176740264</v>
      </c>
      <c r="K3154" s="904">
        <f t="shared" si="46"/>
        <v>583678</v>
      </c>
      <c r="L3154" s="869" t="s">
        <v>167</v>
      </c>
      <c r="M3154" s="869" t="s">
        <v>165</v>
      </c>
      <c r="N3154" s="52" t="str">
        <f>IF(AND('331-CT'!$E$7=TH!H3154,OR(L3154="331",M3154="331")),"331",IF(AND(OR(L3154="131",M3154="131"),H3154='131-CT'!$E$7),"131",""))</f>
        <v/>
      </c>
      <c r="O3154" s="86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99"/>
    </row>
    <row r="3155" spans="1:27" s="210" customFormat="1" ht="15.75" customHeight="1">
      <c r="A3155" s="203" t="str">
        <f>IF(B3155&lt;&gt;"",IF(AND(B3155&gt;=_TM1,B3155&lt;=_TM2,OR(TH!L3155="1111",TH!M3155="1111")),TH!D3155,""),"")</f>
        <v/>
      </c>
      <c r="B3155" s="36">
        <f t="shared" si="45"/>
        <v>6</v>
      </c>
      <c r="C3155" s="899">
        <f t="shared" si="47"/>
        <v>42180</v>
      </c>
      <c r="D3155" s="900" t="s">
        <v>2013</v>
      </c>
      <c r="E3155" s="900">
        <v>42180</v>
      </c>
      <c r="F3155" s="907" t="s">
        <v>843</v>
      </c>
      <c r="G3155" s="902" t="s">
        <v>840</v>
      </c>
      <c r="H3155" s="913" t="s">
        <v>2014</v>
      </c>
      <c r="I3155" s="253">
        <v>30</v>
      </c>
      <c r="J3155" s="253">
        <v>37923.466361611427</v>
      </c>
      <c r="K3155" s="904">
        <f t="shared" si="46"/>
        <v>1137704</v>
      </c>
      <c r="L3155" s="869" t="s">
        <v>167</v>
      </c>
      <c r="M3155" s="869" t="s">
        <v>165</v>
      </c>
      <c r="N3155" s="52" t="str">
        <f>IF(AND('331-CT'!$E$7=TH!H3155,OR(L3155="331",M3155="331")),"331",IF(AND(OR(L3155="131",M3155="131"),H3155='131-CT'!$E$7),"131",""))</f>
        <v/>
      </c>
      <c r="O3155" s="86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99"/>
    </row>
    <row r="3156" spans="1:27" s="210" customFormat="1" ht="15.75" customHeight="1">
      <c r="A3156" s="203" t="str">
        <f>IF(B3156&lt;&gt;"",IF(AND(B3156&gt;=_TM1,B3156&lt;=_TM2,OR(TH!L3156="1111",TH!M3156="1111")),TH!D3156,""),"")</f>
        <v/>
      </c>
      <c r="B3156" s="36">
        <f t="shared" si="45"/>
        <v>6</v>
      </c>
      <c r="C3156" s="899">
        <f t="shared" si="47"/>
        <v>42180</v>
      </c>
      <c r="D3156" s="900" t="s">
        <v>2013</v>
      </c>
      <c r="E3156" s="900">
        <v>42180</v>
      </c>
      <c r="F3156" s="907" t="s">
        <v>844</v>
      </c>
      <c r="G3156" s="902" t="s">
        <v>840</v>
      </c>
      <c r="H3156" s="913" t="s">
        <v>2014</v>
      </c>
      <c r="I3156" s="253">
        <v>383</v>
      </c>
      <c r="J3156" s="253">
        <v>8895.6279119829251</v>
      </c>
      <c r="K3156" s="904">
        <f t="shared" si="46"/>
        <v>3407025</v>
      </c>
      <c r="L3156" s="869" t="s">
        <v>167</v>
      </c>
      <c r="M3156" s="869" t="s">
        <v>165</v>
      </c>
      <c r="N3156" s="52" t="str">
        <f>IF(AND('331-CT'!$E$7=TH!H3156,OR(L3156="331",M3156="331")),"331",IF(AND(OR(L3156="131",M3156="131"),H3156='131-CT'!$E$7),"131",""))</f>
        <v/>
      </c>
      <c r="O3156" s="86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99"/>
    </row>
    <row r="3157" spans="1:27" s="210" customFormat="1" ht="15.75" customHeight="1">
      <c r="A3157" s="203" t="str">
        <f>IF(B3157&lt;&gt;"",IF(AND(B3157&gt;=_TM1,B3157&lt;=_TM2,OR(TH!L3157="1111",TH!M3157="1111")),TH!D3157,""),"")</f>
        <v/>
      </c>
      <c r="B3157" s="36">
        <f t="shared" si="45"/>
        <v>6</v>
      </c>
      <c r="C3157" s="899">
        <f t="shared" si="47"/>
        <v>42180</v>
      </c>
      <c r="D3157" s="900" t="s">
        <v>2013</v>
      </c>
      <c r="E3157" s="900">
        <v>42180</v>
      </c>
      <c r="F3157" s="907" t="s">
        <v>845</v>
      </c>
      <c r="G3157" s="902" t="s">
        <v>840</v>
      </c>
      <c r="H3157" s="913" t="s">
        <v>2014</v>
      </c>
      <c r="I3157" s="253">
        <v>25</v>
      </c>
      <c r="J3157" s="253">
        <v>38547.720951926021</v>
      </c>
      <c r="K3157" s="904">
        <f t="shared" si="46"/>
        <v>963693</v>
      </c>
      <c r="L3157" s="869" t="s">
        <v>167</v>
      </c>
      <c r="M3157" s="869" t="s">
        <v>165</v>
      </c>
      <c r="N3157" s="52" t="str">
        <f>IF(AND('331-CT'!$E$7=TH!H3157,OR(L3157="331",M3157="331")),"331",IF(AND(OR(L3157="131",M3157="131"),H3157='131-CT'!$E$7),"131",""))</f>
        <v/>
      </c>
      <c r="O3157" s="86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99"/>
    </row>
    <row r="3158" spans="1:27" s="210" customFormat="1" ht="15.75" customHeight="1">
      <c r="A3158" s="203" t="str">
        <f>IF(B3158&lt;&gt;"",IF(AND(B3158&gt;=_TM1,B3158&lt;=_TM2,OR(TH!L3158="1111",TH!M3158="1111")),TH!D3158,""),"")</f>
        <v/>
      </c>
      <c r="B3158" s="36">
        <f t="shared" si="45"/>
        <v>6</v>
      </c>
      <c r="C3158" s="899">
        <f t="shared" si="47"/>
        <v>42180</v>
      </c>
      <c r="D3158" s="900" t="s">
        <v>2013</v>
      </c>
      <c r="E3158" s="900">
        <v>42180</v>
      </c>
      <c r="F3158" s="907" t="s">
        <v>846</v>
      </c>
      <c r="G3158" s="902" t="s">
        <v>840</v>
      </c>
      <c r="H3158" s="913" t="s">
        <v>2014</v>
      </c>
      <c r="I3158" s="253">
        <v>11</v>
      </c>
      <c r="J3158" s="253">
        <v>51110.844582007165</v>
      </c>
      <c r="K3158" s="904">
        <f t="shared" si="46"/>
        <v>562219</v>
      </c>
      <c r="L3158" s="869" t="s">
        <v>167</v>
      </c>
      <c r="M3158" s="869" t="s">
        <v>165</v>
      </c>
      <c r="N3158" s="52" t="str">
        <f>IF(AND('331-CT'!$E$7=TH!H3158,OR(L3158="331",M3158="331")),"331",IF(AND(OR(L3158="131",M3158="131"),H3158='131-CT'!$E$7),"131",""))</f>
        <v/>
      </c>
      <c r="O3158" s="86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99"/>
    </row>
    <row r="3159" spans="1:27" s="210" customFormat="1" ht="15.75" customHeight="1">
      <c r="A3159" s="203" t="str">
        <f>IF(B3159&lt;&gt;"",IF(AND(B3159&gt;=_TM1,B3159&lt;=_TM2,OR(TH!L3159="1111",TH!M3159="1111")),TH!D3159,""),"")</f>
        <v/>
      </c>
      <c r="B3159" s="36">
        <f t="shared" si="45"/>
        <v>6</v>
      </c>
      <c r="C3159" s="899">
        <f t="shared" si="47"/>
        <v>42180</v>
      </c>
      <c r="D3159" s="900" t="s">
        <v>2013</v>
      </c>
      <c r="E3159" s="900">
        <v>42180</v>
      </c>
      <c r="F3159" s="907" t="s">
        <v>847</v>
      </c>
      <c r="G3159" s="902" t="s">
        <v>840</v>
      </c>
      <c r="H3159" s="913" t="s">
        <v>2014</v>
      </c>
      <c r="I3159" s="253">
        <v>28</v>
      </c>
      <c r="J3159" s="253">
        <v>40342.452899080461</v>
      </c>
      <c r="K3159" s="904">
        <f t="shared" si="46"/>
        <v>1129589</v>
      </c>
      <c r="L3159" s="869" t="s">
        <v>167</v>
      </c>
      <c r="M3159" s="869" t="s">
        <v>165</v>
      </c>
      <c r="N3159" s="52" t="str">
        <f>IF(AND('331-CT'!$E$7=TH!H3159,OR(L3159="331",M3159="331")),"331",IF(AND(OR(L3159="131",M3159="131"),H3159='131-CT'!$E$7),"131",""))</f>
        <v/>
      </c>
      <c r="O3159" s="86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99"/>
    </row>
    <row r="3160" spans="1:27" s="210" customFormat="1" ht="15.75" customHeight="1">
      <c r="A3160" s="203" t="str">
        <f>IF(B3160&lt;&gt;"",IF(AND(B3160&gt;=_TM1,B3160&lt;=_TM2,OR(TH!L3160="1111",TH!M3160="1111")),TH!D3160,""),"")</f>
        <v/>
      </c>
      <c r="B3160" s="36">
        <f t="shared" si="45"/>
        <v>6</v>
      </c>
      <c r="C3160" s="899">
        <f t="shared" si="47"/>
        <v>42181</v>
      </c>
      <c r="D3160" s="900" t="s">
        <v>2013</v>
      </c>
      <c r="E3160" s="900">
        <v>42181</v>
      </c>
      <c r="F3160" s="907" t="s">
        <v>1749</v>
      </c>
      <c r="G3160" s="902" t="s">
        <v>848</v>
      </c>
      <c r="H3160" s="913" t="s">
        <v>2014</v>
      </c>
      <c r="I3160" s="253">
        <v>354</v>
      </c>
      <c r="J3160" s="253">
        <v>14435.887401024926</v>
      </c>
      <c r="K3160" s="904">
        <f t="shared" si="46"/>
        <v>5110304</v>
      </c>
      <c r="L3160" s="869" t="s">
        <v>167</v>
      </c>
      <c r="M3160" s="869" t="s">
        <v>165</v>
      </c>
      <c r="N3160" s="52" t="str">
        <f>IF(AND('331-CT'!$E$7=TH!H3160,OR(L3160="331",M3160="331")),"331",IF(AND(OR(L3160="131",M3160="131"),H3160='131-CT'!$E$7),"131",""))</f>
        <v/>
      </c>
      <c r="O3160" s="86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99"/>
    </row>
    <row r="3161" spans="1:27" s="210" customFormat="1" ht="15.75" customHeight="1">
      <c r="A3161" s="203" t="str">
        <f>IF(B3161&lt;&gt;"",IF(AND(B3161&gt;=_TM1,B3161&lt;=_TM2,OR(TH!L3161="1111",TH!M3161="1111")),TH!D3161,""),"")</f>
        <v/>
      </c>
      <c r="B3161" s="36">
        <f t="shared" si="45"/>
        <v>6</v>
      </c>
      <c r="C3161" s="899">
        <f t="shared" si="47"/>
        <v>42181</v>
      </c>
      <c r="D3161" s="900" t="s">
        <v>2013</v>
      </c>
      <c r="E3161" s="900">
        <v>42181</v>
      </c>
      <c r="F3161" s="907" t="s">
        <v>1748</v>
      </c>
      <c r="G3161" s="902" t="s">
        <v>848</v>
      </c>
      <c r="H3161" s="913" t="s">
        <v>2014</v>
      </c>
      <c r="I3161" s="253">
        <v>80</v>
      </c>
      <c r="J3161" s="253">
        <v>9051.6915595615737</v>
      </c>
      <c r="K3161" s="904">
        <f t="shared" si="46"/>
        <v>724135</v>
      </c>
      <c r="L3161" s="869" t="s">
        <v>167</v>
      </c>
      <c r="M3161" s="869" t="s">
        <v>165</v>
      </c>
      <c r="N3161" s="52" t="str">
        <f>IF(AND('331-CT'!$E$7=TH!H3161,OR(L3161="331",M3161="331")),"331",IF(AND(OR(L3161="131",M3161="131"),H3161='131-CT'!$E$7),"131",""))</f>
        <v/>
      </c>
      <c r="O3161" s="86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99"/>
    </row>
    <row r="3162" spans="1:27" s="210" customFormat="1" ht="15.75" customHeight="1">
      <c r="A3162" s="203" t="str">
        <f>IF(B3162&lt;&gt;"",IF(AND(B3162&gt;=_TM1,B3162&lt;=_TM2,OR(TH!L3162="1111",TH!M3162="1111")),TH!D3162,""),"")</f>
        <v/>
      </c>
      <c r="B3162" s="36">
        <f t="shared" si="45"/>
        <v>6</v>
      </c>
      <c r="C3162" s="899">
        <f t="shared" si="47"/>
        <v>42183</v>
      </c>
      <c r="D3162" s="900" t="s">
        <v>2013</v>
      </c>
      <c r="E3162" s="900">
        <v>42183</v>
      </c>
      <c r="F3162" s="907" t="s">
        <v>849</v>
      </c>
      <c r="G3162" s="902" t="s">
        <v>850</v>
      </c>
      <c r="H3162" s="913" t="s">
        <v>2014</v>
      </c>
      <c r="I3162" s="253">
        <v>120</v>
      </c>
      <c r="J3162" s="253">
        <v>13031.314572817093</v>
      </c>
      <c r="K3162" s="904">
        <f t="shared" si="46"/>
        <v>1563758</v>
      </c>
      <c r="L3162" s="869" t="s">
        <v>167</v>
      </c>
      <c r="M3162" s="869" t="s">
        <v>165</v>
      </c>
      <c r="N3162" s="52" t="str">
        <f>IF(AND('331-CT'!$E$7=TH!H3162,OR(L3162="331",M3162="331")),"331",IF(AND(OR(L3162="131",M3162="131"),H3162='131-CT'!$E$7),"131",""))</f>
        <v/>
      </c>
      <c r="O3162" s="86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99"/>
    </row>
    <row r="3163" spans="1:27" s="210" customFormat="1" ht="15.75" customHeight="1">
      <c r="A3163" s="203" t="str">
        <f>IF(B3163&lt;&gt;"",IF(AND(B3163&gt;=_TM1,B3163&lt;=_TM2,OR(TH!L3163="1111",TH!M3163="1111")),TH!D3163,""),"")</f>
        <v/>
      </c>
      <c r="B3163" s="36">
        <f t="shared" si="45"/>
        <v>6</v>
      </c>
      <c r="C3163" s="899">
        <f t="shared" si="47"/>
        <v>42183</v>
      </c>
      <c r="D3163" s="900" t="s">
        <v>2013</v>
      </c>
      <c r="E3163" s="900">
        <v>42183</v>
      </c>
      <c r="F3163" s="907" t="s">
        <v>852</v>
      </c>
      <c r="G3163" s="902" t="s">
        <v>850</v>
      </c>
      <c r="H3163" s="913" t="s">
        <v>2014</v>
      </c>
      <c r="I3163" s="253">
        <v>471</v>
      </c>
      <c r="J3163" s="253">
        <v>14904.078343760868</v>
      </c>
      <c r="K3163" s="904">
        <f t="shared" si="46"/>
        <v>7019821</v>
      </c>
      <c r="L3163" s="869" t="s">
        <v>167</v>
      </c>
      <c r="M3163" s="869" t="s">
        <v>165</v>
      </c>
      <c r="N3163" s="52" t="str">
        <f>IF(AND('331-CT'!$E$7=TH!H3163,OR(L3163="331",M3163="331")),"331",IF(AND(OR(L3163="131",M3163="131"),H3163='131-CT'!$E$7),"131",""))</f>
        <v/>
      </c>
      <c r="O3163" s="86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99"/>
    </row>
    <row r="3164" spans="1:27" s="210" customFormat="1" ht="15.75" customHeight="1">
      <c r="A3164" s="203" t="str">
        <f>IF(B3164&lt;&gt;"",IF(AND(B3164&gt;=_TM1,B3164&lt;=_TM2,OR(TH!L3164="1111",TH!M3164="1111")),TH!D3164,""),"")</f>
        <v/>
      </c>
      <c r="B3164" s="36">
        <f t="shared" si="45"/>
        <v>6</v>
      </c>
      <c r="C3164" s="899">
        <f t="shared" si="47"/>
        <v>42183</v>
      </c>
      <c r="D3164" s="900" t="s">
        <v>2013</v>
      </c>
      <c r="E3164" s="900">
        <v>42183</v>
      </c>
      <c r="F3164" s="907" t="s">
        <v>853</v>
      </c>
      <c r="G3164" s="902" t="s">
        <v>850</v>
      </c>
      <c r="H3164" s="913" t="s">
        <v>2014</v>
      </c>
      <c r="I3164" s="253">
        <v>289</v>
      </c>
      <c r="J3164" s="253">
        <v>16698.81029091532</v>
      </c>
      <c r="K3164" s="904">
        <f t="shared" si="46"/>
        <v>4825956</v>
      </c>
      <c r="L3164" s="869" t="s">
        <v>167</v>
      </c>
      <c r="M3164" s="869" t="s">
        <v>165</v>
      </c>
      <c r="N3164" s="52" t="str">
        <f>IF(AND('331-CT'!$E$7=TH!H3164,OR(L3164="331",M3164="331")),"331",IF(AND(OR(L3164="131",M3164="131"),H3164='131-CT'!$E$7),"131",""))</f>
        <v/>
      </c>
      <c r="O3164" s="86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99"/>
    </row>
    <row r="3165" spans="1:27" s="210" customFormat="1" ht="15.75" customHeight="1">
      <c r="A3165" s="203" t="str">
        <f>IF(B3165&lt;&gt;"",IF(AND(B3165&gt;=_TM1,B3165&lt;=_TM2,OR(TH!L3165="1111",TH!M3165="1111")),TH!D3165,""),"")</f>
        <v/>
      </c>
      <c r="B3165" s="36">
        <f t="shared" si="45"/>
        <v>6</v>
      </c>
      <c r="C3165" s="899">
        <f t="shared" si="47"/>
        <v>42183</v>
      </c>
      <c r="D3165" s="900" t="s">
        <v>2013</v>
      </c>
      <c r="E3165" s="900">
        <v>42183</v>
      </c>
      <c r="F3165" s="907" t="s">
        <v>854</v>
      </c>
      <c r="G3165" s="902" t="s">
        <v>850</v>
      </c>
      <c r="H3165" s="913" t="s">
        <v>2014</v>
      </c>
      <c r="I3165" s="253">
        <v>500</v>
      </c>
      <c r="J3165" s="253">
        <v>8973.6597357722494</v>
      </c>
      <c r="K3165" s="904">
        <f t="shared" si="46"/>
        <v>4486830</v>
      </c>
      <c r="L3165" s="869" t="s">
        <v>167</v>
      </c>
      <c r="M3165" s="869" t="s">
        <v>165</v>
      </c>
      <c r="N3165" s="52" t="str">
        <f>IF(AND('331-CT'!$E$7=TH!H3165,OR(L3165="331",M3165="331")),"331",IF(AND(OR(L3165="131",M3165="131"),H3165='131-CT'!$E$7),"131",""))</f>
        <v/>
      </c>
      <c r="O3165" s="86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99"/>
    </row>
    <row r="3166" spans="1:27" s="210" customFormat="1" ht="15.75" customHeight="1">
      <c r="A3166" s="203" t="str">
        <f>IF(B3166&lt;&gt;"",IF(AND(B3166&gt;=_TM1,B3166&lt;=_TM2,OR(TH!L3166="1111",TH!M3166="1111")),TH!D3166,""),"")</f>
        <v/>
      </c>
      <c r="B3166" s="36">
        <f t="shared" si="45"/>
        <v>6</v>
      </c>
      <c r="C3166" s="899">
        <f t="shared" si="47"/>
        <v>42183</v>
      </c>
      <c r="D3166" s="900" t="s">
        <v>2013</v>
      </c>
      <c r="E3166" s="900">
        <v>42183</v>
      </c>
      <c r="F3166" s="907" t="s">
        <v>855</v>
      </c>
      <c r="G3166" s="902" t="s">
        <v>850</v>
      </c>
      <c r="H3166" s="913" t="s">
        <v>2014</v>
      </c>
      <c r="I3166" s="253">
        <v>500</v>
      </c>
      <c r="J3166" s="253">
        <v>10066.105268822785</v>
      </c>
      <c r="K3166" s="904">
        <f t="shared" si="46"/>
        <v>5033053</v>
      </c>
      <c r="L3166" s="869" t="s">
        <v>167</v>
      </c>
      <c r="M3166" s="869" t="s">
        <v>165</v>
      </c>
      <c r="N3166" s="52" t="str">
        <f>IF(AND('331-CT'!$E$7=TH!H3166,OR(L3166="331",M3166="331")),"331",IF(AND(OR(L3166="131",M3166="131"),H3166='131-CT'!$E$7),"131",""))</f>
        <v/>
      </c>
      <c r="O3166" s="86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99"/>
    </row>
    <row r="3167" spans="1:27" s="210" customFormat="1" ht="15.75" customHeight="1">
      <c r="A3167" s="203" t="str">
        <f>IF(B3167&lt;&gt;"",IF(AND(B3167&gt;=_TM1,B3167&lt;=_TM2,OR(TH!L3167="1111",TH!M3167="1111")),TH!D3167,""),"")</f>
        <v/>
      </c>
      <c r="B3167" s="36">
        <f t="shared" si="45"/>
        <v>6</v>
      </c>
      <c r="C3167" s="899">
        <f t="shared" si="47"/>
        <v>42183</v>
      </c>
      <c r="D3167" s="900" t="s">
        <v>2013</v>
      </c>
      <c r="E3167" s="900">
        <v>42183</v>
      </c>
      <c r="F3167" s="907" t="s">
        <v>856</v>
      </c>
      <c r="G3167" s="902" t="s">
        <v>857</v>
      </c>
      <c r="H3167" s="913" t="s">
        <v>2014</v>
      </c>
      <c r="I3167" s="253">
        <v>365</v>
      </c>
      <c r="J3167" s="253">
        <v>11158.55080187332</v>
      </c>
      <c r="K3167" s="904">
        <f t="shared" si="46"/>
        <v>4072871</v>
      </c>
      <c r="L3167" s="869" t="s">
        <v>167</v>
      </c>
      <c r="M3167" s="869" t="s">
        <v>165</v>
      </c>
      <c r="N3167" s="52" t="str">
        <f>IF(AND('331-CT'!$E$7=TH!H3167,OR(L3167="331",M3167="331")),"331",IF(AND(OR(L3167="131",M3167="131"),H3167='131-CT'!$E$7),"131",""))</f>
        <v/>
      </c>
      <c r="O3167" s="86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99"/>
    </row>
    <row r="3168" spans="1:27" s="210" customFormat="1" ht="15.75" customHeight="1">
      <c r="A3168" s="203" t="str">
        <f>IF(B3168&lt;&gt;"",IF(AND(B3168&gt;=_TM1,B3168&lt;=_TM2,OR(TH!L3168="1111",TH!M3168="1111")),TH!D3168,""),"")</f>
        <v/>
      </c>
      <c r="B3168" s="36">
        <f t="shared" si="45"/>
        <v>6</v>
      </c>
      <c r="C3168" s="899">
        <f t="shared" si="47"/>
        <v>42183</v>
      </c>
      <c r="D3168" s="900" t="s">
        <v>2013</v>
      </c>
      <c r="E3168" s="900">
        <v>42183</v>
      </c>
      <c r="F3168" s="907" t="s">
        <v>1664</v>
      </c>
      <c r="G3168" s="902" t="s">
        <v>857</v>
      </c>
      <c r="H3168" s="913" t="s">
        <v>2014</v>
      </c>
      <c r="I3168" s="253">
        <v>730</v>
      </c>
      <c r="J3168" s="253">
        <v>624.25459031459138</v>
      </c>
      <c r="K3168" s="904">
        <f t="shared" si="46"/>
        <v>455706</v>
      </c>
      <c r="L3168" s="869" t="s">
        <v>167</v>
      </c>
      <c r="M3168" s="869" t="s">
        <v>165</v>
      </c>
      <c r="N3168" s="52" t="str">
        <f>IF(AND('331-CT'!$E$7=TH!H3168,OR(L3168="331",M3168="331")),"331",IF(AND(OR(L3168="131",M3168="131"),H3168='131-CT'!$E$7),"131",""))</f>
        <v/>
      </c>
      <c r="O3168" s="86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99"/>
    </row>
    <row r="3169" spans="1:27" s="210" customFormat="1" ht="15.75" customHeight="1">
      <c r="A3169" s="203" t="str">
        <f>IF(B3169&lt;&gt;"",IF(AND(B3169&gt;=_TM1,B3169&lt;=_TM2,OR(TH!L3169="1111",TH!M3169="1111")),TH!D3169,""),"")</f>
        <v/>
      </c>
      <c r="B3169" s="36">
        <f t="shared" si="45"/>
        <v>6</v>
      </c>
      <c r="C3169" s="899">
        <f t="shared" si="47"/>
        <v>42183</v>
      </c>
      <c r="D3169" s="900" t="s">
        <v>2013</v>
      </c>
      <c r="E3169" s="900">
        <v>42183</v>
      </c>
      <c r="F3169" s="907" t="s">
        <v>413</v>
      </c>
      <c r="G3169" s="902" t="s">
        <v>865</v>
      </c>
      <c r="H3169" s="913" t="s">
        <v>2014</v>
      </c>
      <c r="I3169" s="253">
        <v>632</v>
      </c>
      <c r="J3169" s="253">
        <v>7413.0232599857718</v>
      </c>
      <c r="K3169" s="904">
        <f t="shared" si="46"/>
        <v>4685031</v>
      </c>
      <c r="L3169" s="869" t="s">
        <v>167</v>
      </c>
      <c r="M3169" s="869" t="s">
        <v>165</v>
      </c>
      <c r="N3169" s="52" t="str">
        <f>IF(AND('331-CT'!$E$7=TH!H3169,OR(L3169="331",M3169="331")),"331",IF(AND(OR(L3169="131",M3169="131"),H3169='131-CT'!$E$7),"131",""))</f>
        <v/>
      </c>
      <c r="O3169" s="86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99"/>
    </row>
    <row r="3170" spans="1:27" s="210" customFormat="1" ht="15.75" customHeight="1">
      <c r="A3170" s="203" t="str">
        <f>IF(B3170&lt;&gt;"",IF(AND(B3170&gt;=_TM1,B3170&lt;=_TM2,OR(TH!L3170="1111",TH!M3170="1111")),TH!D3170,""),"")</f>
        <v/>
      </c>
      <c r="B3170" s="36">
        <f t="shared" si="45"/>
        <v>6</v>
      </c>
      <c r="C3170" s="899">
        <f t="shared" si="47"/>
        <v>42184</v>
      </c>
      <c r="D3170" s="900" t="s">
        <v>2013</v>
      </c>
      <c r="E3170" s="900">
        <v>42184</v>
      </c>
      <c r="F3170" s="907" t="s">
        <v>858</v>
      </c>
      <c r="G3170" s="902" t="s">
        <v>859</v>
      </c>
      <c r="H3170" s="913" t="s">
        <v>2014</v>
      </c>
      <c r="I3170" s="253">
        <v>320</v>
      </c>
      <c r="J3170" s="253">
        <v>11002.487154294671</v>
      </c>
      <c r="K3170" s="904">
        <f t="shared" si="46"/>
        <v>3520796</v>
      </c>
      <c r="L3170" s="869" t="s">
        <v>167</v>
      </c>
      <c r="M3170" s="869" t="s">
        <v>165</v>
      </c>
      <c r="N3170" s="52" t="str">
        <f>IF(AND('331-CT'!$E$7=TH!H3170,OR(L3170="331",M3170="331")),"331",IF(AND(OR(L3170="131",M3170="131"),H3170='131-CT'!$E$7),"131",""))</f>
        <v/>
      </c>
      <c r="O3170" s="86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99"/>
    </row>
    <row r="3171" spans="1:27" s="210" customFormat="1" ht="15.75" customHeight="1">
      <c r="A3171" s="203" t="str">
        <f>IF(B3171&lt;&gt;"",IF(AND(B3171&gt;=_TM1,B3171&lt;=_TM2,OR(TH!L3171="1111",TH!M3171="1111")),TH!D3171,""),"")</f>
        <v/>
      </c>
      <c r="B3171" s="36">
        <f t="shared" si="45"/>
        <v>6</v>
      </c>
      <c r="C3171" s="899">
        <f t="shared" si="47"/>
        <v>42184</v>
      </c>
      <c r="D3171" s="900" t="s">
        <v>2013</v>
      </c>
      <c r="E3171" s="900">
        <v>42184</v>
      </c>
      <c r="F3171" s="907" t="s">
        <v>860</v>
      </c>
      <c r="G3171" s="902" t="s">
        <v>859</v>
      </c>
      <c r="H3171" s="913" t="s">
        <v>2014</v>
      </c>
      <c r="I3171" s="253">
        <v>1371</v>
      </c>
      <c r="J3171" s="253">
        <v>9285.7870309295449</v>
      </c>
      <c r="K3171" s="904">
        <f t="shared" si="46"/>
        <v>12730814</v>
      </c>
      <c r="L3171" s="869" t="s">
        <v>167</v>
      </c>
      <c r="M3171" s="869" t="s">
        <v>165</v>
      </c>
      <c r="N3171" s="52" t="str">
        <f>IF(AND('331-CT'!$E$7=TH!H3171,OR(L3171="331",M3171="331")),"331",IF(AND(OR(L3171="131",M3171="131"),H3171='131-CT'!$E$7),"131",""))</f>
        <v/>
      </c>
      <c r="O3171" s="86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99"/>
    </row>
    <row r="3172" spans="1:27" s="210" customFormat="1" ht="15.75" customHeight="1">
      <c r="A3172" s="203" t="str">
        <f>IF(B3172&lt;&gt;"",IF(AND(B3172&gt;=_TM1,B3172&lt;=_TM2,OR(TH!L3172="1111",TH!M3172="1111")),TH!D3172,""),"")</f>
        <v/>
      </c>
      <c r="B3172" s="36">
        <f t="shared" si="45"/>
        <v>6</v>
      </c>
      <c r="C3172" s="899">
        <f t="shared" si="47"/>
        <v>42184</v>
      </c>
      <c r="D3172" s="900" t="s">
        <v>2013</v>
      </c>
      <c r="E3172" s="900">
        <v>42184</v>
      </c>
      <c r="F3172" s="907" t="s">
        <v>861</v>
      </c>
      <c r="G3172" s="902" t="s">
        <v>859</v>
      </c>
      <c r="H3172" s="913" t="s">
        <v>2014</v>
      </c>
      <c r="I3172" s="253">
        <v>185</v>
      </c>
      <c r="J3172" s="253">
        <v>11860.837215977235</v>
      </c>
      <c r="K3172" s="904">
        <f t="shared" si="46"/>
        <v>2194255</v>
      </c>
      <c r="L3172" s="869" t="s">
        <v>167</v>
      </c>
      <c r="M3172" s="869" t="s">
        <v>165</v>
      </c>
      <c r="N3172" s="52" t="str">
        <f>IF(AND('331-CT'!$E$7=TH!H3172,OR(L3172="331",M3172="331")),"331",IF(AND(OR(L3172="131",M3172="131"),H3172='131-CT'!$E$7),"131",""))</f>
        <v/>
      </c>
      <c r="O3172" s="86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99"/>
    </row>
    <row r="3173" spans="1:27" s="210" customFormat="1" ht="15.75" customHeight="1">
      <c r="A3173" s="203" t="str">
        <f>IF(B3173&lt;&gt;"",IF(AND(B3173&gt;=_TM1,B3173&lt;=_TM2,OR(TH!L3173="1111",TH!M3173="1111")),TH!D3173,""),"")</f>
        <v/>
      </c>
      <c r="B3173" s="36">
        <f t="shared" ref="B3173:B3467" si="54">IF(C3173&lt;&gt;"",MONTH(C3173),"")</f>
        <v>6</v>
      </c>
      <c r="C3173" s="899">
        <f t="shared" ref="C3173:C3467" si="55">E3173</f>
        <v>42184</v>
      </c>
      <c r="D3173" s="900" t="s">
        <v>2013</v>
      </c>
      <c r="E3173" s="900">
        <v>42184</v>
      </c>
      <c r="F3173" s="907" t="s">
        <v>1671</v>
      </c>
      <c r="G3173" s="902" t="s">
        <v>859</v>
      </c>
      <c r="H3173" s="913" t="s">
        <v>2014</v>
      </c>
      <c r="I3173" s="253">
        <v>3752</v>
      </c>
      <c r="J3173" s="253">
        <v>546.2227665252675</v>
      </c>
      <c r="K3173" s="904">
        <f t="shared" ref="K3173:K3467" si="56">ROUND(I3173*J3173,0)</f>
        <v>2049428</v>
      </c>
      <c r="L3173" s="869" t="s">
        <v>167</v>
      </c>
      <c r="M3173" s="869" t="s">
        <v>165</v>
      </c>
      <c r="N3173" s="52" t="str">
        <f>IF(AND('331-CT'!$E$7=TH!H3173,OR(L3173="331",M3173="331")),"331",IF(AND(OR(L3173="131",M3173="131"),H3173='131-CT'!$E$7),"131",""))</f>
        <v/>
      </c>
      <c r="O3173" s="86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99"/>
    </row>
    <row r="3174" spans="1:27" s="210" customFormat="1" ht="15.75" customHeight="1">
      <c r="A3174" s="203" t="str">
        <f>IF(B3174&lt;&gt;"",IF(AND(B3174&gt;=_TM1,B3174&lt;=_TM2,OR(TH!L3174="1111",TH!M3174="1111")),TH!D3174,""),"")</f>
        <v/>
      </c>
      <c r="B3174" s="36">
        <f t="shared" si="54"/>
        <v>6</v>
      </c>
      <c r="C3174" s="899">
        <f t="shared" si="55"/>
        <v>42184</v>
      </c>
      <c r="D3174" s="900" t="s">
        <v>2013</v>
      </c>
      <c r="E3174" s="900">
        <v>42184</v>
      </c>
      <c r="F3174" s="907" t="s">
        <v>862</v>
      </c>
      <c r="G3174" s="902" t="s">
        <v>859</v>
      </c>
      <c r="H3174" s="913" t="s">
        <v>2014</v>
      </c>
      <c r="I3174" s="253">
        <v>201</v>
      </c>
      <c r="J3174" s="253">
        <v>7647.1187313537439</v>
      </c>
      <c r="K3174" s="904">
        <f t="shared" si="56"/>
        <v>1537071</v>
      </c>
      <c r="L3174" s="869" t="s">
        <v>167</v>
      </c>
      <c r="M3174" s="869" t="s">
        <v>165</v>
      </c>
      <c r="N3174" s="52" t="str">
        <f>IF(AND('331-CT'!$E$7=TH!H3174,OR(L3174="331",M3174="331")),"331",IF(AND(OR(L3174="131",M3174="131"),H3174='131-CT'!$E$7),"131",""))</f>
        <v/>
      </c>
      <c r="O3174" s="86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99"/>
    </row>
    <row r="3175" spans="1:27" s="210" customFormat="1" ht="15.75" customHeight="1">
      <c r="A3175" s="203" t="str">
        <f>IF(B3175&lt;&gt;"",IF(AND(B3175&gt;=_TM1,B3175&lt;=_TM2,OR(TH!L3175="1111",TH!M3175="1111")),TH!D3175,""),"")</f>
        <v/>
      </c>
      <c r="B3175" s="36">
        <f t="shared" si="54"/>
        <v>6</v>
      </c>
      <c r="C3175" s="899">
        <f t="shared" si="55"/>
        <v>42184</v>
      </c>
      <c r="D3175" s="900" t="s">
        <v>2013</v>
      </c>
      <c r="E3175" s="900">
        <v>42184</v>
      </c>
      <c r="F3175" s="907" t="s">
        <v>863</v>
      </c>
      <c r="G3175" s="902" t="s">
        <v>859</v>
      </c>
      <c r="H3175" s="913" t="s">
        <v>2014</v>
      </c>
      <c r="I3175" s="253">
        <v>248</v>
      </c>
      <c r="J3175" s="253">
        <v>11314.614449451967</v>
      </c>
      <c r="K3175" s="904">
        <f t="shared" si="56"/>
        <v>2806024</v>
      </c>
      <c r="L3175" s="869" t="s">
        <v>167</v>
      </c>
      <c r="M3175" s="869" t="s">
        <v>165</v>
      </c>
      <c r="N3175" s="52" t="str">
        <f>IF(AND('331-CT'!$E$7=TH!H3175,OR(L3175="331",M3175="331")),"331",IF(AND(OR(L3175="131",M3175="131"),H3175='131-CT'!$E$7),"131",""))</f>
        <v/>
      </c>
      <c r="O3175" s="86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99"/>
    </row>
    <row r="3176" spans="1:27" s="210" customFormat="1" ht="15.75" customHeight="1">
      <c r="A3176" s="203" t="str">
        <f>IF(B3176&lt;&gt;"",IF(AND(B3176&gt;=_TM1,B3176&lt;=_TM2,OR(TH!L3176="1111",TH!M3176="1111")),TH!D3176,""),"")</f>
        <v/>
      </c>
      <c r="B3176" s="36">
        <f t="shared" si="54"/>
        <v>6</v>
      </c>
      <c r="C3176" s="899">
        <f t="shared" si="55"/>
        <v>42184</v>
      </c>
      <c r="D3176" s="900" t="s">
        <v>2013</v>
      </c>
      <c r="E3176" s="900">
        <v>42184</v>
      </c>
      <c r="F3176" s="907" t="s">
        <v>1663</v>
      </c>
      <c r="G3176" s="902" t="s">
        <v>859</v>
      </c>
      <c r="H3176" s="913" t="s">
        <v>2014</v>
      </c>
      <c r="I3176" s="253">
        <v>402</v>
      </c>
      <c r="J3176" s="253">
        <v>312.12729515729569</v>
      </c>
      <c r="K3176" s="904">
        <f t="shared" si="56"/>
        <v>125475</v>
      </c>
      <c r="L3176" s="869" t="s">
        <v>167</v>
      </c>
      <c r="M3176" s="869" t="s">
        <v>165</v>
      </c>
      <c r="N3176" s="52" t="str">
        <f>IF(AND('331-CT'!$E$7=TH!H3176,OR(L3176="331",M3176="331")),"331",IF(AND(OR(L3176="131",M3176="131"),H3176='131-CT'!$E$7),"131",""))</f>
        <v/>
      </c>
      <c r="O3176" s="86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99"/>
    </row>
    <row r="3177" spans="1:27" s="210" customFormat="1" ht="15.75" customHeight="1">
      <c r="A3177" s="203" t="str">
        <f>IF(B3177&lt;&gt;"",IF(AND(B3177&gt;=_TM1,B3177&lt;=_TM2,OR(TH!L3177="1111",TH!M3177="1111")),TH!D3177,""),"")</f>
        <v/>
      </c>
      <c r="B3177" s="36">
        <f t="shared" si="54"/>
        <v>6</v>
      </c>
      <c r="C3177" s="899">
        <f t="shared" si="55"/>
        <v>42184</v>
      </c>
      <c r="D3177" s="900" t="s">
        <v>2013</v>
      </c>
      <c r="E3177" s="900">
        <v>42184</v>
      </c>
      <c r="F3177" s="907" t="s">
        <v>1664</v>
      </c>
      <c r="G3177" s="902" t="s">
        <v>859</v>
      </c>
      <c r="H3177" s="913" t="s">
        <v>2014</v>
      </c>
      <c r="I3177" s="253">
        <v>496</v>
      </c>
      <c r="J3177" s="253">
        <v>624.25459031459138</v>
      </c>
      <c r="K3177" s="904">
        <f t="shared" si="56"/>
        <v>309630</v>
      </c>
      <c r="L3177" s="869" t="s">
        <v>167</v>
      </c>
      <c r="M3177" s="869" t="s">
        <v>165</v>
      </c>
      <c r="N3177" s="52" t="str">
        <f>IF(AND('331-CT'!$E$7=TH!H3177,OR(L3177="331",M3177="331")),"331",IF(AND(OR(L3177="131",M3177="131"),H3177='131-CT'!$E$7),"131",""))</f>
        <v/>
      </c>
      <c r="O3177" s="86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99"/>
    </row>
    <row r="3178" spans="1:27" s="210" customFormat="1" ht="15.75" customHeight="1">
      <c r="A3178" s="203" t="str">
        <f>IF(B3178&lt;&gt;"",IF(AND(B3178&gt;=_TM1,B3178&lt;=_TM2,OR(TH!L3178="1111",TH!M3178="1111")),TH!D3178,""),"")</f>
        <v/>
      </c>
      <c r="B3178" s="36">
        <f t="shared" si="54"/>
        <v>6</v>
      </c>
      <c r="C3178" s="899">
        <f t="shared" si="55"/>
        <v>42184</v>
      </c>
      <c r="D3178" s="900" t="s">
        <v>2013</v>
      </c>
      <c r="E3178" s="900">
        <v>42184</v>
      </c>
      <c r="F3178" s="907" t="s">
        <v>1140</v>
      </c>
      <c r="G3178" s="902" t="s">
        <v>864</v>
      </c>
      <c r="H3178" s="913" t="s">
        <v>2014</v>
      </c>
      <c r="I3178" s="253">
        <v>1005</v>
      </c>
      <c r="J3178" s="253">
        <v>8895.6279119829251</v>
      </c>
      <c r="K3178" s="904">
        <f t="shared" si="56"/>
        <v>8940106</v>
      </c>
      <c r="L3178" s="869" t="s">
        <v>167</v>
      </c>
      <c r="M3178" s="869" t="s">
        <v>165</v>
      </c>
      <c r="N3178" s="52" t="str">
        <f>IF(AND('331-CT'!$E$7=TH!H3178,OR(L3178="331",M3178="331")),"331",IF(AND(OR(L3178="131",M3178="131"),H3178='131-CT'!$E$7),"131",""))</f>
        <v/>
      </c>
      <c r="O3178" s="86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99"/>
    </row>
    <row r="3179" spans="1:27" s="210" customFormat="1" ht="15.75" customHeight="1">
      <c r="A3179" s="203" t="str">
        <f>IF(B3179&lt;&gt;"",IF(AND(B3179&gt;=_TM1,B3179&lt;=_TM2,OR(TH!L3179="1111",TH!M3179="1111")),TH!D3179,""),"")</f>
        <v/>
      </c>
      <c r="B3179" s="36">
        <f t="shared" si="54"/>
        <v>6</v>
      </c>
      <c r="C3179" s="899">
        <f t="shared" si="55"/>
        <v>42184</v>
      </c>
      <c r="D3179" s="900" t="s">
        <v>2013</v>
      </c>
      <c r="E3179" s="900">
        <v>42184</v>
      </c>
      <c r="F3179" s="907" t="s">
        <v>1140</v>
      </c>
      <c r="G3179" s="902" t="s">
        <v>864</v>
      </c>
      <c r="H3179" s="913" t="s">
        <v>2014</v>
      </c>
      <c r="I3179" s="253">
        <v>103</v>
      </c>
      <c r="J3179" s="253">
        <v>8895.6279119829251</v>
      </c>
      <c r="K3179" s="904">
        <f t="shared" si="56"/>
        <v>916250</v>
      </c>
      <c r="L3179" s="869" t="s">
        <v>167</v>
      </c>
      <c r="M3179" s="869" t="s">
        <v>165</v>
      </c>
      <c r="N3179" s="52" t="str">
        <f>IF(AND('331-CT'!$E$7=TH!H3179,OR(L3179="331",M3179="331")),"331",IF(AND(OR(L3179="131",M3179="131"),H3179='131-CT'!$E$7),"131",""))</f>
        <v/>
      </c>
      <c r="O3179" s="86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99"/>
    </row>
    <row r="3180" spans="1:27" s="210" customFormat="1" ht="15.75" customHeight="1">
      <c r="A3180" s="203" t="str">
        <f>IF(B3180&lt;&gt;"",IF(AND(B3180&gt;=_TM1,B3180&lt;=_TM2,OR(TH!L3180="1111",TH!M3180="1111")),TH!D3180,""),"")</f>
        <v/>
      </c>
      <c r="B3180" s="36">
        <f t="shared" si="54"/>
        <v>6</v>
      </c>
      <c r="C3180" s="899">
        <f t="shared" si="55"/>
        <v>42184</v>
      </c>
      <c r="D3180" s="900" t="s">
        <v>2013</v>
      </c>
      <c r="E3180" s="900">
        <v>42184</v>
      </c>
      <c r="F3180" s="907" t="s">
        <v>1654</v>
      </c>
      <c r="G3180" s="902" t="s">
        <v>864</v>
      </c>
      <c r="H3180" s="913" t="s">
        <v>2014</v>
      </c>
      <c r="I3180" s="253">
        <v>2216</v>
      </c>
      <c r="J3180" s="253">
        <v>780.31823789323926</v>
      </c>
      <c r="K3180" s="904">
        <f t="shared" si="56"/>
        <v>1729185</v>
      </c>
      <c r="L3180" s="869" t="s">
        <v>167</v>
      </c>
      <c r="M3180" s="869" t="s">
        <v>165</v>
      </c>
      <c r="N3180" s="52" t="str">
        <f>IF(AND('331-CT'!$E$7=TH!H3180,OR(L3180="331",M3180="331")),"331",IF(AND(OR(L3180="131",M3180="131"),H3180='131-CT'!$E$7),"131",""))</f>
        <v/>
      </c>
      <c r="O3180" s="86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99"/>
    </row>
    <row r="3181" spans="1:27" s="210" customFormat="1" ht="15.75" customHeight="1">
      <c r="A3181" s="203" t="str">
        <f>IF(B3181&lt;&gt;"",IF(AND(B3181&gt;=_TM1,B3181&lt;=_TM2,OR(TH!L3181="1111",TH!M3181="1111")),TH!D3181,""),"")</f>
        <v/>
      </c>
      <c r="B3181" s="36">
        <f t="shared" si="54"/>
        <v>6</v>
      </c>
      <c r="C3181" s="899">
        <f t="shared" si="55"/>
        <v>42184</v>
      </c>
      <c r="D3181" s="900" t="s">
        <v>2013</v>
      </c>
      <c r="E3181" s="900">
        <v>42184</v>
      </c>
      <c r="F3181" s="907" t="s">
        <v>1750</v>
      </c>
      <c r="G3181" s="902" t="s">
        <v>866</v>
      </c>
      <c r="H3181" s="913" t="s">
        <v>2014</v>
      </c>
      <c r="I3181" s="253">
        <v>230</v>
      </c>
      <c r="J3181" s="253">
        <v>11002.487154294671</v>
      </c>
      <c r="K3181" s="904">
        <f t="shared" si="56"/>
        <v>2530572</v>
      </c>
      <c r="L3181" s="869" t="s">
        <v>167</v>
      </c>
      <c r="M3181" s="869" t="s">
        <v>165</v>
      </c>
      <c r="N3181" s="52" t="str">
        <f>IF(AND('331-CT'!$E$7=TH!H3181,OR(L3181="331",M3181="331")),"331",IF(AND(OR(L3181="131",M3181="131"),H3181='131-CT'!$E$7),"131",""))</f>
        <v/>
      </c>
      <c r="O3181" s="86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99"/>
    </row>
    <row r="3182" spans="1:27" s="210" customFormat="1" ht="15.75" customHeight="1">
      <c r="A3182" s="203" t="str">
        <f>IF(B3182&lt;&gt;"",IF(AND(B3182&gt;=_TM1,B3182&lt;=_TM2,OR(TH!L3182="1111",TH!M3182="1111")),TH!D3182,""),"")</f>
        <v/>
      </c>
      <c r="B3182" s="36">
        <f t="shared" si="54"/>
        <v>6</v>
      </c>
      <c r="C3182" s="899">
        <f t="shared" si="55"/>
        <v>42185</v>
      </c>
      <c r="D3182" s="900" t="s">
        <v>2013</v>
      </c>
      <c r="E3182" s="900">
        <v>42185</v>
      </c>
      <c r="F3182" s="907" t="s">
        <v>494</v>
      </c>
      <c r="G3182" s="902" t="s">
        <v>867</v>
      </c>
      <c r="H3182" s="913" t="s">
        <v>2014</v>
      </c>
      <c r="I3182" s="253">
        <v>2016</v>
      </c>
      <c r="J3182" s="253">
        <v>5306.1640176740266</v>
      </c>
      <c r="K3182" s="904">
        <f t="shared" si="56"/>
        <v>10697227</v>
      </c>
      <c r="L3182" s="869" t="s">
        <v>167</v>
      </c>
      <c r="M3182" s="869" t="s">
        <v>165</v>
      </c>
      <c r="N3182" s="52" t="str">
        <f>IF(AND('331-CT'!$E$7=TH!H3182,OR(L3182="331",M3182="331")),"331",IF(AND(OR(L3182="131",M3182="131"),H3182='131-CT'!$E$7),"131",""))</f>
        <v/>
      </c>
      <c r="O3182" s="86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99"/>
    </row>
    <row r="3183" spans="1:27" s="210" customFormat="1" ht="15.75" customHeight="1">
      <c r="A3183" s="203" t="str">
        <f>IF(B3183&lt;&gt;"",IF(AND(B3183&gt;=_TM1,B3183&lt;=_TM2,OR(TH!L3183="1111",TH!M3183="1111")),TH!D3183,""),"")</f>
        <v/>
      </c>
      <c r="B3183" s="36">
        <f t="shared" si="54"/>
        <v>6</v>
      </c>
      <c r="C3183" s="899">
        <f t="shared" si="55"/>
        <v>42185</v>
      </c>
      <c r="D3183" s="900" t="s">
        <v>2013</v>
      </c>
      <c r="E3183" s="900">
        <v>42185</v>
      </c>
      <c r="F3183" s="907" t="s">
        <v>510</v>
      </c>
      <c r="G3183" s="902" t="s">
        <v>868</v>
      </c>
      <c r="H3183" s="913" t="s">
        <v>2014</v>
      </c>
      <c r="I3183" s="253">
        <v>250</v>
      </c>
      <c r="J3183" s="253">
        <v>8583.5006168256314</v>
      </c>
      <c r="K3183" s="904">
        <f t="shared" si="56"/>
        <v>2145875</v>
      </c>
      <c r="L3183" s="869" t="s">
        <v>167</v>
      </c>
      <c r="M3183" s="869" t="s">
        <v>165</v>
      </c>
      <c r="N3183" s="52" t="str">
        <f>IF(AND('331-CT'!$E$7=TH!H3183,OR(L3183="331",M3183="331")),"331",IF(AND(OR(L3183="131",M3183="131"),H3183='131-CT'!$E$7),"131",""))</f>
        <v/>
      </c>
      <c r="O3183" s="86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99"/>
    </row>
    <row r="3184" spans="1:27" s="210" customFormat="1" ht="15.75" customHeight="1">
      <c r="A3184" s="203" t="str">
        <f>IF(B3184&lt;&gt;"",IF(AND(B3184&gt;=_TM1,B3184&lt;=_TM2,OR(TH!L3184="1111",TH!M3184="1111")),TH!D3184,""),"")</f>
        <v/>
      </c>
      <c r="B3184" s="36">
        <f t="shared" si="54"/>
        <v>6</v>
      </c>
      <c r="C3184" s="899">
        <f t="shared" si="55"/>
        <v>42185</v>
      </c>
      <c r="D3184" s="900" t="s">
        <v>2013</v>
      </c>
      <c r="E3184" s="900">
        <v>42185</v>
      </c>
      <c r="F3184" s="907" t="s">
        <v>512</v>
      </c>
      <c r="G3184" s="902" t="s">
        <v>868</v>
      </c>
      <c r="H3184" s="913" t="s">
        <v>2014</v>
      </c>
      <c r="I3184" s="253">
        <v>570</v>
      </c>
      <c r="J3184" s="253">
        <v>8817.5960881936026</v>
      </c>
      <c r="K3184" s="904">
        <f t="shared" si="56"/>
        <v>5026030</v>
      </c>
      <c r="L3184" s="869" t="s">
        <v>167</v>
      </c>
      <c r="M3184" s="869" t="s">
        <v>165</v>
      </c>
      <c r="N3184" s="52" t="str">
        <f>IF(AND('331-CT'!$E$7=TH!H3184,OR(L3184="331",M3184="331")),"331",IF(AND(OR(L3184="131",M3184="131"),H3184='131-CT'!$E$7),"131",""))</f>
        <v/>
      </c>
      <c r="O3184" s="86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99"/>
    </row>
    <row r="3185" spans="1:27" s="210" customFormat="1" ht="15.75" customHeight="1">
      <c r="A3185" s="203" t="str">
        <f>IF(B3185&lt;&gt;"",IF(AND(B3185&gt;=_TM1,B3185&lt;=_TM2,OR(TH!L3185="1111",TH!M3185="1111")),TH!D3185,""),"")</f>
        <v/>
      </c>
      <c r="B3185" s="36">
        <f t="shared" si="54"/>
        <v>6</v>
      </c>
      <c r="C3185" s="899">
        <f t="shared" si="55"/>
        <v>42185</v>
      </c>
      <c r="D3185" s="900" t="s">
        <v>2013</v>
      </c>
      <c r="E3185" s="900">
        <v>42185</v>
      </c>
      <c r="F3185" s="907" t="s">
        <v>513</v>
      </c>
      <c r="G3185" s="902" t="s">
        <v>868</v>
      </c>
      <c r="H3185" s="913" t="s">
        <v>2014</v>
      </c>
      <c r="I3185" s="253">
        <v>1050</v>
      </c>
      <c r="J3185" s="253">
        <v>8973.6597357722494</v>
      </c>
      <c r="K3185" s="904">
        <f t="shared" si="56"/>
        <v>9422343</v>
      </c>
      <c r="L3185" s="869" t="s">
        <v>167</v>
      </c>
      <c r="M3185" s="869" t="s">
        <v>165</v>
      </c>
      <c r="N3185" s="52" t="str">
        <f>IF(AND('331-CT'!$E$7=TH!H3185,OR(L3185="331",M3185="331")),"331",IF(AND(OR(L3185="131",M3185="131"),H3185='131-CT'!$E$7),"131",""))</f>
        <v/>
      </c>
      <c r="O3185" s="86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99"/>
    </row>
    <row r="3186" spans="1:27" s="210" customFormat="1" ht="15.75" customHeight="1">
      <c r="A3186" s="203" t="str">
        <f>IF(B3186&lt;&gt;"",IF(AND(B3186&gt;=_TM1,B3186&lt;=_TM2,OR(TH!L3186="1111",TH!M3186="1111")),TH!D3186,""),"")</f>
        <v/>
      </c>
      <c r="B3186" s="36">
        <f t="shared" si="54"/>
        <v>6</v>
      </c>
      <c r="C3186" s="899">
        <f t="shared" si="55"/>
        <v>42185</v>
      </c>
      <c r="D3186" s="900" t="s">
        <v>2013</v>
      </c>
      <c r="E3186" s="900">
        <v>42185</v>
      </c>
      <c r="F3186" s="907" t="s">
        <v>514</v>
      </c>
      <c r="G3186" s="902" t="s">
        <v>868</v>
      </c>
      <c r="H3186" s="913" t="s">
        <v>2014</v>
      </c>
      <c r="I3186" s="253">
        <v>537</v>
      </c>
      <c r="J3186" s="253">
        <v>7491.0550837750961</v>
      </c>
      <c r="K3186" s="904">
        <f t="shared" si="56"/>
        <v>4022697</v>
      </c>
      <c r="L3186" s="869" t="s">
        <v>167</v>
      </c>
      <c r="M3186" s="869" t="s">
        <v>165</v>
      </c>
      <c r="N3186" s="52" t="str">
        <f>IF(AND('331-CT'!$E$7=TH!H3186,OR(L3186="331",M3186="331")),"331",IF(AND(OR(L3186="131",M3186="131"),H3186='131-CT'!$E$7),"131",""))</f>
        <v/>
      </c>
      <c r="O3186" s="86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99"/>
    </row>
    <row r="3187" spans="1:27" s="210" customFormat="1" ht="15.75" customHeight="1">
      <c r="A3187" s="203" t="str">
        <f>IF(B3187&lt;&gt;"",IF(AND(B3187&gt;=_TM1,B3187&lt;=_TM2,OR(TH!L3187="1111",TH!M3187="1111")),TH!D3187,""),"")</f>
        <v/>
      </c>
      <c r="B3187" s="36">
        <f t="shared" si="54"/>
        <v>6</v>
      </c>
      <c r="C3187" s="899">
        <f t="shared" si="55"/>
        <v>42185</v>
      </c>
      <c r="D3187" s="900" t="s">
        <v>2013</v>
      </c>
      <c r="E3187" s="900">
        <v>42185</v>
      </c>
      <c r="F3187" s="907" t="s">
        <v>510</v>
      </c>
      <c r="G3187" s="902" t="s">
        <v>868</v>
      </c>
      <c r="H3187" s="913" t="s">
        <v>2014</v>
      </c>
      <c r="I3187" s="253">
        <v>150</v>
      </c>
      <c r="J3187" s="253">
        <v>8583.5006168256314</v>
      </c>
      <c r="K3187" s="904">
        <f t="shared" si="56"/>
        <v>1287525</v>
      </c>
      <c r="L3187" s="869" t="s">
        <v>167</v>
      </c>
      <c r="M3187" s="869" t="s">
        <v>165</v>
      </c>
      <c r="N3187" s="52" t="str">
        <f>IF(AND('331-CT'!$E$7=TH!H3187,OR(L3187="331",M3187="331")),"331",IF(AND(OR(L3187="131",M3187="131"),H3187='131-CT'!$E$7),"131",""))</f>
        <v/>
      </c>
      <c r="O3187" s="86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99"/>
    </row>
    <row r="3188" spans="1:27" s="210" customFormat="1" ht="15.75" customHeight="1">
      <c r="A3188" s="203" t="str">
        <f>IF(B3188&lt;&gt;"",IF(AND(B3188&gt;=_TM1,B3188&lt;=_TM2,OR(TH!L3188="1111",TH!M3188="1111")),TH!D3188,""),"")</f>
        <v/>
      </c>
      <c r="B3188" s="36">
        <f t="shared" si="54"/>
        <v>6</v>
      </c>
      <c r="C3188" s="899">
        <f t="shared" si="55"/>
        <v>42185</v>
      </c>
      <c r="D3188" s="900" t="s">
        <v>2013</v>
      </c>
      <c r="E3188" s="900">
        <v>42185</v>
      </c>
      <c r="F3188" s="907" t="s">
        <v>512</v>
      </c>
      <c r="G3188" s="902" t="s">
        <v>868</v>
      </c>
      <c r="H3188" s="913" t="s">
        <v>2014</v>
      </c>
      <c r="I3188" s="253">
        <v>980</v>
      </c>
      <c r="J3188" s="253">
        <v>8817.5960881936026</v>
      </c>
      <c r="K3188" s="904">
        <f t="shared" si="56"/>
        <v>8641244</v>
      </c>
      <c r="L3188" s="869" t="s">
        <v>167</v>
      </c>
      <c r="M3188" s="869" t="s">
        <v>165</v>
      </c>
      <c r="N3188" s="52" t="str">
        <f>IF(AND('331-CT'!$E$7=TH!H3188,OR(L3188="331",M3188="331")),"331",IF(AND(OR(L3188="131",M3188="131"),H3188='131-CT'!$E$7),"131",""))</f>
        <v/>
      </c>
      <c r="O3188" s="86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99"/>
    </row>
    <row r="3189" spans="1:27" s="210" customFormat="1" ht="15.75" customHeight="1">
      <c r="A3189" s="203" t="str">
        <f>IF(B3189&lt;&gt;"",IF(AND(B3189&gt;=_TM1,B3189&lt;=_TM2,OR(TH!L3189="1111",TH!M3189="1111")),TH!D3189,""),"")</f>
        <v/>
      </c>
      <c r="B3189" s="36">
        <f t="shared" si="54"/>
        <v>6</v>
      </c>
      <c r="C3189" s="899">
        <f t="shared" si="55"/>
        <v>42185</v>
      </c>
      <c r="D3189" s="900" t="s">
        <v>2013</v>
      </c>
      <c r="E3189" s="900">
        <v>42185</v>
      </c>
      <c r="F3189" s="907" t="s">
        <v>513</v>
      </c>
      <c r="G3189" s="902" t="s">
        <v>868</v>
      </c>
      <c r="H3189" s="913" t="s">
        <v>2014</v>
      </c>
      <c r="I3189" s="253">
        <v>290</v>
      </c>
      <c r="J3189" s="253">
        <v>8973.6597357722494</v>
      </c>
      <c r="K3189" s="904">
        <f t="shared" si="56"/>
        <v>2602361</v>
      </c>
      <c r="L3189" s="869" t="s">
        <v>167</v>
      </c>
      <c r="M3189" s="869" t="s">
        <v>165</v>
      </c>
      <c r="N3189" s="52" t="str">
        <f>IF(AND('331-CT'!$E$7=TH!H3189,OR(L3189="331",M3189="331")),"331",IF(AND(OR(L3189="131",M3189="131"),H3189='131-CT'!$E$7),"131",""))</f>
        <v/>
      </c>
      <c r="O3189" s="86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99"/>
    </row>
    <row r="3190" spans="1:27" s="210" customFormat="1" ht="15.75" customHeight="1">
      <c r="A3190" s="203" t="str">
        <f>IF(B3190&lt;&gt;"",IF(AND(B3190&gt;=_TM1,B3190&lt;=_TM2,OR(TH!L3190="1111",TH!M3190="1111")),TH!D3190,""),"")</f>
        <v/>
      </c>
      <c r="B3190" s="36">
        <f t="shared" si="54"/>
        <v>6</v>
      </c>
      <c r="C3190" s="899">
        <f t="shared" si="55"/>
        <v>42185</v>
      </c>
      <c r="D3190" s="900" t="s">
        <v>2013</v>
      </c>
      <c r="E3190" s="900">
        <v>42185</v>
      </c>
      <c r="F3190" s="907" t="s">
        <v>514</v>
      </c>
      <c r="G3190" s="902" t="s">
        <v>868</v>
      </c>
      <c r="H3190" s="913" t="s">
        <v>2014</v>
      </c>
      <c r="I3190" s="253">
        <v>409</v>
      </c>
      <c r="J3190" s="253">
        <v>7491.0550837750961</v>
      </c>
      <c r="K3190" s="904">
        <f t="shared" si="56"/>
        <v>3063842</v>
      </c>
      <c r="L3190" s="869" t="s">
        <v>167</v>
      </c>
      <c r="M3190" s="869" t="s">
        <v>165</v>
      </c>
      <c r="N3190" s="52" t="str">
        <f>IF(AND('331-CT'!$E$7=TH!H3190,OR(L3190="331",M3190="331")),"331",IF(AND(OR(L3190="131",M3190="131"),H3190='131-CT'!$E$7),"131",""))</f>
        <v/>
      </c>
      <c r="O3190" s="86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99"/>
    </row>
    <row r="3191" spans="1:27" s="210" customFormat="1" ht="15.75" customHeight="1">
      <c r="A3191" s="203" t="str">
        <f>IF(B3191&lt;&gt;"",IF(AND(B3191&gt;=_TM1,B3191&lt;=_TM2,OR(TH!L3191="1111",TH!M3191="1111")),TH!D3191,""),"")</f>
        <v/>
      </c>
      <c r="B3191" s="36">
        <f t="shared" si="54"/>
        <v>6</v>
      </c>
      <c r="C3191" s="899">
        <f t="shared" si="55"/>
        <v>42185</v>
      </c>
      <c r="D3191" s="900" t="s">
        <v>2013</v>
      </c>
      <c r="E3191" s="900">
        <v>42185</v>
      </c>
      <c r="F3191" s="907" t="s">
        <v>510</v>
      </c>
      <c r="G3191" s="902" t="s">
        <v>868</v>
      </c>
      <c r="H3191" s="913" t="s">
        <v>2014</v>
      </c>
      <c r="I3191" s="253">
        <v>400</v>
      </c>
      <c r="J3191" s="253">
        <v>8583.5006168256314</v>
      </c>
      <c r="K3191" s="904">
        <f t="shared" si="56"/>
        <v>3433400</v>
      </c>
      <c r="L3191" s="869" t="s">
        <v>167</v>
      </c>
      <c r="M3191" s="869" t="s">
        <v>165</v>
      </c>
      <c r="N3191" s="52" t="str">
        <f>IF(AND('331-CT'!$E$7=TH!H3191,OR(L3191="331",M3191="331")),"331",IF(AND(OR(L3191="131",M3191="131"),H3191='131-CT'!$E$7),"131",""))</f>
        <v/>
      </c>
      <c r="O3191" s="86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99"/>
    </row>
    <row r="3192" spans="1:27" s="210" customFormat="1" ht="15.75" customHeight="1">
      <c r="A3192" s="203" t="str">
        <f>IF(B3192&lt;&gt;"",IF(AND(B3192&gt;=_TM1,B3192&lt;=_TM2,OR(TH!L3192="1111",TH!M3192="1111")),TH!D3192,""),"")</f>
        <v/>
      </c>
      <c r="B3192" s="36">
        <f t="shared" si="54"/>
        <v>6</v>
      </c>
      <c r="C3192" s="899">
        <f t="shared" si="55"/>
        <v>42185</v>
      </c>
      <c r="D3192" s="900" t="s">
        <v>2013</v>
      </c>
      <c r="E3192" s="900">
        <v>42185</v>
      </c>
      <c r="F3192" s="907" t="s">
        <v>512</v>
      </c>
      <c r="G3192" s="902" t="s">
        <v>868</v>
      </c>
      <c r="H3192" s="913" t="s">
        <v>2014</v>
      </c>
      <c r="I3192" s="253">
        <v>120</v>
      </c>
      <c r="J3192" s="253">
        <v>8817.5960881936026</v>
      </c>
      <c r="K3192" s="904">
        <f t="shared" si="56"/>
        <v>1058112</v>
      </c>
      <c r="L3192" s="869" t="s">
        <v>167</v>
      </c>
      <c r="M3192" s="869" t="s">
        <v>165</v>
      </c>
      <c r="N3192" s="52" t="str">
        <f>IF(AND('331-CT'!$E$7=TH!H3192,OR(L3192="331",M3192="331")),"331",IF(AND(OR(L3192="131",M3192="131"),H3192='131-CT'!$E$7),"131",""))</f>
        <v/>
      </c>
      <c r="O3192" s="86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99"/>
    </row>
    <row r="3193" spans="1:27" s="836" customFormat="1" ht="15.75" customHeight="1">
      <c r="A3193" s="203" t="str">
        <f>IF(B3193&lt;&gt;"",IF(AND(B3193&gt;=_TM1,B3193&lt;=_TM2,OR(TH!L3193="1111",TH!M3193="1111")),TH!D3193,""),"")</f>
        <v/>
      </c>
      <c r="B3193" s="826">
        <f t="shared" si="54"/>
        <v>7</v>
      </c>
      <c r="C3193" s="827">
        <f t="shared" si="55"/>
        <v>42186</v>
      </c>
      <c r="D3193" s="828" t="s">
        <v>2013</v>
      </c>
      <c r="E3193" s="828">
        <v>42186</v>
      </c>
      <c r="F3193" s="829" t="s">
        <v>870</v>
      </c>
      <c r="G3193" s="830" t="s">
        <v>871</v>
      </c>
      <c r="H3193" s="838" t="s">
        <v>2014</v>
      </c>
      <c r="I3193" s="832">
        <v>22</v>
      </c>
      <c r="J3193" s="832">
        <v>5299.563299459076</v>
      </c>
      <c r="K3193" s="833">
        <f t="shared" si="56"/>
        <v>116590</v>
      </c>
      <c r="L3193" s="886" t="s">
        <v>167</v>
      </c>
      <c r="M3193" s="886" t="s">
        <v>165</v>
      </c>
      <c r="N3193" s="52" t="str">
        <f>IF(AND('331-CT'!$E$7=TH!H3193,OR(L3193="331",M3193="331")),"331",IF(AND(OR(L3193="131",M3193="131"),H3193='131-CT'!$E$7),"131",""))</f>
        <v/>
      </c>
      <c r="O3193" s="86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35"/>
    </row>
    <row r="3194" spans="1:27" s="210" customFormat="1" ht="15.75" customHeight="1">
      <c r="A3194" s="203" t="str">
        <f>IF(B3194&lt;&gt;"",IF(AND(B3194&gt;=_TM1,B3194&lt;=_TM2,OR(TH!L3194="1111",TH!M3194="1111")),TH!D3194,""),"")</f>
        <v/>
      </c>
      <c r="B3194" s="36">
        <f t="shared" si="54"/>
        <v>7</v>
      </c>
      <c r="C3194" s="899">
        <f t="shared" si="55"/>
        <v>42186</v>
      </c>
      <c r="D3194" s="900" t="s">
        <v>2013</v>
      </c>
      <c r="E3194" s="900">
        <v>42186</v>
      </c>
      <c r="F3194" s="907" t="s">
        <v>873</v>
      </c>
      <c r="G3194" s="902" t="s">
        <v>871</v>
      </c>
      <c r="H3194" s="913" t="s">
        <v>2014</v>
      </c>
      <c r="I3194" s="253">
        <v>11</v>
      </c>
      <c r="J3194" s="253">
        <v>7949.3449491886131</v>
      </c>
      <c r="K3194" s="904">
        <f t="shared" si="56"/>
        <v>87443</v>
      </c>
      <c r="L3194" s="869" t="s">
        <v>167</v>
      </c>
      <c r="M3194" s="869" t="s">
        <v>165</v>
      </c>
      <c r="N3194" s="52" t="str">
        <f>IF(AND('331-CT'!$E$7=TH!H3194,OR(L3194="331",M3194="331")),"331",IF(AND(OR(L3194="131",M3194="131"),H3194='131-CT'!$E$7),"131",""))</f>
        <v/>
      </c>
      <c r="O3194" s="86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799"/>
    </row>
    <row r="3195" spans="1:27" s="210" customFormat="1" ht="15.75" customHeight="1">
      <c r="A3195" s="203" t="str">
        <f>IF(B3195&lt;&gt;"",IF(AND(B3195&gt;=_TM1,B3195&lt;=_TM2,OR(TH!L3195="1111",TH!M3195="1111")),TH!D3195,""),"")</f>
        <v/>
      </c>
      <c r="B3195" s="36">
        <f t="shared" si="54"/>
        <v>7</v>
      </c>
      <c r="C3195" s="899">
        <f t="shared" si="55"/>
        <v>42186</v>
      </c>
      <c r="D3195" s="900" t="s">
        <v>2013</v>
      </c>
      <c r="E3195" s="900">
        <v>42186</v>
      </c>
      <c r="F3195" s="907" t="s">
        <v>870</v>
      </c>
      <c r="G3195" s="902" t="s">
        <v>871</v>
      </c>
      <c r="H3195" s="913" t="s">
        <v>2014</v>
      </c>
      <c r="I3195" s="253">
        <v>75</v>
      </c>
      <c r="J3195" s="253">
        <v>5299.563299459076</v>
      </c>
      <c r="K3195" s="904">
        <f t="shared" si="56"/>
        <v>397467</v>
      </c>
      <c r="L3195" s="869" t="s">
        <v>167</v>
      </c>
      <c r="M3195" s="869" t="s">
        <v>165</v>
      </c>
      <c r="N3195" s="52" t="str">
        <f>IF(AND('331-CT'!$E$7=TH!H3195,OR(L3195="331",M3195="331")),"331",IF(AND(OR(L3195="131",M3195="131"),H3195='131-CT'!$E$7),"131",""))</f>
        <v/>
      </c>
      <c r="O3195" s="86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799"/>
    </row>
    <row r="3196" spans="1:27" s="210" customFormat="1" ht="15.75" customHeight="1">
      <c r="A3196" s="203" t="str">
        <f>IF(B3196&lt;&gt;"",IF(AND(B3196&gt;=_TM1,B3196&lt;=_TM2,OR(TH!L3196="1111",TH!M3196="1111")),TH!D3196,""),"")</f>
        <v/>
      </c>
      <c r="B3196" s="36">
        <f t="shared" si="54"/>
        <v>7</v>
      </c>
      <c r="C3196" s="899">
        <f t="shared" si="55"/>
        <v>42186</v>
      </c>
      <c r="D3196" s="900" t="s">
        <v>2013</v>
      </c>
      <c r="E3196" s="900">
        <v>42186</v>
      </c>
      <c r="F3196" s="907" t="s">
        <v>874</v>
      </c>
      <c r="G3196" s="902" t="s">
        <v>871</v>
      </c>
      <c r="H3196" s="913" t="s">
        <v>2014</v>
      </c>
      <c r="I3196" s="253">
        <v>5</v>
      </c>
      <c r="J3196" s="253">
        <v>7066.0843992787677</v>
      </c>
      <c r="K3196" s="904">
        <f t="shared" si="56"/>
        <v>35330</v>
      </c>
      <c r="L3196" s="869" t="s">
        <v>167</v>
      </c>
      <c r="M3196" s="869" t="s">
        <v>165</v>
      </c>
      <c r="N3196" s="52" t="str">
        <f>IF(AND('331-CT'!$E$7=TH!H3196,OR(L3196="331",M3196="331")),"331",IF(AND(OR(L3196="131",M3196="131"),H3196='131-CT'!$E$7),"131",""))</f>
        <v/>
      </c>
      <c r="O3196" s="86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799"/>
    </row>
    <row r="3197" spans="1:27" s="210" customFormat="1" ht="15.75" customHeight="1">
      <c r="A3197" s="203" t="str">
        <f>IF(B3197&lt;&gt;"",IF(AND(B3197&gt;=_TM1,B3197&lt;=_TM2,OR(TH!L3197="1111",TH!M3197="1111")),TH!D3197,""),"")</f>
        <v/>
      </c>
      <c r="B3197" s="36">
        <f t="shared" si="54"/>
        <v>7</v>
      </c>
      <c r="C3197" s="899">
        <f t="shared" si="55"/>
        <v>42186</v>
      </c>
      <c r="D3197" s="900" t="s">
        <v>2013</v>
      </c>
      <c r="E3197" s="900">
        <v>42186</v>
      </c>
      <c r="F3197" s="907" t="s">
        <v>875</v>
      </c>
      <c r="G3197" s="902" t="s">
        <v>871</v>
      </c>
      <c r="H3197" s="913" t="s">
        <v>2014</v>
      </c>
      <c r="I3197" s="253">
        <v>5</v>
      </c>
      <c r="J3197" s="253">
        <v>6182.8238493689214</v>
      </c>
      <c r="K3197" s="904">
        <f t="shared" si="56"/>
        <v>30914</v>
      </c>
      <c r="L3197" s="869" t="s">
        <v>167</v>
      </c>
      <c r="M3197" s="869" t="s">
        <v>165</v>
      </c>
      <c r="N3197" s="52" t="str">
        <f>IF(AND('331-CT'!$E$7=TH!H3197,OR(L3197="331",M3197="331")),"331",IF(AND(OR(L3197="131",M3197="131"),H3197='131-CT'!$E$7),"131",""))</f>
        <v/>
      </c>
      <c r="O3197" s="86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799"/>
    </row>
    <row r="3198" spans="1:27" s="210" customFormat="1" ht="15.75" customHeight="1">
      <c r="A3198" s="203" t="str">
        <f>IF(B3198&lt;&gt;"",IF(AND(B3198&gt;=_TM1,B3198&lt;=_TM2,OR(TH!L3198="1111",TH!M3198="1111")),TH!D3198,""),"")</f>
        <v/>
      </c>
      <c r="B3198" s="36">
        <f t="shared" si="54"/>
        <v>7</v>
      </c>
      <c r="C3198" s="899">
        <f t="shared" si="55"/>
        <v>42186</v>
      </c>
      <c r="D3198" s="900" t="s">
        <v>2013</v>
      </c>
      <c r="E3198" s="900">
        <v>42186</v>
      </c>
      <c r="F3198" s="907" t="s">
        <v>873</v>
      </c>
      <c r="G3198" s="902" t="s">
        <v>871</v>
      </c>
      <c r="H3198" s="913" t="s">
        <v>2014</v>
      </c>
      <c r="I3198" s="253">
        <v>55</v>
      </c>
      <c r="J3198" s="253">
        <v>7949.3449491886131</v>
      </c>
      <c r="K3198" s="904">
        <f t="shared" si="56"/>
        <v>437214</v>
      </c>
      <c r="L3198" s="869" t="s">
        <v>167</v>
      </c>
      <c r="M3198" s="869" t="s">
        <v>165</v>
      </c>
      <c r="N3198" s="52" t="str">
        <f>IF(AND('331-CT'!$E$7=TH!H3198,OR(L3198="331",M3198="331")),"331",IF(AND(OR(L3198="131",M3198="131"),H3198='131-CT'!$E$7),"131",""))</f>
        <v/>
      </c>
      <c r="O3198" s="86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799"/>
    </row>
    <row r="3199" spans="1:27" s="210" customFormat="1" ht="15.75" customHeight="1">
      <c r="A3199" s="203" t="str">
        <f>IF(B3199&lt;&gt;"",IF(AND(B3199&gt;=_TM1,B3199&lt;=_TM2,OR(TH!L3199="1111",TH!M3199="1111")),TH!D3199,""),"")</f>
        <v/>
      </c>
      <c r="B3199" s="36">
        <f t="shared" si="54"/>
        <v>7</v>
      </c>
      <c r="C3199" s="899">
        <f t="shared" si="55"/>
        <v>42186</v>
      </c>
      <c r="D3199" s="900" t="s">
        <v>2013</v>
      </c>
      <c r="E3199" s="900">
        <v>42186</v>
      </c>
      <c r="F3199" s="907" t="s">
        <v>876</v>
      </c>
      <c r="G3199" s="902" t="s">
        <v>877</v>
      </c>
      <c r="H3199" s="913" t="s">
        <v>2014</v>
      </c>
      <c r="I3199" s="253">
        <v>510</v>
      </c>
      <c r="J3199" s="253">
        <v>7949.3449491886131</v>
      </c>
      <c r="K3199" s="904">
        <f t="shared" si="56"/>
        <v>4054166</v>
      </c>
      <c r="L3199" s="869" t="s">
        <v>167</v>
      </c>
      <c r="M3199" s="869" t="s">
        <v>165</v>
      </c>
      <c r="N3199" s="52" t="str">
        <f>IF(AND('331-CT'!$E$7=TH!H3199,OR(L3199="331",M3199="331")),"331",IF(AND(OR(L3199="131",M3199="131"),H3199='131-CT'!$E$7),"131",""))</f>
        <v/>
      </c>
      <c r="O3199" s="86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799"/>
    </row>
    <row r="3200" spans="1:27" s="210" customFormat="1" ht="15.75" customHeight="1">
      <c r="A3200" s="203" t="str">
        <f>IF(B3200&lt;&gt;"",IF(AND(B3200&gt;=_TM1,B3200&lt;=_TM2,OR(TH!L3200="1111",TH!M3200="1111")),TH!D3200,""),"")</f>
        <v/>
      </c>
      <c r="B3200" s="36">
        <f t="shared" si="54"/>
        <v>7</v>
      </c>
      <c r="C3200" s="899">
        <f t="shared" si="55"/>
        <v>42186</v>
      </c>
      <c r="D3200" s="900" t="s">
        <v>2013</v>
      </c>
      <c r="E3200" s="900">
        <v>42186</v>
      </c>
      <c r="F3200" s="907" t="s">
        <v>439</v>
      </c>
      <c r="G3200" s="902" t="s">
        <v>878</v>
      </c>
      <c r="H3200" s="913" t="s">
        <v>2014</v>
      </c>
      <c r="I3200" s="253">
        <v>508</v>
      </c>
      <c r="J3200" s="253">
        <v>5138.97047220274</v>
      </c>
      <c r="K3200" s="904">
        <f t="shared" si="56"/>
        <v>2610597</v>
      </c>
      <c r="L3200" s="869" t="s">
        <v>167</v>
      </c>
      <c r="M3200" s="869" t="s">
        <v>165</v>
      </c>
      <c r="N3200" s="52" t="str">
        <f>IF(AND('331-CT'!$E$7=TH!H3200,OR(L3200="331",M3200="331")),"331",IF(AND(OR(L3200="131",M3200="131"),H3200='131-CT'!$E$7),"131",""))</f>
        <v/>
      </c>
      <c r="O3200" s="86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799"/>
    </row>
    <row r="3201" spans="1:27" s="210" customFormat="1" ht="15.75" customHeight="1">
      <c r="A3201" s="203" t="str">
        <f>IF(B3201&lt;&gt;"",IF(AND(B3201&gt;=_TM1,B3201&lt;=_TM2,OR(TH!L3201="1111",TH!M3201="1111")),TH!D3201,""),"")</f>
        <v/>
      </c>
      <c r="B3201" s="36">
        <f t="shared" si="54"/>
        <v>7</v>
      </c>
      <c r="C3201" s="899">
        <f t="shared" si="55"/>
        <v>42186</v>
      </c>
      <c r="D3201" s="900" t="s">
        <v>2013</v>
      </c>
      <c r="E3201" s="900">
        <v>42186</v>
      </c>
      <c r="F3201" s="907" t="s">
        <v>441</v>
      </c>
      <c r="G3201" s="902" t="s">
        <v>878</v>
      </c>
      <c r="H3201" s="913" t="s">
        <v>2014</v>
      </c>
      <c r="I3201" s="253">
        <v>998</v>
      </c>
      <c r="J3201" s="253">
        <v>4095.1170950365586</v>
      </c>
      <c r="K3201" s="904">
        <f t="shared" si="56"/>
        <v>4086927</v>
      </c>
      <c r="L3201" s="869" t="s">
        <v>167</v>
      </c>
      <c r="M3201" s="869" t="s">
        <v>165</v>
      </c>
      <c r="N3201" s="52" t="str">
        <f>IF(AND('331-CT'!$E$7=TH!H3201,OR(L3201="331",M3201="331")),"331",IF(AND(OR(L3201="131",M3201="131"),H3201='131-CT'!$E$7),"131",""))</f>
        <v/>
      </c>
      <c r="O3201" s="86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799"/>
    </row>
    <row r="3202" spans="1:27" s="210" customFormat="1" ht="15.75" customHeight="1">
      <c r="A3202" s="203" t="str">
        <f>IF(B3202&lt;&gt;"",IF(AND(B3202&gt;=_TM1,B3202&lt;=_TM2,OR(TH!L3202="1111",TH!M3202="1111")),TH!D3202,""),"")</f>
        <v/>
      </c>
      <c r="B3202" s="36">
        <f t="shared" si="54"/>
        <v>7</v>
      </c>
      <c r="C3202" s="899">
        <f t="shared" si="55"/>
        <v>42186</v>
      </c>
      <c r="D3202" s="900" t="s">
        <v>2013</v>
      </c>
      <c r="E3202" s="900">
        <v>42186</v>
      </c>
      <c r="F3202" s="907" t="s">
        <v>879</v>
      </c>
      <c r="G3202" s="902" t="s">
        <v>878</v>
      </c>
      <c r="H3202" s="913" t="s">
        <v>2014</v>
      </c>
      <c r="I3202" s="253">
        <v>430</v>
      </c>
      <c r="J3202" s="253">
        <v>4737.4884040619008</v>
      </c>
      <c r="K3202" s="904">
        <f t="shared" si="56"/>
        <v>2037120</v>
      </c>
      <c r="L3202" s="869" t="s">
        <v>167</v>
      </c>
      <c r="M3202" s="869" t="s">
        <v>165</v>
      </c>
      <c r="N3202" s="52" t="str">
        <f>IF(AND('331-CT'!$E$7=TH!H3202,OR(L3202="331",M3202="331")),"331",IF(AND(OR(L3202="131",M3202="131"),H3202='131-CT'!$E$7),"131",""))</f>
        <v/>
      </c>
      <c r="O3202" s="86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799"/>
    </row>
    <row r="3203" spans="1:27" s="210" customFormat="1" ht="15.75" customHeight="1">
      <c r="A3203" s="203" t="str">
        <f>IF(B3203&lt;&gt;"",IF(AND(B3203&gt;=_TM1,B3203&lt;=_TM2,OR(TH!L3203="1111",TH!M3203="1111")),TH!D3203,""),"")</f>
        <v/>
      </c>
      <c r="B3203" s="36">
        <f t="shared" si="54"/>
        <v>7</v>
      </c>
      <c r="C3203" s="899">
        <f t="shared" si="55"/>
        <v>42186</v>
      </c>
      <c r="D3203" s="900" t="s">
        <v>2013</v>
      </c>
      <c r="E3203" s="900">
        <v>42186</v>
      </c>
      <c r="F3203" s="907" t="s">
        <v>880</v>
      </c>
      <c r="G3203" s="902" t="s">
        <v>881</v>
      </c>
      <c r="H3203" s="913" t="s">
        <v>2014</v>
      </c>
      <c r="I3203" s="253">
        <v>209</v>
      </c>
      <c r="J3203" s="253">
        <v>8109.9377764449491</v>
      </c>
      <c r="K3203" s="904">
        <f t="shared" si="56"/>
        <v>1694977</v>
      </c>
      <c r="L3203" s="869" t="s">
        <v>167</v>
      </c>
      <c r="M3203" s="869" t="s">
        <v>165</v>
      </c>
      <c r="N3203" s="52" t="str">
        <f>IF(AND('331-CT'!$E$7=TH!H3203,OR(L3203="331",M3203="331")),"331",IF(AND(OR(L3203="131",M3203="131"),H3203='131-CT'!$E$7),"131",""))</f>
        <v/>
      </c>
      <c r="O3203" s="86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799"/>
    </row>
    <row r="3204" spans="1:27" s="210" customFormat="1" ht="15.75" customHeight="1">
      <c r="A3204" s="203" t="str">
        <f>IF(B3204&lt;&gt;"",IF(AND(B3204&gt;=_TM1,B3204&lt;=_TM2,OR(TH!L3204="1111",TH!M3204="1111")),TH!D3204,""),"")</f>
        <v/>
      </c>
      <c r="B3204" s="36">
        <f t="shared" si="54"/>
        <v>7</v>
      </c>
      <c r="C3204" s="899">
        <f t="shared" si="55"/>
        <v>42186</v>
      </c>
      <c r="D3204" s="900" t="s">
        <v>2013</v>
      </c>
      <c r="E3204" s="900">
        <v>42186</v>
      </c>
      <c r="F3204" s="907" t="s">
        <v>1672</v>
      </c>
      <c r="G3204" s="902" t="s">
        <v>881</v>
      </c>
      <c r="H3204" s="913" t="s">
        <v>2014</v>
      </c>
      <c r="I3204" s="253">
        <v>209</v>
      </c>
      <c r="J3204" s="253">
        <v>1445.3354453070206</v>
      </c>
      <c r="K3204" s="904">
        <f t="shared" si="56"/>
        <v>302075</v>
      </c>
      <c r="L3204" s="869" t="s">
        <v>167</v>
      </c>
      <c r="M3204" s="869" t="s">
        <v>165</v>
      </c>
      <c r="N3204" s="52" t="str">
        <f>IF(AND('331-CT'!$E$7=TH!H3204,OR(L3204="331",M3204="331")),"331",IF(AND(OR(L3204="131",M3204="131"),H3204='131-CT'!$E$7),"131",""))</f>
        <v/>
      </c>
      <c r="O3204" s="86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799"/>
    </row>
    <row r="3205" spans="1:27" s="210" customFormat="1" ht="15.75" customHeight="1">
      <c r="A3205" s="203" t="str">
        <f>IF(B3205&lt;&gt;"",IF(AND(B3205&gt;=_TM1,B3205&lt;=_TM2,OR(TH!L3205="1111",TH!M3205="1111")),TH!D3205,""),"")</f>
        <v/>
      </c>
      <c r="B3205" s="36">
        <f t="shared" si="54"/>
        <v>7</v>
      </c>
      <c r="C3205" s="899">
        <f t="shared" si="55"/>
        <v>42187</v>
      </c>
      <c r="D3205" s="900" t="s">
        <v>2013</v>
      </c>
      <c r="E3205" s="900">
        <v>42187</v>
      </c>
      <c r="F3205" s="907" t="s">
        <v>882</v>
      </c>
      <c r="G3205" s="902" t="s">
        <v>883</v>
      </c>
      <c r="H3205" s="913" t="s">
        <v>2014</v>
      </c>
      <c r="I3205" s="253">
        <v>380</v>
      </c>
      <c r="J3205" s="253">
        <v>4014.8206814083906</v>
      </c>
      <c r="K3205" s="904">
        <f t="shared" si="56"/>
        <v>1525632</v>
      </c>
      <c r="L3205" s="869" t="s">
        <v>167</v>
      </c>
      <c r="M3205" s="869" t="s">
        <v>165</v>
      </c>
      <c r="N3205" s="52" t="str">
        <f>IF(AND('331-CT'!$E$7=TH!H3205,OR(L3205="331",M3205="331")),"331",IF(AND(OR(L3205="131",M3205="131"),H3205='131-CT'!$E$7),"131",""))</f>
        <v/>
      </c>
      <c r="O3205" s="86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799"/>
    </row>
    <row r="3206" spans="1:27" s="210" customFormat="1" ht="15.75" customHeight="1">
      <c r="A3206" s="203" t="str">
        <f>IF(B3206&lt;&gt;"",IF(AND(B3206&gt;=_TM1,B3206&lt;=_TM2,OR(TH!L3206="1111",TH!M3206="1111")),TH!D3206,""),"")</f>
        <v/>
      </c>
      <c r="B3206" s="36">
        <f t="shared" si="54"/>
        <v>7</v>
      </c>
      <c r="C3206" s="899">
        <f t="shared" si="55"/>
        <v>42187</v>
      </c>
      <c r="D3206" s="900" t="s">
        <v>2013</v>
      </c>
      <c r="E3206" s="900">
        <v>42187</v>
      </c>
      <c r="F3206" s="907" t="s">
        <v>413</v>
      </c>
      <c r="G3206" s="902" t="s">
        <v>884</v>
      </c>
      <c r="H3206" s="913" t="s">
        <v>2014</v>
      </c>
      <c r="I3206" s="253">
        <v>205</v>
      </c>
      <c r="J3206" s="253">
        <v>7628.159294675942</v>
      </c>
      <c r="K3206" s="904">
        <f t="shared" si="56"/>
        <v>1563773</v>
      </c>
      <c r="L3206" s="869" t="s">
        <v>167</v>
      </c>
      <c r="M3206" s="869" t="s">
        <v>165</v>
      </c>
      <c r="N3206" s="52" t="str">
        <f>IF(AND('331-CT'!$E$7=TH!H3206,OR(L3206="331",M3206="331")),"331",IF(AND(OR(L3206="131",M3206="131"),H3206='131-CT'!$E$7),"131",""))</f>
        <v/>
      </c>
      <c r="O3206" s="86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799"/>
    </row>
    <row r="3207" spans="1:27" s="210" customFormat="1" ht="15.75" customHeight="1">
      <c r="A3207" s="203" t="str">
        <f>IF(B3207&lt;&gt;"",IF(AND(B3207&gt;=_TM1,B3207&lt;=_TM2,OR(TH!L3207="1111",TH!M3207="1111")),TH!D3207,""),"")</f>
        <v/>
      </c>
      <c r="B3207" s="36">
        <f t="shared" si="54"/>
        <v>7</v>
      </c>
      <c r="C3207" s="899">
        <f t="shared" si="55"/>
        <v>42189</v>
      </c>
      <c r="D3207" s="900" t="s">
        <v>2013</v>
      </c>
      <c r="E3207" s="900">
        <v>42189</v>
      </c>
      <c r="F3207" s="907" t="s">
        <v>446</v>
      </c>
      <c r="G3207" s="902" t="s">
        <v>885</v>
      </c>
      <c r="H3207" s="913" t="s">
        <v>2014</v>
      </c>
      <c r="I3207" s="253">
        <v>299</v>
      </c>
      <c r="J3207" s="253">
        <v>7306.9736401632708</v>
      </c>
      <c r="K3207" s="904">
        <f t="shared" si="56"/>
        <v>2184785</v>
      </c>
      <c r="L3207" s="869" t="s">
        <v>167</v>
      </c>
      <c r="M3207" s="869" t="s">
        <v>165</v>
      </c>
      <c r="N3207" s="52" t="str">
        <f>IF(AND('331-CT'!$E$7=TH!H3207,OR(L3207="331",M3207="331")),"331",IF(AND(OR(L3207="131",M3207="131"),H3207='131-CT'!$E$7),"131",""))</f>
        <v/>
      </c>
      <c r="O3207" s="86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799"/>
    </row>
    <row r="3208" spans="1:27" s="210" customFormat="1" ht="15.75" customHeight="1">
      <c r="A3208" s="203" t="str">
        <f>IF(B3208&lt;&gt;"",IF(AND(B3208&gt;=_TM1,B3208&lt;=_TM2,OR(TH!L3208="1111",TH!M3208="1111")),TH!D3208,""),"")</f>
        <v/>
      </c>
      <c r="B3208" s="36">
        <f t="shared" si="54"/>
        <v>7</v>
      </c>
      <c r="C3208" s="899">
        <f t="shared" si="55"/>
        <v>42189</v>
      </c>
      <c r="D3208" s="900" t="s">
        <v>2013</v>
      </c>
      <c r="E3208" s="900">
        <v>42189</v>
      </c>
      <c r="F3208" s="907" t="s">
        <v>401</v>
      </c>
      <c r="G3208" s="902" t="s">
        <v>885</v>
      </c>
      <c r="H3208" s="913" t="s">
        <v>2014</v>
      </c>
      <c r="I3208" s="253">
        <v>312</v>
      </c>
      <c r="J3208" s="253">
        <v>7788.7521219322771</v>
      </c>
      <c r="K3208" s="904">
        <f t="shared" si="56"/>
        <v>2430091</v>
      </c>
      <c r="L3208" s="869" t="s">
        <v>167</v>
      </c>
      <c r="M3208" s="869" t="s">
        <v>165</v>
      </c>
      <c r="N3208" s="52" t="str">
        <f>IF(AND('331-CT'!$E$7=TH!H3208,OR(L3208="331",M3208="331")),"331",IF(AND(OR(L3208="131",M3208="131"),H3208='131-CT'!$E$7),"131",""))</f>
        <v/>
      </c>
      <c r="O3208" s="86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799"/>
    </row>
    <row r="3209" spans="1:27" s="210" customFormat="1" ht="15.75" customHeight="1">
      <c r="A3209" s="203" t="str">
        <f>IF(B3209&lt;&gt;"",IF(AND(B3209&gt;=_TM1,B3209&lt;=_TM2,OR(TH!L3209="1111",TH!M3209="1111")),TH!D3209,""),"")</f>
        <v/>
      </c>
      <c r="B3209" s="36">
        <f t="shared" si="54"/>
        <v>7</v>
      </c>
      <c r="C3209" s="899">
        <f t="shared" si="55"/>
        <v>42189</v>
      </c>
      <c r="D3209" s="900" t="s">
        <v>2013</v>
      </c>
      <c r="E3209" s="900">
        <v>42189</v>
      </c>
      <c r="F3209" s="907" t="s">
        <v>398</v>
      </c>
      <c r="G3209" s="902" t="s">
        <v>885</v>
      </c>
      <c r="H3209" s="913" t="s">
        <v>2014</v>
      </c>
      <c r="I3209" s="253">
        <v>585</v>
      </c>
      <c r="J3209" s="253">
        <v>6584.3059175097605</v>
      </c>
      <c r="K3209" s="904">
        <f t="shared" si="56"/>
        <v>3851819</v>
      </c>
      <c r="L3209" s="869" t="s">
        <v>167</v>
      </c>
      <c r="M3209" s="869" t="s">
        <v>165</v>
      </c>
      <c r="N3209" s="52" t="str">
        <f>IF(AND('331-CT'!$E$7=TH!H3209,OR(L3209="331",M3209="331")),"331",IF(AND(OR(L3209="131",M3209="131"),H3209='131-CT'!$E$7),"131",""))</f>
        <v/>
      </c>
      <c r="O3209" s="86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799"/>
    </row>
    <row r="3210" spans="1:27" s="210" customFormat="1" ht="15.75" customHeight="1">
      <c r="A3210" s="203" t="str">
        <f>IF(B3210&lt;&gt;"",IF(AND(B3210&gt;=_TM1,B3210&lt;=_TM2,OR(TH!L3210="1111",TH!M3210="1111")),TH!D3210,""),"")</f>
        <v/>
      </c>
      <c r="B3210" s="36">
        <f t="shared" si="54"/>
        <v>7</v>
      </c>
      <c r="C3210" s="899">
        <f t="shared" si="55"/>
        <v>42189</v>
      </c>
      <c r="D3210" s="900" t="s">
        <v>2013</v>
      </c>
      <c r="E3210" s="900">
        <v>42189</v>
      </c>
      <c r="F3210" s="907" t="s">
        <v>501</v>
      </c>
      <c r="G3210" s="902" t="s">
        <v>885</v>
      </c>
      <c r="H3210" s="913" t="s">
        <v>2014</v>
      </c>
      <c r="I3210" s="253">
        <v>207</v>
      </c>
      <c r="J3210" s="253">
        <v>12686.833353250515</v>
      </c>
      <c r="K3210" s="904">
        <f t="shared" si="56"/>
        <v>2626175</v>
      </c>
      <c r="L3210" s="869" t="s">
        <v>167</v>
      </c>
      <c r="M3210" s="869" t="s">
        <v>165</v>
      </c>
      <c r="N3210" s="52" t="str">
        <f>IF(AND('331-CT'!$E$7=TH!H3210,OR(L3210="331",M3210="331")),"331",IF(AND(OR(L3210="131",M3210="131"),H3210='131-CT'!$E$7),"131",""))</f>
        <v/>
      </c>
      <c r="O3210" s="86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799"/>
    </row>
    <row r="3211" spans="1:27" s="210" customFormat="1" ht="15.75" customHeight="1">
      <c r="A3211" s="203" t="str">
        <f>IF(B3211&lt;&gt;"",IF(AND(B3211&gt;=_TM1,B3211&lt;=_TM2,OR(TH!L3211="1111",TH!M3211="1111")),TH!D3211,""),"")</f>
        <v/>
      </c>
      <c r="B3211" s="36">
        <f t="shared" si="54"/>
        <v>7</v>
      </c>
      <c r="C3211" s="899">
        <f t="shared" si="55"/>
        <v>42189</v>
      </c>
      <c r="D3211" s="900" t="s">
        <v>2013</v>
      </c>
      <c r="E3211" s="900">
        <v>42189</v>
      </c>
      <c r="F3211" s="907" t="s">
        <v>830</v>
      </c>
      <c r="G3211" s="902" t="s">
        <v>886</v>
      </c>
      <c r="H3211" s="913" t="s">
        <v>2014</v>
      </c>
      <c r="I3211" s="253">
        <v>50</v>
      </c>
      <c r="J3211" s="253">
        <v>11402.090735199828</v>
      </c>
      <c r="K3211" s="904">
        <f t="shared" si="56"/>
        <v>570105</v>
      </c>
      <c r="L3211" s="869" t="s">
        <v>167</v>
      </c>
      <c r="M3211" s="869" t="s">
        <v>165</v>
      </c>
      <c r="N3211" s="52" t="str">
        <f>IF(AND('331-CT'!$E$7=TH!H3211,OR(L3211="331",M3211="331")),"331",IF(AND(OR(L3211="131",M3211="131"),H3211='131-CT'!$E$7),"131",""))</f>
        <v/>
      </c>
      <c r="O3211" s="86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799"/>
    </row>
    <row r="3212" spans="1:27" s="210" customFormat="1" ht="15.75" customHeight="1">
      <c r="A3212" s="203" t="str">
        <f>IF(B3212&lt;&gt;"",IF(AND(B3212&gt;=_TM1,B3212&lt;=_TM2,OR(TH!L3212="1111",TH!M3212="1111")),TH!D3212,""),"")</f>
        <v/>
      </c>
      <c r="B3212" s="36">
        <f t="shared" si="54"/>
        <v>7</v>
      </c>
      <c r="C3212" s="899">
        <f t="shared" si="55"/>
        <v>42192</v>
      </c>
      <c r="D3212" s="900" t="s">
        <v>2013</v>
      </c>
      <c r="E3212" s="900">
        <v>42192</v>
      </c>
      <c r="F3212" s="907" t="s">
        <v>887</v>
      </c>
      <c r="G3212" s="902" t="s">
        <v>888</v>
      </c>
      <c r="H3212" s="913" t="s">
        <v>2014</v>
      </c>
      <c r="I3212" s="253">
        <v>380</v>
      </c>
      <c r="J3212" s="253">
        <v>4014.8206814083906</v>
      </c>
      <c r="K3212" s="904">
        <f t="shared" si="56"/>
        <v>1525632</v>
      </c>
      <c r="L3212" s="869" t="s">
        <v>167</v>
      </c>
      <c r="M3212" s="869" t="s">
        <v>165</v>
      </c>
      <c r="N3212" s="52" t="str">
        <f>IF(AND('331-CT'!$E$7=TH!H3212,OR(L3212="331",M3212="331")),"331",IF(AND(OR(L3212="131",M3212="131"),H3212='131-CT'!$E$7),"131",""))</f>
        <v/>
      </c>
      <c r="O3212" s="86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799"/>
    </row>
    <row r="3213" spans="1:27" s="210" customFormat="1" ht="15.75" customHeight="1">
      <c r="A3213" s="203" t="str">
        <f>IF(B3213&lt;&gt;"",IF(AND(B3213&gt;=_TM1,B3213&lt;=_TM2,OR(TH!L3213="1111",TH!M3213="1111")),TH!D3213,""),"")</f>
        <v/>
      </c>
      <c r="B3213" s="36">
        <f t="shared" si="54"/>
        <v>7</v>
      </c>
      <c r="C3213" s="899">
        <f t="shared" si="55"/>
        <v>42193</v>
      </c>
      <c r="D3213" s="900" t="s">
        <v>2013</v>
      </c>
      <c r="E3213" s="900">
        <v>42193</v>
      </c>
      <c r="F3213" s="907" t="s">
        <v>1673</v>
      </c>
      <c r="G3213" s="902" t="s">
        <v>889</v>
      </c>
      <c r="H3213" s="913" t="s">
        <v>2014</v>
      </c>
      <c r="I3213" s="253">
        <v>100</v>
      </c>
      <c r="J3213" s="253">
        <v>4817.7848176900688</v>
      </c>
      <c r="K3213" s="904">
        <f t="shared" si="56"/>
        <v>481778</v>
      </c>
      <c r="L3213" s="869" t="s">
        <v>167</v>
      </c>
      <c r="M3213" s="869" t="s">
        <v>165</v>
      </c>
      <c r="N3213" s="52" t="str">
        <f>IF(AND('331-CT'!$E$7=TH!H3213,OR(L3213="331",M3213="331")),"331",IF(AND(OR(L3213="131",M3213="131"),H3213='131-CT'!$E$7),"131",""))</f>
        <v/>
      </c>
      <c r="O3213" s="86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799"/>
    </row>
    <row r="3214" spans="1:27" s="210" customFormat="1" ht="15.75" customHeight="1">
      <c r="A3214" s="203" t="str">
        <f>IF(B3214&lt;&gt;"",IF(AND(B3214&gt;=_TM1,B3214&lt;=_TM2,OR(TH!L3214="1111",TH!M3214="1111")),TH!D3214,""),"")</f>
        <v/>
      </c>
      <c r="B3214" s="36">
        <f t="shared" si="54"/>
        <v>7</v>
      </c>
      <c r="C3214" s="899">
        <f t="shared" si="55"/>
        <v>42195</v>
      </c>
      <c r="D3214" s="900" t="s">
        <v>2013</v>
      </c>
      <c r="E3214" s="900">
        <v>42195</v>
      </c>
      <c r="F3214" s="907" t="s">
        <v>494</v>
      </c>
      <c r="G3214" s="902" t="s">
        <v>890</v>
      </c>
      <c r="H3214" s="913" t="s">
        <v>2014</v>
      </c>
      <c r="I3214" s="253">
        <v>1194</v>
      </c>
      <c r="J3214" s="253">
        <v>5460.1561267154111</v>
      </c>
      <c r="K3214" s="904">
        <f t="shared" si="56"/>
        <v>6519426</v>
      </c>
      <c r="L3214" s="869" t="s">
        <v>167</v>
      </c>
      <c r="M3214" s="869" t="s">
        <v>165</v>
      </c>
      <c r="N3214" s="52" t="str">
        <f>IF(AND('331-CT'!$E$7=TH!H3214,OR(L3214="331",M3214="331")),"331",IF(AND(OR(L3214="131",M3214="131"),H3214='131-CT'!$E$7),"131",""))</f>
        <v/>
      </c>
      <c r="O3214" s="86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799"/>
    </row>
    <row r="3215" spans="1:27" s="210" customFormat="1" ht="15.75" customHeight="1">
      <c r="A3215" s="203" t="str">
        <f>IF(B3215&lt;&gt;"",IF(AND(B3215&gt;=_TM1,B3215&lt;=_TM2,OR(TH!L3215="1111",TH!M3215="1111")),TH!D3215,""),"")</f>
        <v/>
      </c>
      <c r="B3215" s="36">
        <f t="shared" si="54"/>
        <v>7</v>
      </c>
      <c r="C3215" s="899">
        <f t="shared" si="55"/>
        <v>42195</v>
      </c>
      <c r="D3215" s="900" t="s">
        <v>2013</v>
      </c>
      <c r="E3215" s="900">
        <v>42195</v>
      </c>
      <c r="F3215" s="907" t="s">
        <v>678</v>
      </c>
      <c r="G3215" s="902" t="s">
        <v>891</v>
      </c>
      <c r="H3215" s="913" t="s">
        <v>2014</v>
      </c>
      <c r="I3215" s="253">
        <v>261</v>
      </c>
      <c r="J3215" s="253">
        <v>5861.6381948562503</v>
      </c>
      <c r="K3215" s="904">
        <f t="shared" si="56"/>
        <v>1529888</v>
      </c>
      <c r="L3215" s="869" t="s">
        <v>167</v>
      </c>
      <c r="M3215" s="869" t="s">
        <v>165</v>
      </c>
      <c r="N3215" s="52" t="str">
        <f>IF(AND('331-CT'!$E$7=TH!H3215,OR(L3215="331",M3215="331")),"331",IF(AND(OR(L3215="131",M3215="131"),H3215='131-CT'!$E$7),"131",""))</f>
        <v/>
      </c>
      <c r="O3215" s="86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799"/>
    </row>
    <row r="3216" spans="1:27" s="210" customFormat="1" ht="15.75" customHeight="1">
      <c r="A3216" s="203" t="str">
        <f>IF(B3216&lt;&gt;"",IF(AND(B3216&gt;=_TM1,B3216&lt;=_TM2,OR(TH!L3216="1111",TH!M3216="1111")),TH!D3216,""),"")</f>
        <v/>
      </c>
      <c r="B3216" s="36">
        <f t="shared" si="54"/>
        <v>7</v>
      </c>
      <c r="C3216" s="899">
        <f t="shared" si="55"/>
        <v>42195</v>
      </c>
      <c r="D3216" s="900" t="s">
        <v>2013</v>
      </c>
      <c r="E3216" s="900">
        <v>42195</v>
      </c>
      <c r="F3216" s="907" t="s">
        <v>892</v>
      </c>
      <c r="G3216" s="902" t="s">
        <v>893</v>
      </c>
      <c r="H3216" s="913" t="s">
        <v>2014</v>
      </c>
      <c r="I3216" s="253">
        <v>303</v>
      </c>
      <c r="J3216" s="253">
        <v>4978.377644946404</v>
      </c>
      <c r="K3216" s="904">
        <f t="shared" si="56"/>
        <v>1508448</v>
      </c>
      <c r="L3216" s="869" t="s">
        <v>167</v>
      </c>
      <c r="M3216" s="869" t="s">
        <v>165</v>
      </c>
      <c r="N3216" s="52" t="str">
        <f>IF(AND('331-CT'!$E$7=TH!H3216,OR(L3216="331",M3216="331")),"331",IF(AND(OR(L3216="131",M3216="131"),H3216='131-CT'!$E$7),"131",""))</f>
        <v/>
      </c>
      <c r="O3216" s="86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799"/>
    </row>
    <row r="3217" spans="1:27" s="210" customFormat="1" ht="15.75" customHeight="1">
      <c r="A3217" s="203" t="str">
        <f>IF(B3217&lt;&gt;"",IF(AND(B3217&gt;=_TM1,B3217&lt;=_TM2,OR(TH!L3217="1111",TH!M3217="1111")),TH!D3217,""),"")</f>
        <v/>
      </c>
      <c r="B3217" s="36">
        <f t="shared" si="54"/>
        <v>7</v>
      </c>
      <c r="C3217" s="899">
        <f t="shared" si="55"/>
        <v>42195</v>
      </c>
      <c r="D3217" s="900" t="s">
        <v>2013</v>
      </c>
      <c r="E3217" s="900">
        <v>42195</v>
      </c>
      <c r="F3217" s="907" t="s">
        <v>522</v>
      </c>
      <c r="G3217" s="902" t="s">
        <v>894</v>
      </c>
      <c r="H3217" s="913" t="s">
        <v>2014</v>
      </c>
      <c r="I3217" s="253">
        <v>532</v>
      </c>
      <c r="J3217" s="253">
        <v>4336.0063359210617</v>
      </c>
      <c r="K3217" s="904">
        <f t="shared" si="56"/>
        <v>2306755</v>
      </c>
      <c r="L3217" s="869" t="s">
        <v>167</v>
      </c>
      <c r="M3217" s="869" t="s">
        <v>165</v>
      </c>
      <c r="N3217" s="52" t="str">
        <f>IF(AND('331-CT'!$E$7=TH!H3217,OR(L3217="331",M3217="331")),"331",IF(AND(OR(L3217="131",M3217="131"),H3217='131-CT'!$E$7),"131",""))</f>
        <v/>
      </c>
      <c r="O3217" s="86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799"/>
    </row>
    <row r="3218" spans="1:27" s="210" customFormat="1" ht="15.75" customHeight="1">
      <c r="A3218" s="203" t="str">
        <f>IF(B3218&lt;&gt;"",IF(AND(B3218&gt;=_TM1,B3218&lt;=_TM2,OR(TH!L3218="1111",TH!M3218="1111")),TH!D3218,""),"")</f>
        <v/>
      </c>
      <c r="B3218" s="36">
        <f t="shared" si="54"/>
        <v>7</v>
      </c>
      <c r="C3218" s="899">
        <f t="shared" si="55"/>
        <v>42195</v>
      </c>
      <c r="D3218" s="900" t="s">
        <v>2013</v>
      </c>
      <c r="E3218" s="900">
        <v>42195</v>
      </c>
      <c r="F3218" s="907" t="s">
        <v>895</v>
      </c>
      <c r="G3218" s="902" t="s">
        <v>894</v>
      </c>
      <c r="H3218" s="913" t="s">
        <v>2014</v>
      </c>
      <c r="I3218" s="253">
        <v>161</v>
      </c>
      <c r="J3218" s="253">
        <v>6102.5274357407534</v>
      </c>
      <c r="K3218" s="904">
        <f t="shared" si="56"/>
        <v>982507</v>
      </c>
      <c r="L3218" s="869" t="s">
        <v>167</v>
      </c>
      <c r="M3218" s="869" t="s">
        <v>165</v>
      </c>
      <c r="N3218" s="52" t="str">
        <f>IF(AND('331-CT'!$E$7=TH!H3218,OR(L3218="331",M3218="331")),"331",IF(AND(OR(L3218="131",M3218="131"),H3218='131-CT'!$E$7),"131",""))</f>
        <v/>
      </c>
      <c r="O3218" s="86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799"/>
    </row>
    <row r="3219" spans="1:27" s="210" customFormat="1" ht="15.75" customHeight="1">
      <c r="A3219" s="203" t="str">
        <f>IF(B3219&lt;&gt;"",IF(AND(B3219&gt;=_TM1,B3219&lt;=_TM2,OR(TH!L3219="1111",TH!M3219="1111")),TH!D3219,""),"")</f>
        <v/>
      </c>
      <c r="B3219" s="36">
        <f t="shared" si="54"/>
        <v>7</v>
      </c>
      <c r="C3219" s="899">
        <f t="shared" si="55"/>
        <v>42195</v>
      </c>
      <c r="D3219" s="900" t="s">
        <v>2013</v>
      </c>
      <c r="E3219" s="900">
        <v>42195</v>
      </c>
      <c r="F3219" s="907" t="s">
        <v>896</v>
      </c>
      <c r="G3219" s="902" t="s">
        <v>894</v>
      </c>
      <c r="H3219" s="913" t="s">
        <v>2014</v>
      </c>
      <c r="I3219" s="253">
        <v>150</v>
      </c>
      <c r="J3219" s="253">
        <v>6504.0095038815934</v>
      </c>
      <c r="K3219" s="904">
        <f t="shared" si="56"/>
        <v>975601</v>
      </c>
      <c r="L3219" s="869" t="s">
        <v>167</v>
      </c>
      <c r="M3219" s="869" t="s">
        <v>165</v>
      </c>
      <c r="N3219" s="52" t="str">
        <f>IF(AND('331-CT'!$E$7=TH!H3219,OR(L3219="331",M3219="331")),"331",IF(AND(OR(L3219="131",M3219="131"),H3219='131-CT'!$E$7),"131",""))</f>
        <v/>
      </c>
      <c r="O3219" s="86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799"/>
    </row>
    <row r="3220" spans="1:27" s="210" customFormat="1" ht="15.75" customHeight="1">
      <c r="A3220" s="203" t="str">
        <f>IF(B3220&lt;&gt;"",IF(AND(B3220&gt;=_TM1,B3220&lt;=_TM2,OR(TH!L3220="1111",TH!M3220="1111")),TH!D3220,""),"")</f>
        <v/>
      </c>
      <c r="B3220" s="36">
        <f t="shared" si="54"/>
        <v>7</v>
      </c>
      <c r="C3220" s="899">
        <f t="shared" si="55"/>
        <v>42199</v>
      </c>
      <c r="D3220" s="900" t="s">
        <v>2013</v>
      </c>
      <c r="E3220" s="900">
        <v>42199</v>
      </c>
      <c r="F3220" s="907" t="s">
        <v>897</v>
      </c>
      <c r="G3220" s="902" t="s">
        <v>898</v>
      </c>
      <c r="H3220" s="913" t="s">
        <v>2014</v>
      </c>
      <c r="I3220" s="253">
        <v>2020</v>
      </c>
      <c r="J3220" s="253">
        <v>5941.9346084844183</v>
      </c>
      <c r="K3220" s="904">
        <f t="shared" si="56"/>
        <v>12002708</v>
      </c>
      <c r="L3220" s="869" t="s">
        <v>167</v>
      </c>
      <c r="M3220" s="869" t="s">
        <v>165</v>
      </c>
      <c r="N3220" s="52" t="str">
        <f>IF(AND('331-CT'!$E$7=TH!H3220,OR(L3220="331",M3220="331")),"331",IF(AND(OR(L3220="131",M3220="131"),H3220='131-CT'!$E$7),"131",""))</f>
        <v/>
      </c>
      <c r="O3220" s="86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799"/>
    </row>
    <row r="3221" spans="1:27" s="210" customFormat="1" ht="15.75" customHeight="1">
      <c r="A3221" s="203" t="str">
        <f>IF(B3221&lt;&gt;"",IF(AND(B3221&gt;=_TM1,B3221&lt;=_TM2,OR(TH!L3221="1111",TH!M3221="1111")),TH!D3221,""),"")</f>
        <v/>
      </c>
      <c r="B3221" s="36">
        <f t="shared" si="54"/>
        <v>7</v>
      </c>
      <c r="C3221" s="899">
        <f t="shared" si="55"/>
        <v>42199</v>
      </c>
      <c r="D3221" s="900" t="s">
        <v>2013</v>
      </c>
      <c r="E3221" s="900">
        <v>42199</v>
      </c>
      <c r="F3221" s="907" t="s">
        <v>522</v>
      </c>
      <c r="G3221" s="902" t="s">
        <v>899</v>
      </c>
      <c r="H3221" s="913" t="s">
        <v>2014</v>
      </c>
      <c r="I3221" s="253">
        <v>532</v>
      </c>
      <c r="J3221" s="253">
        <v>4336.0063359210617</v>
      </c>
      <c r="K3221" s="904">
        <f t="shared" si="56"/>
        <v>2306755</v>
      </c>
      <c r="L3221" s="869" t="s">
        <v>167</v>
      </c>
      <c r="M3221" s="869" t="s">
        <v>165</v>
      </c>
      <c r="N3221" s="52" t="str">
        <f>IF(AND('331-CT'!$E$7=TH!H3221,OR(L3221="331",M3221="331")),"331",IF(AND(OR(L3221="131",M3221="131"),H3221='131-CT'!$E$7),"131",""))</f>
        <v/>
      </c>
      <c r="O3221" s="86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799"/>
    </row>
    <row r="3222" spans="1:27" s="210" customFormat="1" ht="15.75" customHeight="1">
      <c r="A3222" s="203" t="str">
        <f>IF(B3222&lt;&gt;"",IF(AND(B3222&gt;=_TM1,B3222&lt;=_TM2,OR(TH!L3222="1111",TH!M3222="1111")),TH!D3222,""),"")</f>
        <v/>
      </c>
      <c r="B3222" s="36">
        <f t="shared" si="54"/>
        <v>7</v>
      </c>
      <c r="C3222" s="899">
        <f t="shared" si="55"/>
        <v>42200</v>
      </c>
      <c r="D3222" s="900" t="s">
        <v>2013</v>
      </c>
      <c r="E3222" s="900">
        <v>42200</v>
      </c>
      <c r="F3222" s="907" t="s">
        <v>711</v>
      </c>
      <c r="G3222" s="902" t="s">
        <v>900</v>
      </c>
      <c r="H3222" s="913" t="s">
        <v>2014</v>
      </c>
      <c r="I3222" s="253">
        <v>156</v>
      </c>
      <c r="J3222" s="253">
        <v>11241.497907943492</v>
      </c>
      <c r="K3222" s="904">
        <f t="shared" si="56"/>
        <v>1753674</v>
      </c>
      <c r="L3222" s="869" t="s">
        <v>167</v>
      </c>
      <c r="M3222" s="869" t="s">
        <v>165</v>
      </c>
      <c r="N3222" s="52" t="str">
        <f>IF(AND('331-CT'!$E$7=TH!H3222,OR(L3222="331",M3222="331")),"331",IF(AND(OR(L3222="131",M3222="131"),H3222='131-CT'!$E$7),"131",""))</f>
        <v/>
      </c>
      <c r="O3222" s="86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799"/>
    </row>
    <row r="3223" spans="1:27" s="210" customFormat="1" ht="15.75" customHeight="1">
      <c r="A3223" s="203" t="str">
        <f>IF(B3223&lt;&gt;"",IF(AND(B3223&gt;=_TM1,B3223&lt;=_TM2,OR(TH!L3223="1111",TH!M3223="1111")),TH!D3223,""),"")</f>
        <v/>
      </c>
      <c r="B3223" s="36">
        <f t="shared" si="54"/>
        <v>7</v>
      </c>
      <c r="C3223" s="899">
        <f t="shared" si="55"/>
        <v>42200</v>
      </c>
      <c r="D3223" s="900" t="s">
        <v>2013</v>
      </c>
      <c r="E3223" s="900">
        <v>42200</v>
      </c>
      <c r="F3223" s="907" t="s">
        <v>494</v>
      </c>
      <c r="G3223" s="902" t="s">
        <v>901</v>
      </c>
      <c r="H3223" s="913" t="s">
        <v>2014</v>
      </c>
      <c r="I3223" s="253">
        <v>1225</v>
      </c>
      <c r="J3223" s="253">
        <v>5460.1561267154111</v>
      </c>
      <c r="K3223" s="904">
        <f t="shared" si="56"/>
        <v>6688691</v>
      </c>
      <c r="L3223" s="869" t="s">
        <v>167</v>
      </c>
      <c r="M3223" s="869" t="s">
        <v>165</v>
      </c>
      <c r="N3223" s="52" t="str">
        <f>IF(AND('331-CT'!$E$7=TH!H3223,OR(L3223="331",M3223="331")),"331",IF(AND(OR(L3223="131",M3223="131"),H3223='131-CT'!$E$7),"131",""))</f>
        <v/>
      </c>
      <c r="O3223" s="86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799"/>
    </row>
    <row r="3224" spans="1:27" s="210" customFormat="1" ht="15.75" customHeight="1">
      <c r="A3224" s="203" t="str">
        <f>IF(B3224&lt;&gt;"",IF(AND(B3224&gt;=_TM1,B3224&lt;=_TM2,OR(TH!L3224="1111",TH!M3224="1111")),TH!D3224,""),"")</f>
        <v/>
      </c>
      <c r="B3224" s="36">
        <f t="shared" si="54"/>
        <v>7</v>
      </c>
      <c r="C3224" s="899">
        <f t="shared" si="55"/>
        <v>42200</v>
      </c>
      <c r="D3224" s="900" t="s">
        <v>2013</v>
      </c>
      <c r="E3224" s="900">
        <v>42200</v>
      </c>
      <c r="F3224" s="907" t="s">
        <v>474</v>
      </c>
      <c r="G3224" s="902" t="s">
        <v>902</v>
      </c>
      <c r="H3224" s="913" t="s">
        <v>2014</v>
      </c>
      <c r="I3224" s="253">
        <v>342</v>
      </c>
      <c r="J3224" s="253">
        <v>9715.8660490083057</v>
      </c>
      <c r="K3224" s="904">
        <f t="shared" si="56"/>
        <v>3322826</v>
      </c>
      <c r="L3224" s="869" t="s">
        <v>167</v>
      </c>
      <c r="M3224" s="869" t="s">
        <v>165</v>
      </c>
      <c r="N3224" s="52" t="str">
        <f>IF(AND('331-CT'!$E$7=TH!H3224,OR(L3224="331",M3224="331")),"331",IF(AND(OR(L3224="131",M3224="131"),H3224='131-CT'!$E$7),"131",""))</f>
        <v/>
      </c>
      <c r="O3224" s="86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799"/>
    </row>
    <row r="3225" spans="1:27" s="210" customFormat="1" ht="15.75" customHeight="1">
      <c r="A3225" s="203" t="str">
        <f>IF(B3225&lt;&gt;"",IF(AND(B3225&gt;=_TM1,B3225&lt;=_TM2,OR(TH!L3225="1111",TH!M3225="1111")),TH!D3225,""),"")</f>
        <v/>
      </c>
      <c r="B3225" s="36">
        <f t="shared" si="54"/>
        <v>7</v>
      </c>
      <c r="C3225" s="899">
        <f t="shared" si="55"/>
        <v>42200</v>
      </c>
      <c r="D3225" s="900" t="s">
        <v>2013</v>
      </c>
      <c r="E3225" s="900">
        <v>42200</v>
      </c>
      <c r="F3225" s="907" t="s">
        <v>903</v>
      </c>
      <c r="G3225" s="902" t="s">
        <v>904</v>
      </c>
      <c r="H3225" s="913" t="s">
        <v>2014</v>
      </c>
      <c r="I3225" s="253">
        <v>300</v>
      </c>
      <c r="J3225" s="253">
        <v>33242.715242061473</v>
      </c>
      <c r="K3225" s="904">
        <f t="shared" si="56"/>
        <v>9972815</v>
      </c>
      <c r="L3225" s="869" t="s">
        <v>167</v>
      </c>
      <c r="M3225" s="869" t="s">
        <v>165</v>
      </c>
      <c r="N3225" s="52" t="str">
        <f>IF(AND('331-CT'!$E$7=TH!H3225,OR(L3225="331",M3225="331")),"331",IF(AND(OR(L3225="131",M3225="131"),H3225='131-CT'!$E$7),"131",""))</f>
        <v/>
      </c>
      <c r="O3225" s="86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799"/>
    </row>
    <row r="3226" spans="1:27" s="210" customFormat="1" ht="15.75" customHeight="1">
      <c r="A3226" s="203" t="str">
        <f>IF(B3226&lt;&gt;"",IF(AND(B3226&gt;=_TM1,B3226&lt;=_TM2,OR(TH!L3226="1111",TH!M3226="1111")),TH!D3226,""),"")</f>
        <v/>
      </c>
      <c r="B3226" s="36">
        <f t="shared" si="54"/>
        <v>7</v>
      </c>
      <c r="C3226" s="899">
        <f t="shared" si="55"/>
        <v>42200</v>
      </c>
      <c r="D3226" s="900" t="s">
        <v>2013</v>
      </c>
      <c r="E3226" s="900">
        <v>42200</v>
      </c>
      <c r="F3226" s="907" t="s">
        <v>728</v>
      </c>
      <c r="G3226" s="902" t="s">
        <v>905</v>
      </c>
      <c r="H3226" s="913" t="s">
        <v>2014</v>
      </c>
      <c r="I3226" s="253">
        <v>200</v>
      </c>
      <c r="J3226" s="253">
        <v>13650.390316788527</v>
      </c>
      <c r="K3226" s="904">
        <f t="shared" si="56"/>
        <v>2730078</v>
      </c>
      <c r="L3226" s="869" t="s">
        <v>167</v>
      </c>
      <c r="M3226" s="869" t="s">
        <v>165</v>
      </c>
      <c r="N3226" s="52" t="str">
        <f>IF(AND('331-CT'!$E$7=TH!H3226,OR(L3226="331",M3226="331")),"331",IF(AND(OR(L3226="131",M3226="131"),H3226='131-CT'!$E$7),"131",""))</f>
        <v/>
      </c>
      <c r="O3226" s="86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799"/>
    </row>
    <row r="3227" spans="1:27" s="210" customFormat="1" ht="15.75" customHeight="1">
      <c r="A3227" s="203" t="str">
        <f>IF(B3227&lt;&gt;"",IF(AND(B3227&gt;=_TM1,B3227&lt;=_TM2,OR(TH!L3227="1111",TH!M3227="1111")),TH!D3227,""),"")</f>
        <v/>
      </c>
      <c r="B3227" s="36">
        <f t="shared" si="54"/>
        <v>7</v>
      </c>
      <c r="C3227" s="899">
        <f t="shared" si="55"/>
        <v>42200</v>
      </c>
      <c r="D3227" s="900" t="s">
        <v>2013</v>
      </c>
      <c r="E3227" s="900">
        <v>42200</v>
      </c>
      <c r="F3227" s="907" t="s">
        <v>1751</v>
      </c>
      <c r="G3227" s="902" t="s">
        <v>905</v>
      </c>
      <c r="H3227" s="913" t="s">
        <v>2014</v>
      </c>
      <c r="I3227" s="253">
        <v>150</v>
      </c>
      <c r="J3227" s="253">
        <v>12927.722594135019</v>
      </c>
      <c r="K3227" s="904">
        <f t="shared" si="56"/>
        <v>1939158</v>
      </c>
      <c r="L3227" s="869" t="s">
        <v>167</v>
      </c>
      <c r="M3227" s="869" t="s">
        <v>165</v>
      </c>
      <c r="N3227" s="52" t="str">
        <f>IF(AND('331-CT'!$E$7=TH!H3227,OR(L3227="331",M3227="331")),"331",IF(AND(OR(L3227="131",M3227="131"),H3227='131-CT'!$E$7),"131",""))</f>
        <v/>
      </c>
      <c r="O3227" s="86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799"/>
    </row>
    <row r="3228" spans="1:27" s="210" customFormat="1" ht="15.75" customHeight="1">
      <c r="A3228" s="203" t="str">
        <f>IF(B3228&lt;&gt;"",IF(AND(B3228&gt;=_TM1,B3228&lt;=_TM2,OR(TH!L3228="1111",TH!M3228="1111")),TH!D3228,""),"")</f>
        <v/>
      </c>
      <c r="B3228" s="36">
        <f t="shared" si="54"/>
        <v>7</v>
      </c>
      <c r="C3228" s="899">
        <f t="shared" si="55"/>
        <v>42200</v>
      </c>
      <c r="D3228" s="900" t="s">
        <v>2013</v>
      </c>
      <c r="E3228" s="900">
        <v>42200</v>
      </c>
      <c r="F3228" s="907" t="s">
        <v>1752</v>
      </c>
      <c r="G3228" s="902" t="s">
        <v>905</v>
      </c>
      <c r="H3228" s="913" t="s">
        <v>2014</v>
      </c>
      <c r="I3228" s="253">
        <v>75</v>
      </c>
      <c r="J3228" s="253">
        <v>12686.833353250515</v>
      </c>
      <c r="K3228" s="904">
        <f t="shared" si="56"/>
        <v>951513</v>
      </c>
      <c r="L3228" s="869" t="s">
        <v>167</v>
      </c>
      <c r="M3228" s="869" t="s">
        <v>165</v>
      </c>
      <c r="N3228" s="52" t="str">
        <f>IF(AND('331-CT'!$E$7=TH!H3228,OR(L3228="331",M3228="331")),"331",IF(AND(OR(L3228="131",M3228="131"),H3228='131-CT'!$E$7),"131",""))</f>
        <v/>
      </c>
      <c r="O3228" s="86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799"/>
    </row>
    <row r="3229" spans="1:27" s="210" customFormat="1" ht="15.75" customHeight="1">
      <c r="A3229" s="203" t="str">
        <f>IF(B3229&lt;&gt;"",IF(AND(B3229&gt;=_TM1,B3229&lt;=_TM2,OR(TH!L3229="1111",TH!M3229="1111")),TH!D3229,""),"")</f>
        <v/>
      </c>
      <c r="B3229" s="36">
        <f t="shared" si="54"/>
        <v>7</v>
      </c>
      <c r="C3229" s="899">
        <f t="shared" si="55"/>
        <v>42200</v>
      </c>
      <c r="D3229" s="900" t="s">
        <v>2013</v>
      </c>
      <c r="E3229" s="900">
        <v>42200</v>
      </c>
      <c r="F3229" s="907" t="s">
        <v>1704</v>
      </c>
      <c r="G3229" s="902" t="s">
        <v>905</v>
      </c>
      <c r="H3229" s="913" t="s">
        <v>2014</v>
      </c>
      <c r="I3229" s="253">
        <v>25</v>
      </c>
      <c r="J3229" s="253">
        <v>13329.204662275855</v>
      </c>
      <c r="K3229" s="904">
        <f t="shared" si="56"/>
        <v>333230</v>
      </c>
      <c r="L3229" s="869" t="s">
        <v>167</v>
      </c>
      <c r="M3229" s="869" t="s">
        <v>165</v>
      </c>
      <c r="N3229" s="52" t="str">
        <f>IF(AND('331-CT'!$E$7=TH!H3229,OR(L3229="331",M3229="331")),"331",IF(AND(OR(L3229="131",M3229="131"),H3229='131-CT'!$E$7),"131",""))</f>
        <v/>
      </c>
      <c r="O3229" s="86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799"/>
    </row>
    <row r="3230" spans="1:27" s="210" customFormat="1" ht="15.75" customHeight="1">
      <c r="A3230" s="203" t="str">
        <f>IF(B3230&lt;&gt;"",IF(AND(B3230&gt;=_TM1,B3230&lt;=_TM2,OR(TH!L3230="1111",TH!M3230="1111")),TH!D3230,""),"")</f>
        <v/>
      </c>
      <c r="B3230" s="36">
        <f t="shared" si="54"/>
        <v>7</v>
      </c>
      <c r="C3230" s="899">
        <f t="shared" si="55"/>
        <v>42200</v>
      </c>
      <c r="D3230" s="900" t="s">
        <v>2013</v>
      </c>
      <c r="E3230" s="900">
        <v>42200</v>
      </c>
      <c r="F3230" s="907" t="s">
        <v>668</v>
      </c>
      <c r="G3230" s="902" t="s">
        <v>905</v>
      </c>
      <c r="H3230" s="913" t="s">
        <v>2014</v>
      </c>
      <c r="I3230" s="253">
        <v>25</v>
      </c>
      <c r="J3230" s="253">
        <v>17906.100239081421</v>
      </c>
      <c r="K3230" s="904">
        <f t="shared" si="56"/>
        <v>447653</v>
      </c>
      <c r="L3230" s="869" t="s">
        <v>167</v>
      </c>
      <c r="M3230" s="869" t="s">
        <v>165</v>
      </c>
      <c r="N3230" s="52" t="str">
        <f>IF(AND('331-CT'!$E$7=TH!H3230,OR(L3230="331",M3230="331")),"331",IF(AND(OR(L3230="131",M3230="131"),H3230='131-CT'!$E$7),"131",""))</f>
        <v/>
      </c>
      <c r="O3230" s="86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799"/>
    </row>
    <row r="3231" spans="1:27" s="210" customFormat="1" ht="15.75" customHeight="1">
      <c r="A3231" s="203" t="str">
        <f>IF(B3231&lt;&gt;"",IF(AND(B3231&gt;=_TM1,B3231&lt;=_TM2,OR(TH!L3231="1111",TH!M3231="1111")),TH!D3231,""),"")</f>
        <v/>
      </c>
      <c r="B3231" s="36">
        <f t="shared" si="54"/>
        <v>7</v>
      </c>
      <c r="C3231" s="899">
        <f t="shared" si="55"/>
        <v>42200</v>
      </c>
      <c r="D3231" s="900" t="s">
        <v>2013</v>
      </c>
      <c r="E3231" s="900">
        <v>42200</v>
      </c>
      <c r="F3231" s="907" t="s">
        <v>1753</v>
      </c>
      <c r="G3231" s="902" t="s">
        <v>905</v>
      </c>
      <c r="H3231" s="913" t="s">
        <v>2014</v>
      </c>
      <c r="I3231" s="253">
        <v>50</v>
      </c>
      <c r="J3231" s="253">
        <v>14694.24369395471</v>
      </c>
      <c r="K3231" s="904">
        <f t="shared" si="56"/>
        <v>734712</v>
      </c>
      <c r="L3231" s="869" t="s">
        <v>167</v>
      </c>
      <c r="M3231" s="869" t="s">
        <v>165</v>
      </c>
      <c r="N3231" s="52" t="str">
        <f>IF(AND('331-CT'!$E$7=TH!H3231,OR(L3231="331",M3231="331")),"331",IF(AND(OR(L3231="131",M3231="131"),H3231='131-CT'!$E$7),"131",""))</f>
        <v/>
      </c>
      <c r="O3231" s="86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799"/>
    </row>
    <row r="3232" spans="1:27" s="210" customFormat="1" ht="15.75" customHeight="1">
      <c r="A3232" s="203" t="str">
        <f>IF(B3232&lt;&gt;"",IF(AND(B3232&gt;=_TM1,B3232&lt;=_TM2,OR(TH!L3232="1111",TH!M3232="1111")),TH!D3232,""),"")</f>
        <v/>
      </c>
      <c r="B3232" s="36">
        <f t="shared" si="54"/>
        <v>7</v>
      </c>
      <c r="C3232" s="899">
        <f t="shared" si="55"/>
        <v>42200</v>
      </c>
      <c r="D3232" s="900" t="s">
        <v>2013</v>
      </c>
      <c r="E3232" s="900">
        <v>42200</v>
      </c>
      <c r="F3232" s="907" t="s">
        <v>1754</v>
      </c>
      <c r="G3232" s="902" t="s">
        <v>905</v>
      </c>
      <c r="H3232" s="913" t="s">
        <v>2014</v>
      </c>
      <c r="I3232" s="253">
        <v>25</v>
      </c>
      <c r="J3232" s="253">
        <v>18066.693066337757</v>
      </c>
      <c r="K3232" s="904">
        <f t="shared" si="56"/>
        <v>451667</v>
      </c>
      <c r="L3232" s="869" t="s">
        <v>167</v>
      </c>
      <c r="M3232" s="869" t="s">
        <v>165</v>
      </c>
      <c r="N3232" s="52" t="str">
        <f>IF(AND('331-CT'!$E$7=TH!H3232,OR(L3232="331",M3232="331")),"331",IF(AND(OR(L3232="131",M3232="131"),H3232='131-CT'!$E$7),"131",""))</f>
        <v/>
      </c>
      <c r="O3232" s="86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799"/>
    </row>
    <row r="3233" spans="1:27" s="210" customFormat="1" ht="15.75" customHeight="1">
      <c r="A3233" s="203" t="str">
        <f>IF(B3233&lt;&gt;"",IF(AND(B3233&gt;=_TM1,B3233&lt;=_TM2,OR(TH!L3233="1111",TH!M3233="1111")),TH!D3233,""),"")</f>
        <v/>
      </c>
      <c r="B3233" s="36">
        <f t="shared" si="54"/>
        <v>7</v>
      </c>
      <c r="C3233" s="899">
        <f t="shared" si="55"/>
        <v>42200</v>
      </c>
      <c r="D3233" s="900" t="s">
        <v>2013</v>
      </c>
      <c r="E3233" s="900">
        <v>42200</v>
      </c>
      <c r="F3233" s="907" t="s">
        <v>1755</v>
      </c>
      <c r="G3233" s="902" t="s">
        <v>905</v>
      </c>
      <c r="H3233" s="913" t="s">
        <v>2014</v>
      </c>
      <c r="I3233" s="253">
        <v>247</v>
      </c>
      <c r="J3233" s="253">
        <v>12285.351285109675</v>
      </c>
      <c r="K3233" s="904">
        <f t="shared" si="56"/>
        <v>3034482</v>
      </c>
      <c r="L3233" s="869" t="s">
        <v>167</v>
      </c>
      <c r="M3233" s="869" t="s">
        <v>165</v>
      </c>
      <c r="N3233" s="52" t="str">
        <f>IF(AND('331-CT'!$E$7=TH!H3233,OR(L3233="331",M3233="331")),"331",IF(AND(OR(L3233="131",M3233="131"),H3233='131-CT'!$E$7),"131",""))</f>
        <v/>
      </c>
      <c r="O3233" s="86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799"/>
    </row>
    <row r="3234" spans="1:27" s="210" customFormat="1" ht="15.75" customHeight="1">
      <c r="A3234" s="203" t="str">
        <f>IF(B3234&lt;&gt;"",IF(AND(B3234&gt;=_TM1,B3234&lt;=_TM2,OR(TH!L3234="1111",TH!M3234="1111")),TH!D3234,""),"")</f>
        <v/>
      </c>
      <c r="B3234" s="36">
        <f t="shared" si="54"/>
        <v>7</v>
      </c>
      <c r="C3234" s="899">
        <f t="shared" si="55"/>
        <v>42200</v>
      </c>
      <c r="D3234" s="900" t="s">
        <v>2013</v>
      </c>
      <c r="E3234" s="900">
        <v>42200</v>
      </c>
      <c r="F3234" s="907" t="s">
        <v>741</v>
      </c>
      <c r="G3234" s="902" t="s">
        <v>905</v>
      </c>
      <c r="H3234" s="913" t="s">
        <v>2014</v>
      </c>
      <c r="I3234" s="253">
        <v>240</v>
      </c>
      <c r="J3234" s="253">
        <v>7949.3449491886131</v>
      </c>
      <c r="K3234" s="904">
        <f t="shared" si="56"/>
        <v>1907843</v>
      </c>
      <c r="L3234" s="869" t="s">
        <v>167</v>
      </c>
      <c r="M3234" s="869" t="s">
        <v>165</v>
      </c>
      <c r="N3234" s="52" t="str">
        <f>IF(AND('331-CT'!$E$7=TH!H3234,OR(L3234="331",M3234="331")),"331",IF(AND(OR(L3234="131",M3234="131"),H3234='131-CT'!$E$7),"131",""))</f>
        <v/>
      </c>
      <c r="O3234" s="86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799"/>
    </row>
    <row r="3235" spans="1:27" s="210" customFormat="1" ht="15.75" customHeight="1">
      <c r="A3235" s="203" t="str">
        <f>IF(B3235&lt;&gt;"",IF(AND(B3235&gt;=_TM1,B3235&lt;=_TM2,OR(TH!L3235="1111",TH!M3235="1111")),TH!D3235,""),"")</f>
        <v/>
      </c>
      <c r="B3235" s="36">
        <f t="shared" si="54"/>
        <v>7</v>
      </c>
      <c r="C3235" s="899">
        <f t="shared" si="55"/>
        <v>42200</v>
      </c>
      <c r="D3235" s="900" t="s">
        <v>2013</v>
      </c>
      <c r="E3235" s="900">
        <v>42200</v>
      </c>
      <c r="F3235" s="907" t="s">
        <v>687</v>
      </c>
      <c r="G3235" s="902" t="s">
        <v>905</v>
      </c>
      <c r="H3235" s="913" t="s">
        <v>2014</v>
      </c>
      <c r="I3235" s="253">
        <v>280</v>
      </c>
      <c r="J3235" s="253">
        <v>10518.830185289984</v>
      </c>
      <c r="K3235" s="904">
        <f t="shared" si="56"/>
        <v>2945272</v>
      </c>
      <c r="L3235" s="869" t="s">
        <v>167</v>
      </c>
      <c r="M3235" s="869" t="s">
        <v>165</v>
      </c>
      <c r="N3235" s="52" t="str">
        <f>IF(AND('331-CT'!$E$7=TH!H3235,OR(L3235="331",M3235="331")),"331",IF(AND(OR(L3235="131",M3235="131"),H3235='131-CT'!$E$7),"131",""))</f>
        <v/>
      </c>
      <c r="O3235" s="86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799"/>
    </row>
    <row r="3236" spans="1:27" s="210" customFormat="1" ht="15.75" customHeight="1">
      <c r="A3236" s="203" t="str">
        <f>IF(B3236&lt;&gt;"",IF(AND(B3236&gt;=_TM1,B3236&lt;=_TM2,OR(TH!L3236="1111",TH!M3236="1111")),TH!D3236,""),"")</f>
        <v/>
      </c>
      <c r="B3236" s="36">
        <f t="shared" si="54"/>
        <v>7</v>
      </c>
      <c r="C3236" s="899">
        <f t="shared" si="55"/>
        <v>42202</v>
      </c>
      <c r="D3236" s="900" t="s">
        <v>2013</v>
      </c>
      <c r="E3236" s="900">
        <v>42202</v>
      </c>
      <c r="F3236" s="907" t="s">
        <v>906</v>
      </c>
      <c r="G3236" s="902" t="s">
        <v>907</v>
      </c>
      <c r="H3236" s="913" t="s">
        <v>2014</v>
      </c>
      <c r="I3236" s="253">
        <v>250</v>
      </c>
      <c r="J3236" s="253">
        <v>7306.9736401632708</v>
      </c>
      <c r="K3236" s="904">
        <f t="shared" si="56"/>
        <v>1826743</v>
      </c>
      <c r="L3236" s="869" t="s">
        <v>167</v>
      </c>
      <c r="M3236" s="869" t="s">
        <v>165</v>
      </c>
      <c r="N3236" s="52" t="str">
        <f>IF(AND('331-CT'!$E$7=TH!H3236,OR(L3236="331",M3236="331")),"331",IF(AND(OR(L3236="131",M3236="131"),H3236='131-CT'!$E$7),"131",""))</f>
        <v/>
      </c>
      <c r="O3236" s="86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799"/>
    </row>
    <row r="3237" spans="1:27" s="210" customFormat="1" ht="15.75" customHeight="1">
      <c r="A3237" s="203" t="str">
        <f>IF(B3237&lt;&gt;"",IF(AND(B3237&gt;=_TM1,B3237&lt;=_TM2,OR(TH!L3237="1111",TH!M3237="1111")),TH!D3237,""),"")</f>
        <v/>
      </c>
      <c r="B3237" s="36">
        <f t="shared" si="54"/>
        <v>7</v>
      </c>
      <c r="C3237" s="899">
        <f t="shared" si="55"/>
        <v>42202</v>
      </c>
      <c r="D3237" s="900" t="s">
        <v>2013</v>
      </c>
      <c r="E3237" s="900">
        <v>42202</v>
      </c>
      <c r="F3237" s="907" t="s">
        <v>906</v>
      </c>
      <c r="G3237" s="902" t="s">
        <v>907</v>
      </c>
      <c r="H3237" s="913" t="s">
        <v>2014</v>
      </c>
      <c r="I3237" s="253">
        <v>252</v>
      </c>
      <c r="J3237" s="253">
        <v>7306.9736401632708</v>
      </c>
      <c r="K3237" s="904">
        <f t="shared" si="56"/>
        <v>1841357</v>
      </c>
      <c r="L3237" s="869" t="s">
        <v>167</v>
      </c>
      <c r="M3237" s="869" t="s">
        <v>165</v>
      </c>
      <c r="N3237" s="52" t="str">
        <f>IF(AND('331-CT'!$E$7=TH!H3237,OR(L3237="331",M3237="331")),"331",IF(AND(OR(L3237="131",M3237="131"),H3237='131-CT'!$E$7),"131",""))</f>
        <v/>
      </c>
      <c r="O3237" s="86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799"/>
    </row>
    <row r="3238" spans="1:27" s="210" customFormat="1" ht="15.75" customHeight="1">
      <c r="A3238" s="203" t="str">
        <f>IF(B3238&lt;&gt;"",IF(AND(B3238&gt;=_TM1,B3238&lt;=_TM2,OR(TH!L3238="1111",TH!M3238="1111")),TH!D3238,""),"")</f>
        <v/>
      </c>
      <c r="B3238" s="36">
        <f t="shared" si="54"/>
        <v>7</v>
      </c>
      <c r="C3238" s="899">
        <f t="shared" si="55"/>
        <v>42202</v>
      </c>
      <c r="D3238" s="900" t="s">
        <v>2013</v>
      </c>
      <c r="E3238" s="900">
        <v>42202</v>
      </c>
      <c r="F3238" s="907" t="s">
        <v>614</v>
      </c>
      <c r="G3238" s="902" t="s">
        <v>907</v>
      </c>
      <c r="H3238" s="913" t="s">
        <v>2014</v>
      </c>
      <c r="I3238" s="253">
        <v>247</v>
      </c>
      <c r="J3238" s="253">
        <v>5299.563299459076</v>
      </c>
      <c r="K3238" s="904">
        <f t="shared" si="56"/>
        <v>1308992</v>
      </c>
      <c r="L3238" s="869" t="s">
        <v>167</v>
      </c>
      <c r="M3238" s="869" t="s">
        <v>165</v>
      </c>
      <c r="N3238" s="52" t="str">
        <f>IF(AND('331-CT'!$E$7=TH!H3238,OR(L3238="331",M3238="331")),"331",IF(AND(OR(L3238="131",M3238="131"),H3238='131-CT'!$E$7),"131",""))</f>
        <v/>
      </c>
      <c r="O3238" s="86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799"/>
    </row>
    <row r="3239" spans="1:27" s="210" customFormat="1" ht="15.75" customHeight="1">
      <c r="A3239" s="203" t="str">
        <f>IF(B3239&lt;&gt;"",IF(AND(B3239&gt;=_TM1,B3239&lt;=_TM2,OR(TH!L3239="1111",TH!M3239="1111")),TH!D3239,""),"")</f>
        <v/>
      </c>
      <c r="B3239" s="36">
        <f t="shared" si="54"/>
        <v>7</v>
      </c>
      <c r="C3239" s="899">
        <f t="shared" si="55"/>
        <v>42202</v>
      </c>
      <c r="D3239" s="900" t="s">
        <v>2013</v>
      </c>
      <c r="E3239" s="900">
        <v>42202</v>
      </c>
      <c r="F3239" s="907" t="s">
        <v>614</v>
      </c>
      <c r="G3239" s="902" t="s">
        <v>907</v>
      </c>
      <c r="H3239" s="913" t="s">
        <v>2014</v>
      </c>
      <c r="I3239" s="253">
        <v>248</v>
      </c>
      <c r="J3239" s="253">
        <v>5299.563299459076</v>
      </c>
      <c r="K3239" s="904">
        <f t="shared" si="56"/>
        <v>1314292</v>
      </c>
      <c r="L3239" s="869" t="s">
        <v>167</v>
      </c>
      <c r="M3239" s="869" t="s">
        <v>165</v>
      </c>
      <c r="N3239" s="52" t="str">
        <f>IF(AND('331-CT'!$E$7=TH!H3239,OR(L3239="331",M3239="331")),"331",IF(AND(OR(L3239="131",M3239="131"),H3239='131-CT'!$E$7),"131",""))</f>
        <v/>
      </c>
      <c r="O3239" s="86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799"/>
    </row>
    <row r="3240" spans="1:27" s="210" customFormat="1" ht="15.75" customHeight="1">
      <c r="A3240" s="203" t="str">
        <f>IF(B3240&lt;&gt;"",IF(AND(B3240&gt;=_TM1,B3240&lt;=_TM2,OR(TH!L3240="1111",TH!M3240="1111")),TH!D3240,""),"")</f>
        <v/>
      </c>
      <c r="B3240" s="36">
        <f t="shared" si="54"/>
        <v>7</v>
      </c>
      <c r="C3240" s="899">
        <f t="shared" si="55"/>
        <v>42202</v>
      </c>
      <c r="D3240" s="900" t="s">
        <v>2013</v>
      </c>
      <c r="E3240" s="900">
        <v>42202</v>
      </c>
      <c r="F3240" s="907" t="s">
        <v>616</v>
      </c>
      <c r="G3240" s="902" t="s">
        <v>907</v>
      </c>
      <c r="H3240" s="913" t="s">
        <v>2014</v>
      </c>
      <c r="I3240" s="253">
        <v>503</v>
      </c>
      <c r="J3240" s="253">
        <v>5299.563299459076</v>
      </c>
      <c r="K3240" s="904">
        <f t="shared" si="56"/>
        <v>2665680</v>
      </c>
      <c r="L3240" s="869" t="s">
        <v>167</v>
      </c>
      <c r="M3240" s="869" t="s">
        <v>165</v>
      </c>
      <c r="N3240" s="52" t="str">
        <f>IF(AND('331-CT'!$E$7=TH!H3240,OR(L3240="331",M3240="331")),"331",IF(AND(OR(L3240="131",M3240="131"),H3240='131-CT'!$E$7),"131",""))</f>
        <v/>
      </c>
      <c r="O3240" s="86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799"/>
    </row>
    <row r="3241" spans="1:27" s="210" customFormat="1" ht="15.75" customHeight="1">
      <c r="A3241" s="203" t="str">
        <f>IF(B3241&lt;&gt;"",IF(AND(B3241&gt;=_TM1,B3241&lt;=_TM2,OR(TH!L3241="1111",TH!M3241="1111")),TH!D3241,""),"")</f>
        <v/>
      </c>
      <c r="B3241" s="36">
        <f t="shared" si="54"/>
        <v>7</v>
      </c>
      <c r="C3241" s="899">
        <f t="shared" si="55"/>
        <v>42202</v>
      </c>
      <c r="D3241" s="900" t="s">
        <v>2013</v>
      </c>
      <c r="E3241" s="900">
        <v>42202</v>
      </c>
      <c r="F3241" s="907" t="s">
        <v>616</v>
      </c>
      <c r="G3241" s="902" t="s">
        <v>907</v>
      </c>
      <c r="H3241" s="913" t="s">
        <v>2014</v>
      </c>
      <c r="I3241" s="253">
        <v>495</v>
      </c>
      <c r="J3241" s="253">
        <v>5299.563299459076</v>
      </c>
      <c r="K3241" s="904">
        <f t="shared" si="56"/>
        <v>2623284</v>
      </c>
      <c r="L3241" s="869" t="s">
        <v>167</v>
      </c>
      <c r="M3241" s="869" t="s">
        <v>165</v>
      </c>
      <c r="N3241" s="52" t="str">
        <f>IF(AND('331-CT'!$E$7=TH!H3241,OR(L3241="331",M3241="331")),"331",IF(AND(OR(L3241="131",M3241="131"),H3241='131-CT'!$E$7),"131",""))</f>
        <v/>
      </c>
      <c r="O3241" s="86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799"/>
    </row>
    <row r="3242" spans="1:27" s="210" customFormat="1" ht="15.75" customHeight="1">
      <c r="A3242" s="203" t="str">
        <f>IF(B3242&lt;&gt;"",IF(AND(B3242&gt;=_TM1,B3242&lt;=_TM2,OR(TH!L3242="1111",TH!M3242="1111")),TH!D3242,""),"")</f>
        <v/>
      </c>
      <c r="B3242" s="36">
        <f t="shared" si="54"/>
        <v>7</v>
      </c>
      <c r="C3242" s="899">
        <f t="shared" si="55"/>
        <v>42202</v>
      </c>
      <c r="D3242" s="900" t="s">
        <v>2013</v>
      </c>
      <c r="E3242" s="900">
        <v>42202</v>
      </c>
      <c r="F3242" s="907" t="s">
        <v>614</v>
      </c>
      <c r="G3242" s="902" t="s">
        <v>907</v>
      </c>
      <c r="H3242" s="913" t="s">
        <v>2014</v>
      </c>
      <c r="I3242" s="253">
        <v>268</v>
      </c>
      <c r="J3242" s="253">
        <v>5299.563299459076</v>
      </c>
      <c r="K3242" s="904">
        <f t="shared" si="56"/>
        <v>1420283</v>
      </c>
      <c r="L3242" s="869" t="s">
        <v>167</v>
      </c>
      <c r="M3242" s="869" t="s">
        <v>165</v>
      </c>
      <c r="N3242" s="52" t="str">
        <f>IF(AND('331-CT'!$E$7=TH!H3242,OR(L3242="331",M3242="331")),"331",IF(AND(OR(L3242="131",M3242="131"),H3242='131-CT'!$E$7),"131",""))</f>
        <v/>
      </c>
      <c r="O3242" s="86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799"/>
    </row>
    <row r="3243" spans="1:27" s="210" customFormat="1" ht="15.75" customHeight="1">
      <c r="A3243" s="203" t="str">
        <f>IF(B3243&lt;&gt;"",IF(AND(B3243&gt;=_TM1,B3243&lt;=_TM2,OR(TH!L3243="1111",TH!M3243="1111")),TH!D3243,""),"")</f>
        <v/>
      </c>
      <c r="B3243" s="36">
        <f t="shared" si="54"/>
        <v>7</v>
      </c>
      <c r="C3243" s="899">
        <f t="shared" si="55"/>
        <v>42202</v>
      </c>
      <c r="D3243" s="900" t="s">
        <v>2013</v>
      </c>
      <c r="E3243" s="900">
        <v>42202</v>
      </c>
      <c r="F3243" s="907" t="s">
        <v>614</v>
      </c>
      <c r="G3243" s="902" t="s">
        <v>907</v>
      </c>
      <c r="H3243" s="913" t="s">
        <v>2014</v>
      </c>
      <c r="I3243" s="253">
        <v>273</v>
      </c>
      <c r="J3243" s="253">
        <v>5299.563299459076</v>
      </c>
      <c r="K3243" s="904">
        <f t="shared" si="56"/>
        <v>1446781</v>
      </c>
      <c r="L3243" s="869" t="s">
        <v>167</v>
      </c>
      <c r="M3243" s="869" t="s">
        <v>165</v>
      </c>
      <c r="N3243" s="52" t="str">
        <f>IF(AND('331-CT'!$E$7=TH!H3243,OR(L3243="331",M3243="331")),"331",IF(AND(OR(L3243="131",M3243="131"),H3243='131-CT'!$E$7),"131",""))</f>
        <v/>
      </c>
      <c r="O3243" s="86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799"/>
    </row>
    <row r="3244" spans="1:27" s="210" customFormat="1" ht="15.75" customHeight="1">
      <c r="A3244" s="203" t="str">
        <f>IF(B3244&lt;&gt;"",IF(AND(B3244&gt;=_TM1,B3244&lt;=_TM2,OR(TH!L3244="1111",TH!M3244="1111")),TH!D3244,""),"")</f>
        <v/>
      </c>
      <c r="B3244" s="36">
        <f t="shared" si="54"/>
        <v>7</v>
      </c>
      <c r="C3244" s="899">
        <f t="shared" si="55"/>
        <v>42202</v>
      </c>
      <c r="D3244" s="900" t="s">
        <v>2013</v>
      </c>
      <c r="E3244" s="900">
        <v>42202</v>
      </c>
      <c r="F3244" s="907" t="s">
        <v>1756</v>
      </c>
      <c r="G3244" s="902" t="s">
        <v>908</v>
      </c>
      <c r="H3244" s="913" t="s">
        <v>2014</v>
      </c>
      <c r="I3244" s="253">
        <v>25</v>
      </c>
      <c r="J3244" s="253">
        <v>12686.833353250515</v>
      </c>
      <c r="K3244" s="904">
        <f t="shared" si="56"/>
        <v>317171</v>
      </c>
      <c r="L3244" s="869" t="s">
        <v>167</v>
      </c>
      <c r="M3244" s="869" t="s">
        <v>165</v>
      </c>
      <c r="N3244" s="52" t="str">
        <f>IF(AND('331-CT'!$E$7=TH!H3244,OR(L3244="331",M3244="331")),"331",IF(AND(OR(L3244="131",M3244="131"),H3244='131-CT'!$E$7),"131",""))</f>
        <v/>
      </c>
      <c r="O3244" s="86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799"/>
    </row>
    <row r="3245" spans="1:27" s="210" customFormat="1" ht="15.75" customHeight="1">
      <c r="A3245" s="203" t="str">
        <f>IF(B3245&lt;&gt;"",IF(AND(B3245&gt;=_TM1,B3245&lt;=_TM2,OR(TH!L3245="1111",TH!M3245="1111")),TH!D3245,""),"")</f>
        <v/>
      </c>
      <c r="B3245" s="36">
        <f t="shared" si="54"/>
        <v>7</v>
      </c>
      <c r="C3245" s="899">
        <f t="shared" si="55"/>
        <v>42202</v>
      </c>
      <c r="D3245" s="900" t="s">
        <v>2013</v>
      </c>
      <c r="E3245" s="900">
        <v>42202</v>
      </c>
      <c r="F3245" s="907" t="s">
        <v>1741</v>
      </c>
      <c r="G3245" s="902" t="s">
        <v>908</v>
      </c>
      <c r="H3245" s="913" t="s">
        <v>2014</v>
      </c>
      <c r="I3245" s="253">
        <v>45</v>
      </c>
      <c r="J3245" s="253">
        <v>8912.9019127266274</v>
      </c>
      <c r="K3245" s="904">
        <f t="shared" si="56"/>
        <v>401081</v>
      </c>
      <c r="L3245" s="869" t="s">
        <v>167</v>
      </c>
      <c r="M3245" s="869" t="s">
        <v>165</v>
      </c>
      <c r="N3245" s="52" t="str">
        <f>IF(AND('331-CT'!$E$7=TH!H3245,OR(L3245="331",M3245="331")),"331",IF(AND(OR(L3245="131",M3245="131"),H3245='131-CT'!$E$7),"131",""))</f>
        <v/>
      </c>
      <c r="O3245" s="86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799"/>
    </row>
    <row r="3246" spans="1:27" s="210" customFormat="1" ht="15.75" customHeight="1">
      <c r="A3246" s="203" t="str">
        <f>IF(B3246&lt;&gt;"",IF(AND(B3246&gt;=_TM1,B3246&lt;=_TM2,OR(TH!L3246="1111",TH!M3246="1111")),TH!D3246,""),"")</f>
        <v/>
      </c>
      <c r="B3246" s="36">
        <f t="shared" si="54"/>
        <v>7</v>
      </c>
      <c r="C3246" s="899">
        <f t="shared" si="55"/>
        <v>42202</v>
      </c>
      <c r="D3246" s="900" t="s">
        <v>2013</v>
      </c>
      <c r="E3246" s="900">
        <v>42202</v>
      </c>
      <c r="F3246" s="907" t="s">
        <v>1736</v>
      </c>
      <c r="G3246" s="902" t="s">
        <v>908</v>
      </c>
      <c r="H3246" s="913" t="s">
        <v>2014</v>
      </c>
      <c r="I3246" s="253">
        <v>25</v>
      </c>
      <c r="J3246" s="253">
        <v>14453.354453070206</v>
      </c>
      <c r="K3246" s="904">
        <f t="shared" si="56"/>
        <v>361334</v>
      </c>
      <c r="L3246" s="869" t="s">
        <v>167</v>
      </c>
      <c r="M3246" s="869" t="s">
        <v>165</v>
      </c>
      <c r="N3246" s="52" t="str">
        <f>IF(AND('331-CT'!$E$7=TH!H3246,OR(L3246="331",M3246="331")),"331",IF(AND(OR(L3246="131",M3246="131"),H3246='131-CT'!$E$7),"131",""))</f>
        <v/>
      </c>
      <c r="O3246" s="86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799"/>
    </row>
    <row r="3247" spans="1:27" s="210" customFormat="1" ht="15.75" customHeight="1">
      <c r="A3247" s="203" t="str">
        <f>IF(B3247&lt;&gt;"",IF(AND(B3247&gt;=_TM1,B3247&lt;=_TM2,OR(TH!L3247="1111",TH!M3247="1111")),TH!D3247,""),"")</f>
        <v/>
      </c>
      <c r="B3247" s="36">
        <f t="shared" si="54"/>
        <v>7</v>
      </c>
      <c r="C3247" s="899">
        <f t="shared" si="55"/>
        <v>42202</v>
      </c>
      <c r="D3247" s="900" t="s">
        <v>2013</v>
      </c>
      <c r="E3247" s="900">
        <v>42202</v>
      </c>
      <c r="F3247" s="907" t="s">
        <v>690</v>
      </c>
      <c r="G3247" s="902" t="s">
        <v>908</v>
      </c>
      <c r="H3247" s="913" t="s">
        <v>2014</v>
      </c>
      <c r="I3247" s="253">
        <v>25</v>
      </c>
      <c r="J3247" s="253">
        <v>16059.282725633562</v>
      </c>
      <c r="K3247" s="904">
        <f t="shared" si="56"/>
        <v>401482</v>
      </c>
      <c r="L3247" s="869" t="s">
        <v>167</v>
      </c>
      <c r="M3247" s="869" t="s">
        <v>165</v>
      </c>
      <c r="N3247" s="52" t="str">
        <f>IF(AND('331-CT'!$E$7=TH!H3247,OR(L3247="331",M3247="331")),"331",IF(AND(OR(L3247="131",M3247="131"),H3247='131-CT'!$E$7),"131",""))</f>
        <v/>
      </c>
      <c r="O3247" s="86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799"/>
    </row>
    <row r="3248" spans="1:27" s="210" customFormat="1" ht="15.75" customHeight="1">
      <c r="A3248" s="203" t="str">
        <f>IF(B3248&lt;&gt;"",IF(AND(B3248&gt;=_TM1,B3248&lt;=_TM2,OR(TH!L3248="1111",TH!M3248="1111")),TH!D3248,""),"")</f>
        <v/>
      </c>
      <c r="B3248" s="36">
        <f t="shared" si="54"/>
        <v>7</v>
      </c>
      <c r="C3248" s="899">
        <f t="shared" si="55"/>
        <v>42202</v>
      </c>
      <c r="D3248" s="900" t="s">
        <v>2013</v>
      </c>
      <c r="E3248" s="900">
        <v>42202</v>
      </c>
      <c r="F3248" s="907" t="s">
        <v>1705</v>
      </c>
      <c r="G3248" s="902" t="s">
        <v>908</v>
      </c>
      <c r="H3248" s="913" t="s">
        <v>2014</v>
      </c>
      <c r="I3248" s="253">
        <v>100</v>
      </c>
      <c r="J3248" s="253">
        <v>7306.9736401632708</v>
      </c>
      <c r="K3248" s="904">
        <f t="shared" si="56"/>
        <v>730697</v>
      </c>
      <c r="L3248" s="869" t="s">
        <v>167</v>
      </c>
      <c r="M3248" s="869" t="s">
        <v>165</v>
      </c>
      <c r="N3248" s="52" t="str">
        <f>IF(AND('331-CT'!$E$7=TH!H3248,OR(L3248="331",M3248="331")),"331",IF(AND(OR(L3248="131",M3248="131"),H3248='131-CT'!$E$7),"131",""))</f>
        <v/>
      </c>
      <c r="O3248" s="86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799"/>
    </row>
    <row r="3249" spans="1:27" s="210" customFormat="1" ht="15.75" customHeight="1">
      <c r="A3249" s="203" t="str">
        <f>IF(B3249&lt;&gt;"",IF(AND(B3249&gt;=_TM1,B3249&lt;=_TM2,OR(TH!L3249="1111",TH!M3249="1111")),TH!D3249,""),"")</f>
        <v/>
      </c>
      <c r="B3249" s="36">
        <f t="shared" si="54"/>
        <v>7</v>
      </c>
      <c r="C3249" s="899">
        <f t="shared" si="55"/>
        <v>42202</v>
      </c>
      <c r="D3249" s="900" t="s">
        <v>2013</v>
      </c>
      <c r="E3249" s="900">
        <v>42202</v>
      </c>
      <c r="F3249" s="907" t="s">
        <v>1757</v>
      </c>
      <c r="G3249" s="902" t="s">
        <v>908</v>
      </c>
      <c r="H3249" s="913" t="s">
        <v>2014</v>
      </c>
      <c r="I3249" s="253">
        <v>220</v>
      </c>
      <c r="J3249" s="253">
        <v>7788.7521219322771</v>
      </c>
      <c r="K3249" s="904">
        <f t="shared" si="56"/>
        <v>1713525</v>
      </c>
      <c r="L3249" s="869" t="s">
        <v>167</v>
      </c>
      <c r="M3249" s="869" t="s">
        <v>165</v>
      </c>
      <c r="N3249" s="52" t="str">
        <f>IF(AND('331-CT'!$E$7=TH!H3249,OR(L3249="331",M3249="331")),"331",IF(AND(OR(L3249="131",M3249="131"),H3249='131-CT'!$E$7),"131",""))</f>
        <v/>
      </c>
      <c r="O3249" s="86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799"/>
    </row>
    <row r="3250" spans="1:27" s="210" customFormat="1" ht="15.75" customHeight="1">
      <c r="A3250" s="203" t="str">
        <f>IF(B3250&lt;&gt;"",IF(AND(B3250&gt;=_TM1,B3250&lt;=_TM2,OR(TH!L3250="1111",TH!M3250="1111")),TH!D3250,""),"")</f>
        <v/>
      </c>
      <c r="B3250" s="36">
        <f t="shared" si="54"/>
        <v>7</v>
      </c>
      <c r="C3250" s="899">
        <f t="shared" si="55"/>
        <v>42202</v>
      </c>
      <c r="D3250" s="900" t="s">
        <v>2013</v>
      </c>
      <c r="E3250" s="900">
        <v>42202</v>
      </c>
      <c r="F3250" s="907" t="s">
        <v>1758</v>
      </c>
      <c r="G3250" s="902" t="s">
        <v>908</v>
      </c>
      <c r="H3250" s="913" t="s">
        <v>2014</v>
      </c>
      <c r="I3250" s="253">
        <v>160</v>
      </c>
      <c r="J3250" s="253">
        <v>12285.351285109675</v>
      </c>
      <c r="K3250" s="904">
        <f t="shared" si="56"/>
        <v>1965656</v>
      </c>
      <c r="L3250" s="869" t="s">
        <v>167</v>
      </c>
      <c r="M3250" s="869" t="s">
        <v>165</v>
      </c>
      <c r="N3250" s="52" t="str">
        <f>IF(AND('331-CT'!$E$7=TH!H3250,OR(L3250="331",M3250="331")),"331",IF(AND(OR(L3250="131",M3250="131"),H3250='131-CT'!$E$7),"131",""))</f>
        <v/>
      </c>
      <c r="O3250" s="86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799"/>
    </row>
    <row r="3251" spans="1:27" s="210" customFormat="1" ht="15.75" customHeight="1">
      <c r="A3251" s="203" t="str">
        <f>IF(B3251&lt;&gt;"",IF(AND(B3251&gt;=_TM1,B3251&lt;=_TM2,OR(TH!L3251="1111",TH!M3251="1111")),TH!D3251,""),"")</f>
        <v/>
      </c>
      <c r="B3251" s="36">
        <f t="shared" si="54"/>
        <v>7</v>
      </c>
      <c r="C3251" s="899">
        <f t="shared" si="55"/>
        <v>42202</v>
      </c>
      <c r="D3251" s="900" t="s">
        <v>2013</v>
      </c>
      <c r="E3251" s="900">
        <v>42202</v>
      </c>
      <c r="F3251" s="907" t="s">
        <v>1759</v>
      </c>
      <c r="G3251" s="902" t="s">
        <v>908</v>
      </c>
      <c r="H3251" s="913" t="s">
        <v>2014</v>
      </c>
      <c r="I3251" s="253">
        <v>270</v>
      </c>
      <c r="J3251" s="253">
        <v>9073.4947399829616</v>
      </c>
      <c r="K3251" s="904">
        <f t="shared" si="56"/>
        <v>2449844</v>
      </c>
      <c r="L3251" s="869" t="s">
        <v>167</v>
      </c>
      <c r="M3251" s="869" t="s">
        <v>165</v>
      </c>
      <c r="N3251" s="52" t="str">
        <f>IF(AND('331-CT'!$E$7=TH!H3251,OR(L3251="331",M3251="331")),"331",IF(AND(OR(L3251="131",M3251="131"),H3251='131-CT'!$E$7),"131",""))</f>
        <v/>
      </c>
      <c r="O3251" s="86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799"/>
    </row>
    <row r="3252" spans="1:27" s="210" customFormat="1" ht="15.75" customHeight="1">
      <c r="A3252" s="203" t="str">
        <f>IF(B3252&lt;&gt;"",IF(AND(B3252&gt;=_TM1,B3252&lt;=_TM2,OR(TH!L3252="1111",TH!M3252="1111")),TH!D3252,""),"")</f>
        <v/>
      </c>
      <c r="B3252" s="36">
        <f t="shared" si="54"/>
        <v>7</v>
      </c>
      <c r="C3252" s="899">
        <f t="shared" si="55"/>
        <v>42202</v>
      </c>
      <c r="D3252" s="900" t="s">
        <v>2013</v>
      </c>
      <c r="E3252" s="900">
        <v>42202</v>
      </c>
      <c r="F3252" s="907" t="s">
        <v>1760</v>
      </c>
      <c r="G3252" s="902" t="s">
        <v>908</v>
      </c>
      <c r="H3252" s="913" t="s">
        <v>2014</v>
      </c>
      <c r="I3252" s="253">
        <v>190</v>
      </c>
      <c r="J3252" s="253">
        <v>10599.126598918152</v>
      </c>
      <c r="K3252" s="904">
        <f t="shared" si="56"/>
        <v>2013834</v>
      </c>
      <c r="L3252" s="869" t="s">
        <v>167</v>
      </c>
      <c r="M3252" s="869" t="s">
        <v>165</v>
      </c>
      <c r="N3252" s="52" t="str">
        <f>IF(AND('331-CT'!$E$7=TH!H3252,OR(L3252="331",M3252="331")),"331",IF(AND(OR(L3252="131",M3252="131"),H3252='131-CT'!$E$7),"131",""))</f>
        <v/>
      </c>
      <c r="O3252" s="86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799"/>
    </row>
    <row r="3253" spans="1:27" s="210" customFormat="1" ht="15.75" customHeight="1">
      <c r="A3253" s="203" t="str">
        <f>IF(B3253&lt;&gt;"",IF(AND(B3253&gt;=_TM1,B3253&lt;=_TM2,OR(TH!L3253="1111",TH!M3253="1111")),TH!D3253,""),"")</f>
        <v/>
      </c>
      <c r="B3253" s="36">
        <f t="shared" si="54"/>
        <v>7</v>
      </c>
      <c r="C3253" s="899">
        <f t="shared" si="55"/>
        <v>42205</v>
      </c>
      <c r="D3253" s="900" t="s">
        <v>2013</v>
      </c>
      <c r="E3253" s="900">
        <v>42205</v>
      </c>
      <c r="F3253" s="907" t="s">
        <v>413</v>
      </c>
      <c r="G3253" s="902" t="s">
        <v>909</v>
      </c>
      <c r="H3253" s="913" t="s">
        <v>2014</v>
      </c>
      <c r="I3253" s="253">
        <v>311</v>
      </c>
      <c r="J3253" s="253">
        <v>7628.159294675942</v>
      </c>
      <c r="K3253" s="904">
        <f t="shared" si="56"/>
        <v>2372358</v>
      </c>
      <c r="L3253" s="869" t="s">
        <v>167</v>
      </c>
      <c r="M3253" s="869" t="s">
        <v>165</v>
      </c>
      <c r="N3253" s="52" t="str">
        <f>IF(AND('331-CT'!$E$7=TH!H3253,OR(L3253="331",M3253="331")),"331",IF(AND(OR(L3253="131",M3253="131"),H3253='131-CT'!$E$7),"131",""))</f>
        <v/>
      </c>
      <c r="O3253" s="86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799"/>
    </row>
    <row r="3254" spans="1:27" s="210" customFormat="1" ht="15.75" customHeight="1">
      <c r="A3254" s="203" t="str">
        <f>IF(B3254&lt;&gt;"",IF(AND(B3254&gt;=_TM1,B3254&lt;=_TM2,OR(TH!L3254="1111",TH!M3254="1111")),TH!D3254,""),"")</f>
        <v/>
      </c>
      <c r="B3254" s="36">
        <f t="shared" si="54"/>
        <v>7</v>
      </c>
      <c r="C3254" s="899">
        <f t="shared" si="55"/>
        <v>42205</v>
      </c>
      <c r="D3254" s="900" t="s">
        <v>2013</v>
      </c>
      <c r="E3254" s="900">
        <v>42205</v>
      </c>
      <c r="F3254" s="907" t="s">
        <v>413</v>
      </c>
      <c r="G3254" s="902" t="s">
        <v>909</v>
      </c>
      <c r="H3254" s="913" t="s">
        <v>2014</v>
      </c>
      <c r="I3254" s="253">
        <v>497</v>
      </c>
      <c r="J3254" s="253">
        <v>7628.159294675942</v>
      </c>
      <c r="K3254" s="904">
        <f t="shared" si="56"/>
        <v>3791195</v>
      </c>
      <c r="L3254" s="869" t="s">
        <v>167</v>
      </c>
      <c r="M3254" s="869" t="s">
        <v>165</v>
      </c>
      <c r="N3254" s="52" t="str">
        <f>IF(AND('331-CT'!$E$7=TH!H3254,OR(L3254="331",M3254="331")),"331",IF(AND(OR(L3254="131",M3254="131"),H3254='131-CT'!$E$7),"131",""))</f>
        <v/>
      </c>
      <c r="O3254" s="86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799"/>
    </row>
    <row r="3255" spans="1:27" s="210" customFormat="1" ht="15.75" customHeight="1">
      <c r="A3255" s="203" t="str">
        <f>IF(B3255&lt;&gt;"",IF(AND(B3255&gt;=_TM1,B3255&lt;=_TM2,OR(TH!L3255="1111",TH!M3255="1111")),TH!D3255,""),"")</f>
        <v/>
      </c>
      <c r="B3255" s="36">
        <f t="shared" si="54"/>
        <v>7</v>
      </c>
      <c r="C3255" s="899">
        <f t="shared" si="55"/>
        <v>42205</v>
      </c>
      <c r="D3255" s="900" t="s">
        <v>2013</v>
      </c>
      <c r="E3255" s="900">
        <v>42205</v>
      </c>
      <c r="F3255" s="907" t="s">
        <v>910</v>
      </c>
      <c r="G3255" s="902" t="s">
        <v>911</v>
      </c>
      <c r="H3255" s="913" t="s">
        <v>2014</v>
      </c>
      <c r="I3255" s="253">
        <v>574</v>
      </c>
      <c r="J3255" s="253">
        <v>5379.859713087244</v>
      </c>
      <c r="K3255" s="904">
        <f t="shared" si="56"/>
        <v>3088039</v>
      </c>
      <c r="L3255" s="869" t="s">
        <v>167</v>
      </c>
      <c r="M3255" s="869" t="s">
        <v>165</v>
      </c>
      <c r="N3255" s="52" t="str">
        <f>IF(AND('331-CT'!$E$7=TH!H3255,OR(L3255="331",M3255="331")),"331",IF(AND(OR(L3255="131",M3255="131"),H3255='131-CT'!$E$7),"131",""))</f>
        <v/>
      </c>
      <c r="O3255" s="86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799"/>
    </row>
    <row r="3256" spans="1:27" s="210" customFormat="1" ht="15.75" customHeight="1">
      <c r="A3256" s="203" t="str">
        <f>IF(B3256&lt;&gt;"",IF(AND(B3256&gt;=_TM1,B3256&lt;=_TM2,OR(TH!L3256="1111",TH!M3256="1111")),TH!D3256,""),"")</f>
        <v/>
      </c>
      <c r="B3256" s="36">
        <f t="shared" si="54"/>
        <v>7</v>
      </c>
      <c r="C3256" s="899">
        <f t="shared" si="55"/>
        <v>42205</v>
      </c>
      <c r="D3256" s="900" t="s">
        <v>2013</v>
      </c>
      <c r="E3256" s="900">
        <v>42205</v>
      </c>
      <c r="F3256" s="907" t="s">
        <v>910</v>
      </c>
      <c r="G3256" s="902" t="s">
        <v>911</v>
      </c>
      <c r="H3256" s="913" t="s">
        <v>2014</v>
      </c>
      <c r="I3256" s="253">
        <v>588</v>
      </c>
      <c r="J3256" s="253">
        <v>5379.859713087244</v>
      </c>
      <c r="K3256" s="904">
        <f t="shared" si="56"/>
        <v>3163358</v>
      </c>
      <c r="L3256" s="869" t="s">
        <v>167</v>
      </c>
      <c r="M3256" s="869" t="s">
        <v>165</v>
      </c>
      <c r="N3256" s="52" t="str">
        <f>IF(AND('331-CT'!$E$7=TH!H3256,OR(L3256="331",M3256="331")),"331",IF(AND(OR(L3256="131",M3256="131"),H3256='131-CT'!$E$7),"131",""))</f>
        <v/>
      </c>
      <c r="O3256" s="86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799"/>
    </row>
    <row r="3257" spans="1:27" s="210" customFormat="1" ht="15.75" customHeight="1">
      <c r="A3257" s="203" t="str">
        <f>IF(B3257&lt;&gt;"",IF(AND(B3257&gt;=_TM1,B3257&lt;=_TM2,OR(TH!L3257="1111",TH!M3257="1111")),TH!D3257,""),"")</f>
        <v/>
      </c>
      <c r="B3257" s="36">
        <f t="shared" si="54"/>
        <v>7</v>
      </c>
      <c r="C3257" s="899">
        <f t="shared" si="55"/>
        <v>42205</v>
      </c>
      <c r="D3257" s="900" t="s">
        <v>2013</v>
      </c>
      <c r="E3257" s="900">
        <v>42205</v>
      </c>
      <c r="F3257" s="907" t="s">
        <v>830</v>
      </c>
      <c r="G3257" s="902" t="s">
        <v>912</v>
      </c>
      <c r="H3257" s="913" t="s">
        <v>2014</v>
      </c>
      <c r="I3257" s="253">
        <v>280</v>
      </c>
      <c r="J3257" s="253">
        <v>11402.090735199828</v>
      </c>
      <c r="K3257" s="904">
        <f t="shared" si="56"/>
        <v>3192585</v>
      </c>
      <c r="L3257" s="869" t="s">
        <v>167</v>
      </c>
      <c r="M3257" s="869" t="s">
        <v>165</v>
      </c>
      <c r="N3257" s="52" t="str">
        <f>IF(AND('331-CT'!$E$7=TH!H3257,OR(L3257="331",M3257="331")),"331",IF(AND(OR(L3257="131",M3257="131"),H3257='131-CT'!$E$7),"131",""))</f>
        <v/>
      </c>
      <c r="O3257" s="86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799"/>
    </row>
    <row r="3258" spans="1:27" s="210" customFormat="1" ht="15.75" customHeight="1">
      <c r="A3258" s="203" t="str">
        <f>IF(B3258&lt;&gt;"",IF(AND(B3258&gt;=_TM1,B3258&lt;=_TM2,OR(TH!L3258="1111",TH!M3258="1111")),TH!D3258,""),"")</f>
        <v/>
      </c>
      <c r="B3258" s="36">
        <f t="shared" si="54"/>
        <v>7</v>
      </c>
      <c r="C3258" s="899">
        <f t="shared" si="55"/>
        <v>42205</v>
      </c>
      <c r="D3258" s="900" t="s">
        <v>2013</v>
      </c>
      <c r="E3258" s="900">
        <v>42205</v>
      </c>
      <c r="F3258" s="907" t="s">
        <v>852</v>
      </c>
      <c r="G3258" s="902" t="s">
        <v>913</v>
      </c>
      <c r="H3258" s="913" t="s">
        <v>2014</v>
      </c>
      <c r="I3258" s="253">
        <v>465</v>
      </c>
      <c r="J3258" s="253">
        <v>15336.615002980052</v>
      </c>
      <c r="K3258" s="904">
        <f t="shared" si="56"/>
        <v>7131526</v>
      </c>
      <c r="L3258" s="869" t="s">
        <v>167</v>
      </c>
      <c r="M3258" s="869" t="s">
        <v>165</v>
      </c>
      <c r="N3258" s="52" t="str">
        <f>IF(AND('331-CT'!$E$7=TH!H3258,OR(L3258="331",M3258="331")),"331",IF(AND(OR(L3258="131",M3258="131"),H3258='131-CT'!$E$7),"131",""))</f>
        <v/>
      </c>
      <c r="O3258" s="86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799"/>
    </row>
    <row r="3259" spans="1:27" s="210" customFormat="1" ht="15.75" customHeight="1">
      <c r="A3259" s="203" t="str">
        <f>IF(B3259&lt;&gt;"",IF(AND(B3259&gt;=_TM1,B3259&lt;=_TM2,OR(TH!L3259="1111",TH!M3259="1111")),TH!D3259,""),"")</f>
        <v/>
      </c>
      <c r="B3259" s="36">
        <f t="shared" si="54"/>
        <v>7</v>
      </c>
      <c r="C3259" s="899">
        <f t="shared" si="55"/>
        <v>42205</v>
      </c>
      <c r="D3259" s="900" t="s">
        <v>2013</v>
      </c>
      <c r="E3259" s="900">
        <v>42205</v>
      </c>
      <c r="F3259" s="907" t="s">
        <v>849</v>
      </c>
      <c r="G3259" s="902" t="s">
        <v>913</v>
      </c>
      <c r="H3259" s="913" t="s">
        <v>2014</v>
      </c>
      <c r="I3259" s="253">
        <v>92</v>
      </c>
      <c r="J3259" s="253">
        <v>13409.501075904023</v>
      </c>
      <c r="K3259" s="904">
        <f t="shared" si="56"/>
        <v>1233674</v>
      </c>
      <c r="L3259" s="869" t="s">
        <v>167</v>
      </c>
      <c r="M3259" s="869" t="s">
        <v>165</v>
      </c>
      <c r="N3259" s="52" t="str">
        <f>IF(AND('331-CT'!$E$7=TH!H3259,OR(L3259="331",M3259="331")),"331",IF(AND(OR(L3259="131",M3259="131"),H3259='131-CT'!$E$7),"131",""))</f>
        <v/>
      </c>
      <c r="O3259" s="86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799"/>
    </row>
    <row r="3260" spans="1:27" s="210" customFormat="1" ht="15.75" customHeight="1">
      <c r="A3260" s="203" t="str">
        <f>IF(B3260&lt;&gt;"",IF(AND(B3260&gt;=_TM1,B3260&lt;=_TM2,OR(TH!L3260="1111",TH!M3260="1111")),TH!D3260,""),"")</f>
        <v/>
      </c>
      <c r="B3260" s="36">
        <f t="shared" si="54"/>
        <v>7</v>
      </c>
      <c r="C3260" s="899">
        <f t="shared" si="55"/>
        <v>42205</v>
      </c>
      <c r="D3260" s="900" t="s">
        <v>2013</v>
      </c>
      <c r="E3260" s="900">
        <v>42205</v>
      </c>
      <c r="F3260" s="907" t="s">
        <v>853</v>
      </c>
      <c r="G3260" s="902" t="s">
        <v>913</v>
      </c>
      <c r="H3260" s="913" t="s">
        <v>2014</v>
      </c>
      <c r="I3260" s="253">
        <v>268</v>
      </c>
      <c r="J3260" s="253">
        <v>17183.432516427914</v>
      </c>
      <c r="K3260" s="904">
        <f t="shared" si="56"/>
        <v>4605160</v>
      </c>
      <c r="L3260" s="869" t="s">
        <v>167</v>
      </c>
      <c r="M3260" s="869" t="s">
        <v>165</v>
      </c>
      <c r="N3260" s="52" t="str">
        <f>IF(AND('331-CT'!$E$7=TH!H3260,OR(L3260="331",M3260="331")),"331",IF(AND(OR(L3260="131",M3260="131"),H3260='131-CT'!$E$7),"131",""))</f>
        <v/>
      </c>
      <c r="O3260" s="86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799"/>
    </row>
    <row r="3261" spans="1:27" s="210" customFormat="1" ht="15.75" customHeight="1">
      <c r="A3261" s="203" t="str">
        <f>IF(B3261&lt;&gt;"",IF(AND(B3261&gt;=_TM1,B3261&lt;=_TM2,OR(TH!L3261="1111",TH!M3261="1111")),TH!D3261,""),"")</f>
        <v/>
      </c>
      <c r="B3261" s="36">
        <f t="shared" si="54"/>
        <v>7</v>
      </c>
      <c r="C3261" s="899">
        <f t="shared" si="55"/>
        <v>42205</v>
      </c>
      <c r="D3261" s="900" t="s">
        <v>2013</v>
      </c>
      <c r="E3261" s="900">
        <v>42205</v>
      </c>
      <c r="F3261" s="907" t="s">
        <v>914</v>
      </c>
      <c r="G3261" s="902" t="s">
        <v>915</v>
      </c>
      <c r="H3261" s="913" t="s">
        <v>2014</v>
      </c>
      <c r="I3261" s="253">
        <v>80</v>
      </c>
      <c r="J3261" s="253">
        <v>22482.995815886985</v>
      </c>
      <c r="K3261" s="904">
        <f t="shared" si="56"/>
        <v>1798640</v>
      </c>
      <c r="L3261" s="869" t="s">
        <v>167</v>
      </c>
      <c r="M3261" s="869" t="s">
        <v>165</v>
      </c>
      <c r="N3261" s="52" t="str">
        <f>IF(AND('331-CT'!$E$7=TH!H3261,OR(L3261="331",M3261="331")),"331",IF(AND(OR(L3261="131",M3261="131"),H3261='131-CT'!$E$7),"131",""))</f>
        <v/>
      </c>
      <c r="O3261" s="86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799"/>
    </row>
    <row r="3262" spans="1:27" s="210" customFormat="1" ht="15.75" customHeight="1">
      <c r="A3262" s="203" t="str">
        <f>IF(B3262&lt;&gt;"",IF(AND(B3262&gt;=_TM1,B3262&lt;=_TM2,OR(TH!L3262="1111",TH!M3262="1111")),TH!D3262,""),"")</f>
        <v/>
      </c>
      <c r="B3262" s="36">
        <f t="shared" si="54"/>
        <v>7</v>
      </c>
      <c r="C3262" s="899">
        <f t="shared" si="55"/>
        <v>42205</v>
      </c>
      <c r="D3262" s="900" t="s">
        <v>2013</v>
      </c>
      <c r="E3262" s="900">
        <v>42205</v>
      </c>
      <c r="F3262" s="907" t="s">
        <v>1674</v>
      </c>
      <c r="G3262" s="902" t="s">
        <v>915</v>
      </c>
      <c r="H3262" s="913" t="s">
        <v>2014</v>
      </c>
      <c r="I3262" s="253">
        <v>160</v>
      </c>
      <c r="J3262" s="253">
        <v>963.55696353801375</v>
      </c>
      <c r="K3262" s="904">
        <f t="shared" si="56"/>
        <v>154169</v>
      </c>
      <c r="L3262" s="869" t="s">
        <v>167</v>
      </c>
      <c r="M3262" s="869" t="s">
        <v>165</v>
      </c>
      <c r="N3262" s="52" t="str">
        <f>IF(AND('331-CT'!$E$7=TH!H3262,OR(L3262="331",M3262="331")),"331",IF(AND(OR(L3262="131",M3262="131"),H3262='131-CT'!$E$7),"131",""))</f>
        <v/>
      </c>
      <c r="O3262" s="86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799"/>
    </row>
    <row r="3263" spans="1:27" s="210" customFormat="1" ht="15.75" customHeight="1">
      <c r="A3263" s="203" t="str">
        <f>IF(B3263&lt;&gt;"",IF(AND(B3263&gt;=_TM1,B3263&lt;=_TM2,OR(TH!L3263="1111",TH!M3263="1111")),TH!D3263,""),"")</f>
        <v/>
      </c>
      <c r="B3263" s="36">
        <f t="shared" si="54"/>
        <v>7</v>
      </c>
      <c r="C3263" s="899">
        <f t="shared" si="55"/>
        <v>42205</v>
      </c>
      <c r="D3263" s="900" t="s">
        <v>2013</v>
      </c>
      <c r="E3263" s="900">
        <v>42205</v>
      </c>
      <c r="F3263" s="907" t="s">
        <v>916</v>
      </c>
      <c r="G3263" s="902" t="s">
        <v>917</v>
      </c>
      <c r="H3263" s="913" t="s">
        <v>2014</v>
      </c>
      <c r="I3263" s="253">
        <v>300</v>
      </c>
      <c r="J3263" s="253">
        <v>19030.250029875773</v>
      </c>
      <c r="K3263" s="904">
        <f t="shared" si="56"/>
        <v>5709075</v>
      </c>
      <c r="L3263" s="869" t="s">
        <v>167</v>
      </c>
      <c r="M3263" s="869" t="s">
        <v>165</v>
      </c>
      <c r="N3263" s="52" t="str">
        <f>IF(AND('331-CT'!$E$7=TH!H3263,OR(L3263="331",M3263="331")),"331",IF(AND(OR(L3263="131",M3263="131"),H3263='131-CT'!$E$7),"131",""))</f>
        <v/>
      </c>
      <c r="O3263" s="86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799"/>
    </row>
    <row r="3264" spans="1:27" s="210" customFormat="1" ht="15.75" customHeight="1">
      <c r="A3264" s="203" t="str">
        <f>IF(B3264&lt;&gt;"",IF(AND(B3264&gt;=_TM1,B3264&lt;=_TM2,OR(TH!L3264="1111",TH!M3264="1111")),TH!D3264,""),"")</f>
        <v/>
      </c>
      <c r="B3264" s="36">
        <f t="shared" si="54"/>
        <v>7</v>
      </c>
      <c r="C3264" s="899">
        <f t="shared" si="55"/>
        <v>42205</v>
      </c>
      <c r="D3264" s="900" t="s">
        <v>2013</v>
      </c>
      <c r="E3264" s="900">
        <v>42205</v>
      </c>
      <c r="F3264" s="907" t="s">
        <v>1664</v>
      </c>
      <c r="G3264" s="902" t="s">
        <v>917</v>
      </c>
      <c r="H3264" s="913" t="s">
        <v>2014</v>
      </c>
      <c r="I3264" s="253">
        <v>600</v>
      </c>
      <c r="J3264" s="253">
        <v>642.3713090253425</v>
      </c>
      <c r="K3264" s="904">
        <f t="shared" si="56"/>
        <v>385423</v>
      </c>
      <c r="L3264" s="869" t="s">
        <v>167</v>
      </c>
      <c r="M3264" s="869" t="s">
        <v>165</v>
      </c>
      <c r="N3264" s="52" t="str">
        <f>IF(AND('331-CT'!$E$7=TH!H3264,OR(L3264="331",M3264="331")),"331",IF(AND(OR(L3264="131",M3264="131"),H3264='131-CT'!$E$7),"131",""))</f>
        <v/>
      </c>
      <c r="O3264" s="86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799"/>
    </row>
    <row r="3265" spans="1:27" s="210" customFormat="1" ht="15.75" customHeight="1">
      <c r="A3265" s="203" t="str">
        <f>IF(B3265&lt;&gt;"",IF(AND(B3265&gt;=_TM1,B3265&lt;=_TM2,OR(TH!L3265="1111",TH!M3265="1111")),TH!D3265,""),"")</f>
        <v/>
      </c>
      <c r="B3265" s="36">
        <f t="shared" si="54"/>
        <v>7</v>
      </c>
      <c r="C3265" s="899">
        <f t="shared" si="55"/>
        <v>42205</v>
      </c>
      <c r="D3265" s="900" t="s">
        <v>2013</v>
      </c>
      <c r="E3265" s="900">
        <v>42205</v>
      </c>
      <c r="F3265" s="907" t="s">
        <v>398</v>
      </c>
      <c r="G3265" s="902" t="s">
        <v>918</v>
      </c>
      <c r="H3265" s="913" t="s">
        <v>2014</v>
      </c>
      <c r="I3265" s="253">
        <v>607</v>
      </c>
      <c r="J3265" s="253">
        <v>6584.3059175097605</v>
      </c>
      <c r="K3265" s="904">
        <f t="shared" si="56"/>
        <v>3996674</v>
      </c>
      <c r="L3265" s="869" t="s">
        <v>167</v>
      </c>
      <c r="M3265" s="869" t="s">
        <v>165</v>
      </c>
      <c r="N3265" s="52" t="str">
        <f>IF(AND('331-CT'!$E$7=TH!H3265,OR(L3265="331",M3265="331")),"331",IF(AND(OR(L3265="131",M3265="131"),H3265='131-CT'!$E$7),"131",""))</f>
        <v/>
      </c>
      <c r="O3265" s="86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799"/>
    </row>
    <row r="3266" spans="1:27" s="210" customFormat="1" ht="15.75" customHeight="1">
      <c r="A3266" s="203" t="str">
        <f>IF(B3266&lt;&gt;"",IF(AND(B3266&gt;=_TM1,B3266&lt;=_TM2,OR(TH!L3266="1111",TH!M3266="1111")),TH!D3266,""),"")</f>
        <v/>
      </c>
      <c r="B3266" s="36">
        <f t="shared" si="54"/>
        <v>7</v>
      </c>
      <c r="C3266" s="899">
        <f t="shared" si="55"/>
        <v>42205</v>
      </c>
      <c r="D3266" s="900" t="s">
        <v>2013</v>
      </c>
      <c r="E3266" s="900">
        <v>42205</v>
      </c>
      <c r="F3266" s="907" t="s">
        <v>501</v>
      </c>
      <c r="G3266" s="902" t="s">
        <v>918</v>
      </c>
      <c r="H3266" s="913" t="s">
        <v>2014</v>
      </c>
      <c r="I3266" s="253">
        <v>310</v>
      </c>
      <c r="J3266" s="253">
        <v>12686.833353250515</v>
      </c>
      <c r="K3266" s="904">
        <f t="shared" si="56"/>
        <v>3932918</v>
      </c>
      <c r="L3266" s="869" t="s">
        <v>167</v>
      </c>
      <c r="M3266" s="869" t="s">
        <v>165</v>
      </c>
      <c r="N3266" s="52" t="str">
        <f>IF(AND('331-CT'!$E$7=TH!H3266,OR(L3266="331",M3266="331")),"331",IF(AND(OR(L3266="131",M3266="131"),H3266='131-CT'!$E$7),"131",""))</f>
        <v/>
      </c>
      <c r="O3266" s="86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799"/>
    </row>
    <row r="3267" spans="1:27" s="210" customFormat="1" ht="15.75" customHeight="1">
      <c r="A3267" s="203" t="str">
        <f>IF(B3267&lt;&gt;"",IF(AND(B3267&gt;=_TM1,B3267&lt;=_TM2,OR(TH!L3267="1111",TH!M3267="1111")),TH!D3267,""),"")</f>
        <v/>
      </c>
      <c r="B3267" s="36">
        <f t="shared" si="54"/>
        <v>7</v>
      </c>
      <c r="C3267" s="899">
        <f t="shared" si="55"/>
        <v>42205</v>
      </c>
      <c r="D3267" s="900" t="s">
        <v>2013</v>
      </c>
      <c r="E3267" s="900">
        <v>42205</v>
      </c>
      <c r="F3267" s="907" t="s">
        <v>919</v>
      </c>
      <c r="G3267" s="902" t="s">
        <v>918</v>
      </c>
      <c r="H3267" s="913" t="s">
        <v>2014</v>
      </c>
      <c r="I3267" s="253">
        <v>295</v>
      </c>
      <c r="J3267" s="253">
        <v>7226.6772265351028</v>
      </c>
      <c r="K3267" s="904">
        <f t="shared" si="56"/>
        <v>2131870</v>
      </c>
      <c r="L3267" s="869" t="s">
        <v>167</v>
      </c>
      <c r="M3267" s="869" t="s">
        <v>165</v>
      </c>
      <c r="N3267" s="52" t="str">
        <f>IF(AND('331-CT'!$E$7=TH!H3267,OR(L3267="331",M3267="331")),"331",IF(AND(OR(L3267="131",M3267="131"),H3267='131-CT'!$E$7),"131",""))</f>
        <v/>
      </c>
      <c r="O3267" s="86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799"/>
    </row>
    <row r="3268" spans="1:27" s="210" customFormat="1" ht="15.75" customHeight="1">
      <c r="A3268" s="203" t="str">
        <f>IF(B3268&lt;&gt;"",IF(AND(B3268&gt;=_TM1,B3268&lt;=_TM2,OR(TH!L3268="1111",TH!M3268="1111")),TH!D3268,""),"")</f>
        <v/>
      </c>
      <c r="B3268" s="36">
        <f t="shared" si="54"/>
        <v>7</v>
      </c>
      <c r="C3268" s="899">
        <f t="shared" si="55"/>
        <v>42205</v>
      </c>
      <c r="D3268" s="900" t="s">
        <v>2013</v>
      </c>
      <c r="E3268" s="900">
        <v>42205</v>
      </c>
      <c r="F3268" s="907" t="s">
        <v>1761</v>
      </c>
      <c r="G3268" s="902" t="s">
        <v>920</v>
      </c>
      <c r="H3268" s="913" t="s">
        <v>2014</v>
      </c>
      <c r="I3268" s="253">
        <v>40</v>
      </c>
      <c r="J3268" s="253">
        <v>11642.979976084333</v>
      </c>
      <c r="K3268" s="904">
        <f t="shared" si="56"/>
        <v>465719</v>
      </c>
      <c r="L3268" s="869" t="s">
        <v>167</v>
      </c>
      <c r="M3268" s="869" t="s">
        <v>165</v>
      </c>
      <c r="N3268" s="52" t="str">
        <f>IF(AND('331-CT'!$E$7=TH!H3268,OR(L3268="331",M3268="331")),"331",IF(AND(OR(L3268="131",M3268="131"),H3268='131-CT'!$E$7),"131",""))</f>
        <v/>
      </c>
      <c r="O3268" s="86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799"/>
    </row>
    <row r="3269" spans="1:27" s="210" customFormat="1" ht="15.75" customHeight="1">
      <c r="A3269" s="203" t="str">
        <f>IF(B3269&lt;&gt;"",IF(AND(B3269&gt;=_TM1,B3269&lt;=_TM2,OR(TH!L3269="1111",TH!M3269="1111")),TH!D3269,""),"")</f>
        <v/>
      </c>
      <c r="B3269" s="36">
        <f t="shared" si="54"/>
        <v>7</v>
      </c>
      <c r="C3269" s="899">
        <f t="shared" si="55"/>
        <v>42205</v>
      </c>
      <c r="D3269" s="900" t="s">
        <v>2013</v>
      </c>
      <c r="E3269" s="900">
        <v>42205</v>
      </c>
      <c r="F3269" s="907" t="s">
        <v>742</v>
      </c>
      <c r="G3269" s="902" t="s">
        <v>920</v>
      </c>
      <c r="H3269" s="913" t="s">
        <v>2014</v>
      </c>
      <c r="I3269" s="253">
        <v>65</v>
      </c>
      <c r="J3269" s="253">
        <v>15738.09707112089</v>
      </c>
      <c r="K3269" s="904">
        <f t="shared" si="56"/>
        <v>1022976</v>
      </c>
      <c r="L3269" s="869" t="s">
        <v>167</v>
      </c>
      <c r="M3269" s="869" t="s">
        <v>165</v>
      </c>
      <c r="N3269" s="52" t="str">
        <f>IF(AND('331-CT'!$E$7=TH!H3269,OR(L3269="331",M3269="331")),"331",IF(AND(OR(L3269="131",M3269="131"),H3269='131-CT'!$E$7),"131",""))</f>
        <v/>
      </c>
      <c r="O3269" s="86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799"/>
    </row>
    <row r="3270" spans="1:27" s="210" customFormat="1" ht="15.75" customHeight="1">
      <c r="A3270" s="203" t="str">
        <f>IF(B3270&lt;&gt;"",IF(AND(B3270&gt;=_TM1,B3270&lt;=_TM2,OR(TH!L3270="1111",TH!M3270="1111")),TH!D3270,""),"")</f>
        <v/>
      </c>
      <c r="B3270" s="36">
        <f t="shared" si="54"/>
        <v>7</v>
      </c>
      <c r="C3270" s="899">
        <f t="shared" si="55"/>
        <v>42205</v>
      </c>
      <c r="D3270" s="900" t="s">
        <v>2013</v>
      </c>
      <c r="E3270" s="900">
        <v>42205</v>
      </c>
      <c r="F3270" s="907" t="s">
        <v>1762</v>
      </c>
      <c r="G3270" s="902" t="s">
        <v>920</v>
      </c>
      <c r="H3270" s="913" t="s">
        <v>2014</v>
      </c>
      <c r="I3270" s="253">
        <v>35</v>
      </c>
      <c r="J3270" s="253">
        <v>11000.60866705899</v>
      </c>
      <c r="K3270" s="904">
        <f t="shared" si="56"/>
        <v>385021</v>
      </c>
      <c r="L3270" s="869" t="s">
        <v>167</v>
      </c>
      <c r="M3270" s="869" t="s">
        <v>165</v>
      </c>
      <c r="N3270" s="52" t="str">
        <f>IF(AND('331-CT'!$E$7=TH!H3270,OR(L3270="331",M3270="331")),"331",IF(AND(OR(L3270="131",M3270="131"),H3270='131-CT'!$E$7),"131",""))</f>
        <v/>
      </c>
      <c r="O3270" s="86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799"/>
    </row>
    <row r="3271" spans="1:27" s="210" customFormat="1" ht="15.75" customHeight="1">
      <c r="A3271" s="203" t="str">
        <f>IF(B3271&lt;&gt;"",IF(AND(B3271&gt;=_TM1,B3271&lt;=_TM2,OR(TH!L3271="1111",TH!M3271="1111")),TH!D3271,""),"")</f>
        <v/>
      </c>
      <c r="B3271" s="36">
        <f t="shared" si="54"/>
        <v>7</v>
      </c>
      <c r="C3271" s="899">
        <f t="shared" si="55"/>
        <v>42205</v>
      </c>
      <c r="D3271" s="900" t="s">
        <v>2013</v>
      </c>
      <c r="E3271" s="900">
        <v>42205</v>
      </c>
      <c r="F3271" s="907" t="s">
        <v>1763</v>
      </c>
      <c r="G3271" s="902" t="s">
        <v>920</v>
      </c>
      <c r="H3271" s="913" t="s">
        <v>2014</v>
      </c>
      <c r="I3271" s="253">
        <v>35</v>
      </c>
      <c r="J3271" s="253">
        <v>10277.94094440548</v>
      </c>
      <c r="K3271" s="904">
        <f t="shared" si="56"/>
        <v>359728</v>
      </c>
      <c r="L3271" s="869" t="s">
        <v>167</v>
      </c>
      <c r="M3271" s="869" t="s">
        <v>165</v>
      </c>
      <c r="N3271" s="52" t="str">
        <f>IF(AND('331-CT'!$E$7=TH!H3271,OR(L3271="331",M3271="331")),"331",IF(AND(OR(L3271="131",M3271="131"),H3271='131-CT'!$E$7),"131",""))</f>
        <v/>
      </c>
      <c r="O3271" s="86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799"/>
    </row>
    <row r="3272" spans="1:27" s="210" customFormat="1" ht="15.75" customHeight="1">
      <c r="A3272" s="203" t="str">
        <f>IF(B3272&lt;&gt;"",IF(AND(B3272&gt;=_TM1,B3272&lt;=_TM2,OR(TH!L3272="1111",TH!M3272="1111")),TH!D3272,""),"")</f>
        <v/>
      </c>
      <c r="B3272" s="36">
        <f t="shared" si="54"/>
        <v>7</v>
      </c>
      <c r="C3272" s="899">
        <f t="shared" si="55"/>
        <v>42205</v>
      </c>
      <c r="D3272" s="900" t="s">
        <v>2013</v>
      </c>
      <c r="E3272" s="900">
        <v>42205</v>
      </c>
      <c r="F3272" s="907" t="s">
        <v>1764</v>
      </c>
      <c r="G3272" s="902" t="s">
        <v>920</v>
      </c>
      <c r="H3272" s="913" t="s">
        <v>2014</v>
      </c>
      <c r="I3272" s="253">
        <v>335</v>
      </c>
      <c r="J3272" s="253">
        <v>17103.136102799745</v>
      </c>
      <c r="K3272" s="904">
        <f t="shared" si="56"/>
        <v>5729551</v>
      </c>
      <c r="L3272" s="869" t="s">
        <v>167</v>
      </c>
      <c r="M3272" s="869" t="s">
        <v>165</v>
      </c>
      <c r="N3272" s="52" t="str">
        <f>IF(AND('331-CT'!$E$7=TH!H3272,OR(L3272="331",M3272="331")),"331",IF(AND(OR(L3272="131",M3272="131"),H3272='131-CT'!$E$7),"131",""))</f>
        <v/>
      </c>
      <c r="O3272" s="86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799"/>
    </row>
    <row r="3273" spans="1:27" s="210" customFormat="1" ht="15.75" customHeight="1">
      <c r="A3273" s="203" t="str">
        <f>IF(B3273&lt;&gt;"",IF(AND(B3273&gt;=_TM1,B3273&lt;=_TM2,OR(TH!L3273="1111",TH!M3273="1111")),TH!D3273,""),"")</f>
        <v/>
      </c>
      <c r="B3273" s="36">
        <f t="shared" si="54"/>
        <v>7</v>
      </c>
      <c r="C3273" s="899">
        <f t="shared" si="55"/>
        <v>42205</v>
      </c>
      <c r="D3273" s="900" t="s">
        <v>2013</v>
      </c>
      <c r="E3273" s="900">
        <v>42205</v>
      </c>
      <c r="F3273" s="907" t="s">
        <v>1760</v>
      </c>
      <c r="G3273" s="902" t="s">
        <v>920</v>
      </c>
      <c r="H3273" s="913" t="s">
        <v>2014</v>
      </c>
      <c r="I3273" s="253">
        <v>25</v>
      </c>
      <c r="J3273" s="253">
        <v>10599.126598918152</v>
      </c>
      <c r="K3273" s="904">
        <f t="shared" si="56"/>
        <v>264978</v>
      </c>
      <c r="L3273" s="869" t="s">
        <v>167</v>
      </c>
      <c r="M3273" s="869" t="s">
        <v>165</v>
      </c>
      <c r="N3273" s="52" t="str">
        <f>IF(AND('331-CT'!$E$7=TH!H3273,OR(L3273="331",M3273="331")),"331",IF(AND(OR(L3273="131",M3273="131"),H3273='131-CT'!$E$7),"131",""))</f>
        <v/>
      </c>
      <c r="O3273" s="86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799"/>
    </row>
    <row r="3274" spans="1:27" s="210" customFormat="1" ht="15.75" customHeight="1">
      <c r="A3274" s="203" t="str">
        <f>IF(B3274&lt;&gt;"",IF(AND(B3274&gt;=_TM1,B3274&lt;=_TM2,OR(TH!L3274="1111",TH!M3274="1111")),TH!D3274,""),"")</f>
        <v/>
      </c>
      <c r="B3274" s="36">
        <f t="shared" si="54"/>
        <v>7</v>
      </c>
      <c r="C3274" s="899">
        <f t="shared" si="55"/>
        <v>42205</v>
      </c>
      <c r="D3274" s="900" t="s">
        <v>2013</v>
      </c>
      <c r="E3274" s="900">
        <v>42205</v>
      </c>
      <c r="F3274" s="907" t="s">
        <v>1765</v>
      </c>
      <c r="G3274" s="902" t="s">
        <v>920</v>
      </c>
      <c r="H3274" s="913" t="s">
        <v>2014</v>
      </c>
      <c r="I3274" s="253">
        <v>600</v>
      </c>
      <c r="J3274" s="253">
        <v>8350.8270173294532</v>
      </c>
      <c r="K3274" s="904">
        <f t="shared" si="56"/>
        <v>5010496</v>
      </c>
      <c r="L3274" s="869" t="s">
        <v>167</v>
      </c>
      <c r="M3274" s="869" t="s">
        <v>165</v>
      </c>
      <c r="N3274" s="52" t="str">
        <f>IF(AND('331-CT'!$E$7=TH!H3274,OR(L3274="331",M3274="331")),"331",IF(AND(OR(L3274="131",M3274="131"),H3274='131-CT'!$E$7),"131",""))</f>
        <v/>
      </c>
      <c r="O3274" s="86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799"/>
    </row>
    <row r="3275" spans="1:27" s="210" customFormat="1" ht="15.75" customHeight="1">
      <c r="A3275" s="203" t="str">
        <f>IF(B3275&lt;&gt;"",IF(AND(B3275&gt;=_TM1,B3275&lt;=_TM2,OR(TH!L3275="1111",TH!M3275="1111")),TH!D3275,""),"")</f>
        <v/>
      </c>
      <c r="B3275" s="36">
        <f t="shared" si="54"/>
        <v>7</v>
      </c>
      <c r="C3275" s="899">
        <f t="shared" si="55"/>
        <v>42205</v>
      </c>
      <c r="D3275" s="900" t="s">
        <v>2013</v>
      </c>
      <c r="E3275" s="900">
        <v>42205</v>
      </c>
      <c r="F3275" s="907" t="s">
        <v>695</v>
      </c>
      <c r="G3275" s="902" t="s">
        <v>920</v>
      </c>
      <c r="H3275" s="913" t="s">
        <v>2014</v>
      </c>
      <c r="I3275" s="253">
        <v>63</v>
      </c>
      <c r="J3275" s="253">
        <v>14132.168798557535</v>
      </c>
      <c r="K3275" s="904">
        <f t="shared" si="56"/>
        <v>890327</v>
      </c>
      <c r="L3275" s="869" t="s">
        <v>167</v>
      </c>
      <c r="M3275" s="869" t="s">
        <v>165</v>
      </c>
      <c r="N3275" s="52" t="str">
        <f>IF(AND('331-CT'!$E$7=TH!H3275,OR(L3275="331",M3275="331")),"331",IF(AND(OR(L3275="131",M3275="131"),H3275='131-CT'!$E$7),"131",""))</f>
        <v/>
      </c>
      <c r="O3275" s="86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799"/>
    </row>
    <row r="3276" spans="1:27" s="210" customFormat="1" ht="15.75" customHeight="1">
      <c r="A3276" s="203" t="str">
        <f>IF(B3276&lt;&gt;"",IF(AND(B3276&gt;=_TM1,B3276&lt;=_TM2,OR(TH!L3276="1111",TH!M3276="1111")),TH!D3276,""),"")</f>
        <v/>
      </c>
      <c r="B3276" s="36">
        <f t="shared" si="54"/>
        <v>7</v>
      </c>
      <c r="C3276" s="899">
        <f t="shared" si="55"/>
        <v>42205</v>
      </c>
      <c r="D3276" s="900" t="s">
        <v>2013</v>
      </c>
      <c r="E3276" s="900">
        <v>42205</v>
      </c>
      <c r="F3276" s="907" t="s">
        <v>720</v>
      </c>
      <c r="G3276" s="902" t="s">
        <v>920</v>
      </c>
      <c r="H3276" s="913" t="s">
        <v>2014</v>
      </c>
      <c r="I3276" s="253">
        <v>84</v>
      </c>
      <c r="J3276" s="253">
        <v>14051.872384929367</v>
      </c>
      <c r="K3276" s="904">
        <f t="shared" si="56"/>
        <v>1180357</v>
      </c>
      <c r="L3276" s="869" t="s">
        <v>167</v>
      </c>
      <c r="M3276" s="869" t="s">
        <v>165</v>
      </c>
      <c r="N3276" s="52" t="str">
        <f>IF(AND('331-CT'!$E$7=TH!H3276,OR(L3276="331",M3276="331")),"331",IF(AND(OR(L3276="131",M3276="131"),H3276='131-CT'!$E$7),"131",""))</f>
        <v/>
      </c>
      <c r="O3276" s="86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799"/>
    </row>
    <row r="3277" spans="1:27" s="210" customFormat="1" ht="15.75" customHeight="1">
      <c r="A3277" s="203" t="str">
        <f>IF(B3277&lt;&gt;"",IF(AND(B3277&gt;=_TM1,B3277&lt;=_TM2,OR(TH!L3277="1111",TH!M3277="1111")),TH!D3277,""),"")</f>
        <v/>
      </c>
      <c r="B3277" s="36">
        <f t="shared" si="54"/>
        <v>7</v>
      </c>
      <c r="C3277" s="899">
        <f t="shared" si="55"/>
        <v>42205</v>
      </c>
      <c r="D3277" s="900" t="s">
        <v>2013</v>
      </c>
      <c r="E3277" s="900">
        <v>42205</v>
      </c>
      <c r="F3277" s="907" t="s">
        <v>722</v>
      </c>
      <c r="G3277" s="902" t="s">
        <v>920</v>
      </c>
      <c r="H3277" s="913" t="s">
        <v>2014</v>
      </c>
      <c r="I3277" s="253">
        <v>57</v>
      </c>
      <c r="J3277" s="253">
        <v>11562.683562456165</v>
      </c>
      <c r="K3277" s="904">
        <f t="shared" si="56"/>
        <v>659073</v>
      </c>
      <c r="L3277" s="869" t="s">
        <v>167</v>
      </c>
      <c r="M3277" s="869" t="s">
        <v>165</v>
      </c>
      <c r="N3277" s="52" t="str">
        <f>IF(AND('331-CT'!$E$7=TH!H3277,OR(L3277="331",M3277="331")),"331",IF(AND(OR(L3277="131",M3277="131"),H3277='131-CT'!$E$7),"131",""))</f>
        <v/>
      </c>
      <c r="O3277" s="86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799"/>
    </row>
    <row r="3278" spans="1:27" s="210" customFormat="1" ht="15.75" customHeight="1">
      <c r="A3278" s="203" t="str">
        <f>IF(B3278&lt;&gt;"",IF(AND(B3278&gt;=_TM1,B3278&lt;=_TM2,OR(TH!L3278="1111",TH!M3278="1111")),TH!D3278,""),"")</f>
        <v/>
      </c>
      <c r="B3278" s="36">
        <f t="shared" si="54"/>
        <v>7</v>
      </c>
      <c r="C3278" s="899">
        <f t="shared" si="55"/>
        <v>42205</v>
      </c>
      <c r="D3278" s="900" t="s">
        <v>2013</v>
      </c>
      <c r="E3278" s="900">
        <v>42205</v>
      </c>
      <c r="F3278" s="907" t="s">
        <v>921</v>
      </c>
      <c r="G3278" s="902" t="s">
        <v>922</v>
      </c>
      <c r="H3278" s="913" t="s">
        <v>2014</v>
      </c>
      <c r="I3278" s="253">
        <v>31</v>
      </c>
      <c r="J3278" s="253">
        <v>15818.393484749058</v>
      </c>
      <c r="K3278" s="904">
        <f t="shared" si="56"/>
        <v>490370</v>
      </c>
      <c r="L3278" s="869" t="s">
        <v>167</v>
      </c>
      <c r="M3278" s="869" t="s">
        <v>165</v>
      </c>
      <c r="N3278" s="52" t="str">
        <f>IF(AND('331-CT'!$E$7=TH!H3278,OR(L3278="331",M3278="331")),"331",IF(AND(OR(L3278="131",M3278="131"),H3278='131-CT'!$E$7),"131",""))</f>
        <v/>
      </c>
      <c r="O3278" s="86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799"/>
    </row>
    <row r="3279" spans="1:27" s="210" customFormat="1" ht="15.75" customHeight="1">
      <c r="A3279" s="203" t="str">
        <f>IF(B3279&lt;&gt;"",IF(AND(B3279&gt;=_TM1,B3279&lt;=_TM2,OR(TH!L3279="1111",TH!M3279="1111")),TH!D3279,""),"")</f>
        <v/>
      </c>
      <c r="B3279" s="36">
        <f t="shared" si="54"/>
        <v>7</v>
      </c>
      <c r="C3279" s="899">
        <f t="shared" si="55"/>
        <v>42205</v>
      </c>
      <c r="D3279" s="900" t="s">
        <v>2013</v>
      </c>
      <c r="E3279" s="900">
        <v>42205</v>
      </c>
      <c r="F3279" s="907" t="s">
        <v>923</v>
      </c>
      <c r="G3279" s="902" t="s">
        <v>922</v>
      </c>
      <c r="H3279" s="913" t="s">
        <v>2014</v>
      </c>
      <c r="I3279" s="253">
        <v>23</v>
      </c>
      <c r="J3279" s="253">
        <v>26417.520083667208</v>
      </c>
      <c r="K3279" s="904">
        <f t="shared" si="56"/>
        <v>607603</v>
      </c>
      <c r="L3279" s="869" t="s">
        <v>167</v>
      </c>
      <c r="M3279" s="869" t="s">
        <v>165</v>
      </c>
      <c r="N3279" s="52" t="str">
        <f>IF(AND('331-CT'!$E$7=TH!H3279,OR(L3279="331",M3279="331")),"331",IF(AND(OR(L3279="131",M3279="131"),H3279='131-CT'!$E$7),"131",""))</f>
        <v/>
      </c>
      <c r="O3279" s="86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799"/>
    </row>
    <row r="3280" spans="1:27" s="210" customFormat="1" ht="15.75" customHeight="1">
      <c r="A3280" s="203" t="str">
        <f>IF(B3280&lt;&gt;"",IF(AND(B3280&gt;=_TM1,B3280&lt;=_TM2,OR(TH!L3280="1111",TH!M3280="1111")),TH!D3280,""),"")</f>
        <v/>
      </c>
      <c r="B3280" s="36">
        <f t="shared" si="54"/>
        <v>7</v>
      </c>
      <c r="C3280" s="899">
        <f t="shared" si="55"/>
        <v>42205</v>
      </c>
      <c r="D3280" s="900" t="s">
        <v>2013</v>
      </c>
      <c r="E3280" s="900">
        <v>42205</v>
      </c>
      <c r="F3280" s="907" t="s">
        <v>924</v>
      </c>
      <c r="G3280" s="902" t="s">
        <v>922</v>
      </c>
      <c r="H3280" s="913" t="s">
        <v>2014</v>
      </c>
      <c r="I3280" s="253">
        <v>100</v>
      </c>
      <c r="J3280" s="253">
        <v>47936.958936016184</v>
      </c>
      <c r="K3280" s="904">
        <f t="shared" si="56"/>
        <v>4793696</v>
      </c>
      <c r="L3280" s="869" t="s">
        <v>167</v>
      </c>
      <c r="M3280" s="869" t="s">
        <v>165</v>
      </c>
      <c r="N3280" s="52" t="str">
        <f>IF(AND('331-CT'!$E$7=TH!H3280,OR(L3280="331",M3280="331")),"331",IF(AND(OR(L3280="131",M3280="131"),H3280='131-CT'!$E$7),"131",""))</f>
        <v/>
      </c>
      <c r="O3280" s="86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799"/>
    </row>
    <row r="3281" spans="1:27" s="210" customFormat="1" ht="15.75" customHeight="1">
      <c r="A3281" s="203" t="str">
        <f>IF(B3281&lt;&gt;"",IF(AND(B3281&gt;=_TM1,B3281&lt;=_TM2,OR(TH!L3281="1111",TH!M3281="1111")),TH!D3281,""),"")</f>
        <v/>
      </c>
      <c r="B3281" s="36">
        <f t="shared" si="54"/>
        <v>7</v>
      </c>
      <c r="C3281" s="899">
        <f t="shared" si="55"/>
        <v>42205</v>
      </c>
      <c r="D3281" s="900" t="s">
        <v>2013</v>
      </c>
      <c r="E3281" s="900">
        <v>42205</v>
      </c>
      <c r="F3281" s="907" t="s">
        <v>925</v>
      </c>
      <c r="G3281" s="902" t="s">
        <v>922</v>
      </c>
      <c r="H3281" s="913" t="s">
        <v>2014</v>
      </c>
      <c r="I3281" s="253">
        <v>10</v>
      </c>
      <c r="J3281" s="253">
        <v>31717.083383126286</v>
      </c>
      <c r="K3281" s="904">
        <f t="shared" si="56"/>
        <v>317171</v>
      </c>
      <c r="L3281" s="869" t="s">
        <v>167</v>
      </c>
      <c r="M3281" s="869" t="s">
        <v>165</v>
      </c>
      <c r="N3281" s="52" t="str">
        <f>IF(AND('331-CT'!$E$7=TH!H3281,OR(L3281="331",M3281="331")),"331",IF(AND(OR(L3281="131",M3281="131"),H3281='131-CT'!$E$7),"131",""))</f>
        <v/>
      </c>
      <c r="O3281" s="86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799"/>
    </row>
    <row r="3282" spans="1:27" s="210" customFormat="1" ht="15.75" customHeight="1">
      <c r="A3282" s="203" t="str">
        <f>IF(B3282&lt;&gt;"",IF(AND(B3282&gt;=_TM1,B3282&lt;=_TM2,OR(TH!L3282="1111",TH!M3282="1111")),TH!D3282,""),"")</f>
        <v/>
      </c>
      <c r="B3282" s="36">
        <f t="shared" si="54"/>
        <v>7</v>
      </c>
      <c r="C3282" s="899">
        <f t="shared" si="55"/>
        <v>42205</v>
      </c>
      <c r="D3282" s="900" t="s">
        <v>2013</v>
      </c>
      <c r="E3282" s="900">
        <v>42205</v>
      </c>
      <c r="F3282" s="907" t="s">
        <v>926</v>
      </c>
      <c r="G3282" s="902" t="s">
        <v>922</v>
      </c>
      <c r="H3282" s="913" t="s">
        <v>2014</v>
      </c>
      <c r="I3282" s="253">
        <v>26</v>
      </c>
      <c r="J3282" s="253">
        <v>37819.610818867041</v>
      </c>
      <c r="K3282" s="904">
        <f t="shared" si="56"/>
        <v>983310</v>
      </c>
      <c r="L3282" s="869" t="s">
        <v>167</v>
      </c>
      <c r="M3282" s="869" t="s">
        <v>165</v>
      </c>
      <c r="N3282" s="52" t="str">
        <f>IF(AND('331-CT'!$E$7=TH!H3282,OR(L3282="331",M3282="331")),"331",IF(AND(OR(L3282="131",M3282="131"),H3282='131-CT'!$E$7),"131",""))</f>
        <v/>
      </c>
      <c r="O3282" s="86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799"/>
    </row>
    <row r="3283" spans="1:27" s="210" customFormat="1" ht="15.75" customHeight="1">
      <c r="A3283" s="203" t="str">
        <f>IF(B3283&lt;&gt;"",IF(AND(B3283&gt;=_TM1,B3283&lt;=_TM2,OR(TH!L3283="1111",TH!M3283="1111")),TH!D3283,""),"")</f>
        <v/>
      </c>
      <c r="B3283" s="36">
        <f t="shared" si="54"/>
        <v>7</v>
      </c>
      <c r="C3283" s="899">
        <f t="shared" si="55"/>
        <v>42205</v>
      </c>
      <c r="D3283" s="900" t="s">
        <v>2013</v>
      </c>
      <c r="E3283" s="900">
        <v>42205</v>
      </c>
      <c r="F3283" s="907" t="s">
        <v>927</v>
      </c>
      <c r="G3283" s="902" t="s">
        <v>922</v>
      </c>
      <c r="H3283" s="913" t="s">
        <v>2014</v>
      </c>
      <c r="I3283" s="253">
        <v>116</v>
      </c>
      <c r="J3283" s="253">
        <v>68733.730065711658</v>
      </c>
      <c r="K3283" s="904">
        <f t="shared" si="56"/>
        <v>7973113</v>
      </c>
      <c r="L3283" s="869" t="s">
        <v>167</v>
      </c>
      <c r="M3283" s="869" t="s">
        <v>165</v>
      </c>
      <c r="N3283" s="52" t="str">
        <f>IF(AND('331-CT'!$E$7=TH!H3283,OR(L3283="331",M3283="331")),"331",IF(AND(OR(L3283="131",M3283="131"),H3283='131-CT'!$E$7),"131",""))</f>
        <v/>
      </c>
      <c r="O3283" s="86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799"/>
    </row>
    <row r="3284" spans="1:27" s="210" customFormat="1" ht="15.75" customHeight="1">
      <c r="A3284" s="203" t="str">
        <f>IF(B3284&lt;&gt;"",IF(AND(B3284&gt;=_TM1,B3284&lt;=_TM2,OR(TH!L3284="1111",TH!M3284="1111")),TH!D3284,""),"")</f>
        <v/>
      </c>
      <c r="B3284" s="36">
        <f t="shared" si="54"/>
        <v>7</v>
      </c>
      <c r="C3284" s="899">
        <f t="shared" si="55"/>
        <v>42206</v>
      </c>
      <c r="D3284" s="900" t="s">
        <v>2013</v>
      </c>
      <c r="E3284" s="900">
        <v>42206</v>
      </c>
      <c r="F3284" s="907" t="s">
        <v>1766</v>
      </c>
      <c r="G3284" s="902" t="s">
        <v>928</v>
      </c>
      <c r="H3284" s="913" t="s">
        <v>2014</v>
      </c>
      <c r="I3284" s="253">
        <v>550</v>
      </c>
      <c r="J3284" s="253">
        <v>10037.051703520976</v>
      </c>
      <c r="K3284" s="904">
        <f t="shared" si="56"/>
        <v>5520378</v>
      </c>
      <c r="L3284" s="869" t="s">
        <v>167</v>
      </c>
      <c r="M3284" s="869" t="s">
        <v>165</v>
      </c>
      <c r="N3284" s="52" t="str">
        <f>IF(AND('331-CT'!$E$7=TH!H3284,OR(L3284="331",M3284="331")),"331",IF(AND(OR(L3284="131",M3284="131"),H3284='131-CT'!$E$7),"131",""))</f>
        <v/>
      </c>
      <c r="O3284" s="86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799"/>
    </row>
    <row r="3285" spans="1:27" s="210" customFormat="1" ht="15.75" customHeight="1">
      <c r="A3285" s="203" t="str">
        <f>IF(B3285&lt;&gt;"",IF(AND(B3285&gt;=_TM1,B3285&lt;=_TM2,OR(TH!L3285="1111",TH!M3285="1111")),TH!D3285,""),"")</f>
        <v/>
      </c>
      <c r="B3285" s="36">
        <f t="shared" si="54"/>
        <v>7</v>
      </c>
      <c r="C3285" s="899">
        <f t="shared" si="55"/>
        <v>42206</v>
      </c>
      <c r="D3285" s="900" t="s">
        <v>2013</v>
      </c>
      <c r="E3285" s="900">
        <v>42206</v>
      </c>
      <c r="F3285" s="907" t="s">
        <v>1806</v>
      </c>
      <c r="G3285" s="902" t="s">
        <v>928</v>
      </c>
      <c r="H3285" s="913" t="s">
        <v>2014</v>
      </c>
      <c r="I3285" s="253">
        <v>200</v>
      </c>
      <c r="J3285" s="253">
        <v>9796.1624626364719</v>
      </c>
      <c r="K3285" s="904">
        <f t="shared" si="56"/>
        <v>1959232</v>
      </c>
      <c r="L3285" s="869" t="s">
        <v>167</v>
      </c>
      <c r="M3285" s="869" t="s">
        <v>165</v>
      </c>
      <c r="N3285" s="52" t="str">
        <f>IF(AND('331-CT'!$E$7=TH!H3285,OR(L3285="331",M3285="331")),"331",IF(AND(OR(L3285="131",M3285="131"),H3285='131-CT'!$E$7),"131",""))</f>
        <v/>
      </c>
      <c r="O3285" s="86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799"/>
    </row>
    <row r="3286" spans="1:27" s="210" customFormat="1" ht="15.75" customHeight="1">
      <c r="A3286" s="203" t="str">
        <f>IF(B3286&lt;&gt;"",IF(AND(B3286&gt;=_TM1,B3286&lt;=_TM2,OR(TH!L3286="1111",TH!M3286="1111")),TH!D3286,""),"")</f>
        <v/>
      </c>
      <c r="B3286" s="36">
        <f t="shared" si="54"/>
        <v>7</v>
      </c>
      <c r="C3286" s="899">
        <f t="shared" si="55"/>
        <v>42206</v>
      </c>
      <c r="D3286" s="900" t="s">
        <v>2013</v>
      </c>
      <c r="E3286" s="900">
        <v>42206</v>
      </c>
      <c r="F3286" s="907" t="s">
        <v>1741</v>
      </c>
      <c r="G3286" s="902" t="s">
        <v>928</v>
      </c>
      <c r="H3286" s="913" t="s">
        <v>2014</v>
      </c>
      <c r="I3286" s="253">
        <v>270</v>
      </c>
      <c r="J3286" s="253">
        <v>8912.9019127266274</v>
      </c>
      <c r="K3286" s="904">
        <f t="shared" si="56"/>
        <v>2406484</v>
      </c>
      <c r="L3286" s="869" t="s">
        <v>167</v>
      </c>
      <c r="M3286" s="869" t="s">
        <v>165</v>
      </c>
      <c r="N3286" s="52" t="str">
        <f>IF(AND('331-CT'!$E$7=TH!H3286,OR(L3286="331",M3286="331")),"331",IF(AND(OR(L3286="131",M3286="131"),H3286='131-CT'!$E$7),"131",""))</f>
        <v/>
      </c>
      <c r="O3286" s="86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799"/>
    </row>
    <row r="3287" spans="1:27" s="210" customFormat="1" ht="15.75" customHeight="1">
      <c r="A3287" s="203" t="str">
        <f>IF(B3287&lt;&gt;"",IF(AND(B3287&gt;=_TM1,B3287&lt;=_TM2,OR(TH!L3287="1111",TH!M3287="1111")),TH!D3287,""),"")</f>
        <v/>
      </c>
      <c r="B3287" s="36">
        <f t="shared" si="54"/>
        <v>7</v>
      </c>
      <c r="C3287" s="899">
        <f t="shared" si="55"/>
        <v>42206</v>
      </c>
      <c r="D3287" s="900" t="s">
        <v>2013</v>
      </c>
      <c r="E3287" s="900">
        <v>42206</v>
      </c>
      <c r="F3287" s="907" t="s">
        <v>725</v>
      </c>
      <c r="G3287" s="902" t="s">
        <v>928</v>
      </c>
      <c r="H3287" s="913" t="s">
        <v>2014</v>
      </c>
      <c r="I3287" s="253">
        <v>500</v>
      </c>
      <c r="J3287" s="253">
        <v>13248.908248647687</v>
      </c>
      <c r="K3287" s="904">
        <f t="shared" si="56"/>
        <v>6624454</v>
      </c>
      <c r="L3287" s="869" t="s">
        <v>167</v>
      </c>
      <c r="M3287" s="869" t="s">
        <v>165</v>
      </c>
      <c r="N3287" s="52" t="str">
        <f>IF(AND('331-CT'!$E$7=TH!H3287,OR(L3287="331",M3287="331")),"331",IF(AND(OR(L3287="131",M3287="131"),H3287='131-CT'!$E$7),"131",""))</f>
        <v/>
      </c>
      <c r="O3287" s="86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799"/>
    </row>
    <row r="3288" spans="1:27" s="210" customFormat="1" ht="15.75" customHeight="1">
      <c r="A3288" s="203" t="str">
        <f>IF(B3288&lt;&gt;"",IF(AND(B3288&gt;=_TM1,B3288&lt;=_TM2,OR(TH!L3288="1111",TH!M3288="1111")),TH!D3288,""),"")</f>
        <v/>
      </c>
      <c r="B3288" s="36">
        <f t="shared" si="54"/>
        <v>7</v>
      </c>
      <c r="C3288" s="899">
        <f t="shared" si="55"/>
        <v>42206</v>
      </c>
      <c r="D3288" s="900" t="s">
        <v>2013</v>
      </c>
      <c r="E3288" s="900">
        <v>42206</v>
      </c>
      <c r="F3288" s="907" t="s">
        <v>672</v>
      </c>
      <c r="G3288" s="902" t="s">
        <v>928</v>
      </c>
      <c r="H3288" s="913" t="s">
        <v>2014</v>
      </c>
      <c r="I3288" s="253">
        <v>60</v>
      </c>
      <c r="J3288" s="253">
        <v>12044.462044225173</v>
      </c>
      <c r="K3288" s="904">
        <f t="shared" si="56"/>
        <v>722668</v>
      </c>
      <c r="L3288" s="869" t="s">
        <v>167</v>
      </c>
      <c r="M3288" s="869" t="s">
        <v>165</v>
      </c>
      <c r="N3288" s="52" t="str">
        <f>IF(AND('331-CT'!$E$7=TH!H3288,OR(L3288="331",M3288="331")),"331",IF(AND(OR(L3288="131",M3288="131"),H3288='131-CT'!$E$7),"131",""))</f>
        <v/>
      </c>
      <c r="O3288" s="86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799"/>
    </row>
    <row r="3289" spans="1:27" s="210" customFormat="1" ht="15.75" customHeight="1">
      <c r="A3289" s="203" t="str">
        <f>IF(B3289&lt;&gt;"",IF(AND(B3289&gt;=_TM1,B3289&lt;=_TM2,OR(TH!L3289="1111",TH!M3289="1111")),TH!D3289,""),"")</f>
        <v/>
      </c>
      <c r="B3289" s="36">
        <f t="shared" si="54"/>
        <v>7</v>
      </c>
      <c r="C3289" s="899">
        <f t="shared" si="55"/>
        <v>42206</v>
      </c>
      <c r="D3289" s="900" t="s">
        <v>2013</v>
      </c>
      <c r="E3289" s="900">
        <v>42206</v>
      </c>
      <c r="F3289" s="907" t="s">
        <v>1845</v>
      </c>
      <c r="G3289" s="902" t="s">
        <v>928</v>
      </c>
      <c r="H3289" s="913" t="s">
        <v>2014</v>
      </c>
      <c r="I3289" s="253">
        <v>50</v>
      </c>
      <c r="J3289" s="253">
        <v>7869.0485355604451</v>
      </c>
      <c r="K3289" s="904">
        <f t="shared" si="56"/>
        <v>393452</v>
      </c>
      <c r="L3289" s="869" t="s">
        <v>167</v>
      </c>
      <c r="M3289" s="869" t="s">
        <v>165</v>
      </c>
      <c r="N3289" s="52" t="str">
        <f>IF(AND('331-CT'!$E$7=TH!H3289,OR(L3289="331",M3289="331")),"331",IF(AND(OR(L3289="131",M3289="131"),H3289='131-CT'!$E$7),"131",""))</f>
        <v/>
      </c>
      <c r="O3289" s="86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799"/>
    </row>
    <row r="3290" spans="1:27" s="210" customFormat="1" ht="15.75" customHeight="1">
      <c r="A3290" s="203" t="str">
        <f>IF(B3290&lt;&gt;"",IF(AND(B3290&gt;=_TM1,B3290&lt;=_TM2,OR(TH!L3290="1111",TH!M3290="1111")),TH!D3290,""),"")</f>
        <v/>
      </c>
      <c r="B3290" s="36">
        <f t="shared" si="54"/>
        <v>7</v>
      </c>
      <c r="C3290" s="899">
        <f t="shared" si="55"/>
        <v>42206</v>
      </c>
      <c r="D3290" s="900" t="s">
        <v>2013</v>
      </c>
      <c r="E3290" s="900">
        <v>42206</v>
      </c>
      <c r="F3290" s="907" t="s">
        <v>1709</v>
      </c>
      <c r="G3290" s="902" t="s">
        <v>928</v>
      </c>
      <c r="H3290" s="913" t="s">
        <v>2014</v>
      </c>
      <c r="I3290" s="253">
        <v>80</v>
      </c>
      <c r="J3290" s="253">
        <v>6744.8987447660957</v>
      </c>
      <c r="K3290" s="904">
        <f t="shared" si="56"/>
        <v>539592</v>
      </c>
      <c r="L3290" s="869" t="s">
        <v>167</v>
      </c>
      <c r="M3290" s="869" t="s">
        <v>165</v>
      </c>
      <c r="N3290" s="52" t="str">
        <f>IF(AND('331-CT'!$E$7=TH!H3290,OR(L3290="331",M3290="331")),"331",IF(AND(OR(L3290="131",M3290="131"),H3290='131-CT'!$E$7),"131",""))</f>
        <v/>
      </c>
      <c r="O3290" s="86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799"/>
    </row>
    <row r="3291" spans="1:27" s="210" customFormat="1" ht="15.75" customHeight="1">
      <c r="A3291" s="203" t="str">
        <f>IF(B3291&lt;&gt;"",IF(AND(B3291&gt;=_TM1,B3291&lt;=_TM2,OR(TH!L3291="1111",TH!M3291="1111")),TH!D3291,""),"")</f>
        <v/>
      </c>
      <c r="B3291" s="36">
        <f t="shared" si="54"/>
        <v>7</v>
      </c>
      <c r="C3291" s="899">
        <f t="shared" si="55"/>
        <v>42206</v>
      </c>
      <c r="D3291" s="900" t="s">
        <v>2013</v>
      </c>
      <c r="E3291" s="900">
        <v>42206</v>
      </c>
      <c r="F3291" s="907" t="s">
        <v>1769</v>
      </c>
      <c r="G3291" s="902" t="s">
        <v>928</v>
      </c>
      <c r="H3291" s="913" t="s">
        <v>2014</v>
      </c>
      <c r="I3291" s="253">
        <v>120</v>
      </c>
      <c r="J3291" s="253">
        <v>12526.240525994179</v>
      </c>
      <c r="K3291" s="904">
        <f t="shared" si="56"/>
        <v>1503149</v>
      </c>
      <c r="L3291" s="869" t="s">
        <v>167</v>
      </c>
      <c r="M3291" s="869" t="s">
        <v>165</v>
      </c>
      <c r="N3291" s="52" t="str">
        <f>IF(AND('331-CT'!$E$7=TH!H3291,OR(L3291="331",M3291="331")),"331",IF(AND(OR(L3291="131",M3291="131"),H3291='131-CT'!$E$7),"131",""))</f>
        <v/>
      </c>
      <c r="O3291" s="86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799"/>
    </row>
    <row r="3292" spans="1:27" s="210" customFormat="1" ht="15.75" customHeight="1">
      <c r="A3292" s="203" t="str">
        <f>IF(B3292&lt;&gt;"",IF(AND(B3292&gt;=_TM1,B3292&lt;=_TM2,OR(TH!L3292="1111",TH!M3292="1111")),TH!D3292,""),"")</f>
        <v/>
      </c>
      <c r="B3292" s="36">
        <f t="shared" si="54"/>
        <v>7</v>
      </c>
      <c r="C3292" s="899">
        <f t="shared" si="55"/>
        <v>42208</v>
      </c>
      <c r="D3292" s="900" t="s">
        <v>2013</v>
      </c>
      <c r="E3292" s="900">
        <v>42208</v>
      </c>
      <c r="F3292" s="907" t="s">
        <v>929</v>
      </c>
      <c r="G3292" s="902" t="s">
        <v>930</v>
      </c>
      <c r="H3292" s="913" t="s">
        <v>2014</v>
      </c>
      <c r="I3292" s="253">
        <v>301</v>
      </c>
      <c r="J3292" s="253">
        <v>10759.719426174488</v>
      </c>
      <c r="K3292" s="904">
        <f t="shared" si="56"/>
        <v>3238676</v>
      </c>
      <c r="L3292" s="869" t="s">
        <v>167</v>
      </c>
      <c r="M3292" s="869" t="s">
        <v>165</v>
      </c>
      <c r="N3292" s="52" t="str">
        <f>IF(AND('331-CT'!$E$7=TH!H3292,OR(L3292="331",M3292="331")),"331",IF(AND(OR(L3292="131",M3292="131"),H3292='131-CT'!$E$7),"131",""))</f>
        <v/>
      </c>
      <c r="O3292" s="86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799"/>
    </row>
    <row r="3293" spans="1:27" s="210" customFormat="1" ht="15.75" customHeight="1">
      <c r="A3293" s="203" t="str">
        <f>IF(B3293&lt;&gt;"",IF(AND(B3293&gt;=_TM1,B3293&lt;=_TM2,OR(TH!L3293="1111",TH!M3293="1111")),TH!D3293,""),"")</f>
        <v/>
      </c>
      <c r="B3293" s="36">
        <f t="shared" si="54"/>
        <v>7</v>
      </c>
      <c r="C3293" s="899">
        <f t="shared" si="55"/>
        <v>42208</v>
      </c>
      <c r="D3293" s="900" t="s">
        <v>2013</v>
      </c>
      <c r="E3293" s="900">
        <v>42208</v>
      </c>
      <c r="F3293" s="907" t="s">
        <v>931</v>
      </c>
      <c r="G3293" s="902" t="s">
        <v>930</v>
      </c>
      <c r="H3293" s="913" t="s">
        <v>2014</v>
      </c>
      <c r="I3293" s="253">
        <v>200</v>
      </c>
      <c r="J3293" s="253">
        <v>7788.7521219322771</v>
      </c>
      <c r="K3293" s="904">
        <f t="shared" si="56"/>
        <v>1557750</v>
      </c>
      <c r="L3293" s="869" t="s">
        <v>167</v>
      </c>
      <c r="M3293" s="869" t="s">
        <v>165</v>
      </c>
      <c r="N3293" s="52" t="str">
        <f>IF(AND('331-CT'!$E$7=TH!H3293,OR(L3293="331",M3293="331")),"331",IF(AND(OR(L3293="131",M3293="131"),H3293='131-CT'!$E$7),"131",""))</f>
        <v/>
      </c>
      <c r="O3293" s="86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799"/>
    </row>
    <row r="3294" spans="1:27" s="210" customFormat="1" ht="15.75" customHeight="1">
      <c r="A3294" s="203" t="str">
        <f>IF(B3294&lt;&gt;"",IF(AND(B3294&gt;=_TM1,B3294&lt;=_TM2,OR(TH!L3294="1111",TH!M3294="1111")),TH!D3294,""),"")</f>
        <v/>
      </c>
      <c r="B3294" s="36">
        <f t="shared" si="54"/>
        <v>7</v>
      </c>
      <c r="C3294" s="899">
        <f t="shared" si="55"/>
        <v>42208</v>
      </c>
      <c r="D3294" s="900" t="s">
        <v>2013</v>
      </c>
      <c r="E3294" s="900">
        <v>42208</v>
      </c>
      <c r="F3294" s="907" t="s">
        <v>540</v>
      </c>
      <c r="G3294" s="902" t="s">
        <v>930</v>
      </c>
      <c r="H3294" s="913" t="s">
        <v>2014</v>
      </c>
      <c r="I3294" s="253">
        <v>204</v>
      </c>
      <c r="J3294" s="253">
        <v>6985.7879856505997</v>
      </c>
      <c r="K3294" s="904">
        <f t="shared" si="56"/>
        <v>1425101</v>
      </c>
      <c r="L3294" s="869" t="s">
        <v>167</v>
      </c>
      <c r="M3294" s="869" t="s">
        <v>165</v>
      </c>
      <c r="N3294" s="52" t="str">
        <f>IF(AND('331-CT'!$E$7=TH!H3294,OR(L3294="331",M3294="331")),"331",IF(AND(OR(L3294="131",M3294="131"),H3294='131-CT'!$E$7),"131",""))</f>
        <v/>
      </c>
      <c r="O3294" s="86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799"/>
    </row>
    <row r="3295" spans="1:27" s="210" customFormat="1" ht="15.75" customHeight="1">
      <c r="A3295" s="203" t="str">
        <f>IF(B3295&lt;&gt;"",IF(AND(B3295&gt;=_TM1,B3295&lt;=_TM2,OR(TH!L3295="1111",TH!M3295="1111")),TH!D3295,""),"")</f>
        <v/>
      </c>
      <c r="B3295" s="36">
        <f t="shared" si="54"/>
        <v>7</v>
      </c>
      <c r="C3295" s="899">
        <f t="shared" si="55"/>
        <v>42208</v>
      </c>
      <c r="D3295" s="900" t="s">
        <v>2013</v>
      </c>
      <c r="E3295" s="900">
        <v>42208</v>
      </c>
      <c r="F3295" s="907" t="s">
        <v>781</v>
      </c>
      <c r="G3295" s="902" t="s">
        <v>932</v>
      </c>
      <c r="H3295" s="913" t="s">
        <v>2014</v>
      </c>
      <c r="I3295" s="253">
        <v>500</v>
      </c>
      <c r="J3295" s="253">
        <v>11161.201494315324</v>
      </c>
      <c r="K3295" s="904">
        <f t="shared" si="56"/>
        <v>5580601</v>
      </c>
      <c r="L3295" s="869" t="s">
        <v>167</v>
      </c>
      <c r="M3295" s="869" t="s">
        <v>165</v>
      </c>
      <c r="N3295" s="52" t="str">
        <f>IF(AND('331-CT'!$E$7=TH!H3295,OR(L3295="331",M3295="331")),"331",IF(AND(OR(L3295="131",M3295="131"),H3295='131-CT'!$E$7),"131",""))</f>
        <v/>
      </c>
      <c r="O3295" s="86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799"/>
    </row>
    <row r="3296" spans="1:27" s="210" customFormat="1" ht="15.75" customHeight="1">
      <c r="A3296" s="203" t="str">
        <f>IF(B3296&lt;&gt;"",IF(AND(B3296&gt;=_TM1,B3296&lt;=_TM2,OR(TH!L3296="1111",TH!M3296="1111")),TH!D3296,""),"")</f>
        <v/>
      </c>
      <c r="B3296" s="36">
        <f t="shared" si="54"/>
        <v>7</v>
      </c>
      <c r="C3296" s="899">
        <f t="shared" si="55"/>
        <v>42208</v>
      </c>
      <c r="D3296" s="900" t="s">
        <v>2013</v>
      </c>
      <c r="E3296" s="900">
        <v>42208</v>
      </c>
      <c r="F3296" s="907" t="s">
        <v>1767</v>
      </c>
      <c r="G3296" s="902" t="s">
        <v>933</v>
      </c>
      <c r="H3296" s="913" t="s">
        <v>2014</v>
      </c>
      <c r="I3296" s="253">
        <v>100</v>
      </c>
      <c r="J3296" s="253">
        <v>19913.510579785616</v>
      </c>
      <c r="K3296" s="904">
        <f t="shared" si="56"/>
        <v>1991351</v>
      </c>
      <c r="L3296" s="869" t="s">
        <v>167</v>
      </c>
      <c r="M3296" s="869" t="s">
        <v>165</v>
      </c>
      <c r="N3296" s="52" t="str">
        <f>IF(AND('331-CT'!$E$7=TH!H3296,OR(L3296="331",M3296="331")),"331",IF(AND(OR(L3296="131",M3296="131"),H3296='131-CT'!$E$7),"131",""))</f>
        <v/>
      </c>
      <c r="O3296" s="86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799"/>
    </row>
    <row r="3297" spans="1:27" s="210" customFormat="1" ht="15.75" customHeight="1">
      <c r="A3297" s="203" t="str">
        <f>IF(B3297&lt;&gt;"",IF(AND(B3297&gt;=_TM1,B3297&lt;=_TM2,OR(TH!L3297="1111",TH!M3297="1111")),TH!D3297,""),"")</f>
        <v/>
      </c>
      <c r="B3297" s="36">
        <f t="shared" si="54"/>
        <v>7</v>
      </c>
      <c r="C3297" s="899">
        <f t="shared" si="55"/>
        <v>42208</v>
      </c>
      <c r="D3297" s="900" t="s">
        <v>2013</v>
      </c>
      <c r="E3297" s="900">
        <v>42208</v>
      </c>
      <c r="F3297" s="907" t="s">
        <v>1768</v>
      </c>
      <c r="G3297" s="902" t="s">
        <v>932</v>
      </c>
      <c r="H3297" s="913" t="s">
        <v>2014</v>
      </c>
      <c r="I3297" s="253">
        <v>100</v>
      </c>
      <c r="J3297" s="253">
        <v>13088.315421391353</v>
      </c>
      <c r="K3297" s="904">
        <f t="shared" si="56"/>
        <v>1308832</v>
      </c>
      <c r="L3297" s="869" t="s">
        <v>167</v>
      </c>
      <c r="M3297" s="869" t="s">
        <v>165</v>
      </c>
      <c r="N3297" s="52" t="str">
        <f>IF(AND('331-CT'!$E$7=TH!H3297,OR(L3297="331",M3297="331")),"331",IF(AND(OR(L3297="131",M3297="131"),H3297='131-CT'!$E$7),"131",""))</f>
        <v/>
      </c>
      <c r="O3297" s="86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799"/>
    </row>
    <row r="3298" spans="1:27" s="210" customFormat="1" ht="15.75" customHeight="1">
      <c r="A3298" s="203" t="str">
        <f>IF(B3298&lt;&gt;"",IF(AND(B3298&gt;=_TM1,B3298&lt;=_TM2,OR(TH!L3298="1111",TH!M3298="1111")),TH!D3298,""),"")</f>
        <v/>
      </c>
      <c r="B3298" s="36">
        <f t="shared" si="54"/>
        <v>7</v>
      </c>
      <c r="C3298" s="899">
        <f t="shared" si="55"/>
        <v>42208</v>
      </c>
      <c r="D3298" s="900" t="s">
        <v>2013</v>
      </c>
      <c r="E3298" s="900">
        <v>42208</v>
      </c>
      <c r="F3298" s="907" t="s">
        <v>694</v>
      </c>
      <c r="G3298" s="902" t="s">
        <v>933</v>
      </c>
      <c r="H3298" s="913" t="s">
        <v>2014</v>
      </c>
      <c r="I3298" s="253">
        <v>70</v>
      </c>
      <c r="J3298" s="253">
        <v>11803.572803340669</v>
      </c>
      <c r="K3298" s="904">
        <f t="shared" si="56"/>
        <v>826250</v>
      </c>
      <c r="L3298" s="869" t="s">
        <v>167</v>
      </c>
      <c r="M3298" s="869" t="s">
        <v>165</v>
      </c>
      <c r="N3298" s="52" t="str">
        <f>IF(AND('331-CT'!$E$7=TH!H3298,OR(L3298="331",M3298="331")),"331",IF(AND(OR(L3298="131",M3298="131"),H3298='131-CT'!$E$7),"131",""))</f>
        <v/>
      </c>
      <c r="O3298" s="86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799"/>
    </row>
    <row r="3299" spans="1:27" s="210" customFormat="1" ht="15.75" customHeight="1">
      <c r="A3299" s="203" t="str">
        <f>IF(B3299&lt;&gt;"",IF(AND(B3299&gt;=_TM1,B3299&lt;=_TM2,OR(TH!L3299="1111",TH!M3299="1111")),TH!D3299,""),"")</f>
        <v/>
      </c>
      <c r="B3299" s="36">
        <f t="shared" si="54"/>
        <v>7</v>
      </c>
      <c r="C3299" s="899">
        <f t="shared" si="55"/>
        <v>42208</v>
      </c>
      <c r="D3299" s="900" t="s">
        <v>2013</v>
      </c>
      <c r="E3299" s="900">
        <v>42208</v>
      </c>
      <c r="F3299" s="907" t="s">
        <v>1769</v>
      </c>
      <c r="G3299" s="902" t="s">
        <v>932</v>
      </c>
      <c r="H3299" s="913" t="s">
        <v>2014</v>
      </c>
      <c r="I3299" s="253">
        <v>25</v>
      </c>
      <c r="J3299" s="253">
        <v>12526.240525994179</v>
      </c>
      <c r="K3299" s="904">
        <f t="shared" si="56"/>
        <v>313156</v>
      </c>
      <c r="L3299" s="869" t="s">
        <v>167</v>
      </c>
      <c r="M3299" s="869" t="s">
        <v>165</v>
      </c>
      <c r="N3299" s="52" t="str">
        <f>IF(AND('331-CT'!$E$7=TH!H3299,OR(L3299="331",M3299="331")),"331",IF(AND(OR(L3299="131",M3299="131"),H3299='131-CT'!$E$7),"131",""))</f>
        <v/>
      </c>
      <c r="O3299" s="86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799"/>
    </row>
    <row r="3300" spans="1:27" s="210" customFormat="1" ht="15.75" customHeight="1">
      <c r="A3300" s="203" t="str">
        <f>IF(B3300&lt;&gt;"",IF(AND(B3300&gt;=_TM1,B3300&lt;=_TM2,OR(TH!L3300="1111",TH!M3300="1111")),TH!D3300,""),"")</f>
        <v/>
      </c>
      <c r="B3300" s="36">
        <f t="shared" si="54"/>
        <v>7</v>
      </c>
      <c r="C3300" s="899">
        <f t="shared" si="55"/>
        <v>42208</v>
      </c>
      <c r="D3300" s="900" t="s">
        <v>2013</v>
      </c>
      <c r="E3300" s="900">
        <v>42208</v>
      </c>
      <c r="F3300" s="907" t="s">
        <v>1770</v>
      </c>
      <c r="G3300" s="902" t="s">
        <v>933</v>
      </c>
      <c r="H3300" s="913" t="s">
        <v>2014</v>
      </c>
      <c r="I3300" s="253">
        <v>50</v>
      </c>
      <c r="J3300" s="253">
        <v>11723.276389712501</v>
      </c>
      <c r="K3300" s="904">
        <f t="shared" si="56"/>
        <v>586164</v>
      </c>
      <c r="L3300" s="869" t="s">
        <v>167</v>
      </c>
      <c r="M3300" s="869" t="s">
        <v>165</v>
      </c>
      <c r="N3300" s="52" t="str">
        <f>IF(AND('331-CT'!$E$7=TH!H3300,OR(L3300="331",M3300="331")),"331",IF(AND(OR(L3300="131",M3300="131"),H3300='131-CT'!$E$7),"131",""))</f>
        <v/>
      </c>
      <c r="O3300" s="86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799"/>
    </row>
    <row r="3301" spans="1:27" s="210" customFormat="1" ht="15.75" customHeight="1">
      <c r="A3301" s="203" t="str">
        <f>IF(B3301&lt;&gt;"",IF(AND(B3301&gt;=_TM1,B3301&lt;=_TM2,OR(TH!L3301="1111",TH!M3301="1111")),TH!D3301,""),"")</f>
        <v/>
      </c>
      <c r="B3301" s="36">
        <f t="shared" si="54"/>
        <v>7</v>
      </c>
      <c r="C3301" s="899">
        <f t="shared" si="55"/>
        <v>42208</v>
      </c>
      <c r="D3301" s="900" t="s">
        <v>2013</v>
      </c>
      <c r="E3301" s="900">
        <v>42208</v>
      </c>
      <c r="F3301" s="907" t="s">
        <v>1771</v>
      </c>
      <c r="G3301" s="902" t="s">
        <v>932</v>
      </c>
      <c r="H3301" s="913" t="s">
        <v>2014</v>
      </c>
      <c r="I3301" s="253">
        <v>575</v>
      </c>
      <c r="J3301" s="253">
        <v>1043.8533771661816</v>
      </c>
      <c r="K3301" s="904">
        <f t="shared" si="56"/>
        <v>600216</v>
      </c>
      <c r="L3301" s="869" t="s">
        <v>167</v>
      </c>
      <c r="M3301" s="869" t="s">
        <v>165</v>
      </c>
      <c r="N3301" s="52" t="str">
        <f>IF(AND('331-CT'!$E$7=TH!H3301,OR(L3301="331",M3301="331")),"331",IF(AND(OR(L3301="131",M3301="131"),H3301='131-CT'!$E$7),"131",""))</f>
        <v/>
      </c>
      <c r="O3301" s="86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799"/>
    </row>
    <row r="3302" spans="1:27" s="210" customFormat="1" ht="15.75" customHeight="1">
      <c r="A3302" s="203" t="str">
        <f>IF(B3302&lt;&gt;"",IF(AND(B3302&gt;=_TM1,B3302&lt;=_TM2,OR(TH!L3302="1111",TH!M3302="1111")),TH!D3302,""),"")</f>
        <v/>
      </c>
      <c r="B3302" s="36">
        <f t="shared" si="54"/>
        <v>7</v>
      </c>
      <c r="C3302" s="899">
        <f t="shared" si="55"/>
        <v>42208</v>
      </c>
      <c r="D3302" s="900" t="s">
        <v>2013</v>
      </c>
      <c r="E3302" s="900">
        <v>42208</v>
      </c>
      <c r="F3302" s="907" t="s">
        <v>1772</v>
      </c>
      <c r="G3302" s="902" t="s">
        <v>933</v>
      </c>
      <c r="H3302" s="913" t="s">
        <v>2014</v>
      </c>
      <c r="I3302" s="253">
        <v>500</v>
      </c>
      <c r="J3302" s="253">
        <v>8029.6413628167811</v>
      </c>
      <c r="K3302" s="904">
        <f t="shared" si="56"/>
        <v>4014821</v>
      </c>
      <c r="L3302" s="869" t="s">
        <v>167</v>
      </c>
      <c r="M3302" s="869" t="s">
        <v>165</v>
      </c>
      <c r="N3302" s="52" t="str">
        <f>IF(AND('331-CT'!$E$7=TH!H3302,OR(L3302="331",M3302="331")),"331",IF(AND(OR(L3302="131",M3302="131"),H3302='131-CT'!$E$7),"131",""))</f>
        <v/>
      </c>
      <c r="O3302" s="86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799"/>
    </row>
    <row r="3303" spans="1:27" s="210" customFormat="1" ht="15.75" customHeight="1">
      <c r="A3303" s="203" t="str">
        <f>IF(B3303&lt;&gt;"",IF(AND(B3303&gt;=_TM1,B3303&lt;=_TM2,OR(TH!L3303="1111",TH!M3303="1111")),TH!D3303,""),"")</f>
        <v/>
      </c>
      <c r="B3303" s="36">
        <f t="shared" si="54"/>
        <v>7</v>
      </c>
      <c r="C3303" s="899">
        <f t="shared" si="55"/>
        <v>42208</v>
      </c>
      <c r="D3303" s="900" t="s">
        <v>2013</v>
      </c>
      <c r="E3303" s="900">
        <v>42208</v>
      </c>
      <c r="F3303" s="907" t="s">
        <v>1766</v>
      </c>
      <c r="G3303" s="902" t="s">
        <v>932</v>
      </c>
      <c r="H3303" s="913" t="s">
        <v>2014</v>
      </c>
      <c r="I3303" s="253">
        <v>900</v>
      </c>
      <c r="J3303" s="253">
        <v>10037.051703520976</v>
      </c>
      <c r="K3303" s="904">
        <f t="shared" si="56"/>
        <v>9033347</v>
      </c>
      <c r="L3303" s="869" t="s">
        <v>167</v>
      </c>
      <c r="M3303" s="869" t="s">
        <v>165</v>
      </c>
      <c r="N3303" s="52" t="str">
        <f>IF(AND('331-CT'!$E$7=TH!H3303,OR(L3303="331",M3303="331")),"331",IF(AND(OR(L3303="131",M3303="131"),H3303='131-CT'!$E$7),"131",""))</f>
        <v/>
      </c>
      <c r="O3303" s="86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799"/>
    </row>
    <row r="3304" spans="1:27" s="210" customFormat="1" ht="15.75" customHeight="1">
      <c r="A3304" s="203" t="str">
        <f>IF(B3304&lt;&gt;"",IF(AND(B3304&gt;=_TM1,B3304&lt;=_TM2,OR(TH!L3304="1111",TH!M3304="1111")),TH!D3304,""),"")</f>
        <v/>
      </c>
      <c r="B3304" s="36">
        <f t="shared" si="54"/>
        <v>7</v>
      </c>
      <c r="C3304" s="899">
        <f t="shared" si="55"/>
        <v>42209</v>
      </c>
      <c r="D3304" s="900" t="s">
        <v>2013</v>
      </c>
      <c r="E3304" s="900">
        <v>42209</v>
      </c>
      <c r="F3304" s="907" t="s">
        <v>746</v>
      </c>
      <c r="G3304" s="902" t="s">
        <v>934</v>
      </c>
      <c r="H3304" s="913" t="s">
        <v>2014</v>
      </c>
      <c r="I3304" s="253">
        <v>1000</v>
      </c>
      <c r="J3304" s="253">
        <v>18548.471548106765</v>
      </c>
      <c r="K3304" s="904">
        <f t="shared" si="56"/>
        <v>18548472</v>
      </c>
      <c r="L3304" s="869" t="s">
        <v>167</v>
      </c>
      <c r="M3304" s="869" t="s">
        <v>165</v>
      </c>
      <c r="N3304" s="52" t="str">
        <f>IF(AND('331-CT'!$E$7=TH!H3304,OR(L3304="331",M3304="331")),"331",IF(AND(OR(L3304="131",M3304="131"),H3304='131-CT'!$E$7),"131",""))</f>
        <v/>
      </c>
      <c r="O3304" s="86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799"/>
    </row>
    <row r="3305" spans="1:27" s="210" customFormat="1" ht="15.75" customHeight="1">
      <c r="A3305" s="203" t="str">
        <f>IF(B3305&lt;&gt;"",IF(AND(B3305&gt;=_TM1,B3305&lt;=_TM2,OR(TH!L3305="1111",TH!M3305="1111")),TH!D3305,""),"")</f>
        <v/>
      </c>
      <c r="B3305" s="36">
        <f t="shared" si="54"/>
        <v>7</v>
      </c>
      <c r="C3305" s="899">
        <f t="shared" si="55"/>
        <v>42209</v>
      </c>
      <c r="D3305" s="900" t="s">
        <v>2013</v>
      </c>
      <c r="E3305" s="900">
        <v>42209</v>
      </c>
      <c r="F3305" s="907" t="s">
        <v>1766</v>
      </c>
      <c r="G3305" s="902" t="s">
        <v>934</v>
      </c>
      <c r="H3305" s="913" t="s">
        <v>2014</v>
      </c>
      <c r="I3305" s="253">
        <v>550</v>
      </c>
      <c r="J3305" s="253">
        <v>10037.051703520976</v>
      </c>
      <c r="K3305" s="904">
        <f t="shared" si="56"/>
        <v>5520378</v>
      </c>
      <c r="L3305" s="869" t="s">
        <v>167</v>
      </c>
      <c r="M3305" s="869" t="s">
        <v>165</v>
      </c>
      <c r="N3305" s="52" t="str">
        <f>IF(AND('331-CT'!$E$7=TH!H3305,OR(L3305="331",M3305="331")),"331",IF(AND(OR(L3305="131",M3305="131"),H3305='131-CT'!$E$7),"131",""))</f>
        <v/>
      </c>
      <c r="O3305" s="86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799"/>
    </row>
    <row r="3306" spans="1:27" s="210" customFormat="1" ht="15.75" customHeight="1">
      <c r="A3306" s="203" t="str">
        <f>IF(B3306&lt;&gt;"",IF(AND(B3306&gt;=_TM1,B3306&lt;=_TM2,OR(TH!L3306="1111",TH!M3306="1111")),TH!D3306,""),"")</f>
        <v/>
      </c>
      <c r="B3306" s="36">
        <f t="shared" si="54"/>
        <v>7</v>
      </c>
      <c r="C3306" s="899">
        <f t="shared" si="55"/>
        <v>42209</v>
      </c>
      <c r="D3306" s="900" t="s">
        <v>2013</v>
      </c>
      <c r="E3306" s="900">
        <v>42209</v>
      </c>
      <c r="F3306" s="907" t="s">
        <v>781</v>
      </c>
      <c r="G3306" s="902" t="s">
        <v>935</v>
      </c>
      <c r="H3306" s="913" t="s">
        <v>2014</v>
      </c>
      <c r="I3306" s="253">
        <v>498</v>
      </c>
      <c r="J3306" s="253">
        <v>11161.201494315324</v>
      </c>
      <c r="K3306" s="904">
        <f t="shared" si="56"/>
        <v>5558278</v>
      </c>
      <c r="L3306" s="869" t="s">
        <v>167</v>
      </c>
      <c r="M3306" s="869" t="s">
        <v>165</v>
      </c>
      <c r="N3306" s="52" t="str">
        <f>IF(AND('331-CT'!$E$7=TH!H3306,OR(L3306="331",M3306="331")),"331",IF(AND(OR(L3306="131",M3306="131"),H3306='131-CT'!$E$7),"131",""))</f>
        <v/>
      </c>
      <c r="O3306" s="86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799"/>
    </row>
    <row r="3307" spans="1:27" s="210" customFormat="1" ht="15.75" customHeight="1">
      <c r="A3307" s="203" t="str">
        <f>IF(B3307&lt;&gt;"",IF(AND(B3307&gt;=_TM1,B3307&lt;=_TM2,OR(TH!L3307="1111",TH!M3307="1111")),TH!D3307,""),"")</f>
        <v/>
      </c>
      <c r="B3307" s="36">
        <f t="shared" ref="B3307:B3420" si="57">IF(C3307&lt;&gt;"",MONTH(C3307),"")</f>
        <v>7</v>
      </c>
      <c r="C3307" s="899">
        <f t="shared" ref="C3307:C3420" si="58">E3307</f>
        <v>42209</v>
      </c>
      <c r="D3307" s="900" t="s">
        <v>2013</v>
      </c>
      <c r="E3307" s="900">
        <v>42209</v>
      </c>
      <c r="F3307" s="907" t="s">
        <v>398</v>
      </c>
      <c r="G3307" s="902" t="s">
        <v>936</v>
      </c>
      <c r="H3307" s="913" t="s">
        <v>2014</v>
      </c>
      <c r="I3307" s="253">
        <v>600</v>
      </c>
      <c r="J3307" s="253">
        <v>6584.3059175097605</v>
      </c>
      <c r="K3307" s="904">
        <f t="shared" ref="K3307:K3420" si="59">ROUND(I3307*J3307,0)</f>
        <v>3950584</v>
      </c>
      <c r="L3307" s="869" t="s">
        <v>167</v>
      </c>
      <c r="M3307" s="869" t="s">
        <v>165</v>
      </c>
      <c r="N3307" s="52" t="str">
        <f>IF(AND('331-CT'!$E$7=TH!H3307,OR(L3307="331",M3307="331")),"331",IF(AND(OR(L3307="131",M3307="131"),H3307='131-CT'!$E$7),"131",""))</f>
        <v/>
      </c>
      <c r="O3307" s="86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799"/>
    </row>
    <row r="3308" spans="1:27" s="210" customFormat="1" ht="15.75" customHeight="1">
      <c r="A3308" s="203" t="str">
        <f>IF(B3308&lt;&gt;"",IF(AND(B3308&gt;=_TM1,B3308&lt;=_TM2,OR(TH!L3308="1111",TH!M3308="1111")),TH!D3308,""),"")</f>
        <v/>
      </c>
      <c r="B3308" s="36">
        <f t="shared" si="57"/>
        <v>7</v>
      </c>
      <c r="C3308" s="899">
        <f t="shared" si="58"/>
        <v>42209</v>
      </c>
      <c r="D3308" s="900" t="s">
        <v>2013</v>
      </c>
      <c r="E3308" s="900">
        <v>42209</v>
      </c>
      <c r="F3308" s="907" t="s">
        <v>446</v>
      </c>
      <c r="G3308" s="902" t="s">
        <v>936</v>
      </c>
      <c r="H3308" s="913" t="s">
        <v>2014</v>
      </c>
      <c r="I3308" s="253">
        <v>299</v>
      </c>
      <c r="J3308" s="253">
        <v>7306.9736401632708</v>
      </c>
      <c r="K3308" s="904">
        <f t="shared" si="59"/>
        <v>2184785</v>
      </c>
      <c r="L3308" s="869" t="s">
        <v>167</v>
      </c>
      <c r="M3308" s="869" t="s">
        <v>165</v>
      </c>
      <c r="N3308" s="52" t="str">
        <f>IF(AND('331-CT'!$E$7=TH!H3308,OR(L3308="331",M3308="331")),"331",IF(AND(OR(L3308="131",M3308="131"),H3308='131-CT'!$E$7),"131",""))</f>
        <v/>
      </c>
      <c r="O3308" s="86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799"/>
    </row>
    <row r="3309" spans="1:27" s="210" customFormat="1" ht="15.75" customHeight="1">
      <c r="A3309" s="203" t="str">
        <f>IF(B3309&lt;&gt;"",IF(AND(B3309&gt;=_TM1,B3309&lt;=_TM2,OR(TH!L3309="1111",TH!M3309="1111")),TH!D3309,""),"")</f>
        <v/>
      </c>
      <c r="B3309" s="36">
        <f t="shared" si="57"/>
        <v>7</v>
      </c>
      <c r="C3309" s="899">
        <f t="shared" si="58"/>
        <v>42209</v>
      </c>
      <c r="D3309" s="900" t="s">
        <v>2013</v>
      </c>
      <c r="E3309" s="900">
        <v>42209</v>
      </c>
      <c r="F3309" s="907" t="s">
        <v>501</v>
      </c>
      <c r="G3309" s="902" t="s">
        <v>936</v>
      </c>
      <c r="H3309" s="913" t="s">
        <v>2014</v>
      </c>
      <c r="I3309" s="253">
        <v>614</v>
      </c>
      <c r="J3309" s="253">
        <v>12686.833353250515</v>
      </c>
      <c r="K3309" s="904">
        <f t="shared" si="59"/>
        <v>7789716</v>
      </c>
      <c r="L3309" s="869" t="s">
        <v>167</v>
      </c>
      <c r="M3309" s="869" t="s">
        <v>165</v>
      </c>
      <c r="N3309" s="52" t="str">
        <f>IF(AND('331-CT'!$E$7=TH!H3309,OR(L3309="331",M3309="331")),"331",IF(AND(OR(L3309="131",M3309="131"),H3309='131-CT'!$E$7),"131",""))</f>
        <v/>
      </c>
      <c r="O3309" s="86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799"/>
    </row>
    <row r="3310" spans="1:27" s="210" customFormat="1" ht="15.75" customHeight="1">
      <c r="A3310" s="203" t="str">
        <f>IF(B3310&lt;&gt;"",IF(AND(B3310&gt;=_TM1,B3310&lt;=_TM2,OR(TH!L3310="1111",TH!M3310="1111")),TH!D3310,""),"")</f>
        <v/>
      </c>
      <c r="B3310" s="36">
        <f t="shared" si="57"/>
        <v>7</v>
      </c>
      <c r="C3310" s="899">
        <f t="shared" si="58"/>
        <v>42209</v>
      </c>
      <c r="D3310" s="900" t="s">
        <v>2013</v>
      </c>
      <c r="E3310" s="900">
        <v>42209</v>
      </c>
      <c r="F3310" s="907" t="s">
        <v>398</v>
      </c>
      <c r="G3310" s="902" t="s">
        <v>937</v>
      </c>
      <c r="H3310" s="913" t="s">
        <v>2014</v>
      </c>
      <c r="I3310" s="253">
        <v>460</v>
      </c>
      <c r="J3310" s="253">
        <v>6584.3059175097605</v>
      </c>
      <c r="K3310" s="904">
        <f t="shared" si="59"/>
        <v>3028781</v>
      </c>
      <c r="L3310" s="869" t="s">
        <v>167</v>
      </c>
      <c r="M3310" s="869" t="s">
        <v>165</v>
      </c>
      <c r="N3310" s="52" t="str">
        <f>IF(AND('331-CT'!$E$7=TH!H3310,OR(L3310="331",M3310="331")),"331",IF(AND(OR(L3310="131",M3310="131"),H3310='131-CT'!$E$7),"131",""))</f>
        <v/>
      </c>
      <c r="O3310" s="86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799"/>
    </row>
    <row r="3311" spans="1:27" s="210" customFormat="1" ht="15.75" customHeight="1">
      <c r="A3311" s="203" t="str">
        <f>IF(B3311&lt;&gt;"",IF(AND(B3311&gt;=_TM1,B3311&lt;=_TM2,OR(TH!L3311="1111",TH!M3311="1111")),TH!D3311,""),"")</f>
        <v/>
      </c>
      <c r="B3311" s="36">
        <f t="shared" si="57"/>
        <v>7</v>
      </c>
      <c r="C3311" s="899">
        <f t="shared" si="58"/>
        <v>42212</v>
      </c>
      <c r="D3311" s="900" t="s">
        <v>2013</v>
      </c>
      <c r="E3311" s="900">
        <v>42212</v>
      </c>
      <c r="F3311" s="907" t="s">
        <v>510</v>
      </c>
      <c r="G3311" s="902" t="s">
        <v>938</v>
      </c>
      <c r="H3311" s="913" t="s">
        <v>2014</v>
      </c>
      <c r="I3311" s="253">
        <v>48</v>
      </c>
      <c r="J3311" s="253">
        <v>8832.6054990984594</v>
      </c>
      <c r="K3311" s="904">
        <f t="shared" si="59"/>
        <v>423965</v>
      </c>
      <c r="L3311" s="869" t="s">
        <v>167</v>
      </c>
      <c r="M3311" s="869" t="s">
        <v>165</v>
      </c>
      <c r="N3311" s="52" t="str">
        <f>IF(AND('331-CT'!$E$7=TH!H3311,OR(L3311="331",M3311="331")),"331",IF(AND(OR(L3311="131",M3311="131"),H3311='131-CT'!$E$7),"131",""))</f>
        <v/>
      </c>
      <c r="O3311" s="86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799"/>
    </row>
    <row r="3312" spans="1:27" s="210" customFormat="1" ht="15.75" customHeight="1">
      <c r="A3312" s="203" t="str">
        <f>IF(B3312&lt;&gt;"",IF(AND(B3312&gt;=_TM1,B3312&lt;=_TM2,OR(TH!L3312="1111",TH!M3312="1111")),TH!D3312,""),"")</f>
        <v/>
      </c>
      <c r="B3312" s="36">
        <f t="shared" si="57"/>
        <v>7</v>
      </c>
      <c r="C3312" s="899">
        <f t="shared" si="58"/>
        <v>42212</v>
      </c>
      <c r="D3312" s="900" t="s">
        <v>2013</v>
      </c>
      <c r="E3312" s="900">
        <v>42212</v>
      </c>
      <c r="F3312" s="907" t="s">
        <v>512</v>
      </c>
      <c r="G3312" s="902" t="s">
        <v>938</v>
      </c>
      <c r="H3312" s="913" t="s">
        <v>2014</v>
      </c>
      <c r="I3312" s="253">
        <v>150</v>
      </c>
      <c r="J3312" s="253">
        <v>9073.4947399829616</v>
      </c>
      <c r="K3312" s="904">
        <f t="shared" si="59"/>
        <v>1361024</v>
      </c>
      <c r="L3312" s="869" t="s">
        <v>167</v>
      </c>
      <c r="M3312" s="869" t="s">
        <v>165</v>
      </c>
      <c r="N3312" s="52" t="str">
        <f>IF(AND('331-CT'!$E$7=TH!H3312,OR(L3312="331",M3312="331")),"331",IF(AND(OR(L3312="131",M3312="131"),H3312='131-CT'!$E$7),"131",""))</f>
        <v/>
      </c>
      <c r="O3312" s="86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799"/>
    </row>
    <row r="3313" spans="1:27" s="210" customFormat="1" ht="15.75" customHeight="1">
      <c r="A3313" s="203" t="str">
        <f>IF(B3313&lt;&gt;"",IF(AND(B3313&gt;=_TM1,B3313&lt;=_TM2,OR(TH!L3313="1111",TH!M3313="1111")),TH!D3313,""),"")</f>
        <v/>
      </c>
      <c r="B3313" s="36">
        <f t="shared" si="57"/>
        <v>7</v>
      </c>
      <c r="C3313" s="899">
        <f t="shared" si="58"/>
        <v>42212</v>
      </c>
      <c r="D3313" s="900" t="s">
        <v>2013</v>
      </c>
      <c r="E3313" s="900">
        <v>42212</v>
      </c>
      <c r="F3313" s="907" t="s">
        <v>513</v>
      </c>
      <c r="G3313" s="902" t="s">
        <v>938</v>
      </c>
      <c r="H3313" s="913" t="s">
        <v>2014</v>
      </c>
      <c r="I3313" s="253">
        <v>450</v>
      </c>
      <c r="J3313" s="253">
        <v>9234.0875672392976</v>
      </c>
      <c r="K3313" s="904">
        <f t="shared" si="59"/>
        <v>4155339</v>
      </c>
      <c r="L3313" s="869" t="s">
        <v>167</v>
      </c>
      <c r="M3313" s="869" t="s">
        <v>165</v>
      </c>
      <c r="N3313" s="52" t="str">
        <f>IF(AND('331-CT'!$E$7=TH!H3313,OR(L3313="331",M3313="331")),"331",IF(AND(OR(L3313="131",M3313="131"),H3313='131-CT'!$E$7),"131",""))</f>
        <v/>
      </c>
      <c r="O3313" s="86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799"/>
    </row>
    <row r="3314" spans="1:27" s="210" customFormat="1" ht="15.75" customHeight="1">
      <c r="A3314" s="203" t="str">
        <f>IF(B3314&lt;&gt;"",IF(AND(B3314&gt;=_TM1,B3314&lt;=_TM2,OR(TH!L3314="1111",TH!M3314="1111")),TH!D3314,""),"")</f>
        <v/>
      </c>
      <c r="B3314" s="36">
        <f t="shared" si="57"/>
        <v>7</v>
      </c>
      <c r="C3314" s="899">
        <f t="shared" si="58"/>
        <v>42212</v>
      </c>
      <c r="D3314" s="900" t="s">
        <v>2013</v>
      </c>
      <c r="E3314" s="900">
        <v>42212</v>
      </c>
      <c r="F3314" s="907" t="s">
        <v>514</v>
      </c>
      <c r="G3314" s="902" t="s">
        <v>938</v>
      </c>
      <c r="H3314" s="913" t="s">
        <v>2014</v>
      </c>
      <c r="I3314" s="253">
        <v>390</v>
      </c>
      <c r="J3314" s="253">
        <v>7708.45570830411</v>
      </c>
      <c r="K3314" s="904">
        <f t="shared" si="59"/>
        <v>3006298</v>
      </c>
      <c r="L3314" s="869" t="s">
        <v>167</v>
      </c>
      <c r="M3314" s="869" t="s">
        <v>165</v>
      </c>
      <c r="N3314" s="52" t="str">
        <f>IF(AND('331-CT'!$E$7=TH!H3314,OR(L3314="331",M3314="331")),"331",IF(AND(OR(L3314="131",M3314="131"),H3314='131-CT'!$E$7),"131",""))</f>
        <v/>
      </c>
      <c r="O3314" s="86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799"/>
    </row>
    <row r="3315" spans="1:27" s="210" customFormat="1" ht="15.75" customHeight="1">
      <c r="A3315" s="203" t="str">
        <f>IF(B3315&lt;&gt;"",IF(AND(B3315&gt;=_TM1,B3315&lt;=_TM2,OR(TH!L3315="1111",TH!M3315="1111")),TH!D3315,""),"")</f>
        <v/>
      </c>
      <c r="B3315" s="36">
        <f t="shared" si="57"/>
        <v>7</v>
      </c>
      <c r="C3315" s="899">
        <f t="shared" si="58"/>
        <v>42212</v>
      </c>
      <c r="D3315" s="900" t="s">
        <v>2013</v>
      </c>
      <c r="E3315" s="900">
        <v>42212</v>
      </c>
      <c r="F3315" s="907" t="s">
        <v>510</v>
      </c>
      <c r="G3315" s="902" t="s">
        <v>938</v>
      </c>
      <c r="H3315" s="913" t="s">
        <v>2014</v>
      </c>
      <c r="I3315" s="253">
        <v>80</v>
      </c>
      <c r="J3315" s="253">
        <v>8832.6054990984594</v>
      </c>
      <c r="K3315" s="904">
        <f t="shared" si="59"/>
        <v>706608</v>
      </c>
      <c r="L3315" s="869" t="s">
        <v>167</v>
      </c>
      <c r="M3315" s="869" t="s">
        <v>165</v>
      </c>
      <c r="N3315" s="52" t="str">
        <f>IF(AND('331-CT'!$E$7=TH!H3315,OR(L3315="331",M3315="331")),"331",IF(AND(OR(L3315="131",M3315="131"),H3315='131-CT'!$E$7),"131",""))</f>
        <v/>
      </c>
      <c r="O3315" s="86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799"/>
    </row>
    <row r="3316" spans="1:27" s="210" customFormat="1" ht="15.75" customHeight="1">
      <c r="A3316" s="203" t="str">
        <f>IF(B3316&lt;&gt;"",IF(AND(B3316&gt;=_TM1,B3316&lt;=_TM2,OR(TH!L3316="1111",TH!M3316="1111")),TH!D3316,""),"")</f>
        <v/>
      </c>
      <c r="B3316" s="36">
        <f t="shared" si="57"/>
        <v>7</v>
      </c>
      <c r="C3316" s="899">
        <f t="shared" si="58"/>
        <v>42212</v>
      </c>
      <c r="D3316" s="900" t="s">
        <v>2013</v>
      </c>
      <c r="E3316" s="900">
        <v>42212</v>
      </c>
      <c r="F3316" s="907" t="s">
        <v>512</v>
      </c>
      <c r="G3316" s="902" t="s">
        <v>938</v>
      </c>
      <c r="H3316" s="913" t="s">
        <v>2014</v>
      </c>
      <c r="I3316" s="253">
        <v>470</v>
      </c>
      <c r="J3316" s="253">
        <v>9073.4947399829616</v>
      </c>
      <c r="K3316" s="904">
        <f t="shared" si="59"/>
        <v>4264543</v>
      </c>
      <c r="L3316" s="869" t="s">
        <v>167</v>
      </c>
      <c r="M3316" s="869" t="s">
        <v>165</v>
      </c>
      <c r="N3316" s="52" t="str">
        <f>IF(AND('331-CT'!$E$7=TH!H3316,OR(L3316="331",M3316="331")),"331",IF(AND(OR(L3316="131",M3316="131"),H3316='131-CT'!$E$7),"131",""))</f>
        <v/>
      </c>
      <c r="O3316" s="86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799"/>
    </row>
    <row r="3317" spans="1:27" s="210" customFormat="1" ht="15.75" customHeight="1">
      <c r="A3317" s="203" t="str">
        <f>IF(B3317&lt;&gt;"",IF(AND(B3317&gt;=_TM1,B3317&lt;=_TM2,OR(TH!L3317="1111",TH!M3317="1111")),TH!D3317,""),"")</f>
        <v/>
      </c>
      <c r="B3317" s="36">
        <f t="shared" si="57"/>
        <v>7</v>
      </c>
      <c r="C3317" s="899">
        <f t="shared" si="58"/>
        <v>42212</v>
      </c>
      <c r="D3317" s="900" t="s">
        <v>2013</v>
      </c>
      <c r="E3317" s="900">
        <v>42212</v>
      </c>
      <c r="F3317" s="907" t="s">
        <v>513</v>
      </c>
      <c r="G3317" s="902" t="s">
        <v>938</v>
      </c>
      <c r="H3317" s="913" t="s">
        <v>2014</v>
      </c>
      <c r="I3317" s="253">
        <v>350</v>
      </c>
      <c r="J3317" s="253">
        <v>9234.0875672392976</v>
      </c>
      <c r="K3317" s="904">
        <f t="shared" si="59"/>
        <v>3231931</v>
      </c>
      <c r="L3317" s="869" t="s">
        <v>167</v>
      </c>
      <c r="M3317" s="869" t="s">
        <v>165</v>
      </c>
      <c r="N3317" s="52" t="str">
        <f>IF(AND('331-CT'!$E$7=TH!H3317,OR(L3317="331",M3317="331")),"331",IF(AND(OR(L3317="131",M3317="131"),H3317='131-CT'!$E$7),"131",""))</f>
        <v/>
      </c>
      <c r="O3317" s="86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799"/>
    </row>
    <row r="3318" spans="1:27" s="210" customFormat="1" ht="15.75" customHeight="1">
      <c r="A3318" s="203" t="str">
        <f>IF(B3318&lt;&gt;"",IF(AND(B3318&gt;=_TM1,B3318&lt;=_TM2,OR(TH!L3318="1111",TH!M3318="1111")),TH!D3318,""),"")</f>
        <v/>
      </c>
      <c r="B3318" s="36">
        <f t="shared" si="57"/>
        <v>7</v>
      </c>
      <c r="C3318" s="899">
        <f t="shared" si="58"/>
        <v>42212</v>
      </c>
      <c r="D3318" s="900" t="s">
        <v>2013</v>
      </c>
      <c r="E3318" s="900">
        <v>42212</v>
      </c>
      <c r="F3318" s="907" t="s">
        <v>514</v>
      </c>
      <c r="G3318" s="902" t="s">
        <v>938</v>
      </c>
      <c r="H3318" s="913" t="s">
        <v>2014</v>
      </c>
      <c r="I3318" s="253">
        <v>251</v>
      </c>
      <c r="J3318" s="253">
        <v>7708.45570830411</v>
      </c>
      <c r="K3318" s="904">
        <f t="shared" si="59"/>
        <v>1934822</v>
      </c>
      <c r="L3318" s="869" t="s">
        <v>167</v>
      </c>
      <c r="M3318" s="869" t="s">
        <v>165</v>
      </c>
      <c r="N3318" s="52" t="str">
        <f>IF(AND('331-CT'!$E$7=TH!H3318,OR(L3318="331",M3318="331")),"331",IF(AND(OR(L3318="131",M3318="131"),H3318='131-CT'!$E$7),"131",""))</f>
        <v/>
      </c>
      <c r="O3318" s="86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799"/>
    </row>
    <row r="3319" spans="1:27" s="210" customFormat="1" ht="15.75" customHeight="1">
      <c r="A3319" s="203" t="str">
        <f>IF(B3319&lt;&gt;"",IF(AND(B3319&gt;=_TM1,B3319&lt;=_TM2,OR(TH!L3319="1111",TH!M3319="1111")),TH!D3319,""),"")</f>
        <v/>
      </c>
      <c r="B3319" s="36">
        <f t="shared" si="57"/>
        <v>7</v>
      </c>
      <c r="C3319" s="899">
        <f t="shared" si="58"/>
        <v>42212</v>
      </c>
      <c r="D3319" s="900" t="s">
        <v>2013</v>
      </c>
      <c r="E3319" s="900">
        <v>42212</v>
      </c>
      <c r="F3319" s="907" t="s">
        <v>510</v>
      </c>
      <c r="G3319" s="902" t="s">
        <v>938</v>
      </c>
      <c r="H3319" s="913" t="s">
        <v>2014</v>
      </c>
      <c r="I3319" s="253">
        <v>150</v>
      </c>
      <c r="J3319" s="253">
        <v>8832.6054990984594</v>
      </c>
      <c r="K3319" s="904">
        <f t="shared" si="59"/>
        <v>1324891</v>
      </c>
      <c r="L3319" s="869" t="s">
        <v>167</v>
      </c>
      <c r="M3319" s="869" t="s">
        <v>165</v>
      </c>
      <c r="N3319" s="52" t="str">
        <f>IF(AND('331-CT'!$E$7=TH!H3319,OR(L3319="331",M3319="331")),"331",IF(AND(OR(L3319="131",M3319="131"),H3319='131-CT'!$E$7),"131",""))</f>
        <v/>
      </c>
      <c r="O3319" s="86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799"/>
    </row>
    <row r="3320" spans="1:27" s="210" customFormat="1" ht="15.75" customHeight="1">
      <c r="A3320" s="203" t="str">
        <f>IF(B3320&lt;&gt;"",IF(AND(B3320&gt;=_TM1,B3320&lt;=_TM2,OR(TH!L3320="1111",TH!M3320="1111")),TH!D3320,""),"")</f>
        <v/>
      </c>
      <c r="B3320" s="36">
        <f t="shared" si="57"/>
        <v>7</v>
      </c>
      <c r="C3320" s="899">
        <f t="shared" si="58"/>
        <v>42212</v>
      </c>
      <c r="D3320" s="900" t="s">
        <v>2013</v>
      </c>
      <c r="E3320" s="900">
        <v>42212</v>
      </c>
      <c r="F3320" s="907" t="s">
        <v>512</v>
      </c>
      <c r="G3320" s="902" t="s">
        <v>938</v>
      </c>
      <c r="H3320" s="913" t="s">
        <v>2014</v>
      </c>
      <c r="I3320" s="253">
        <v>200</v>
      </c>
      <c r="J3320" s="253">
        <v>9073.4947399829616</v>
      </c>
      <c r="K3320" s="904">
        <f t="shared" si="59"/>
        <v>1814699</v>
      </c>
      <c r="L3320" s="869" t="s">
        <v>167</v>
      </c>
      <c r="M3320" s="869" t="s">
        <v>165</v>
      </c>
      <c r="N3320" s="52" t="str">
        <f>IF(AND('331-CT'!$E$7=TH!H3320,OR(L3320="331",M3320="331")),"331",IF(AND(OR(L3320="131",M3320="131"),H3320='131-CT'!$E$7),"131",""))</f>
        <v/>
      </c>
      <c r="O3320" s="86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799"/>
    </row>
    <row r="3321" spans="1:27" s="210" customFormat="1" ht="15.75" customHeight="1">
      <c r="A3321" s="203" t="str">
        <f>IF(B3321&lt;&gt;"",IF(AND(B3321&gt;=_TM1,B3321&lt;=_TM2,OR(TH!L3321="1111",TH!M3321="1111")),TH!D3321,""),"")</f>
        <v/>
      </c>
      <c r="B3321" s="36">
        <f t="shared" si="57"/>
        <v>7</v>
      </c>
      <c r="C3321" s="899">
        <f t="shared" si="58"/>
        <v>42212</v>
      </c>
      <c r="D3321" s="900" t="s">
        <v>2013</v>
      </c>
      <c r="E3321" s="900">
        <v>42212</v>
      </c>
      <c r="F3321" s="907" t="s">
        <v>682</v>
      </c>
      <c r="G3321" s="902" t="s">
        <v>939</v>
      </c>
      <c r="H3321" s="913" t="s">
        <v>2014</v>
      </c>
      <c r="I3321" s="253">
        <v>222</v>
      </c>
      <c r="J3321" s="253">
        <v>4255.7099222928946</v>
      </c>
      <c r="K3321" s="904">
        <f t="shared" si="59"/>
        <v>944768</v>
      </c>
      <c r="L3321" s="869" t="s">
        <v>167</v>
      </c>
      <c r="M3321" s="869" t="s">
        <v>165</v>
      </c>
      <c r="N3321" s="52" t="str">
        <f>IF(AND('331-CT'!$E$7=TH!H3321,OR(L3321="331",M3321="331")),"331",IF(AND(OR(L3321="131",M3321="131"),H3321='131-CT'!$E$7),"131",""))</f>
        <v/>
      </c>
      <c r="O3321" s="86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799"/>
    </row>
    <row r="3322" spans="1:27" s="210" customFormat="1" ht="15.75" customHeight="1">
      <c r="A3322" s="203" t="str">
        <f>IF(B3322&lt;&gt;"",IF(AND(B3322&gt;=_TM1,B3322&lt;=_TM2,OR(TH!L3322="1111",TH!M3322="1111")),TH!D3322,""),"")</f>
        <v/>
      </c>
      <c r="B3322" s="36">
        <f t="shared" si="57"/>
        <v>7</v>
      </c>
      <c r="C3322" s="899">
        <f t="shared" si="58"/>
        <v>42212</v>
      </c>
      <c r="D3322" s="900" t="s">
        <v>2013</v>
      </c>
      <c r="E3322" s="900">
        <v>42212</v>
      </c>
      <c r="F3322" s="907" t="s">
        <v>910</v>
      </c>
      <c r="G3322" s="902" t="s">
        <v>939</v>
      </c>
      <c r="H3322" s="913" t="s">
        <v>2014</v>
      </c>
      <c r="I3322" s="253">
        <v>494</v>
      </c>
      <c r="J3322" s="253">
        <v>5379.859713087244</v>
      </c>
      <c r="K3322" s="904">
        <f t="shared" si="59"/>
        <v>2657651</v>
      </c>
      <c r="L3322" s="869" t="s">
        <v>167</v>
      </c>
      <c r="M3322" s="869" t="s">
        <v>165</v>
      </c>
      <c r="N3322" s="52" t="str">
        <f>IF(AND('331-CT'!$E$7=TH!H3322,OR(L3322="331",M3322="331")),"331",IF(AND(OR(L3322="131",M3322="131"),H3322='131-CT'!$E$7),"131",""))</f>
        <v/>
      </c>
      <c r="O3322" s="86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799"/>
    </row>
    <row r="3323" spans="1:27" s="210" customFormat="1" ht="15.75" customHeight="1">
      <c r="A3323" s="203" t="str">
        <f>IF(B3323&lt;&gt;"",IF(AND(B3323&gt;=_TM1,B3323&lt;=_TM2,OR(TH!L3323="1111",TH!M3323="1111")),TH!D3323,""),"")</f>
        <v/>
      </c>
      <c r="B3323" s="36">
        <f t="shared" si="57"/>
        <v>7</v>
      </c>
      <c r="C3323" s="899">
        <f t="shared" si="58"/>
        <v>42214</v>
      </c>
      <c r="D3323" s="900" t="s">
        <v>2013</v>
      </c>
      <c r="E3323" s="900">
        <v>42214</v>
      </c>
      <c r="F3323" s="907" t="s">
        <v>1692</v>
      </c>
      <c r="G3323" s="902" t="s">
        <v>940</v>
      </c>
      <c r="H3323" s="913" t="s">
        <v>2014</v>
      </c>
      <c r="I3323" s="253">
        <v>400</v>
      </c>
      <c r="J3323" s="253">
        <v>642.3713090253425</v>
      </c>
      <c r="K3323" s="904">
        <f t="shared" si="59"/>
        <v>256949</v>
      </c>
      <c r="L3323" s="869" t="s">
        <v>167</v>
      </c>
      <c r="M3323" s="869" t="s">
        <v>165</v>
      </c>
      <c r="N3323" s="52" t="str">
        <f>IF(AND('331-CT'!$E$7=TH!H3323,OR(L3323="331",M3323="331")),"331",IF(AND(OR(L3323="131",M3323="131"),H3323='131-CT'!$E$7),"131",""))</f>
        <v/>
      </c>
      <c r="O3323" s="86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799"/>
    </row>
    <row r="3324" spans="1:27" s="210" customFormat="1" ht="15.75" customHeight="1">
      <c r="A3324" s="203" t="str">
        <f>IF(B3324&lt;&gt;"",IF(AND(B3324&gt;=_TM1,B3324&lt;=_TM2,OR(TH!L3324="1111",TH!M3324="1111")),TH!D3324,""),"")</f>
        <v/>
      </c>
      <c r="B3324" s="36">
        <f t="shared" si="57"/>
        <v>7</v>
      </c>
      <c r="C3324" s="899">
        <f t="shared" si="58"/>
        <v>42216</v>
      </c>
      <c r="D3324" s="900" t="s">
        <v>2013</v>
      </c>
      <c r="E3324" s="900">
        <v>42216</v>
      </c>
      <c r="F3324" s="907" t="s">
        <v>892</v>
      </c>
      <c r="G3324" s="902" t="s">
        <v>941</v>
      </c>
      <c r="H3324" s="913" t="s">
        <v>2014</v>
      </c>
      <c r="I3324" s="253">
        <v>308</v>
      </c>
      <c r="J3324" s="253">
        <v>4978.377644946404</v>
      </c>
      <c r="K3324" s="904">
        <f t="shared" si="59"/>
        <v>1533340</v>
      </c>
      <c r="L3324" s="869" t="s">
        <v>167</v>
      </c>
      <c r="M3324" s="869" t="s">
        <v>165</v>
      </c>
      <c r="N3324" s="52" t="str">
        <f>IF(AND('331-CT'!$E$7=TH!H3324,OR(L3324="331",M3324="331")),"331",IF(AND(OR(L3324="131",M3324="131"),H3324='131-CT'!$E$7),"131",""))</f>
        <v/>
      </c>
      <c r="O3324" s="86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799"/>
    </row>
    <row r="3325" spans="1:27" s="210" customFormat="1" ht="15.75" customHeight="1">
      <c r="A3325" s="203" t="str">
        <f>IF(B3325&lt;&gt;"",IF(AND(B3325&gt;=_TM1,B3325&lt;=_TM2,OR(TH!L3325="1111",TH!M3325="1111")),TH!D3325,""),"")</f>
        <v/>
      </c>
      <c r="B3325" s="36">
        <f t="shared" si="57"/>
        <v>7</v>
      </c>
      <c r="C3325" s="899">
        <f t="shared" si="58"/>
        <v>42216</v>
      </c>
      <c r="D3325" s="900" t="s">
        <v>2013</v>
      </c>
      <c r="E3325" s="900">
        <v>42216</v>
      </c>
      <c r="F3325" s="907" t="s">
        <v>596</v>
      </c>
      <c r="G3325" s="902" t="s">
        <v>942</v>
      </c>
      <c r="H3325" s="913" t="s">
        <v>2014</v>
      </c>
      <c r="I3325" s="253">
        <v>196</v>
      </c>
      <c r="J3325" s="253">
        <v>12767.129766878683</v>
      </c>
      <c r="K3325" s="904">
        <f t="shared" si="59"/>
        <v>2502357</v>
      </c>
      <c r="L3325" s="869" t="s">
        <v>167</v>
      </c>
      <c r="M3325" s="869" t="s">
        <v>165</v>
      </c>
      <c r="N3325" s="52" t="str">
        <f>IF(AND('331-CT'!$E$7=TH!H3325,OR(L3325="331",M3325="331")),"331",IF(AND(OR(L3325="131",M3325="131"),H3325='131-CT'!$E$7),"131",""))</f>
        <v/>
      </c>
      <c r="O3325" s="86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799"/>
    </row>
    <row r="3326" spans="1:27" s="210" customFormat="1" ht="15.75" customHeight="1">
      <c r="A3326" s="203" t="str">
        <f>IF(B3326&lt;&gt;"",IF(AND(B3326&gt;=_TM1,B3326&lt;=_TM2,OR(TH!L3326="1111",TH!M3326="1111")),TH!D3326,""),"")</f>
        <v/>
      </c>
      <c r="B3326" s="36">
        <f t="shared" si="57"/>
        <v>7</v>
      </c>
      <c r="C3326" s="899">
        <f t="shared" si="58"/>
        <v>42216</v>
      </c>
      <c r="D3326" s="900" t="s">
        <v>2013</v>
      </c>
      <c r="E3326" s="900">
        <v>42216</v>
      </c>
      <c r="F3326" s="907" t="s">
        <v>1675</v>
      </c>
      <c r="G3326" s="902" t="s">
        <v>942</v>
      </c>
      <c r="H3326" s="913" t="s">
        <v>2014</v>
      </c>
      <c r="I3326" s="253">
        <v>500</v>
      </c>
      <c r="J3326" s="253">
        <v>1927.1139270760275</v>
      </c>
      <c r="K3326" s="904">
        <f t="shared" si="59"/>
        <v>963557</v>
      </c>
      <c r="L3326" s="869" t="s">
        <v>167</v>
      </c>
      <c r="M3326" s="869" t="s">
        <v>165</v>
      </c>
      <c r="N3326" s="52" t="str">
        <f>IF(AND('331-CT'!$E$7=TH!H3326,OR(L3326="331",M3326="331")),"331",IF(AND(OR(L3326="131",M3326="131"),H3326='131-CT'!$E$7),"131",""))</f>
        <v/>
      </c>
      <c r="O3326" s="86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799"/>
    </row>
    <row r="3327" spans="1:27" s="210" customFormat="1" ht="15.75" customHeight="1">
      <c r="A3327" s="203" t="str">
        <f>IF(B3327&lt;&gt;"",IF(AND(B3327&gt;=_TM1,B3327&lt;=_TM2,OR(TH!L3327="1111",TH!M3327="1111")),TH!D3327,""),"")</f>
        <v/>
      </c>
      <c r="B3327" s="36">
        <f t="shared" si="57"/>
        <v>7</v>
      </c>
      <c r="C3327" s="899">
        <f t="shared" si="58"/>
        <v>42216</v>
      </c>
      <c r="D3327" s="900" t="s">
        <v>2013</v>
      </c>
      <c r="E3327" s="900">
        <v>42216</v>
      </c>
      <c r="F3327" s="907" t="s">
        <v>943</v>
      </c>
      <c r="G3327" s="902" t="s">
        <v>944</v>
      </c>
      <c r="H3327" s="913" t="s">
        <v>2014</v>
      </c>
      <c r="I3327" s="253">
        <v>61</v>
      </c>
      <c r="J3327" s="253">
        <v>16300.171966518064</v>
      </c>
      <c r="K3327" s="904">
        <f t="shared" si="59"/>
        <v>994310</v>
      </c>
      <c r="L3327" s="869" t="s">
        <v>167</v>
      </c>
      <c r="M3327" s="869" t="s">
        <v>165</v>
      </c>
      <c r="N3327" s="52" t="str">
        <f>IF(AND('331-CT'!$E$7=TH!H3327,OR(L3327="331",M3327="331")),"331",IF(AND(OR(L3327="131",M3327="131"),H3327='131-CT'!$E$7),"131",""))</f>
        <v/>
      </c>
      <c r="O3327" s="86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799"/>
    </row>
    <row r="3328" spans="1:27" s="210" customFormat="1" ht="15.75" customHeight="1">
      <c r="A3328" s="203" t="str">
        <f>IF(B3328&lt;&gt;"",IF(AND(B3328&gt;=_TM1,B3328&lt;=_TM2,OR(TH!L3328="1111",TH!M3328="1111")),TH!D3328,""),"")</f>
        <v/>
      </c>
      <c r="B3328" s="36">
        <f t="shared" si="57"/>
        <v>7</v>
      </c>
      <c r="C3328" s="899">
        <f t="shared" si="58"/>
        <v>42216</v>
      </c>
      <c r="D3328" s="900" t="s">
        <v>2013</v>
      </c>
      <c r="E3328" s="900">
        <v>42216</v>
      </c>
      <c r="F3328" s="907" t="s">
        <v>539</v>
      </c>
      <c r="G3328" s="902" t="s">
        <v>944</v>
      </c>
      <c r="H3328" s="913" t="s">
        <v>2014</v>
      </c>
      <c r="I3328" s="253">
        <v>316</v>
      </c>
      <c r="J3328" s="253">
        <v>7547.862881047774</v>
      </c>
      <c r="K3328" s="904">
        <f t="shared" si="59"/>
        <v>2385125</v>
      </c>
      <c r="L3328" s="869" t="s">
        <v>167</v>
      </c>
      <c r="M3328" s="869" t="s">
        <v>165</v>
      </c>
      <c r="N3328" s="52" t="str">
        <f>IF(AND('331-CT'!$E$7=TH!H3328,OR(L3328="331",M3328="331")),"331",IF(AND(OR(L3328="131",M3328="131"),H3328='131-CT'!$E$7),"131",""))</f>
        <v/>
      </c>
      <c r="O3328" s="86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799"/>
    </row>
    <row r="3329" spans="1:27" s="210" customFormat="1" ht="15.75" customHeight="1">
      <c r="A3329" s="203" t="str">
        <f>IF(B3329&lt;&gt;"",IF(AND(B3329&gt;=_TM1,B3329&lt;=_TM2,OR(TH!L3329="1111",TH!M3329="1111")),TH!D3329,""),"")</f>
        <v/>
      </c>
      <c r="B3329" s="36">
        <f t="shared" si="57"/>
        <v>8</v>
      </c>
      <c r="C3329" s="899">
        <f t="shared" si="58"/>
        <v>42219</v>
      </c>
      <c r="D3329" s="900" t="s">
        <v>2013</v>
      </c>
      <c r="E3329" s="900">
        <v>42219</v>
      </c>
      <c r="F3329" s="907" t="s">
        <v>439</v>
      </c>
      <c r="G3329" s="902" t="s">
        <v>945</v>
      </c>
      <c r="H3329" s="913" t="s">
        <v>2014</v>
      </c>
      <c r="I3329" s="253">
        <v>517</v>
      </c>
      <c r="J3329" s="253">
        <v>5138.97047220274</v>
      </c>
      <c r="K3329" s="904">
        <f t="shared" si="59"/>
        <v>2656848</v>
      </c>
      <c r="L3329" s="869" t="s">
        <v>167</v>
      </c>
      <c r="M3329" s="869" t="s">
        <v>165</v>
      </c>
      <c r="N3329" s="52" t="str">
        <f>IF(AND('331-CT'!$E$7=TH!H3329,OR(L3329="331",M3329="331")),"331",IF(AND(OR(L3329="131",M3329="131"),H3329='131-CT'!$E$7),"131",""))</f>
        <v/>
      </c>
      <c r="O3329" s="86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799"/>
    </row>
    <row r="3330" spans="1:27" s="210" customFormat="1" ht="15.75" customHeight="1">
      <c r="A3330" s="203" t="str">
        <f>IF(B3330&lt;&gt;"",IF(AND(B3330&gt;=_TM1,B3330&lt;=_TM2,OR(TH!L3330="1111",TH!M3330="1111")),TH!D3330,""),"")</f>
        <v/>
      </c>
      <c r="B3330" s="36">
        <f t="shared" si="57"/>
        <v>8</v>
      </c>
      <c r="C3330" s="899">
        <f t="shared" si="58"/>
        <v>42219</v>
      </c>
      <c r="D3330" s="900" t="s">
        <v>2013</v>
      </c>
      <c r="E3330" s="900">
        <v>42219</v>
      </c>
      <c r="F3330" s="907" t="s">
        <v>522</v>
      </c>
      <c r="G3330" s="902" t="s">
        <v>945</v>
      </c>
      <c r="H3330" s="913" t="s">
        <v>2014</v>
      </c>
      <c r="I3330" s="253">
        <v>296</v>
      </c>
      <c r="J3330" s="253">
        <v>4336.0063359210617</v>
      </c>
      <c r="K3330" s="904">
        <f t="shared" si="59"/>
        <v>1283458</v>
      </c>
      <c r="L3330" s="869" t="s">
        <v>167</v>
      </c>
      <c r="M3330" s="869" t="s">
        <v>165</v>
      </c>
      <c r="N3330" s="52" t="str">
        <f>IF(AND('331-CT'!$E$7=TH!H3330,OR(L3330="331",M3330="331")),"331",IF(AND(OR(L3330="131",M3330="131"),H3330='131-CT'!$E$7),"131",""))</f>
        <v/>
      </c>
      <c r="O3330" s="86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799"/>
    </row>
    <row r="3331" spans="1:27" s="210" customFormat="1" ht="15.75" customHeight="1">
      <c r="A3331" s="203" t="str">
        <f>IF(B3331&lt;&gt;"",IF(AND(B3331&gt;=_TM1,B3331&lt;=_TM2,OR(TH!L3331="1111",TH!M3331="1111")),TH!D3331,""),"")</f>
        <v/>
      </c>
      <c r="B3331" s="36">
        <f t="shared" si="57"/>
        <v>8</v>
      </c>
      <c r="C3331" s="899">
        <f t="shared" si="58"/>
        <v>42219</v>
      </c>
      <c r="D3331" s="900" t="s">
        <v>2013</v>
      </c>
      <c r="E3331" s="900">
        <v>42219</v>
      </c>
      <c r="F3331" s="907" t="s">
        <v>441</v>
      </c>
      <c r="G3331" s="902" t="s">
        <v>945</v>
      </c>
      <c r="H3331" s="913" t="s">
        <v>2014</v>
      </c>
      <c r="I3331" s="253">
        <v>518</v>
      </c>
      <c r="J3331" s="253">
        <v>4095.1170950365586</v>
      </c>
      <c r="K3331" s="904">
        <f t="shared" si="59"/>
        <v>2121271</v>
      </c>
      <c r="L3331" s="869" t="s">
        <v>167</v>
      </c>
      <c r="M3331" s="869" t="s">
        <v>165</v>
      </c>
      <c r="N3331" s="52" t="str">
        <f>IF(AND('331-CT'!$E$7=TH!H3331,OR(L3331="331",M3331="331")),"331",IF(AND(OR(L3331="131",M3331="131"),H3331='131-CT'!$E$7),"131",""))</f>
        <v/>
      </c>
      <c r="O3331" s="86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799"/>
    </row>
    <row r="3332" spans="1:27" s="210" customFormat="1" ht="15.75" customHeight="1">
      <c r="A3332" s="203" t="str">
        <f>IF(B3332&lt;&gt;"",IF(AND(B3332&gt;=_TM1,B3332&lt;=_TM2,OR(TH!L3332="1111",TH!M3332="1111")),TH!D3332,""),"")</f>
        <v/>
      </c>
      <c r="B3332" s="36">
        <f t="shared" si="57"/>
        <v>8</v>
      </c>
      <c r="C3332" s="899">
        <f t="shared" si="58"/>
        <v>42219</v>
      </c>
      <c r="D3332" s="900" t="s">
        <v>2013</v>
      </c>
      <c r="E3332" s="900">
        <v>42219</v>
      </c>
      <c r="F3332" s="907" t="s">
        <v>946</v>
      </c>
      <c r="G3332" s="902" t="s">
        <v>945</v>
      </c>
      <c r="H3332" s="913" t="s">
        <v>2014</v>
      </c>
      <c r="I3332" s="253">
        <v>514</v>
      </c>
      <c r="J3332" s="253">
        <v>5941.9346084844183</v>
      </c>
      <c r="K3332" s="904">
        <f t="shared" si="59"/>
        <v>3054154</v>
      </c>
      <c r="L3332" s="869" t="s">
        <v>167</v>
      </c>
      <c r="M3332" s="869" t="s">
        <v>165</v>
      </c>
      <c r="N3332" s="52" t="str">
        <f>IF(AND('331-CT'!$E$7=TH!H3332,OR(L3332="331",M3332="331")),"331",IF(AND(OR(L3332="131",M3332="131"),H3332='131-CT'!$E$7),"131",""))</f>
        <v/>
      </c>
      <c r="O3332" s="86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799"/>
    </row>
    <row r="3333" spans="1:27" s="210" customFormat="1" ht="15.75" customHeight="1">
      <c r="A3333" s="203" t="str">
        <f>IF(B3333&lt;&gt;"",IF(AND(B3333&gt;=_TM1,B3333&lt;=_TM2,OR(TH!L3333="1111",TH!M3333="1111")),TH!D3333,""),"")</f>
        <v/>
      </c>
      <c r="B3333" s="36">
        <f t="shared" si="57"/>
        <v>8</v>
      </c>
      <c r="C3333" s="899">
        <f t="shared" si="58"/>
        <v>42219</v>
      </c>
      <c r="D3333" s="900" t="s">
        <v>2013</v>
      </c>
      <c r="E3333" s="900">
        <v>42219</v>
      </c>
      <c r="F3333" s="907" t="s">
        <v>947</v>
      </c>
      <c r="G3333" s="902" t="s">
        <v>945</v>
      </c>
      <c r="H3333" s="913" t="s">
        <v>2014</v>
      </c>
      <c r="I3333" s="253">
        <v>106</v>
      </c>
      <c r="J3333" s="253">
        <v>19592.324925272944</v>
      </c>
      <c r="K3333" s="904">
        <f t="shared" si="59"/>
        <v>2076786</v>
      </c>
      <c r="L3333" s="869" t="s">
        <v>167</v>
      </c>
      <c r="M3333" s="869" t="s">
        <v>165</v>
      </c>
      <c r="N3333" s="52" t="str">
        <f>IF(AND('331-CT'!$E$7=TH!H3333,OR(L3333="331",M3333="331")),"331",IF(AND(OR(L3333="131",M3333="131"),H3333='131-CT'!$E$7),"131",""))</f>
        <v/>
      </c>
      <c r="O3333" s="86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799"/>
    </row>
    <row r="3334" spans="1:27" s="210" customFormat="1" ht="15.75" customHeight="1">
      <c r="A3334" s="203" t="str">
        <f>IF(B3334&lt;&gt;"",IF(AND(B3334&gt;=_TM1,B3334&lt;=_TM2,OR(TH!L3334="1111",TH!M3334="1111")),TH!D3334,""),"")</f>
        <v/>
      </c>
      <c r="B3334" s="36">
        <f t="shared" si="57"/>
        <v>8</v>
      </c>
      <c r="C3334" s="899">
        <f t="shared" si="58"/>
        <v>42219</v>
      </c>
      <c r="D3334" s="900" t="s">
        <v>2013</v>
      </c>
      <c r="E3334" s="900">
        <v>42219</v>
      </c>
      <c r="F3334" s="907" t="s">
        <v>948</v>
      </c>
      <c r="G3334" s="902" t="s">
        <v>945</v>
      </c>
      <c r="H3334" s="913" t="s">
        <v>2014</v>
      </c>
      <c r="I3334" s="253">
        <v>116</v>
      </c>
      <c r="J3334" s="253">
        <v>5379.859713087244</v>
      </c>
      <c r="K3334" s="904">
        <f t="shared" si="59"/>
        <v>624064</v>
      </c>
      <c r="L3334" s="869" t="s">
        <v>167</v>
      </c>
      <c r="M3334" s="869" t="s">
        <v>165</v>
      </c>
      <c r="N3334" s="52" t="str">
        <f>IF(AND('331-CT'!$E$7=TH!H3334,OR(L3334="331",M3334="331")),"331",IF(AND(OR(L3334="131",M3334="131"),H3334='131-CT'!$E$7),"131",""))</f>
        <v/>
      </c>
      <c r="O3334" s="86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799"/>
    </row>
    <row r="3335" spans="1:27" s="210" customFormat="1" ht="15.75" customHeight="1">
      <c r="A3335" s="203" t="str">
        <f>IF(B3335&lt;&gt;"",IF(AND(B3335&gt;=_TM1,B3335&lt;=_TM2,OR(TH!L3335="1111",TH!M3335="1111")),TH!D3335,""),"")</f>
        <v/>
      </c>
      <c r="B3335" s="36">
        <f t="shared" si="57"/>
        <v>8</v>
      </c>
      <c r="C3335" s="899">
        <f t="shared" si="58"/>
        <v>42219</v>
      </c>
      <c r="D3335" s="900" t="s">
        <v>2013</v>
      </c>
      <c r="E3335" s="900">
        <v>42219</v>
      </c>
      <c r="F3335" s="907" t="s">
        <v>602</v>
      </c>
      <c r="G3335" s="902" t="s">
        <v>949</v>
      </c>
      <c r="H3335" s="913" t="s">
        <v>2014</v>
      </c>
      <c r="I3335" s="253">
        <v>1131</v>
      </c>
      <c r="J3335" s="253">
        <v>10117.348117149144</v>
      </c>
      <c r="K3335" s="904">
        <f t="shared" si="59"/>
        <v>11442721</v>
      </c>
      <c r="L3335" s="869" t="s">
        <v>167</v>
      </c>
      <c r="M3335" s="869" t="s">
        <v>165</v>
      </c>
      <c r="N3335" s="52" t="str">
        <f>IF(AND('331-CT'!$E$7=TH!H3335,OR(L3335="331",M3335="331")),"331",IF(AND(OR(L3335="131",M3335="131"),H3335='131-CT'!$E$7),"131",""))</f>
        <v/>
      </c>
      <c r="O3335" s="86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799"/>
    </row>
    <row r="3336" spans="1:27" s="210" customFormat="1" ht="15.75" customHeight="1">
      <c r="A3336" s="203" t="str">
        <f>IF(B3336&lt;&gt;"",IF(AND(B3336&gt;=_TM1,B3336&lt;=_TM2,OR(TH!L3336="1111",TH!M3336="1111")),TH!D3336,""),"")</f>
        <v/>
      </c>
      <c r="B3336" s="36">
        <f t="shared" si="57"/>
        <v>8</v>
      </c>
      <c r="C3336" s="899">
        <f t="shared" si="58"/>
        <v>42219</v>
      </c>
      <c r="D3336" s="900" t="s">
        <v>2013</v>
      </c>
      <c r="E3336" s="900">
        <v>42219</v>
      </c>
      <c r="F3336" s="907" t="s">
        <v>951</v>
      </c>
      <c r="G3336" s="902" t="s">
        <v>949</v>
      </c>
      <c r="H3336" s="913" t="s">
        <v>2014</v>
      </c>
      <c r="I3336" s="253">
        <v>210</v>
      </c>
      <c r="J3336" s="253">
        <v>10117.348117149144</v>
      </c>
      <c r="K3336" s="904">
        <f t="shared" si="59"/>
        <v>2124643</v>
      </c>
      <c r="L3336" s="869" t="s">
        <v>167</v>
      </c>
      <c r="M3336" s="869" t="s">
        <v>165</v>
      </c>
      <c r="N3336" s="52" t="str">
        <f>IF(AND('331-CT'!$E$7=TH!H3336,OR(L3336="331",M3336="331")),"331",IF(AND(OR(L3336="131",M3336="131"),H3336='131-CT'!$E$7),"131",""))</f>
        <v/>
      </c>
      <c r="O3336" s="86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799"/>
    </row>
    <row r="3337" spans="1:27" s="210" customFormat="1" ht="15.75" customHeight="1">
      <c r="A3337" s="203" t="str">
        <f>IF(B3337&lt;&gt;"",IF(AND(B3337&gt;=_TM1,B3337&lt;=_TM2,OR(TH!L3337="1111",TH!M3337="1111")),TH!D3337,""),"")</f>
        <v/>
      </c>
      <c r="B3337" s="36">
        <f t="shared" si="57"/>
        <v>8</v>
      </c>
      <c r="C3337" s="899">
        <f t="shared" si="58"/>
        <v>42222</v>
      </c>
      <c r="D3337" s="900" t="s">
        <v>2013</v>
      </c>
      <c r="E3337" s="900">
        <v>42222</v>
      </c>
      <c r="F3337" s="907" t="s">
        <v>952</v>
      </c>
      <c r="G3337" s="902" t="s">
        <v>953</v>
      </c>
      <c r="H3337" s="913" t="s">
        <v>2014</v>
      </c>
      <c r="I3337" s="253">
        <v>157</v>
      </c>
      <c r="J3337" s="253">
        <v>25855.445188270038</v>
      </c>
      <c r="K3337" s="904">
        <f t="shared" si="59"/>
        <v>4059305</v>
      </c>
      <c r="L3337" s="869" t="s">
        <v>167</v>
      </c>
      <c r="M3337" s="869" t="s">
        <v>165</v>
      </c>
      <c r="N3337" s="52" t="str">
        <f>IF(AND('331-CT'!$E$7=TH!H3337,OR(L3337="331",M3337="331")),"331",IF(AND(OR(L3337="131",M3337="131"),H3337='131-CT'!$E$7),"131",""))</f>
        <v/>
      </c>
      <c r="O3337" s="86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799"/>
    </row>
    <row r="3338" spans="1:27" s="210" customFormat="1" ht="15.75" customHeight="1">
      <c r="A3338" s="203" t="str">
        <f>IF(B3338&lt;&gt;"",IF(AND(B3338&gt;=_TM1,B3338&lt;=_TM2,OR(TH!L3338="1111",TH!M3338="1111")),TH!D3338,""),"")</f>
        <v/>
      </c>
      <c r="B3338" s="36">
        <f t="shared" si="57"/>
        <v>8</v>
      </c>
      <c r="C3338" s="899">
        <f t="shared" si="58"/>
        <v>42223</v>
      </c>
      <c r="D3338" s="900" t="s">
        <v>2013</v>
      </c>
      <c r="E3338" s="900">
        <v>42223</v>
      </c>
      <c r="F3338" s="907" t="s">
        <v>398</v>
      </c>
      <c r="G3338" s="902" t="s">
        <v>955</v>
      </c>
      <c r="H3338" s="913" t="s">
        <v>2014</v>
      </c>
      <c r="I3338" s="253">
        <v>922</v>
      </c>
      <c r="J3338" s="253">
        <v>6584.3059175097605</v>
      </c>
      <c r="K3338" s="904">
        <f t="shared" si="59"/>
        <v>6070730</v>
      </c>
      <c r="L3338" s="869" t="s">
        <v>167</v>
      </c>
      <c r="M3338" s="869" t="s">
        <v>165</v>
      </c>
      <c r="N3338" s="52" t="str">
        <f>IF(AND('331-CT'!$E$7=TH!H3338,OR(L3338="331",M3338="331")),"331",IF(AND(OR(L3338="131",M3338="131"),H3338='131-CT'!$E$7),"131",""))</f>
        <v/>
      </c>
      <c r="O3338" s="86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799"/>
    </row>
    <row r="3339" spans="1:27" s="210" customFormat="1" ht="15.75" customHeight="1">
      <c r="A3339" s="203" t="str">
        <f>IF(B3339&lt;&gt;"",IF(AND(B3339&gt;=_TM1,B3339&lt;=_TM2,OR(TH!L3339="1111",TH!M3339="1111")),TH!D3339,""),"")</f>
        <v/>
      </c>
      <c r="B3339" s="36">
        <f t="shared" si="57"/>
        <v>8</v>
      </c>
      <c r="C3339" s="899">
        <f t="shared" si="58"/>
        <v>42223</v>
      </c>
      <c r="D3339" s="900" t="s">
        <v>2013</v>
      </c>
      <c r="E3339" s="900">
        <v>42223</v>
      </c>
      <c r="F3339" s="907" t="s">
        <v>446</v>
      </c>
      <c r="G3339" s="902" t="s">
        <v>955</v>
      </c>
      <c r="H3339" s="913" t="s">
        <v>2014</v>
      </c>
      <c r="I3339" s="253">
        <v>307</v>
      </c>
      <c r="J3339" s="253">
        <v>7306.9736401632708</v>
      </c>
      <c r="K3339" s="904">
        <f t="shared" si="59"/>
        <v>2243241</v>
      </c>
      <c r="L3339" s="869" t="s">
        <v>167</v>
      </c>
      <c r="M3339" s="869" t="s">
        <v>165</v>
      </c>
      <c r="N3339" s="52" t="str">
        <f>IF(AND('331-CT'!$E$7=TH!H3339,OR(L3339="331",M3339="331")),"331",IF(AND(OR(L3339="131",M3339="131"),H3339='131-CT'!$E$7),"131",""))</f>
        <v/>
      </c>
      <c r="O3339" s="86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799"/>
    </row>
    <row r="3340" spans="1:27" s="210" customFormat="1" ht="15.75" customHeight="1">
      <c r="A3340" s="203" t="str">
        <f>IF(B3340&lt;&gt;"",IF(AND(B3340&gt;=_TM1,B3340&lt;=_TM2,OR(TH!L3340="1111",TH!M3340="1111")),TH!D3340,""),"")</f>
        <v/>
      </c>
      <c r="B3340" s="36">
        <f t="shared" si="57"/>
        <v>8</v>
      </c>
      <c r="C3340" s="899">
        <f t="shared" si="58"/>
        <v>42223</v>
      </c>
      <c r="D3340" s="900" t="s">
        <v>2013</v>
      </c>
      <c r="E3340" s="900">
        <v>42223</v>
      </c>
      <c r="F3340" s="907" t="s">
        <v>2010</v>
      </c>
      <c r="G3340" s="902" t="s">
        <v>956</v>
      </c>
      <c r="H3340" s="913" t="s">
        <v>2014</v>
      </c>
      <c r="I3340" s="253">
        <v>1667</v>
      </c>
      <c r="J3340" s="253">
        <v>9394.6803944956337</v>
      </c>
      <c r="K3340" s="904">
        <f t="shared" si="59"/>
        <v>15660932</v>
      </c>
      <c r="L3340" s="869" t="s">
        <v>167</v>
      </c>
      <c r="M3340" s="869" t="s">
        <v>165</v>
      </c>
      <c r="N3340" s="52" t="str">
        <f>IF(AND('331-CT'!$E$7=TH!H3340,OR(L3340="331",M3340="331")),"331",IF(AND(OR(L3340="131",M3340="131"),H3340='131-CT'!$E$7),"131",""))</f>
        <v/>
      </c>
      <c r="O3340" s="86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799"/>
    </row>
    <row r="3341" spans="1:27" s="210" customFormat="1" ht="15.75" customHeight="1">
      <c r="A3341" s="203" t="str">
        <f>IF(B3341&lt;&gt;"",IF(AND(B3341&gt;=_TM1,B3341&lt;=_TM2,OR(TH!L3341="1111",TH!M3341="1111")),TH!D3341,""),"")</f>
        <v/>
      </c>
      <c r="B3341" s="36">
        <f t="shared" si="57"/>
        <v>8</v>
      </c>
      <c r="C3341" s="899">
        <f t="shared" si="58"/>
        <v>42223</v>
      </c>
      <c r="D3341" s="900" t="s">
        <v>2013</v>
      </c>
      <c r="E3341" s="900">
        <v>42223</v>
      </c>
      <c r="F3341" s="907" t="s">
        <v>1773</v>
      </c>
      <c r="G3341" s="902" t="s">
        <v>958</v>
      </c>
      <c r="H3341" s="913" t="s">
        <v>2014</v>
      </c>
      <c r="I3341" s="253">
        <v>450</v>
      </c>
      <c r="J3341" s="253">
        <v>8029.6413628167811</v>
      </c>
      <c r="K3341" s="904">
        <f t="shared" si="59"/>
        <v>3613339</v>
      </c>
      <c r="L3341" s="869" t="s">
        <v>167</v>
      </c>
      <c r="M3341" s="869" t="s">
        <v>165</v>
      </c>
      <c r="N3341" s="52" t="str">
        <f>IF(AND('331-CT'!$E$7=TH!H3341,OR(L3341="331",M3341="331")),"331",IF(AND(OR(L3341="131",M3341="131"),H3341='131-CT'!$E$7),"131",""))</f>
        <v/>
      </c>
      <c r="O3341" s="86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799"/>
    </row>
    <row r="3342" spans="1:27" s="210" customFormat="1" ht="15.75" customHeight="1">
      <c r="A3342" s="203" t="str">
        <f>IF(B3342&lt;&gt;"",IF(AND(B3342&gt;=_TM1,B3342&lt;=_TM2,OR(TH!L3342="1111",TH!M3342="1111")),TH!D3342,""),"")</f>
        <v/>
      </c>
      <c r="B3342" s="36">
        <f t="shared" si="57"/>
        <v>8</v>
      </c>
      <c r="C3342" s="899">
        <f t="shared" si="58"/>
        <v>42223</v>
      </c>
      <c r="D3342" s="900" t="s">
        <v>2013</v>
      </c>
      <c r="E3342" s="900">
        <v>42223</v>
      </c>
      <c r="F3342" s="907" t="s">
        <v>1774</v>
      </c>
      <c r="G3342" s="902" t="s">
        <v>958</v>
      </c>
      <c r="H3342" s="913" t="s">
        <v>2014</v>
      </c>
      <c r="I3342" s="253">
        <v>58</v>
      </c>
      <c r="J3342" s="253">
        <v>14453.354453070206</v>
      </c>
      <c r="K3342" s="904">
        <f t="shared" si="59"/>
        <v>838295</v>
      </c>
      <c r="L3342" s="869" t="s">
        <v>167</v>
      </c>
      <c r="M3342" s="869" t="s">
        <v>165</v>
      </c>
      <c r="N3342" s="52" t="str">
        <f>IF(AND('331-CT'!$E$7=TH!H3342,OR(L3342="331",M3342="331")),"331",IF(AND(OR(L3342="131",M3342="131"),H3342='131-CT'!$E$7),"131",""))</f>
        <v/>
      </c>
      <c r="O3342" s="86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799"/>
    </row>
    <row r="3343" spans="1:27" s="210" customFormat="1" ht="15.75" customHeight="1">
      <c r="A3343" s="203" t="str">
        <f>IF(B3343&lt;&gt;"",IF(AND(B3343&gt;=_TM1,B3343&lt;=_TM2,OR(TH!L3343="1111",TH!M3343="1111")),TH!D3343,""),"")</f>
        <v/>
      </c>
      <c r="B3343" s="36">
        <f t="shared" si="57"/>
        <v>8</v>
      </c>
      <c r="C3343" s="899">
        <f t="shared" si="58"/>
        <v>42223</v>
      </c>
      <c r="D3343" s="900" t="s">
        <v>2013</v>
      </c>
      <c r="E3343" s="900">
        <v>42223</v>
      </c>
      <c r="F3343" s="907" t="s">
        <v>1727</v>
      </c>
      <c r="G3343" s="902" t="s">
        <v>958</v>
      </c>
      <c r="H3343" s="913" t="s">
        <v>2014</v>
      </c>
      <c r="I3343" s="253">
        <v>10</v>
      </c>
      <c r="J3343" s="253">
        <v>15015.429348467382</v>
      </c>
      <c r="K3343" s="904">
        <f t="shared" si="59"/>
        <v>150154</v>
      </c>
      <c r="L3343" s="869" t="s">
        <v>167</v>
      </c>
      <c r="M3343" s="869" t="s">
        <v>165</v>
      </c>
      <c r="N3343" s="52" t="str">
        <f>IF(AND('331-CT'!$E$7=TH!H3343,OR(L3343="331",M3343="331")),"331",IF(AND(OR(L3343="131",M3343="131"),H3343='131-CT'!$E$7),"131",""))</f>
        <v/>
      </c>
      <c r="O3343" s="86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799"/>
    </row>
    <row r="3344" spans="1:27" s="210" customFormat="1" ht="15.75" customHeight="1">
      <c r="A3344" s="203" t="str">
        <f>IF(B3344&lt;&gt;"",IF(AND(B3344&gt;=_TM1,B3344&lt;=_TM2,OR(TH!L3344="1111",TH!M3344="1111")),TH!D3344,""),"")</f>
        <v/>
      </c>
      <c r="B3344" s="36">
        <f t="shared" si="57"/>
        <v>8</v>
      </c>
      <c r="C3344" s="899">
        <f t="shared" si="58"/>
        <v>42223</v>
      </c>
      <c r="D3344" s="900" t="s">
        <v>2013</v>
      </c>
      <c r="E3344" s="900">
        <v>42223</v>
      </c>
      <c r="F3344" s="907" t="s">
        <v>1728</v>
      </c>
      <c r="G3344" s="902" t="s">
        <v>958</v>
      </c>
      <c r="H3344" s="913" t="s">
        <v>2014</v>
      </c>
      <c r="I3344" s="253">
        <v>10</v>
      </c>
      <c r="J3344" s="253">
        <v>13810.983144044863</v>
      </c>
      <c r="K3344" s="904">
        <f t="shared" si="59"/>
        <v>138110</v>
      </c>
      <c r="L3344" s="869" t="s">
        <v>167</v>
      </c>
      <c r="M3344" s="869" t="s">
        <v>165</v>
      </c>
      <c r="N3344" s="52" t="str">
        <f>IF(AND('331-CT'!$E$7=TH!H3344,OR(L3344="331",M3344="331")),"331",IF(AND(OR(L3344="131",M3344="131"),H3344='131-CT'!$E$7),"131",""))</f>
        <v/>
      </c>
      <c r="O3344" s="86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799"/>
    </row>
    <row r="3345" spans="1:27" s="210" customFormat="1" ht="15.75" customHeight="1">
      <c r="A3345" s="203" t="str">
        <f>IF(B3345&lt;&gt;"",IF(AND(B3345&gt;=_TM1,B3345&lt;=_TM2,OR(TH!L3345="1111",TH!M3345="1111")),TH!D3345,""),"")</f>
        <v/>
      </c>
      <c r="B3345" s="36">
        <f t="shared" si="57"/>
        <v>8</v>
      </c>
      <c r="C3345" s="899">
        <f t="shared" si="58"/>
        <v>42223</v>
      </c>
      <c r="D3345" s="900" t="s">
        <v>2013</v>
      </c>
      <c r="E3345" s="900">
        <v>42223</v>
      </c>
      <c r="F3345" s="907" t="s">
        <v>1704</v>
      </c>
      <c r="G3345" s="902" t="s">
        <v>958</v>
      </c>
      <c r="H3345" s="913" t="s">
        <v>2014</v>
      </c>
      <c r="I3345" s="253">
        <v>10</v>
      </c>
      <c r="J3345" s="253">
        <v>13329.204662275855</v>
      </c>
      <c r="K3345" s="904">
        <f t="shared" si="59"/>
        <v>133292</v>
      </c>
      <c r="L3345" s="869" t="s">
        <v>167</v>
      </c>
      <c r="M3345" s="869" t="s">
        <v>165</v>
      </c>
      <c r="N3345" s="52" t="str">
        <f>IF(AND('331-CT'!$E$7=TH!H3345,OR(L3345="331",M3345="331")),"331",IF(AND(OR(L3345="131",M3345="131"),H3345='131-CT'!$E$7),"131",""))</f>
        <v/>
      </c>
      <c r="O3345" s="86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799"/>
    </row>
    <row r="3346" spans="1:27" s="210" customFormat="1" ht="15.75" customHeight="1">
      <c r="A3346" s="203" t="str">
        <f>IF(B3346&lt;&gt;"",IF(AND(B3346&gt;=_TM1,B3346&lt;=_TM2,OR(TH!L3346="1111",TH!M3346="1111")),TH!D3346,""),"")</f>
        <v/>
      </c>
      <c r="B3346" s="36">
        <f t="shared" si="57"/>
        <v>8</v>
      </c>
      <c r="C3346" s="899">
        <f t="shared" si="58"/>
        <v>42223</v>
      </c>
      <c r="D3346" s="900" t="s">
        <v>2013</v>
      </c>
      <c r="E3346" s="900">
        <v>42223</v>
      </c>
      <c r="F3346" s="907" t="s">
        <v>1756</v>
      </c>
      <c r="G3346" s="902" t="s">
        <v>958</v>
      </c>
      <c r="H3346" s="913" t="s">
        <v>2014</v>
      </c>
      <c r="I3346" s="253">
        <v>10</v>
      </c>
      <c r="J3346" s="253">
        <v>12686.833353250515</v>
      </c>
      <c r="K3346" s="904">
        <f t="shared" si="59"/>
        <v>126868</v>
      </c>
      <c r="L3346" s="869" t="s">
        <v>167</v>
      </c>
      <c r="M3346" s="869" t="s">
        <v>165</v>
      </c>
      <c r="N3346" s="52" t="str">
        <f>IF(AND('331-CT'!$E$7=TH!H3346,OR(L3346="331",M3346="331")),"331",IF(AND(OR(L3346="131",M3346="131"),H3346='131-CT'!$E$7),"131",""))</f>
        <v/>
      </c>
      <c r="O3346" s="869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799"/>
    </row>
    <row r="3347" spans="1:27" s="210" customFormat="1" ht="15.75" customHeight="1">
      <c r="A3347" s="203" t="str">
        <f>IF(B3347&lt;&gt;"",IF(AND(B3347&gt;=_TM1,B3347&lt;=_TM2,OR(TH!L3347="1111",TH!M3347="1111")),TH!D3347,""),"")</f>
        <v/>
      </c>
      <c r="B3347" s="36">
        <f t="shared" si="57"/>
        <v>8</v>
      </c>
      <c r="C3347" s="899">
        <f t="shared" si="58"/>
        <v>42223</v>
      </c>
      <c r="D3347" s="900" t="s">
        <v>2013</v>
      </c>
      <c r="E3347" s="900">
        <v>42223</v>
      </c>
      <c r="F3347" s="907" t="s">
        <v>1741</v>
      </c>
      <c r="G3347" s="902" t="s">
        <v>958</v>
      </c>
      <c r="H3347" s="913" t="s">
        <v>2014</v>
      </c>
      <c r="I3347" s="253">
        <v>10</v>
      </c>
      <c r="J3347" s="253">
        <v>8912.9019127266274</v>
      </c>
      <c r="K3347" s="904">
        <f t="shared" si="59"/>
        <v>89129</v>
      </c>
      <c r="L3347" s="869" t="s">
        <v>167</v>
      </c>
      <c r="M3347" s="869" t="s">
        <v>165</v>
      </c>
      <c r="N3347" s="52" t="str">
        <f>IF(AND('331-CT'!$E$7=TH!H3347,OR(L3347="331",M3347="331")),"331",IF(AND(OR(L3347="131",M3347="131"),H3347='131-CT'!$E$7),"131",""))</f>
        <v/>
      </c>
      <c r="O3347" s="869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799"/>
    </row>
    <row r="3348" spans="1:27" s="210" customFormat="1" ht="15.75" customHeight="1">
      <c r="A3348" s="203" t="str">
        <f>IF(B3348&lt;&gt;"",IF(AND(B3348&gt;=_TM1,B3348&lt;=_TM2,OR(TH!L3348="1111",TH!M3348="1111")),TH!D3348,""),"")</f>
        <v/>
      </c>
      <c r="B3348" s="36">
        <f t="shared" si="57"/>
        <v>8</v>
      </c>
      <c r="C3348" s="899">
        <f t="shared" si="58"/>
        <v>42223</v>
      </c>
      <c r="D3348" s="900" t="s">
        <v>2013</v>
      </c>
      <c r="E3348" s="900">
        <v>42223</v>
      </c>
      <c r="F3348" s="907" t="s">
        <v>668</v>
      </c>
      <c r="G3348" s="902" t="s">
        <v>958</v>
      </c>
      <c r="H3348" s="913" t="s">
        <v>2014</v>
      </c>
      <c r="I3348" s="253">
        <v>40</v>
      </c>
      <c r="J3348" s="253">
        <v>17906.100239081421</v>
      </c>
      <c r="K3348" s="904">
        <f t="shared" si="59"/>
        <v>716244</v>
      </c>
      <c r="L3348" s="869" t="s">
        <v>167</v>
      </c>
      <c r="M3348" s="869" t="s">
        <v>165</v>
      </c>
      <c r="N3348" s="52" t="str">
        <f>IF(AND('331-CT'!$E$7=TH!H3348,OR(L3348="331",M3348="331")),"331",IF(AND(OR(L3348="131",M3348="131"),H3348='131-CT'!$E$7),"131",""))</f>
        <v/>
      </c>
      <c r="O3348" s="869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799"/>
    </row>
    <row r="3349" spans="1:27" s="210" customFormat="1" ht="15.75" customHeight="1">
      <c r="A3349" s="203" t="str">
        <f>IF(B3349&lt;&gt;"",IF(AND(B3349&gt;=_TM1,B3349&lt;=_TM2,OR(TH!L3349="1111",TH!M3349="1111")),TH!D3349,""),"")</f>
        <v/>
      </c>
      <c r="B3349" s="36">
        <f t="shared" si="57"/>
        <v>8</v>
      </c>
      <c r="C3349" s="899">
        <f t="shared" si="58"/>
        <v>42223</v>
      </c>
      <c r="D3349" s="900" t="s">
        <v>2013</v>
      </c>
      <c r="E3349" s="900">
        <v>42223</v>
      </c>
      <c r="F3349" s="907" t="s">
        <v>1736</v>
      </c>
      <c r="G3349" s="902" t="s">
        <v>958</v>
      </c>
      <c r="H3349" s="913" t="s">
        <v>2014</v>
      </c>
      <c r="I3349" s="253">
        <v>10</v>
      </c>
      <c r="J3349" s="253">
        <v>14453.354453070206</v>
      </c>
      <c r="K3349" s="904">
        <f t="shared" si="59"/>
        <v>144534</v>
      </c>
      <c r="L3349" s="869" t="s">
        <v>167</v>
      </c>
      <c r="M3349" s="869" t="s">
        <v>165</v>
      </c>
      <c r="N3349" s="52" t="str">
        <f>IF(AND('331-CT'!$E$7=TH!H3349,OR(L3349="331",M3349="331")),"331",IF(AND(OR(L3349="131",M3349="131"),H3349='131-CT'!$E$7),"131",""))</f>
        <v/>
      </c>
      <c r="O3349" s="869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799"/>
    </row>
    <row r="3350" spans="1:27" s="210" customFormat="1" ht="15.75" customHeight="1">
      <c r="A3350" s="203" t="str">
        <f>IF(B3350&lt;&gt;"",IF(AND(B3350&gt;=_TM1,B3350&lt;=_TM2,OR(TH!L3350="1111",TH!M3350="1111")),TH!D3350,""),"")</f>
        <v/>
      </c>
      <c r="B3350" s="36">
        <f t="shared" si="57"/>
        <v>8</v>
      </c>
      <c r="C3350" s="899">
        <f t="shared" si="58"/>
        <v>42223</v>
      </c>
      <c r="D3350" s="900" t="s">
        <v>2013</v>
      </c>
      <c r="E3350" s="900">
        <v>42223</v>
      </c>
      <c r="F3350" s="907" t="s">
        <v>1775</v>
      </c>
      <c r="G3350" s="902" t="s">
        <v>958</v>
      </c>
      <c r="H3350" s="913" t="s">
        <v>2014</v>
      </c>
      <c r="I3350" s="253">
        <v>10</v>
      </c>
      <c r="J3350" s="253">
        <v>17103.136102799745</v>
      </c>
      <c r="K3350" s="904">
        <f t="shared" si="59"/>
        <v>171031</v>
      </c>
      <c r="L3350" s="869" t="s">
        <v>167</v>
      </c>
      <c r="M3350" s="869" t="s">
        <v>165</v>
      </c>
      <c r="N3350" s="52" t="str">
        <f>IF(AND('331-CT'!$E$7=TH!H3350,OR(L3350="331",M3350="331")),"331",IF(AND(OR(L3350="131",M3350="131"),H3350='131-CT'!$E$7),"131",""))</f>
        <v/>
      </c>
      <c r="O3350" s="869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799"/>
    </row>
    <row r="3351" spans="1:27" s="210" customFormat="1" ht="15.75" customHeight="1">
      <c r="A3351" s="203" t="str">
        <f>IF(B3351&lt;&gt;"",IF(AND(B3351&gt;=_TM1,B3351&lt;=_TM2,OR(TH!L3351="1111",TH!M3351="1111")),TH!D3351,""),"")</f>
        <v/>
      </c>
      <c r="B3351" s="36">
        <f t="shared" si="57"/>
        <v>8</v>
      </c>
      <c r="C3351" s="899">
        <f t="shared" si="58"/>
        <v>42223</v>
      </c>
      <c r="D3351" s="900" t="s">
        <v>2013</v>
      </c>
      <c r="E3351" s="900">
        <v>42223</v>
      </c>
      <c r="F3351" s="907" t="s">
        <v>454</v>
      </c>
      <c r="G3351" s="902" t="s">
        <v>959</v>
      </c>
      <c r="H3351" s="913" t="s">
        <v>2014</v>
      </c>
      <c r="I3351" s="253">
        <v>277</v>
      </c>
      <c r="J3351" s="253">
        <v>58214.899880421661</v>
      </c>
      <c r="K3351" s="904">
        <f t="shared" si="59"/>
        <v>16125527</v>
      </c>
      <c r="L3351" s="869" t="s">
        <v>167</v>
      </c>
      <c r="M3351" s="869" t="s">
        <v>165</v>
      </c>
      <c r="N3351" s="52" t="str">
        <f>IF(AND('331-CT'!$E$7=TH!H3351,OR(L3351="331",M3351="331")),"331",IF(AND(OR(L3351="131",M3351="131"),H3351='131-CT'!$E$7),"131",""))</f>
        <v/>
      </c>
      <c r="O3351" s="869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799"/>
    </row>
    <row r="3352" spans="1:27" s="210" customFormat="1" ht="15.75" customHeight="1">
      <c r="A3352" s="203" t="str">
        <f>IF(B3352&lt;&gt;"",IF(AND(B3352&gt;=_TM1,B3352&lt;=_TM2,OR(TH!L3352="1111",TH!M3352="1111")),TH!D3352,""),"")</f>
        <v/>
      </c>
      <c r="B3352" s="36">
        <f t="shared" si="57"/>
        <v>8</v>
      </c>
      <c r="C3352" s="899">
        <f t="shared" si="58"/>
        <v>42227</v>
      </c>
      <c r="D3352" s="900" t="s">
        <v>2013</v>
      </c>
      <c r="E3352" s="900">
        <v>42227</v>
      </c>
      <c r="F3352" s="907" t="s">
        <v>741</v>
      </c>
      <c r="G3352" s="902" t="s">
        <v>960</v>
      </c>
      <c r="H3352" s="913" t="s">
        <v>2014</v>
      </c>
      <c r="I3352" s="253">
        <v>140</v>
      </c>
      <c r="J3352" s="253">
        <v>7949.3449491886131</v>
      </c>
      <c r="K3352" s="904">
        <f t="shared" si="59"/>
        <v>1112908</v>
      </c>
      <c r="L3352" s="869" t="s">
        <v>167</v>
      </c>
      <c r="M3352" s="869" t="s">
        <v>165</v>
      </c>
      <c r="N3352" s="52" t="str">
        <f>IF(AND('331-CT'!$E$7=TH!H3352,OR(L3352="331",M3352="331")),"331",IF(AND(OR(L3352="131",M3352="131"),H3352='131-CT'!$E$7),"131",""))</f>
        <v/>
      </c>
      <c r="O3352" s="869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799"/>
    </row>
    <row r="3353" spans="1:27" s="210" customFormat="1" ht="15.75" customHeight="1">
      <c r="A3353" s="203" t="str">
        <f>IF(B3353&lt;&gt;"",IF(AND(B3353&gt;=_TM1,B3353&lt;=_TM2,OR(TH!L3353="1111",TH!M3353="1111")),TH!D3353,""),"")</f>
        <v/>
      </c>
      <c r="B3353" s="36">
        <f t="shared" si="57"/>
        <v>8</v>
      </c>
      <c r="C3353" s="899">
        <f t="shared" si="58"/>
        <v>42227</v>
      </c>
      <c r="D3353" s="900" t="s">
        <v>2013</v>
      </c>
      <c r="E3353" s="900">
        <v>42227</v>
      </c>
      <c r="F3353" s="907" t="s">
        <v>692</v>
      </c>
      <c r="G3353" s="902" t="s">
        <v>960</v>
      </c>
      <c r="H3353" s="913" t="s">
        <v>2014</v>
      </c>
      <c r="I3353" s="253">
        <v>60</v>
      </c>
      <c r="J3353" s="253">
        <v>14373.058039442038</v>
      </c>
      <c r="K3353" s="904">
        <f t="shared" si="59"/>
        <v>862383</v>
      </c>
      <c r="L3353" s="869" t="s">
        <v>167</v>
      </c>
      <c r="M3353" s="869" t="s">
        <v>165</v>
      </c>
      <c r="N3353" s="52" t="str">
        <f>IF(AND('331-CT'!$E$7=TH!H3353,OR(L3353="331",M3353="331")),"331",IF(AND(OR(L3353="131",M3353="131"),H3353='131-CT'!$E$7),"131",""))</f>
        <v/>
      </c>
      <c r="O3353" s="869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799"/>
    </row>
    <row r="3354" spans="1:27" s="210" customFormat="1" ht="15.75" customHeight="1">
      <c r="A3354" s="203" t="str">
        <f>IF(B3354&lt;&gt;"",IF(AND(B3354&gt;=_TM1,B3354&lt;=_TM2,OR(TH!L3354="1111",TH!M3354="1111")),TH!D3354,""),"")</f>
        <v/>
      </c>
      <c r="B3354" s="36">
        <f t="shared" si="57"/>
        <v>8</v>
      </c>
      <c r="C3354" s="899">
        <f t="shared" si="58"/>
        <v>42227</v>
      </c>
      <c r="D3354" s="900" t="s">
        <v>2013</v>
      </c>
      <c r="E3354" s="900">
        <v>42227</v>
      </c>
      <c r="F3354" s="907" t="s">
        <v>694</v>
      </c>
      <c r="G3354" s="902" t="s">
        <v>960</v>
      </c>
      <c r="H3354" s="913" t="s">
        <v>2014</v>
      </c>
      <c r="I3354" s="253">
        <v>25</v>
      </c>
      <c r="J3354" s="253">
        <v>11803.572803340669</v>
      </c>
      <c r="K3354" s="904">
        <f t="shared" si="59"/>
        <v>295089</v>
      </c>
      <c r="L3354" s="869" t="s">
        <v>167</v>
      </c>
      <c r="M3354" s="869" t="s">
        <v>165</v>
      </c>
      <c r="N3354" s="52" t="str">
        <f>IF(AND('331-CT'!$E$7=TH!H3354,OR(L3354="331",M3354="331")),"331",IF(AND(OR(L3354="131",M3354="131"),H3354='131-CT'!$E$7),"131",""))</f>
        <v/>
      </c>
      <c r="O3354" s="869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799"/>
    </row>
    <row r="3355" spans="1:27" s="210" customFormat="1" ht="15.75" customHeight="1">
      <c r="A3355" s="203" t="str">
        <f>IF(B3355&lt;&gt;"",IF(AND(B3355&gt;=_TM1,B3355&lt;=_TM2,OR(TH!L3355="1111",TH!M3355="1111")),TH!D3355,""),"")</f>
        <v/>
      </c>
      <c r="B3355" s="36">
        <f t="shared" si="57"/>
        <v>8</v>
      </c>
      <c r="C3355" s="899">
        <f t="shared" si="58"/>
        <v>42227</v>
      </c>
      <c r="D3355" s="900" t="s">
        <v>2013</v>
      </c>
      <c r="E3355" s="900">
        <v>42227</v>
      </c>
      <c r="F3355" s="907" t="s">
        <v>1776</v>
      </c>
      <c r="G3355" s="902" t="s">
        <v>960</v>
      </c>
      <c r="H3355" s="913" t="s">
        <v>2014</v>
      </c>
      <c r="I3355" s="253">
        <v>300</v>
      </c>
      <c r="J3355" s="253">
        <v>10599.126598918152</v>
      </c>
      <c r="K3355" s="904">
        <f t="shared" si="59"/>
        <v>3179738</v>
      </c>
      <c r="L3355" s="869" t="s">
        <v>167</v>
      </c>
      <c r="M3355" s="869" t="s">
        <v>165</v>
      </c>
      <c r="N3355" s="52" t="str">
        <f>IF(AND('331-CT'!$E$7=TH!H3355,OR(L3355="331",M3355="331")),"331",IF(AND(OR(L3355="131",M3355="131"),H3355='131-CT'!$E$7),"131",""))</f>
        <v/>
      </c>
      <c r="O3355" s="869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799"/>
    </row>
    <row r="3356" spans="1:27" s="210" customFormat="1" ht="15.75" customHeight="1">
      <c r="A3356" s="203" t="str">
        <f>IF(B3356&lt;&gt;"",IF(AND(B3356&gt;=_TM1,B3356&lt;=_TM2,OR(TH!L3356="1111",TH!M3356="1111")),TH!D3356,""),"")</f>
        <v/>
      </c>
      <c r="B3356" s="36">
        <f t="shared" si="57"/>
        <v>8</v>
      </c>
      <c r="C3356" s="899">
        <f t="shared" si="58"/>
        <v>42227</v>
      </c>
      <c r="D3356" s="900" t="s">
        <v>2013</v>
      </c>
      <c r="E3356" s="900">
        <v>42227</v>
      </c>
      <c r="F3356" s="907" t="s">
        <v>1777</v>
      </c>
      <c r="G3356" s="902" t="s">
        <v>960</v>
      </c>
      <c r="H3356" s="913" t="s">
        <v>2014</v>
      </c>
      <c r="I3356" s="253">
        <v>305</v>
      </c>
      <c r="J3356" s="253">
        <v>12686.833353250515</v>
      </c>
      <c r="K3356" s="904">
        <f t="shared" si="59"/>
        <v>3869484</v>
      </c>
      <c r="L3356" s="869" t="s">
        <v>167</v>
      </c>
      <c r="M3356" s="869" t="s">
        <v>165</v>
      </c>
      <c r="N3356" s="52" t="str">
        <f>IF(AND('331-CT'!$E$7=TH!H3356,OR(L3356="331",M3356="331")),"331",IF(AND(OR(L3356="131",M3356="131"),H3356='131-CT'!$E$7),"131",""))</f>
        <v/>
      </c>
      <c r="O3356" s="869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799"/>
    </row>
    <row r="3357" spans="1:27" s="210" customFormat="1" ht="15.75" customHeight="1">
      <c r="A3357" s="203" t="str">
        <f>IF(B3357&lt;&gt;"",IF(AND(B3357&gt;=_TM1,B3357&lt;=_TM2,OR(TH!L3357="1111",TH!M3357="1111")),TH!D3357,""),"")</f>
        <v/>
      </c>
      <c r="B3357" s="36">
        <f t="shared" si="57"/>
        <v>8</v>
      </c>
      <c r="C3357" s="899">
        <f t="shared" si="58"/>
        <v>42227</v>
      </c>
      <c r="D3357" s="900" t="s">
        <v>2013</v>
      </c>
      <c r="E3357" s="900">
        <v>42227</v>
      </c>
      <c r="F3357" s="907" t="s">
        <v>1713</v>
      </c>
      <c r="G3357" s="902" t="s">
        <v>960</v>
      </c>
      <c r="H3357" s="913" t="s">
        <v>2014</v>
      </c>
      <c r="I3357" s="253">
        <v>920</v>
      </c>
      <c r="J3357" s="253">
        <v>11642.979976084333</v>
      </c>
      <c r="K3357" s="904">
        <f t="shared" si="59"/>
        <v>10711542</v>
      </c>
      <c r="L3357" s="869" t="s">
        <v>167</v>
      </c>
      <c r="M3357" s="869" t="s">
        <v>165</v>
      </c>
      <c r="N3357" s="52" t="str">
        <f>IF(AND('331-CT'!$E$7=TH!H3357,OR(L3357="331",M3357="331")),"331",IF(AND(OR(L3357="131",M3357="131"),H3357='131-CT'!$E$7),"131",""))</f>
        <v/>
      </c>
      <c r="O3357" s="869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799"/>
    </row>
    <row r="3358" spans="1:27" s="210" customFormat="1" ht="15.75" customHeight="1">
      <c r="A3358" s="203" t="str">
        <f>IF(B3358&lt;&gt;"",IF(AND(B3358&gt;=_TM1,B3358&lt;=_TM2,OR(TH!L3358="1111",TH!M3358="1111")),TH!D3358,""),"")</f>
        <v/>
      </c>
      <c r="B3358" s="36">
        <f t="shared" si="57"/>
        <v>8</v>
      </c>
      <c r="C3358" s="899">
        <f t="shared" si="58"/>
        <v>42227</v>
      </c>
      <c r="D3358" s="900" t="s">
        <v>2013</v>
      </c>
      <c r="E3358" s="900">
        <v>42227</v>
      </c>
      <c r="F3358" s="907" t="s">
        <v>1778</v>
      </c>
      <c r="G3358" s="902" t="s">
        <v>960</v>
      </c>
      <c r="H3358" s="913" t="s">
        <v>2014</v>
      </c>
      <c r="I3358" s="253">
        <v>124</v>
      </c>
      <c r="J3358" s="253">
        <v>9394.6803944956337</v>
      </c>
      <c r="K3358" s="904">
        <f t="shared" si="59"/>
        <v>1164940</v>
      </c>
      <c r="L3358" s="869" t="s">
        <v>167</v>
      </c>
      <c r="M3358" s="869" t="s">
        <v>165</v>
      </c>
      <c r="N3358" s="52" t="str">
        <f>IF(AND('331-CT'!$E$7=TH!H3358,OR(L3358="331",M3358="331")),"331",IF(AND(OR(L3358="131",M3358="131"),H3358='131-CT'!$E$7),"131",""))</f>
        <v/>
      </c>
      <c r="O3358" s="869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799"/>
    </row>
    <row r="3359" spans="1:27" s="210" customFormat="1" ht="15.75" customHeight="1">
      <c r="A3359" s="203" t="str">
        <f>IF(B3359&lt;&gt;"",IF(AND(B3359&gt;=_TM1,B3359&lt;=_TM2,OR(TH!L3359="1111",TH!M3359="1111")),TH!D3359,""),"")</f>
        <v/>
      </c>
      <c r="B3359" s="36">
        <f t="shared" si="57"/>
        <v>8</v>
      </c>
      <c r="C3359" s="899">
        <f t="shared" si="58"/>
        <v>42227</v>
      </c>
      <c r="D3359" s="900" t="s">
        <v>2013</v>
      </c>
      <c r="E3359" s="900">
        <v>42227</v>
      </c>
      <c r="F3359" s="907" t="s">
        <v>1779</v>
      </c>
      <c r="G3359" s="902" t="s">
        <v>960</v>
      </c>
      <c r="H3359" s="913" t="s">
        <v>2014</v>
      </c>
      <c r="I3359" s="253">
        <v>50</v>
      </c>
      <c r="J3359" s="253">
        <v>11161.201494315324</v>
      </c>
      <c r="K3359" s="904">
        <f t="shared" si="59"/>
        <v>558060</v>
      </c>
      <c r="L3359" s="869" t="s">
        <v>167</v>
      </c>
      <c r="M3359" s="869" t="s">
        <v>165</v>
      </c>
      <c r="N3359" s="52" t="str">
        <f>IF(AND('331-CT'!$E$7=TH!H3359,OR(L3359="331",M3359="331")),"331",IF(AND(OR(L3359="131",M3359="131"),H3359='131-CT'!$E$7),"131",""))</f>
        <v/>
      </c>
      <c r="O3359" s="869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799"/>
    </row>
    <row r="3360" spans="1:27" s="210" customFormat="1" ht="15.75" customHeight="1">
      <c r="A3360" s="203" t="str">
        <f>IF(B3360&lt;&gt;"",IF(AND(B3360&gt;=_TM1,B3360&lt;=_TM2,OR(TH!L3360="1111",TH!M3360="1111")),TH!D3360,""),"")</f>
        <v/>
      </c>
      <c r="B3360" s="36">
        <f t="shared" si="57"/>
        <v>8</v>
      </c>
      <c r="C3360" s="899">
        <f t="shared" si="58"/>
        <v>42227</v>
      </c>
      <c r="D3360" s="900" t="s">
        <v>2013</v>
      </c>
      <c r="E3360" s="900">
        <v>42227</v>
      </c>
      <c r="F3360" s="907" t="s">
        <v>1780</v>
      </c>
      <c r="G3360" s="902" t="s">
        <v>960</v>
      </c>
      <c r="H3360" s="913" t="s">
        <v>2014</v>
      </c>
      <c r="I3360" s="253">
        <v>100</v>
      </c>
      <c r="J3360" s="253">
        <v>6985.7879856505997</v>
      </c>
      <c r="K3360" s="904">
        <f t="shared" si="59"/>
        <v>698579</v>
      </c>
      <c r="L3360" s="869" t="s">
        <v>167</v>
      </c>
      <c r="M3360" s="869" t="s">
        <v>165</v>
      </c>
      <c r="N3360" s="52" t="str">
        <f>IF(AND('331-CT'!$E$7=TH!H3360,OR(L3360="331",M3360="331")),"331",IF(AND(OR(L3360="131",M3360="131"),H3360='131-CT'!$E$7),"131",""))</f>
        <v/>
      </c>
      <c r="O3360" s="869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799"/>
    </row>
    <row r="3361" spans="1:27" s="210" customFormat="1" ht="15.75" customHeight="1">
      <c r="A3361" s="203" t="str">
        <f>IF(B3361&lt;&gt;"",IF(AND(B3361&gt;=_TM1,B3361&lt;=_TM2,OR(TH!L3361="1111",TH!M3361="1111")),TH!D3361,""),"")</f>
        <v/>
      </c>
      <c r="B3361" s="36">
        <f t="shared" si="57"/>
        <v>8</v>
      </c>
      <c r="C3361" s="899">
        <f t="shared" si="58"/>
        <v>42227</v>
      </c>
      <c r="D3361" s="900" t="s">
        <v>2013</v>
      </c>
      <c r="E3361" s="900">
        <v>42227</v>
      </c>
      <c r="F3361" s="907" t="s">
        <v>1140</v>
      </c>
      <c r="G3361" s="902" t="s">
        <v>961</v>
      </c>
      <c r="H3361" s="913" t="s">
        <v>2014</v>
      </c>
      <c r="I3361" s="253">
        <v>803</v>
      </c>
      <c r="J3361" s="253">
        <v>9153.7911536111296</v>
      </c>
      <c r="K3361" s="904">
        <f t="shared" si="59"/>
        <v>7350494</v>
      </c>
      <c r="L3361" s="869" t="s">
        <v>167</v>
      </c>
      <c r="M3361" s="869" t="s">
        <v>165</v>
      </c>
      <c r="N3361" s="52" t="str">
        <f>IF(AND('331-CT'!$E$7=TH!H3361,OR(L3361="331",M3361="331")),"331",IF(AND(OR(L3361="131",M3361="131"),H3361='131-CT'!$E$7),"131",""))</f>
        <v/>
      </c>
      <c r="O3361" s="869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799"/>
    </row>
    <row r="3362" spans="1:27" s="210" customFormat="1" ht="15.75" customHeight="1">
      <c r="A3362" s="203" t="str">
        <f>IF(B3362&lt;&gt;"",IF(AND(B3362&gt;=_TM1,B3362&lt;=_TM2,OR(TH!L3362="1111",TH!M3362="1111")),TH!D3362,""),"")</f>
        <v/>
      </c>
      <c r="B3362" s="36">
        <f t="shared" si="57"/>
        <v>8</v>
      </c>
      <c r="C3362" s="899">
        <f t="shared" si="58"/>
        <v>42227</v>
      </c>
      <c r="D3362" s="900" t="s">
        <v>2013</v>
      </c>
      <c r="E3362" s="900">
        <v>42227</v>
      </c>
      <c r="F3362" s="907" t="s">
        <v>1140</v>
      </c>
      <c r="G3362" s="902" t="s">
        <v>961</v>
      </c>
      <c r="H3362" s="913" t="s">
        <v>2014</v>
      </c>
      <c r="I3362" s="253">
        <v>50</v>
      </c>
      <c r="J3362" s="253">
        <v>9153.7911536111296</v>
      </c>
      <c r="K3362" s="904">
        <f t="shared" si="59"/>
        <v>457690</v>
      </c>
      <c r="L3362" s="869" t="s">
        <v>167</v>
      </c>
      <c r="M3362" s="869" t="s">
        <v>165</v>
      </c>
      <c r="N3362" s="52" t="str">
        <f>IF(AND('331-CT'!$E$7=TH!H3362,OR(L3362="331",M3362="331")),"331",IF(AND(OR(L3362="131",M3362="131"),H3362='131-CT'!$E$7),"131",""))</f>
        <v/>
      </c>
      <c r="O3362" s="869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799"/>
    </row>
    <row r="3363" spans="1:27" s="210" customFormat="1" ht="15.75" customHeight="1">
      <c r="A3363" s="203" t="str">
        <f>IF(B3363&lt;&gt;"",IF(AND(B3363&gt;=_TM1,B3363&lt;=_TM2,OR(TH!L3363="1111",TH!M3363="1111")),TH!D3363,""),"")</f>
        <v/>
      </c>
      <c r="B3363" s="36">
        <f t="shared" si="57"/>
        <v>8</v>
      </c>
      <c r="C3363" s="899">
        <f t="shared" si="58"/>
        <v>42227</v>
      </c>
      <c r="D3363" s="900" t="s">
        <v>2013</v>
      </c>
      <c r="E3363" s="900">
        <v>42227</v>
      </c>
      <c r="F3363" s="907" t="s">
        <v>1654</v>
      </c>
      <c r="G3363" s="902" t="s">
        <v>961</v>
      </c>
      <c r="H3363" s="913" t="s">
        <v>2014</v>
      </c>
      <c r="I3363" s="253">
        <v>1706</v>
      </c>
      <c r="J3363" s="253">
        <v>802.96413628167818</v>
      </c>
      <c r="K3363" s="904">
        <f t="shared" si="59"/>
        <v>1369857</v>
      </c>
      <c r="L3363" s="869" t="s">
        <v>167</v>
      </c>
      <c r="M3363" s="869" t="s">
        <v>165</v>
      </c>
      <c r="N3363" s="52" t="str">
        <f>IF(AND('331-CT'!$E$7=TH!H3363,OR(L3363="331",M3363="331")),"331",IF(AND(OR(L3363="131",M3363="131"),H3363='131-CT'!$E$7),"131",""))</f>
        <v/>
      </c>
      <c r="O3363" s="869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799"/>
    </row>
    <row r="3364" spans="1:27" s="210" customFormat="1" ht="15.75" customHeight="1">
      <c r="A3364" s="203" t="str">
        <f>IF(B3364&lt;&gt;"",IF(AND(B3364&gt;=_TM1,B3364&lt;=_TM2,OR(TH!L3364="1111",TH!M3364="1111")),TH!D3364,""),"")</f>
        <v/>
      </c>
      <c r="B3364" s="36">
        <f t="shared" si="57"/>
        <v>8</v>
      </c>
      <c r="C3364" s="899">
        <f t="shared" si="58"/>
        <v>42227</v>
      </c>
      <c r="D3364" s="900" t="s">
        <v>2013</v>
      </c>
      <c r="E3364" s="900">
        <v>42227</v>
      </c>
      <c r="F3364" s="907" t="s">
        <v>962</v>
      </c>
      <c r="G3364" s="902" t="s">
        <v>963</v>
      </c>
      <c r="H3364" s="913" t="s">
        <v>2014</v>
      </c>
      <c r="I3364" s="253">
        <v>301</v>
      </c>
      <c r="J3364" s="253">
        <v>10438.533771661816</v>
      </c>
      <c r="K3364" s="904">
        <f t="shared" si="59"/>
        <v>3141999</v>
      </c>
      <c r="L3364" s="869" t="s">
        <v>167</v>
      </c>
      <c r="M3364" s="869" t="s">
        <v>165</v>
      </c>
      <c r="N3364" s="52" t="str">
        <f>IF(AND('331-CT'!$E$7=TH!H3364,OR(L3364="331",M3364="331")),"331",IF(AND(OR(L3364="131",M3364="131"),H3364='131-CT'!$E$7),"131",""))</f>
        <v/>
      </c>
      <c r="O3364" s="869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799"/>
    </row>
    <row r="3365" spans="1:27" s="210" customFormat="1" ht="15.75" customHeight="1">
      <c r="A3365" s="203" t="str">
        <f>IF(B3365&lt;&gt;"",IF(AND(B3365&gt;=_TM1,B3365&lt;=_TM2,OR(TH!L3365="1111",TH!M3365="1111")),TH!D3365,""),"")</f>
        <v/>
      </c>
      <c r="B3365" s="36">
        <f t="shared" si="57"/>
        <v>8</v>
      </c>
      <c r="C3365" s="899">
        <f t="shared" si="58"/>
        <v>42227</v>
      </c>
      <c r="D3365" s="900" t="s">
        <v>2013</v>
      </c>
      <c r="E3365" s="900">
        <v>42227</v>
      </c>
      <c r="F3365" s="907" t="s">
        <v>962</v>
      </c>
      <c r="G3365" s="902" t="s">
        <v>963</v>
      </c>
      <c r="H3365" s="913" t="s">
        <v>2014</v>
      </c>
      <c r="I3365" s="253">
        <v>990</v>
      </c>
      <c r="J3365" s="253">
        <v>10438.533771661816</v>
      </c>
      <c r="K3365" s="904">
        <f t="shared" si="59"/>
        <v>10334148</v>
      </c>
      <c r="L3365" s="869" t="s">
        <v>167</v>
      </c>
      <c r="M3365" s="869" t="s">
        <v>165</v>
      </c>
      <c r="N3365" s="52" t="str">
        <f>IF(AND('331-CT'!$E$7=TH!H3365,OR(L3365="331",M3365="331")),"331",IF(AND(OR(L3365="131",M3365="131"),H3365='131-CT'!$E$7),"131",""))</f>
        <v/>
      </c>
      <c r="O3365" s="869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799"/>
    </row>
    <row r="3366" spans="1:27" s="210" customFormat="1" ht="15.75" customHeight="1">
      <c r="A3366" s="203" t="str">
        <f>IF(B3366&lt;&gt;"",IF(AND(B3366&gt;=_TM1,B3366&lt;=_TM2,OR(TH!L3366="1111",TH!M3366="1111")),TH!D3366,""),"")</f>
        <v/>
      </c>
      <c r="B3366" s="36">
        <f t="shared" si="57"/>
        <v>8</v>
      </c>
      <c r="C3366" s="899">
        <f t="shared" si="58"/>
        <v>42229</v>
      </c>
      <c r="D3366" s="900" t="s">
        <v>2013</v>
      </c>
      <c r="E3366" s="900">
        <v>42229</v>
      </c>
      <c r="F3366" s="907" t="s">
        <v>965</v>
      </c>
      <c r="G3366" s="902" t="s">
        <v>966</v>
      </c>
      <c r="H3366" s="913" t="s">
        <v>2014</v>
      </c>
      <c r="I3366" s="253">
        <v>309</v>
      </c>
      <c r="J3366" s="253">
        <v>13971.575971301199</v>
      </c>
      <c r="K3366" s="904">
        <f t="shared" si="59"/>
        <v>4317217</v>
      </c>
      <c r="L3366" s="869" t="s">
        <v>167</v>
      </c>
      <c r="M3366" s="869" t="s">
        <v>165</v>
      </c>
      <c r="N3366" s="52" t="str">
        <f>IF(AND('331-CT'!$E$7=TH!H3366,OR(L3366="331",M3366="331")),"331",IF(AND(OR(L3366="131",M3366="131"),H3366='131-CT'!$E$7),"131",""))</f>
        <v/>
      </c>
      <c r="O3366" s="869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799"/>
    </row>
    <row r="3367" spans="1:27" s="210" customFormat="1" ht="15.75" customHeight="1">
      <c r="A3367" s="203" t="str">
        <f>IF(B3367&lt;&gt;"",IF(AND(B3367&gt;=_TM1,B3367&lt;=_TM2,OR(TH!L3367="1111",TH!M3367="1111")),TH!D3367,""),"")</f>
        <v/>
      </c>
      <c r="B3367" s="36">
        <f t="shared" si="57"/>
        <v>8</v>
      </c>
      <c r="C3367" s="899">
        <f t="shared" si="58"/>
        <v>42229</v>
      </c>
      <c r="D3367" s="900" t="s">
        <v>2013</v>
      </c>
      <c r="E3367" s="900">
        <v>42229</v>
      </c>
      <c r="F3367" s="907" t="s">
        <v>910</v>
      </c>
      <c r="G3367" s="902" t="s">
        <v>968</v>
      </c>
      <c r="H3367" s="913" t="s">
        <v>2014</v>
      </c>
      <c r="I3367" s="253">
        <v>311</v>
      </c>
      <c r="J3367" s="253">
        <v>5379.859713087244</v>
      </c>
      <c r="K3367" s="904">
        <f t="shared" si="59"/>
        <v>1673136</v>
      </c>
      <c r="L3367" s="869" t="s">
        <v>167</v>
      </c>
      <c r="M3367" s="869" t="s">
        <v>165</v>
      </c>
      <c r="N3367" s="52" t="str">
        <f>IF(AND('331-CT'!$E$7=TH!H3367,OR(L3367="331",M3367="331")),"331",IF(AND(OR(L3367="131",M3367="131"),H3367='131-CT'!$E$7),"131",""))</f>
        <v/>
      </c>
      <c r="O3367" s="869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799"/>
    </row>
    <row r="3368" spans="1:27" s="210" customFormat="1" ht="15.75" customHeight="1">
      <c r="A3368" s="203" t="str">
        <f>IF(B3368&lt;&gt;"",IF(AND(B3368&gt;=_TM1,B3368&lt;=_TM2,OR(TH!L3368="1111",TH!M3368="1111")),TH!D3368,""),"")</f>
        <v/>
      </c>
      <c r="B3368" s="36">
        <f t="shared" si="57"/>
        <v>8</v>
      </c>
      <c r="C3368" s="899">
        <f t="shared" si="58"/>
        <v>42229</v>
      </c>
      <c r="D3368" s="900" t="s">
        <v>2013</v>
      </c>
      <c r="E3368" s="900">
        <v>42229</v>
      </c>
      <c r="F3368" s="907" t="s">
        <v>760</v>
      </c>
      <c r="G3368" s="902" t="s">
        <v>969</v>
      </c>
      <c r="H3368" s="913" t="s">
        <v>2014</v>
      </c>
      <c r="I3368" s="253">
        <v>512</v>
      </c>
      <c r="J3368" s="253">
        <v>7788.7521219322771</v>
      </c>
      <c r="K3368" s="904">
        <f t="shared" si="59"/>
        <v>3987841</v>
      </c>
      <c r="L3368" s="869" t="s">
        <v>167</v>
      </c>
      <c r="M3368" s="869" t="s">
        <v>165</v>
      </c>
      <c r="N3368" s="52" t="str">
        <f>IF(AND('331-CT'!$E$7=TH!H3368,OR(L3368="331",M3368="331")),"331",IF(AND(OR(L3368="131",M3368="131"),H3368='131-CT'!$E$7),"131",""))</f>
        <v/>
      </c>
      <c r="O3368" s="869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799"/>
    </row>
    <row r="3369" spans="1:27" s="210" customFormat="1" ht="15.75" customHeight="1">
      <c r="A3369" s="203" t="str">
        <f>IF(B3369&lt;&gt;"",IF(AND(B3369&gt;=_TM1,B3369&lt;=_TM2,OR(TH!L3369="1111",TH!M3369="1111")),TH!D3369,""),"")</f>
        <v/>
      </c>
      <c r="B3369" s="36">
        <f t="shared" si="57"/>
        <v>8</v>
      </c>
      <c r="C3369" s="899">
        <f t="shared" si="58"/>
        <v>42229</v>
      </c>
      <c r="D3369" s="900" t="s">
        <v>2013</v>
      </c>
      <c r="E3369" s="900">
        <v>42229</v>
      </c>
      <c r="F3369" s="907" t="s">
        <v>1753</v>
      </c>
      <c r="G3369" s="902" t="s">
        <v>970</v>
      </c>
      <c r="H3369" s="913" t="s">
        <v>2014</v>
      </c>
      <c r="I3369" s="253">
        <v>50</v>
      </c>
      <c r="J3369" s="253">
        <v>14694.24369395471</v>
      </c>
      <c r="K3369" s="904">
        <f t="shared" si="59"/>
        <v>734712</v>
      </c>
      <c r="L3369" s="869" t="s">
        <v>167</v>
      </c>
      <c r="M3369" s="869" t="s">
        <v>165</v>
      </c>
      <c r="N3369" s="52" t="str">
        <f>IF(AND('331-CT'!$E$7=TH!H3369,OR(L3369="331",M3369="331")),"331",IF(AND(OR(L3369="131",M3369="131"),H3369='131-CT'!$E$7),"131",""))</f>
        <v/>
      </c>
      <c r="O3369" s="869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799"/>
    </row>
    <row r="3370" spans="1:27" s="210" customFormat="1" ht="15.75" customHeight="1">
      <c r="A3370" s="203" t="str">
        <f>IF(B3370&lt;&gt;"",IF(AND(B3370&gt;=_TM1,B3370&lt;=_TM2,OR(TH!L3370="1111",TH!M3370="1111")),TH!D3370,""),"")</f>
        <v/>
      </c>
      <c r="B3370" s="36">
        <f t="shared" si="57"/>
        <v>8</v>
      </c>
      <c r="C3370" s="899">
        <f t="shared" si="58"/>
        <v>42229</v>
      </c>
      <c r="D3370" s="900" t="s">
        <v>2013</v>
      </c>
      <c r="E3370" s="900">
        <v>42229</v>
      </c>
      <c r="F3370" s="907" t="s">
        <v>748</v>
      </c>
      <c r="G3370" s="902" t="s">
        <v>970</v>
      </c>
      <c r="H3370" s="913" t="s">
        <v>2014</v>
      </c>
      <c r="I3370" s="253">
        <v>100</v>
      </c>
      <c r="J3370" s="253">
        <v>15015.429348467382</v>
      </c>
      <c r="K3370" s="904">
        <f t="shared" si="59"/>
        <v>1501543</v>
      </c>
      <c r="L3370" s="869" t="s">
        <v>167</v>
      </c>
      <c r="M3370" s="869" t="s">
        <v>165</v>
      </c>
      <c r="N3370" s="52" t="str">
        <f>IF(AND('331-CT'!$E$7=TH!H3370,OR(L3370="331",M3370="331")),"331",IF(AND(OR(L3370="131",M3370="131"),H3370='131-CT'!$E$7),"131",""))</f>
        <v/>
      </c>
      <c r="O3370" s="869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799"/>
    </row>
    <row r="3371" spans="1:27" s="210" customFormat="1" ht="15.75" customHeight="1">
      <c r="A3371" s="203" t="str">
        <f>IF(B3371&lt;&gt;"",IF(AND(B3371&gt;=_TM1,B3371&lt;=_TM2,OR(TH!L3371="1111",TH!M3371="1111")),TH!D3371,""),"")</f>
        <v/>
      </c>
      <c r="B3371" s="36">
        <f t="shared" si="57"/>
        <v>8</v>
      </c>
      <c r="C3371" s="899">
        <f t="shared" si="58"/>
        <v>42234</v>
      </c>
      <c r="D3371" s="900" t="s">
        <v>2013</v>
      </c>
      <c r="E3371" s="900">
        <v>42234</v>
      </c>
      <c r="F3371" s="907" t="s">
        <v>728</v>
      </c>
      <c r="G3371" s="902" t="s">
        <v>971</v>
      </c>
      <c r="H3371" s="913" t="s">
        <v>2014</v>
      </c>
      <c r="I3371" s="253">
        <v>600</v>
      </c>
      <c r="J3371" s="253">
        <v>13650.390316788527</v>
      </c>
      <c r="K3371" s="904">
        <f t="shared" si="59"/>
        <v>8190234</v>
      </c>
      <c r="L3371" s="869" t="s">
        <v>167</v>
      </c>
      <c r="M3371" s="869" t="s">
        <v>165</v>
      </c>
      <c r="N3371" s="52" t="str">
        <f>IF(AND('331-CT'!$E$7=TH!H3371,OR(L3371="331",M3371="331")),"331",IF(AND(OR(L3371="131",M3371="131"),H3371='131-CT'!$E$7),"131",""))</f>
        <v/>
      </c>
      <c r="O3371" s="869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799"/>
    </row>
    <row r="3372" spans="1:27" s="210" customFormat="1" ht="15.75" customHeight="1">
      <c r="A3372" s="203" t="str">
        <f>IF(B3372&lt;&gt;"",IF(AND(B3372&gt;=_TM1,B3372&lt;=_TM2,OR(TH!L3372="1111",TH!M3372="1111")),TH!D3372,""),"")</f>
        <v/>
      </c>
      <c r="B3372" s="36">
        <f t="shared" si="57"/>
        <v>8</v>
      </c>
      <c r="C3372" s="899">
        <f t="shared" si="58"/>
        <v>42234</v>
      </c>
      <c r="D3372" s="900" t="s">
        <v>2013</v>
      </c>
      <c r="E3372" s="900">
        <v>42234</v>
      </c>
      <c r="F3372" s="907" t="s">
        <v>747</v>
      </c>
      <c r="G3372" s="902" t="s">
        <v>971</v>
      </c>
      <c r="H3372" s="913" t="s">
        <v>2014</v>
      </c>
      <c r="I3372" s="253">
        <v>300</v>
      </c>
      <c r="J3372" s="253">
        <v>4255.7099222928946</v>
      </c>
      <c r="K3372" s="904">
        <f t="shared" si="59"/>
        <v>1276713</v>
      </c>
      <c r="L3372" s="869" t="s">
        <v>167</v>
      </c>
      <c r="M3372" s="869" t="s">
        <v>165</v>
      </c>
      <c r="N3372" s="52" t="str">
        <f>IF(AND('331-CT'!$E$7=TH!H3372,OR(L3372="331",M3372="331")),"331",IF(AND(OR(L3372="131",M3372="131"),H3372='131-CT'!$E$7),"131",""))</f>
        <v/>
      </c>
      <c r="O3372" s="869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799"/>
    </row>
    <row r="3373" spans="1:27" s="210" customFormat="1" ht="15.75" customHeight="1">
      <c r="A3373" s="203" t="str">
        <f>IF(B3373&lt;&gt;"",IF(AND(B3373&gt;=_TM1,B3373&lt;=_TM2,OR(TH!L3373="1111",TH!M3373="1111")),TH!D3373,""),"")</f>
        <v/>
      </c>
      <c r="B3373" s="36">
        <f t="shared" si="57"/>
        <v>8</v>
      </c>
      <c r="C3373" s="899">
        <f t="shared" si="58"/>
        <v>42234</v>
      </c>
      <c r="D3373" s="900" t="s">
        <v>2013</v>
      </c>
      <c r="E3373" s="900">
        <v>42234</v>
      </c>
      <c r="F3373" s="907" t="s">
        <v>1781</v>
      </c>
      <c r="G3373" s="902" t="s">
        <v>971</v>
      </c>
      <c r="H3373" s="913" t="s">
        <v>2014</v>
      </c>
      <c r="I3373" s="253">
        <v>200</v>
      </c>
      <c r="J3373" s="253">
        <v>15015.429348467382</v>
      </c>
      <c r="K3373" s="904">
        <f t="shared" si="59"/>
        <v>3003086</v>
      </c>
      <c r="L3373" s="869" t="s">
        <v>167</v>
      </c>
      <c r="M3373" s="869" t="s">
        <v>165</v>
      </c>
      <c r="N3373" s="52" t="str">
        <f>IF(AND('331-CT'!$E$7=TH!H3373,OR(L3373="331",M3373="331")),"331",IF(AND(OR(L3373="131",M3373="131"),H3373='131-CT'!$E$7),"131",""))</f>
        <v/>
      </c>
      <c r="O3373" s="869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799"/>
    </row>
    <row r="3374" spans="1:27" s="210" customFormat="1" ht="15.75" customHeight="1">
      <c r="A3374" s="203" t="str">
        <f>IF(B3374&lt;&gt;"",IF(AND(B3374&gt;=_TM1,B3374&lt;=_TM2,OR(TH!L3374="1111",TH!M3374="1111")),TH!D3374,""),"")</f>
        <v/>
      </c>
      <c r="B3374" s="36">
        <f t="shared" si="57"/>
        <v>8</v>
      </c>
      <c r="C3374" s="899">
        <f t="shared" si="58"/>
        <v>42234</v>
      </c>
      <c r="D3374" s="900" t="s">
        <v>2013</v>
      </c>
      <c r="E3374" s="900">
        <v>42234</v>
      </c>
      <c r="F3374" s="907" t="s">
        <v>409</v>
      </c>
      <c r="G3374" s="902" t="s">
        <v>973</v>
      </c>
      <c r="H3374" s="913" t="s">
        <v>2014</v>
      </c>
      <c r="I3374" s="253">
        <v>1280</v>
      </c>
      <c r="J3374" s="253">
        <v>5941.9346084844183</v>
      </c>
      <c r="K3374" s="904">
        <f t="shared" si="59"/>
        <v>7605676</v>
      </c>
      <c r="L3374" s="869" t="s">
        <v>167</v>
      </c>
      <c r="M3374" s="869" t="s">
        <v>165</v>
      </c>
      <c r="N3374" s="52" t="str">
        <f>IF(AND('331-CT'!$E$7=TH!H3374,OR(L3374="331",M3374="331")),"331",IF(AND(OR(L3374="131",M3374="131"),H3374='131-CT'!$E$7),"131",""))</f>
        <v/>
      </c>
      <c r="O3374" s="869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799"/>
    </row>
    <row r="3375" spans="1:27" s="210" customFormat="1" ht="15.75" customHeight="1">
      <c r="A3375" s="203" t="str">
        <f>IF(B3375&lt;&gt;"",IF(AND(B3375&gt;=_TM1,B3375&lt;=_TM2,OR(TH!L3375="1111",TH!M3375="1111")),TH!D3375,""),"")</f>
        <v/>
      </c>
      <c r="B3375" s="36">
        <f t="shared" si="57"/>
        <v>8</v>
      </c>
      <c r="C3375" s="899">
        <f t="shared" si="58"/>
        <v>42235</v>
      </c>
      <c r="D3375" s="900" t="s">
        <v>2013</v>
      </c>
      <c r="E3375" s="900">
        <v>42235</v>
      </c>
      <c r="F3375" s="907" t="s">
        <v>494</v>
      </c>
      <c r="G3375" s="902" t="s">
        <v>972</v>
      </c>
      <c r="H3375" s="913" t="s">
        <v>2014</v>
      </c>
      <c r="I3375" s="253">
        <v>710</v>
      </c>
      <c r="J3375" s="253">
        <v>5460.1561267154111</v>
      </c>
      <c r="K3375" s="904">
        <f t="shared" si="59"/>
        <v>3876711</v>
      </c>
      <c r="L3375" s="869" t="s">
        <v>167</v>
      </c>
      <c r="M3375" s="869" t="s">
        <v>165</v>
      </c>
      <c r="N3375" s="52" t="str">
        <f>IF(AND('331-CT'!$E$7=TH!H3375,OR(L3375="331",M3375="331")),"331",IF(AND(OR(L3375="131",M3375="131"),H3375='131-CT'!$E$7),"131",""))</f>
        <v/>
      </c>
      <c r="O3375" s="869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799"/>
    </row>
    <row r="3376" spans="1:27" s="210" customFormat="1" ht="15.75" customHeight="1">
      <c r="A3376" s="203" t="str">
        <f>IF(B3376&lt;&gt;"",IF(AND(B3376&gt;=_TM1,B3376&lt;=_TM2,OR(TH!L3376="1111",TH!M3376="1111")),TH!D3376,""),"")</f>
        <v/>
      </c>
      <c r="B3376" s="36">
        <f t="shared" si="57"/>
        <v>8</v>
      </c>
      <c r="C3376" s="899">
        <f t="shared" si="58"/>
        <v>42236</v>
      </c>
      <c r="D3376" s="900" t="s">
        <v>2013</v>
      </c>
      <c r="E3376" s="900">
        <v>42236</v>
      </c>
      <c r="F3376" s="907" t="s">
        <v>595</v>
      </c>
      <c r="G3376" s="902" t="s">
        <v>974</v>
      </c>
      <c r="H3376" s="913" t="s">
        <v>2014</v>
      </c>
      <c r="I3376" s="253">
        <v>169</v>
      </c>
      <c r="J3376" s="253">
        <v>7467.5664674196069</v>
      </c>
      <c r="K3376" s="904">
        <f t="shared" si="59"/>
        <v>1262019</v>
      </c>
      <c r="L3376" s="869" t="s">
        <v>167</v>
      </c>
      <c r="M3376" s="869" t="s">
        <v>165</v>
      </c>
      <c r="N3376" s="52" t="str">
        <f>IF(AND('331-CT'!$E$7=TH!H3376,OR(L3376="331",M3376="331")),"331",IF(AND(OR(L3376="131",M3376="131"),H3376='131-CT'!$E$7),"131",""))</f>
        <v/>
      </c>
      <c r="O3376" s="869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799"/>
    </row>
    <row r="3377" spans="1:27" s="210" customFormat="1" ht="15.75" customHeight="1">
      <c r="A3377" s="203" t="str">
        <f>IF(B3377&lt;&gt;"",IF(AND(B3377&gt;=_TM1,B3377&lt;=_TM2,OR(TH!L3377="1111",TH!M3377="1111")),TH!D3377,""),"")</f>
        <v/>
      </c>
      <c r="B3377" s="36">
        <f t="shared" si="57"/>
        <v>8</v>
      </c>
      <c r="C3377" s="899">
        <f t="shared" si="58"/>
        <v>42236</v>
      </c>
      <c r="D3377" s="900" t="s">
        <v>2013</v>
      </c>
      <c r="E3377" s="900">
        <v>42236</v>
      </c>
      <c r="F3377" s="907" t="s">
        <v>539</v>
      </c>
      <c r="G3377" s="902" t="s">
        <v>974</v>
      </c>
      <c r="H3377" s="913" t="s">
        <v>2014</v>
      </c>
      <c r="I3377" s="253">
        <v>315</v>
      </c>
      <c r="J3377" s="253">
        <v>7547.862881047774</v>
      </c>
      <c r="K3377" s="904">
        <f t="shared" si="59"/>
        <v>2377577</v>
      </c>
      <c r="L3377" s="869" t="s">
        <v>167</v>
      </c>
      <c r="M3377" s="869" t="s">
        <v>165</v>
      </c>
      <c r="N3377" s="52" t="str">
        <f>IF(AND('331-CT'!$E$7=TH!H3377,OR(L3377="331",M3377="331")),"331",IF(AND(OR(L3377="131",M3377="131"),H3377='131-CT'!$E$7),"131",""))</f>
        <v/>
      </c>
      <c r="O3377" s="869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799"/>
    </row>
    <row r="3378" spans="1:27" s="210" customFormat="1" ht="15.75" customHeight="1">
      <c r="A3378" s="203" t="str">
        <f>IF(B3378&lt;&gt;"",IF(AND(B3378&gt;=_TM1,B3378&lt;=_TM2,OR(TH!L3378="1111",TH!M3378="1111")),TH!D3378,""),"")</f>
        <v/>
      </c>
      <c r="B3378" s="36">
        <f t="shared" si="57"/>
        <v>8</v>
      </c>
      <c r="C3378" s="899">
        <f t="shared" si="58"/>
        <v>42236</v>
      </c>
      <c r="D3378" s="900" t="s">
        <v>2013</v>
      </c>
      <c r="E3378" s="900">
        <v>42236</v>
      </c>
      <c r="F3378" s="907" t="s">
        <v>906</v>
      </c>
      <c r="G3378" s="902" t="s">
        <v>975</v>
      </c>
      <c r="H3378" s="913" t="s">
        <v>2014</v>
      </c>
      <c r="I3378" s="253">
        <v>320</v>
      </c>
      <c r="J3378" s="253">
        <v>7306.9736401632708</v>
      </c>
      <c r="K3378" s="904">
        <f t="shared" si="59"/>
        <v>2338232</v>
      </c>
      <c r="L3378" s="869" t="s">
        <v>167</v>
      </c>
      <c r="M3378" s="869" t="s">
        <v>165</v>
      </c>
      <c r="N3378" s="52" t="str">
        <f>IF(AND('331-CT'!$E$7=TH!H3378,OR(L3378="331",M3378="331")),"331",IF(AND(OR(L3378="131",M3378="131"),H3378='131-CT'!$E$7),"131",""))</f>
        <v/>
      </c>
      <c r="O3378" s="869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799"/>
    </row>
    <row r="3379" spans="1:27" s="210" customFormat="1" ht="15.75" customHeight="1">
      <c r="A3379" s="203" t="str">
        <f>IF(B3379&lt;&gt;"",IF(AND(B3379&gt;=_TM1,B3379&lt;=_TM2,OR(TH!L3379="1111",TH!M3379="1111")),TH!D3379,""),"")</f>
        <v/>
      </c>
      <c r="B3379" s="36">
        <f t="shared" si="57"/>
        <v>8</v>
      </c>
      <c r="C3379" s="899">
        <f t="shared" si="58"/>
        <v>42236</v>
      </c>
      <c r="D3379" s="900" t="s">
        <v>2013</v>
      </c>
      <c r="E3379" s="900">
        <v>42236</v>
      </c>
      <c r="F3379" s="907" t="s">
        <v>614</v>
      </c>
      <c r="G3379" s="902" t="s">
        <v>975</v>
      </c>
      <c r="H3379" s="913" t="s">
        <v>2014</v>
      </c>
      <c r="I3379" s="253">
        <v>356</v>
      </c>
      <c r="J3379" s="253">
        <v>5299.563299459076</v>
      </c>
      <c r="K3379" s="904">
        <f t="shared" si="59"/>
        <v>1886645</v>
      </c>
      <c r="L3379" s="869" t="s">
        <v>167</v>
      </c>
      <c r="M3379" s="869" t="s">
        <v>165</v>
      </c>
      <c r="N3379" s="52" t="str">
        <f>IF(AND('331-CT'!$E$7=TH!H3379,OR(L3379="331",M3379="331")),"331",IF(AND(OR(L3379="131",M3379="131"),H3379='131-CT'!$E$7),"131",""))</f>
        <v/>
      </c>
      <c r="O3379" s="869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799"/>
    </row>
    <row r="3380" spans="1:27" s="210" customFormat="1" ht="15.75" customHeight="1">
      <c r="A3380" s="203" t="str">
        <f>IF(B3380&lt;&gt;"",IF(AND(B3380&gt;=_TM1,B3380&lt;=_TM2,OR(TH!L3380="1111",TH!M3380="1111")),TH!D3380,""),"")</f>
        <v/>
      </c>
      <c r="B3380" s="36">
        <f t="shared" si="57"/>
        <v>8</v>
      </c>
      <c r="C3380" s="899">
        <f t="shared" si="58"/>
        <v>42236</v>
      </c>
      <c r="D3380" s="900" t="s">
        <v>2013</v>
      </c>
      <c r="E3380" s="900">
        <v>42236</v>
      </c>
      <c r="F3380" s="907" t="s">
        <v>977</v>
      </c>
      <c r="G3380" s="902" t="s">
        <v>978</v>
      </c>
      <c r="H3380" s="913" t="s">
        <v>2014</v>
      </c>
      <c r="I3380" s="253">
        <v>31</v>
      </c>
      <c r="J3380" s="253">
        <v>23607.145606681337</v>
      </c>
      <c r="K3380" s="904">
        <f t="shared" si="59"/>
        <v>731822</v>
      </c>
      <c r="L3380" s="869" t="s">
        <v>167</v>
      </c>
      <c r="M3380" s="869" t="s">
        <v>165</v>
      </c>
      <c r="N3380" s="52" t="str">
        <f>IF(AND('331-CT'!$E$7=TH!H3380,OR(L3380="331",M3380="331")),"331",IF(AND(OR(L3380="131",M3380="131"),H3380='131-CT'!$E$7),"131",""))</f>
        <v/>
      </c>
      <c r="O3380" s="869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799"/>
    </row>
    <row r="3381" spans="1:27" s="210" customFormat="1" ht="15.75" customHeight="1">
      <c r="A3381" s="203" t="str">
        <f>IF(B3381&lt;&gt;"",IF(AND(B3381&gt;=_TM1,B3381&lt;=_TM2,OR(TH!L3381="1111",TH!M3381="1111")),TH!D3381,""),"")</f>
        <v/>
      </c>
      <c r="B3381" s="36">
        <f t="shared" si="57"/>
        <v>8</v>
      </c>
      <c r="C3381" s="899">
        <f t="shared" si="58"/>
        <v>42236</v>
      </c>
      <c r="D3381" s="900" t="s">
        <v>2013</v>
      </c>
      <c r="E3381" s="900">
        <v>42236</v>
      </c>
      <c r="F3381" s="907" t="s">
        <v>979</v>
      </c>
      <c r="G3381" s="902" t="s">
        <v>978</v>
      </c>
      <c r="H3381" s="913" t="s">
        <v>2014</v>
      </c>
      <c r="I3381" s="253">
        <v>60</v>
      </c>
      <c r="J3381" s="253">
        <v>9314.3839808674657</v>
      </c>
      <c r="K3381" s="904">
        <f t="shared" si="59"/>
        <v>558863</v>
      </c>
      <c r="L3381" s="869" t="s">
        <v>167</v>
      </c>
      <c r="M3381" s="869" t="s">
        <v>165</v>
      </c>
      <c r="N3381" s="52" t="str">
        <f>IF(AND('331-CT'!$E$7=TH!H3381,OR(L3381="331",M3381="331")),"331",IF(AND(OR(L3381="131",M3381="131"),H3381='131-CT'!$E$7),"131",""))</f>
        <v/>
      </c>
      <c r="O3381" s="869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799"/>
    </row>
    <row r="3382" spans="1:27" s="210" customFormat="1" ht="15.75" customHeight="1">
      <c r="A3382" s="203" t="str">
        <f>IF(B3382&lt;&gt;"",IF(AND(B3382&gt;=_TM1,B3382&lt;=_TM2,OR(TH!L3382="1111",TH!M3382="1111")),TH!D3382,""),"")</f>
        <v/>
      </c>
      <c r="B3382" s="36">
        <f t="shared" si="57"/>
        <v>8</v>
      </c>
      <c r="C3382" s="899">
        <f t="shared" si="58"/>
        <v>42236</v>
      </c>
      <c r="D3382" s="900" t="s">
        <v>2013</v>
      </c>
      <c r="E3382" s="900">
        <v>42236</v>
      </c>
      <c r="F3382" s="907" t="s">
        <v>1661</v>
      </c>
      <c r="G3382" s="902" t="s">
        <v>978</v>
      </c>
      <c r="H3382" s="913" t="s">
        <v>2014</v>
      </c>
      <c r="I3382" s="253">
        <v>120</v>
      </c>
      <c r="J3382" s="253">
        <v>481.77848176900687</v>
      </c>
      <c r="K3382" s="904">
        <f t="shared" si="59"/>
        <v>57813</v>
      </c>
      <c r="L3382" s="869" t="s">
        <v>167</v>
      </c>
      <c r="M3382" s="869" t="s">
        <v>165</v>
      </c>
      <c r="N3382" s="52" t="str">
        <f>IF(AND('331-CT'!$E$7=TH!H3382,OR(L3382="331",M3382="331")),"331",IF(AND(OR(L3382="131",M3382="131"),H3382='131-CT'!$E$7),"131",""))</f>
        <v/>
      </c>
      <c r="O3382" s="869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799"/>
    </row>
    <row r="3383" spans="1:27" s="210" customFormat="1" ht="15.75" customHeight="1">
      <c r="A3383" s="203" t="str">
        <f>IF(B3383&lt;&gt;"",IF(AND(B3383&gt;=_TM1,B3383&lt;=_TM2,OR(TH!L3383="1111",TH!M3383="1111")),TH!D3383,""),"")</f>
        <v/>
      </c>
      <c r="B3383" s="36">
        <f t="shared" si="57"/>
        <v>8</v>
      </c>
      <c r="C3383" s="899">
        <f t="shared" si="58"/>
        <v>42236</v>
      </c>
      <c r="D3383" s="900" t="s">
        <v>2013</v>
      </c>
      <c r="E3383" s="900">
        <v>42236</v>
      </c>
      <c r="F3383" s="907" t="s">
        <v>746</v>
      </c>
      <c r="G3383" s="902" t="s">
        <v>980</v>
      </c>
      <c r="H3383" s="913" t="s">
        <v>2014</v>
      </c>
      <c r="I3383" s="253">
        <v>1000</v>
      </c>
      <c r="J3383" s="253">
        <v>18548.471548106765</v>
      </c>
      <c r="K3383" s="904">
        <f t="shared" si="59"/>
        <v>18548472</v>
      </c>
      <c r="L3383" s="869" t="s">
        <v>167</v>
      </c>
      <c r="M3383" s="869" t="s">
        <v>165</v>
      </c>
      <c r="N3383" s="52" t="str">
        <f>IF(AND('331-CT'!$E$7=TH!H3383,OR(L3383="331",M3383="331")),"331",IF(AND(OR(L3383="131",M3383="131"),H3383='131-CT'!$E$7),"131",""))</f>
        <v/>
      </c>
      <c r="O3383" s="869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799"/>
    </row>
    <row r="3384" spans="1:27" s="210" customFormat="1" ht="15.75" customHeight="1">
      <c r="A3384" s="203" t="str">
        <f>IF(B3384&lt;&gt;"",IF(AND(B3384&gt;=_TM1,B3384&lt;=_TM2,OR(TH!L3384="1111",TH!M3384="1111")),TH!D3384,""),"")</f>
        <v/>
      </c>
      <c r="B3384" s="36">
        <f t="shared" si="57"/>
        <v>8</v>
      </c>
      <c r="C3384" s="899">
        <f t="shared" si="58"/>
        <v>42236</v>
      </c>
      <c r="D3384" s="900" t="s">
        <v>2013</v>
      </c>
      <c r="E3384" s="900">
        <v>42236</v>
      </c>
      <c r="F3384" s="907" t="s">
        <v>745</v>
      </c>
      <c r="G3384" s="902" t="s">
        <v>980</v>
      </c>
      <c r="H3384" s="913" t="s">
        <v>2014</v>
      </c>
      <c r="I3384" s="253">
        <v>400</v>
      </c>
      <c r="J3384" s="253">
        <v>8511.4198445857892</v>
      </c>
      <c r="K3384" s="904">
        <f t="shared" si="59"/>
        <v>3404568</v>
      </c>
      <c r="L3384" s="869" t="s">
        <v>167</v>
      </c>
      <c r="M3384" s="869" t="s">
        <v>165</v>
      </c>
      <c r="N3384" s="52" t="str">
        <f>IF(AND('331-CT'!$E$7=TH!H3384,OR(L3384="331",M3384="331")),"331",IF(AND(OR(L3384="131",M3384="131"),H3384='131-CT'!$E$7),"131",""))</f>
        <v/>
      </c>
      <c r="O3384" s="869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799"/>
    </row>
    <row r="3385" spans="1:27" s="210" customFormat="1" ht="15.75" customHeight="1">
      <c r="A3385" s="203" t="str">
        <f>IF(B3385&lt;&gt;"",IF(AND(B3385&gt;=_TM1,B3385&lt;=_TM2,OR(TH!L3385="1111",TH!M3385="1111")),TH!D3385,""),"")</f>
        <v/>
      </c>
      <c r="B3385" s="36">
        <f t="shared" si="57"/>
        <v>8</v>
      </c>
      <c r="C3385" s="899">
        <f t="shared" si="58"/>
        <v>42238</v>
      </c>
      <c r="D3385" s="900" t="s">
        <v>2013</v>
      </c>
      <c r="E3385" s="900">
        <v>42238</v>
      </c>
      <c r="F3385" s="907" t="s">
        <v>745</v>
      </c>
      <c r="G3385" s="902" t="s">
        <v>981</v>
      </c>
      <c r="H3385" s="913" t="s">
        <v>2014</v>
      </c>
      <c r="I3385" s="253">
        <v>600</v>
      </c>
      <c r="J3385" s="253">
        <v>8511.4198445857892</v>
      </c>
      <c r="K3385" s="904">
        <f t="shared" si="59"/>
        <v>5106852</v>
      </c>
      <c r="L3385" s="869" t="s">
        <v>167</v>
      </c>
      <c r="M3385" s="869" t="s">
        <v>165</v>
      </c>
      <c r="N3385" s="52" t="str">
        <f>IF(AND('331-CT'!$E$7=TH!H3385,OR(L3385="331",M3385="331")),"331",IF(AND(OR(L3385="131",M3385="131"),H3385='131-CT'!$E$7),"131",""))</f>
        <v/>
      </c>
      <c r="O3385" s="869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799"/>
    </row>
    <row r="3386" spans="1:27" s="210" customFormat="1" ht="15.75" customHeight="1">
      <c r="A3386" s="203" t="str">
        <f>IF(B3386&lt;&gt;"",IF(AND(B3386&gt;=_TM1,B3386&lt;=_TM2,OR(TH!L3386="1111",TH!M3386="1111")),TH!D3386,""),"")</f>
        <v/>
      </c>
      <c r="B3386" s="36">
        <f t="shared" si="57"/>
        <v>8</v>
      </c>
      <c r="C3386" s="899">
        <f t="shared" si="58"/>
        <v>42238</v>
      </c>
      <c r="D3386" s="900" t="s">
        <v>2013</v>
      </c>
      <c r="E3386" s="900">
        <v>42238</v>
      </c>
      <c r="F3386" s="907" t="s">
        <v>1766</v>
      </c>
      <c r="G3386" s="902" t="s">
        <v>981</v>
      </c>
      <c r="H3386" s="913" t="s">
        <v>2014</v>
      </c>
      <c r="I3386" s="253">
        <v>1000</v>
      </c>
      <c r="J3386" s="253">
        <v>10037.051703520976</v>
      </c>
      <c r="K3386" s="904">
        <f t="shared" si="59"/>
        <v>10037052</v>
      </c>
      <c r="L3386" s="869" t="s">
        <v>167</v>
      </c>
      <c r="M3386" s="869" t="s">
        <v>165</v>
      </c>
      <c r="N3386" s="52" t="str">
        <f>IF(AND('331-CT'!$E$7=TH!H3386,OR(L3386="331",M3386="331")),"331",IF(AND(OR(L3386="131",M3386="131"),H3386='131-CT'!$E$7),"131",""))</f>
        <v/>
      </c>
      <c r="O3386" s="869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799"/>
    </row>
    <row r="3387" spans="1:27" s="210" customFormat="1" ht="15.75" customHeight="1">
      <c r="A3387" s="203" t="str">
        <f>IF(B3387&lt;&gt;"",IF(AND(B3387&gt;=_TM1,B3387&lt;=_TM2,OR(TH!L3387="1111",TH!M3387="1111")),TH!D3387,""),"")</f>
        <v/>
      </c>
      <c r="B3387" s="36">
        <f t="shared" si="57"/>
        <v>8</v>
      </c>
      <c r="C3387" s="899">
        <f t="shared" si="58"/>
        <v>42238</v>
      </c>
      <c r="D3387" s="900" t="s">
        <v>2013</v>
      </c>
      <c r="E3387" s="900">
        <v>42238</v>
      </c>
      <c r="F3387" s="907" t="s">
        <v>602</v>
      </c>
      <c r="G3387" s="902" t="s">
        <v>982</v>
      </c>
      <c r="H3387" s="913" t="s">
        <v>2014</v>
      </c>
      <c r="I3387" s="253">
        <v>868</v>
      </c>
      <c r="J3387" s="253">
        <v>10117.348117149144</v>
      </c>
      <c r="K3387" s="904">
        <f t="shared" si="59"/>
        <v>8781858</v>
      </c>
      <c r="L3387" s="869" t="s">
        <v>167</v>
      </c>
      <c r="M3387" s="869" t="s">
        <v>165</v>
      </c>
      <c r="N3387" s="52" t="str">
        <f>IF(AND('331-CT'!$E$7=TH!H3387,OR(L3387="331",M3387="331")),"331",IF(AND(OR(L3387="131",M3387="131"),H3387='131-CT'!$E$7),"131",""))</f>
        <v/>
      </c>
      <c r="O3387" s="869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799"/>
    </row>
    <row r="3388" spans="1:27" s="210" customFormat="1" ht="15.75" customHeight="1">
      <c r="A3388" s="203" t="str">
        <f>IF(B3388&lt;&gt;"",IF(AND(B3388&gt;=_TM1,B3388&lt;=_TM2,OR(TH!L3388="1111",TH!M3388="1111")),TH!D3388,""),"")</f>
        <v/>
      </c>
      <c r="B3388" s="36">
        <f t="shared" si="57"/>
        <v>8</v>
      </c>
      <c r="C3388" s="899">
        <f t="shared" si="58"/>
        <v>42238</v>
      </c>
      <c r="D3388" s="900" t="s">
        <v>2013</v>
      </c>
      <c r="E3388" s="900">
        <v>42238</v>
      </c>
      <c r="F3388" s="907" t="s">
        <v>424</v>
      </c>
      <c r="G3388" s="902" t="s">
        <v>982</v>
      </c>
      <c r="H3388" s="913" t="s">
        <v>2014</v>
      </c>
      <c r="I3388" s="253">
        <v>1027</v>
      </c>
      <c r="J3388" s="253">
        <v>8431.1234309576212</v>
      </c>
      <c r="K3388" s="904">
        <f t="shared" si="59"/>
        <v>8658764</v>
      </c>
      <c r="L3388" s="869" t="s">
        <v>167</v>
      </c>
      <c r="M3388" s="869" t="s">
        <v>165</v>
      </c>
      <c r="N3388" s="52" t="str">
        <f>IF(AND('331-CT'!$E$7=TH!H3388,OR(L3388="331",M3388="331")),"331",IF(AND(OR(L3388="131",M3388="131"),H3388='131-CT'!$E$7),"131",""))</f>
        <v/>
      </c>
      <c r="O3388" s="869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799"/>
    </row>
    <row r="3389" spans="1:27" s="210" customFormat="1" ht="15.75" customHeight="1">
      <c r="A3389" s="203" t="str">
        <f>IF(B3389&lt;&gt;"",IF(AND(B3389&gt;=_TM1,B3389&lt;=_TM2,OR(TH!L3389="1111",TH!M3389="1111")),TH!D3389,""),"")</f>
        <v/>
      </c>
      <c r="B3389" s="36">
        <f t="shared" si="57"/>
        <v>8</v>
      </c>
      <c r="C3389" s="899">
        <f t="shared" si="58"/>
        <v>42238</v>
      </c>
      <c r="D3389" s="900" t="s">
        <v>2013</v>
      </c>
      <c r="E3389" s="900">
        <v>42238</v>
      </c>
      <c r="F3389" s="907" t="s">
        <v>983</v>
      </c>
      <c r="G3389" s="902" t="s">
        <v>982</v>
      </c>
      <c r="H3389" s="913" t="s">
        <v>2014</v>
      </c>
      <c r="I3389" s="253">
        <v>252</v>
      </c>
      <c r="J3389" s="253">
        <v>10759.719426174488</v>
      </c>
      <c r="K3389" s="904">
        <f t="shared" si="59"/>
        <v>2711449</v>
      </c>
      <c r="L3389" s="869" t="s">
        <v>167</v>
      </c>
      <c r="M3389" s="869" t="s">
        <v>165</v>
      </c>
      <c r="N3389" s="52" t="str">
        <f>IF(AND('331-CT'!$E$7=TH!H3389,OR(L3389="331",M3389="331")),"331",IF(AND(OR(L3389="131",M3389="131"),H3389='131-CT'!$E$7),"131",""))</f>
        <v/>
      </c>
      <c r="O3389" s="869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799"/>
    </row>
    <row r="3390" spans="1:27" s="210" customFormat="1" ht="15.75" customHeight="1">
      <c r="A3390" s="203" t="str">
        <f>IF(B3390&lt;&gt;"",IF(AND(B3390&gt;=_TM1,B3390&lt;=_TM2,OR(TH!L3390="1111",TH!M3390="1111")),TH!D3390,""),"")</f>
        <v/>
      </c>
      <c r="B3390" s="36">
        <f t="shared" si="57"/>
        <v>8</v>
      </c>
      <c r="C3390" s="899">
        <f t="shared" si="58"/>
        <v>42238</v>
      </c>
      <c r="D3390" s="900" t="s">
        <v>2013</v>
      </c>
      <c r="E3390" s="900">
        <v>42238</v>
      </c>
      <c r="F3390" s="907" t="s">
        <v>602</v>
      </c>
      <c r="G3390" s="902" t="s">
        <v>982</v>
      </c>
      <c r="H3390" s="913" t="s">
        <v>2014</v>
      </c>
      <c r="I3390" s="253">
        <v>480</v>
      </c>
      <c r="J3390" s="253">
        <v>10117.348117149144</v>
      </c>
      <c r="K3390" s="904">
        <f t="shared" si="59"/>
        <v>4856327</v>
      </c>
      <c r="L3390" s="869" t="s">
        <v>167</v>
      </c>
      <c r="M3390" s="869" t="s">
        <v>165</v>
      </c>
      <c r="N3390" s="52" t="str">
        <f>IF(AND('331-CT'!$E$7=TH!H3390,OR(L3390="331",M3390="331")),"331",IF(AND(OR(L3390="131",M3390="131"),H3390='131-CT'!$E$7),"131",""))</f>
        <v/>
      </c>
      <c r="O3390" s="869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799"/>
    </row>
    <row r="3391" spans="1:27" s="210" customFormat="1" ht="15.75" customHeight="1">
      <c r="A3391" s="203" t="str">
        <f>IF(B3391&lt;&gt;"",IF(AND(B3391&gt;=_TM1,B3391&lt;=_TM2,OR(TH!L3391="1111",TH!M3391="1111")),TH!D3391,""),"")</f>
        <v/>
      </c>
      <c r="B3391" s="36">
        <f t="shared" si="57"/>
        <v>8</v>
      </c>
      <c r="C3391" s="899">
        <f t="shared" si="58"/>
        <v>42240</v>
      </c>
      <c r="D3391" s="900" t="s">
        <v>2013</v>
      </c>
      <c r="E3391" s="900">
        <v>42240</v>
      </c>
      <c r="F3391" s="907" t="s">
        <v>1766</v>
      </c>
      <c r="G3391" s="902" t="s">
        <v>984</v>
      </c>
      <c r="H3391" s="913" t="s">
        <v>2014</v>
      </c>
      <c r="I3391" s="253">
        <v>1000</v>
      </c>
      <c r="J3391" s="253">
        <v>10037.051703520976</v>
      </c>
      <c r="K3391" s="904">
        <f t="shared" si="59"/>
        <v>10037052</v>
      </c>
      <c r="L3391" s="869" t="s">
        <v>167</v>
      </c>
      <c r="M3391" s="869" t="s">
        <v>165</v>
      </c>
      <c r="N3391" s="52" t="str">
        <f>IF(AND('331-CT'!$E$7=TH!H3391,OR(L3391="331",M3391="331")),"331",IF(AND(OR(L3391="131",M3391="131"),H3391='131-CT'!$E$7),"131",""))</f>
        <v/>
      </c>
      <c r="O3391" s="869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799"/>
    </row>
    <row r="3392" spans="1:27" s="210" customFormat="1" ht="15.75" customHeight="1">
      <c r="A3392" s="203" t="str">
        <f>IF(B3392&lt;&gt;"",IF(AND(B3392&gt;=_TM1,B3392&lt;=_TM2,OR(TH!L3392="1111",TH!M3392="1111")),TH!D3392,""),"")</f>
        <v/>
      </c>
      <c r="B3392" s="36">
        <f t="shared" si="57"/>
        <v>8</v>
      </c>
      <c r="C3392" s="899">
        <f t="shared" si="58"/>
        <v>42240</v>
      </c>
      <c r="D3392" s="900" t="s">
        <v>2013</v>
      </c>
      <c r="E3392" s="900">
        <v>42240</v>
      </c>
      <c r="F3392" s="907" t="s">
        <v>747</v>
      </c>
      <c r="G3392" s="902" t="s">
        <v>984</v>
      </c>
      <c r="H3392" s="913" t="s">
        <v>2014</v>
      </c>
      <c r="I3392" s="253">
        <v>600</v>
      </c>
      <c r="J3392" s="253">
        <v>4255.7099222928946</v>
      </c>
      <c r="K3392" s="904">
        <f t="shared" si="59"/>
        <v>2553426</v>
      </c>
      <c r="L3392" s="869" t="s">
        <v>167</v>
      </c>
      <c r="M3392" s="869" t="s">
        <v>165</v>
      </c>
      <c r="N3392" s="52" t="str">
        <f>IF(AND('331-CT'!$E$7=TH!H3392,OR(L3392="331",M3392="331")),"331",IF(AND(OR(L3392="131",M3392="131"),H3392='131-CT'!$E$7),"131",""))</f>
        <v/>
      </c>
      <c r="O3392" s="869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799"/>
    </row>
    <row r="3393" spans="1:27" s="210" customFormat="1" ht="15.75" customHeight="1">
      <c r="A3393" s="203" t="str">
        <f>IF(B3393&lt;&gt;"",IF(AND(B3393&gt;=_TM1,B3393&lt;=_TM2,OR(TH!L3393="1111",TH!M3393="1111")),TH!D3393,""),"")</f>
        <v/>
      </c>
      <c r="B3393" s="36">
        <f t="shared" si="57"/>
        <v>8</v>
      </c>
      <c r="C3393" s="899">
        <f t="shared" si="58"/>
        <v>42240</v>
      </c>
      <c r="D3393" s="900" t="s">
        <v>2013</v>
      </c>
      <c r="E3393" s="900">
        <v>42240</v>
      </c>
      <c r="F3393" s="907" t="s">
        <v>494</v>
      </c>
      <c r="G3393" s="902" t="s">
        <v>985</v>
      </c>
      <c r="H3393" s="913" t="s">
        <v>2014</v>
      </c>
      <c r="I3393" s="253">
        <v>1000</v>
      </c>
      <c r="J3393" s="253">
        <v>5460.1561267154111</v>
      </c>
      <c r="K3393" s="904">
        <f t="shared" si="59"/>
        <v>5460156</v>
      </c>
      <c r="L3393" s="869" t="s">
        <v>167</v>
      </c>
      <c r="M3393" s="869" t="s">
        <v>165</v>
      </c>
      <c r="N3393" s="52" t="str">
        <f>IF(AND('331-CT'!$E$7=TH!H3393,OR(L3393="331",M3393="331")),"331",IF(AND(OR(L3393="131",M3393="131"),H3393='131-CT'!$E$7),"131",""))</f>
        <v/>
      </c>
      <c r="O3393" s="869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799"/>
    </row>
    <row r="3394" spans="1:27" s="210" customFormat="1" ht="15.75" customHeight="1">
      <c r="A3394" s="203" t="str">
        <f>IF(B3394&lt;&gt;"",IF(AND(B3394&gt;=_TM1,B3394&lt;=_TM2,OR(TH!L3394="1111",TH!M3394="1111")),TH!D3394,""),"")</f>
        <v/>
      </c>
      <c r="B3394" s="36">
        <f t="shared" si="57"/>
        <v>8</v>
      </c>
      <c r="C3394" s="899">
        <f t="shared" si="58"/>
        <v>42241</v>
      </c>
      <c r="D3394" s="900" t="s">
        <v>2013</v>
      </c>
      <c r="E3394" s="900">
        <v>42241</v>
      </c>
      <c r="F3394" s="907" t="s">
        <v>986</v>
      </c>
      <c r="G3394" s="902" t="s">
        <v>987</v>
      </c>
      <c r="H3394" s="913" t="s">
        <v>2014</v>
      </c>
      <c r="I3394" s="253">
        <v>306</v>
      </c>
      <c r="J3394" s="253">
        <v>5941.9346084844183</v>
      </c>
      <c r="K3394" s="904">
        <f t="shared" si="59"/>
        <v>1818232</v>
      </c>
      <c r="L3394" s="869" t="s">
        <v>167</v>
      </c>
      <c r="M3394" s="869" t="s">
        <v>165</v>
      </c>
      <c r="N3394" s="52" t="str">
        <f>IF(AND('331-CT'!$E$7=TH!H3394,OR(L3394="331",M3394="331")),"331",IF(AND(OR(L3394="131",M3394="131"),H3394='131-CT'!$E$7),"131",""))</f>
        <v/>
      </c>
      <c r="O3394" s="869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799"/>
    </row>
    <row r="3395" spans="1:27" s="210" customFormat="1" ht="15.75" customHeight="1">
      <c r="A3395" s="203" t="str">
        <f>IF(B3395&lt;&gt;"",IF(AND(B3395&gt;=_TM1,B3395&lt;=_TM2,OR(TH!L3395="1111",TH!M3395="1111")),TH!D3395,""),"")</f>
        <v/>
      </c>
      <c r="B3395" s="36">
        <f t="shared" si="57"/>
        <v>8</v>
      </c>
      <c r="C3395" s="899">
        <f t="shared" si="58"/>
        <v>42241</v>
      </c>
      <c r="D3395" s="900" t="s">
        <v>2013</v>
      </c>
      <c r="E3395" s="900">
        <v>42241</v>
      </c>
      <c r="F3395" s="907" t="s">
        <v>948</v>
      </c>
      <c r="G3395" s="902" t="s">
        <v>987</v>
      </c>
      <c r="H3395" s="913" t="s">
        <v>2014</v>
      </c>
      <c r="I3395" s="253">
        <v>200</v>
      </c>
      <c r="J3395" s="253">
        <v>5379.859713087244</v>
      </c>
      <c r="K3395" s="904">
        <f t="shared" si="59"/>
        <v>1075972</v>
      </c>
      <c r="L3395" s="869" t="s">
        <v>167</v>
      </c>
      <c r="M3395" s="869" t="s">
        <v>165</v>
      </c>
      <c r="N3395" s="52" t="str">
        <f>IF(AND('331-CT'!$E$7=TH!H3395,OR(L3395="331",M3395="331")),"331",IF(AND(OR(L3395="131",M3395="131"),H3395='131-CT'!$E$7),"131",""))</f>
        <v/>
      </c>
      <c r="O3395" s="869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799"/>
    </row>
    <row r="3396" spans="1:27" s="210" customFormat="1" ht="15.75" customHeight="1">
      <c r="A3396" s="203" t="str">
        <f>IF(B3396&lt;&gt;"",IF(AND(B3396&gt;=_TM1,B3396&lt;=_TM2,OR(TH!L3396="1111",TH!M3396="1111")),TH!D3396,""),"")</f>
        <v/>
      </c>
      <c r="B3396" s="36">
        <f t="shared" si="57"/>
        <v>8</v>
      </c>
      <c r="C3396" s="899">
        <f t="shared" si="58"/>
        <v>42242</v>
      </c>
      <c r="D3396" s="900" t="s">
        <v>2013</v>
      </c>
      <c r="E3396" s="900">
        <v>42242</v>
      </c>
      <c r="F3396" s="907" t="s">
        <v>494</v>
      </c>
      <c r="G3396" s="902" t="s">
        <v>988</v>
      </c>
      <c r="H3396" s="913" t="s">
        <v>2014</v>
      </c>
      <c r="I3396" s="253">
        <v>1082</v>
      </c>
      <c r="J3396" s="253">
        <v>5460.1561267154111</v>
      </c>
      <c r="K3396" s="904">
        <f t="shared" si="59"/>
        <v>5907889</v>
      </c>
      <c r="L3396" s="869" t="s">
        <v>167</v>
      </c>
      <c r="M3396" s="869" t="s">
        <v>165</v>
      </c>
      <c r="N3396" s="52" t="str">
        <f>IF(AND('331-CT'!$E$7=TH!H3396,OR(L3396="331",M3396="331")),"331",IF(AND(OR(L3396="131",M3396="131"),H3396='131-CT'!$E$7),"131",""))</f>
        <v/>
      </c>
      <c r="O3396" s="869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799"/>
    </row>
    <row r="3397" spans="1:27" s="210" customFormat="1" ht="15.75" customHeight="1">
      <c r="A3397" s="203" t="str">
        <f>IF(B3397&lt;&gt;"",IF(AND(B3397&gt;=_TM1,B3397&lt;=_TM2,OR(TH!L3397="1111",TH!M3397="1111")),TH!D3397,""),"")</f>
        <v/>
      </c>
      <c r="B3397" s="36">
        <f t="shared" si="57"/>
        <v>8</v>
      </c>
      <c r="C3397" s="899">
        <f t="shared" si="58"/>
        <v>42242</v>
      </c>
      <c r="D3397" s="900" t="s">
        <v>2013</v>
      </c>
      <c r="E3397" s="900">
        <v>42242</v>
      </c>
      <c r="F3397" s="907" t="s">
        <v>413</v>
      </c>
      <c r="G3397" s="902" t="s">
        <v>989</v>
      </c>
      <c r="H3397" s="913" t="s">
        <v>2014</v>
      </c>
      <c r="I3397" s="253">
        <v>409</v>
      </c>
      <c r="J3397" s="253">
        <v>7628.159294675942</v>
      </c>
      <c r="K3397" s="904">
        <f t="shared" si="59"/>
        <v>3119917</v>
      </c>
      <c r="L3397" s="869" t="s">
        <v>167</v>
      </c>
      <c r="M3397" s="869" t="s">
        <v>165</v>
      </c>
      <c r="N3397" s="52" t="str">
        <f>IF(AND('331-CT'!$E$7=TH!H3397,OR(L3397="331",M3397="331")),"331",IF(AND(OR(L3397="131",M3397="131"),H3397='131-CT'!$E$7),"131",""))</f>
        <v/>
      </c>
      <c r="O3397" s="869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799"/>
    </row>
    <row r="3398" spans="1:27" s="210" customFormat="1" ht="15.75" customHeight="1">
      <c r="A3398" s="203" t="str">
        <f>IF(B3398&lt;&gt;"",IF(AND(B3398&gt;=_TM1,B3398&lt;=_TM2,OR(TH!L3398="1111",TH!M3398="1111")),TH!D3398,""),"")</f>
        <v/>
      </c>
      <c r="B3398" s="36">
        <f t="shared" si="57"/>
        <v>8</v>
      </c>
      <c r="C3398" s="899">
        <f t="shared" si="58"/>
        <v>42242</v>
      </c>
      <c r="D3398" s="900" t="s">
        <v>2013</v>
      </c>
      <c r="E3398" s="900">
        <v>42242</v>
      </c>
      <c r="F3398" s="907" t="s">
        <v>413</v>
      </c>
      <c r="G3398" s="902" t="s">
        <v>989</v>
      </c>
      <c r="H3398" s="913" t="s">
        <v>2014</v>
      </c>
      <c r="I3398" s="253">
        <v>200</v>
      </c>
      <c r="J3398" s="253">
        <v>7628.159294675942</v>
      </c>
      <c r="K3398" s="904">
        <f t="shared" si="59"/>
        <v>1525632</v>
      </c>
      <c r="L3398" s="869" t="s">
        <v>167</v>
      </c>
      <c r="M3398" s="869" t="s">
        <v>165</v>
      </c>
      <c r="N3398" s="52" t="str">
        <f>IF(AND('331-CT'!$E$7=TH!H3398,OR(L3398="331",M3398="331")),"331",IF(AND(OR(L3398="131",M3398="131"),H3398='131-CT'!$E$7),"131",""))</f>
        <v/>
      </c>
      <c r="O3398" s="869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799"/>
    </row>
    <row r="3399" spans="1:27" s="210" customFormat="1" ht="15.75" customHeight="1">
      <c r="A3399" s="203" t="str">
        <f>IF(B3399&lt;&gt;"",IF(AND(B3399&gt;=_TM1,B3399&lt;=_TM2,OR(TH!L3399="1111",TH!M3399="1111")),TH!D3399,""),"")</f>
        <v/>
      </c>
      <c r="B3399" s="36">
        <f t="shared" si="57"/>
        <v>8</v>
      </c>
      <c r="C3399" s="899">
        <f t="shared" si="58"/>
        <v>42242</v>
      </c>
      <c r="D3399" s="900" t="s">
        <v>2013</v>
      </c>
      <c r="E3399" s="900">
        <v>42242</v>
      </c>
      <c r="F3399" s="907" t="s">
        <v>2010</v>
      </c>
      <c r="G3399" s="902" t="s">
        <v>990</v>
      </c>
      <c r="H3399" s="913" t="s">
        <v>2014</v>
      </c>
      <c r="I3399" s="253">
        <v>10</v>
      </c>
      <c r="J3399" s="253">
        <v>9394.6803944956337</v>
      </c>
      <c r="K3399" s="904">
        <f t="shared" si="59"/>
        <v>93947</v>
      </c>
      <c r="L3399" s="869" t="s">
        <v>167</v>
      </c>
      <c r="M3399" s="869" t="s">
        <v>165</v>
      </c>
      <c r="N3399" s="52" t="str">
        <f>IF(AND('331-CT'!$E$7=TH!H3399,OR(L3399="331",M3399="331")),"331",IF(AND(OR(L3399="131",M3399="131"),H3399='131-CT'!$E$7),"131",""))</f>
        <v/>
      </c>
      <c r="O3399" s="869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799"/>
    </row>
    <row r="3400" spans="1:27" s="210" customFormat="1" ht="15.75" customHeight="1">
      <c r="A3400" s="203" t="str">
        <f>IF(B3400&lt;&gt;"",IF(AND(B3400&gt;=_TM1,B3400&lt;=_TM2,OR(TH!L3400="1111",TH!M3400="1111")),TH!D3400,""),"")</f>
        <v/>
      </c>
      <c r="B3400" s="36">
        <f t="shared" si="57"/>
        <v>8</v>
      </c>
      <c r="C3400" s="899">
        <f t="shared" si="58"/>
        <v>42242</v>
      </c>
      <c r="D3400" s="900" t="s">
        <v>2013</v>
      </c>
      <c r="E3400" s="900">
        <v>42242</v>
      </c>
      <c r="F3400" s="907" t="s">
        <v>1948</v>
      </c>
      <c r="G3400" s="902" t="s">
        <v>990</v>
      </c>
      <c r="H3400" s="913" t="s">
        <v>2014</v>
      </c>
      <c r="I3400" s="253">
        <v>10</v>
      </c>
      <c r="J3400" s="253">
        <v>9956.7552898928079</v>
      </c>
      <c r="K3400" s="904">
        <f t="shared" si="59"/>
        <v>99568</v>
      </c>
      <c r="L3400" s="869" t="s">
        <v>167</v>
      </c>
      <c r="M3400" s="869" t="s">
        <v>165</v>
      </c>
      <c r="N3400" s="52" t="str">
        <f>IF(AND('331-CT'!$E$7=TH!H3400,OR(L3400="331",M3400="331")),"331",IF(AND(OR(L3400="131",M3400="131"),H3400='131-CT'!$E$7),"131",""))</f>
        <v/>
      </c>
      <c r="O3400" s="869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799"/>
    </row>
    <row r="3401" spans="1:27" s="210" customFormat="1" ht="15.75" customHeight="1">
      <c r="A3401" s="203" t="str">
        <f>IF(B3401&lt;&gt;"",IF(AND(B3401&gt;=_TM1,B3401&lt;=_TM2,OR(TH!L3401="1111",TH!M3401="1111")),TH!D3401,""),"")</f>
        <v/>
      </c>
      <c r="B3401" s="36">
        <f t="shared" si="57"/>
        <v>8</v>
      </c>
      <c r="C3401" s="899">
        <f t="shared" si="58"/>
        <v>42242</v>
      </c>
      <c r="D3401" s="900" t="s">
        <v>2013</v>
      </c>
      <c r="E3401" s="900">
        <v>42242</v>
      </c>
      <c r="F3401" s="907" t="s">
        <v>1949</v>
      </c>
      <c r="G3401" s="902" t="s">
        <v>990</v>
      </c>
      <c r="H3401" s="913" t="s">
        <v>2014</v>
      </c>
      <c r="I3401" s="253">
        <v>10</v>
      </c>
      <c r="J3401" s="253">
        <v>12205.054871481507</v>
      </c>
      <c r="K3401" s="904">
        <f t="shared" si="59"/>
        <v>122051</v>
      </c>
      <c r="L3401" s="869" t="s">
        <v>167</v>
      </c>
      <c r="M3401" s="869" t="s">
        <v>165</v>
      </c>
      <c r="N3401" s="52" t="str">
        <f>IF(AND('331-CT'!$E$7=TH!H3401,OR(L3401="331",M3401="331")),"331",IF(AND(OR(L3401="131",M3401="131"),H3401='131-CT'!$E$7),"131",""))</f>
        <v/>
      </c>
      <c r="O3401" s="869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799"/>
    </row>
    <row r="3402" spans="1:27" s="210" customFormat="1" ht="15.75" customHeight="1">
      <c r="A3402" s="203" t="str">
        <f>IF(B3402&lt;&gt;"",IF(AND(B3402&gt;=_TM1,B3402&lt;=_TM2,OR(TH!L3402="1111",TH!M3402="1111")),TH!D3402,""),"")</f>
        <v/>
      </c>
      <c r="B3402" s="36">
        <f t="shared" si="57"/>
        <v>8</v>
      </c>
      <c r="C3402" s="899">
        <f t="shared" si="58"/>
        <v>42242</v>
      </c>
      <c r="D3402" s="900" t="s">
        <v>2013</v>
      </c>
      <c r="E3402" s="900">
        <v>42242</v>
      </c>
      <c r="F3402" s="907" t="s">
        <v>1950</v>
      </c>
      <c r="G3402" s="902" t="s">
        <v>990</v>
      </c>
      <c r="H3402" s="913" t="s">
        <v>2014</v>
      </c>
      <c r="I3402" s="253">
        <v>10</v>
      </c>
      <c r="J3402" s="253">
        <v>8752.3090854702914</v>
      </c>
      <c r="K3402" s="904">
        <f t="shared" si="59"/>
        <v>87523</v>
      </c>
      <c r="L3402" s="869" t="s">
        <v>167</v>
      </c>
      <c r="M3402" s="869" t="s">
        <v>165</v>
      </c>
      <c r="N3402" s="52" t="str">
        <f>IF(AND('331-CT'!$E$7=TH!H3402,OR(L3402="331",M3402="331")),"331",IF(AND(OR(L3402="131",M3402="131"),H3402='131-CT'!$E$7),"131",""))</f>
        <v/>
      </c>
      <c r="O3402" s="869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799"/>
    </row>
    <row r="3403" spans="1:27" s="210" customFormat="1" ht="15.75" customHeight="1">
      <c r="A3403" s="203" t="str">
        <f>IF(B3403&lt;&gt;"",IF(AND(B3403&gt;=_TM1,B3403&lt;=_TM2,OR(TH!L3403="1111",TH!M3403="1111")),TH!D3403,""),"")</f>
        <v/>
      </c>
      <c r="B3403" s="36">
        <f t="shared" si="57"/>
        <v>8</v>
      </c>
      <c r="C3403" s="899">
        <f t="shared" si="58"/>
        <v>42242</v>
      </c>
      <c r="D3403" s="900" t="s">
        <v>2013</v>
      </c>
      <c r="E3403" s="900">
        <v>42242</v>
      </c>
      <c r="F3403" s="907" t="s">
        <v>1951</v>
      </c>
      <c r="G3403" s="902" t="s">
        <v>990</v>
      </c>
      <c r="H3403" s="913" t="s">
        <v>2014</v>
      </c>
      <c r="I3403" s="253">
        <v>10</v>
      </c>
      <c r="J3403" s="253">
        <v>9715.8660490083057</v>
      </c>
      <c r="K3403" s="904">
        <f t="shared" si="59"/>
        <v>97159</v>
      </c>
      <c r="L3403" s="869" t="s">
        <v>167</v>
      </c>
      <c r="M3403" s="869" t="s">
        <v>165</v>
      </c>
      <c r="N3403" s="52" t="str">
        <f>IF(AND('331-CT'!$E$7=TH!H3403,OR(L3403="331",M3403="331")),"331",IF(AND(OR(L3403="131",M3403="131"),H3403='131-CT'!$E$7),"131",""))</f>
        <v/>
      </c>
      <c r="O3403" s="869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799"/>
    </row>
    <row r="3404" spans="1:27" s="210" customFormat="1" ht="15.75" customHeight="1">
      <c r="A3404" s="203" t="str">
        <f>IF(B3404&lt;&gt;"",IF(AND(B3404&gt;=_TM1,B3404&lt;=_TM2,OR(TH!L3404="1111",TH!M3404="1111")),TH!D3404,""),"")</f>
        <v/>
      </c>
      <c r="B3404" s="36">
        <f t="shared" si="57"/>
        <v>8</v>
      </c>
      <c r="C3404" s="899">
        <f t="shared" si="58"/>
        <v>42242</v>
      </c>
      <c r="D3404" s="900" t="s">
        <v>2013</v>
      </c>
      <c r="E3404" s="900">
        <v>42242</v>
      </c>
      <c r="F3404" s="907" t="s">
        <v>1952</v>
      </c>
      <c r="G3404" s="902" t="s">
        <v>990</v>
      </c>
      <c r="H3404" s="913" t="s">
        <v>2014</v>
      </c>
      <c r="I3404" s="253">
        <v>10</v>
      </c>
      <c r="J3404" s="253">
        <v>10679.42301254632</v>
      </c>
      <c r="K3404" s="904">
        <f t="shared" si="59"/>
        <v>106794</v>
      </c>
      <c r="L3404" s="869" t="s">
        <v>167</v>
      </c>
      <c r="M3404" s="869" t="s">
        <v>165</v>
      </c>
      <c r="N3404" s="52" t="str">
        <f>IF(AND('331-CT'!$E$7=TH!H3404,OR(L3404="331",M3404="331")),"331",IF(AND(OR(L3404="131",M3404="131"),H3404='131-CT'!$E$7),"131",""))</f>
        <v/>
      </c>
      <c r="O3404" s="869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799"/>
    </row>
    <row r="3405" spans="1:27" s="210" customFormat="1" ht="15.75" customHeight="1">
      <c r="A3405" s="203" t="str">
        <f>IF(B3405&lt;&gt;"",IF(AND(B3405&gt;=_TM1,B3405&lt;=_TM2,OR(TH!L3405="1111",TH!M3405="1111")),TH!D3405,""),"")</f>
        <v/>
      </c>
      <c r="B3405" s="36">
        <f t="shared" si="57"/>
        <v>8</v>
      </c>
      <c r="C3405" s="899">
        <f t="shared" si="58"/>
        <v>42242</v>
      </c>
      <c r="D3405" s="900" t="s">
        <v>2013</v>
      </c>
      <c r="E3405" s="900">
        <v>42242</v>
      </c>
      <c r="F3405" s="907" t="s">
        <v>2011</v>
      </c>
      <c r="G3405" s="902" t="s">
        <v>990</v>
      </c>
      <c r="H3405" s="913" t="s">
        <v>2014</v>
      </c>
      <c r="I3405" s="253">
        <v>10</v>
      </c>
      <c r="J3405" s="253">
        <v>16781.950448287073</v>
      </c>
      <c r="K3405" s="904">
        <f t="shared" si="59"/>
        <v>167820</v>
      </c>
      <c r="L3405" s="869" t="s">
        <v>167</v>
      </c>
      <c r="M3405" s="869" t="s">
        <v>165</v>
      </c>
      <c r="N3405" s="52" t="str">
        <f>IF(AND('331-CT'!$E$7=TH!H3405,OR(L3405="331",M3405="331")),"331",IF(AND(OR(L3405="131",M3405="131"),H3405='131-CT'!$E$7),"131",""))</f>
        <v/>
      </c>
      <c r="O3405" s="869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799"/>
    </row>
    <row r="3406" spans="1:27" s="210" customFormat="1" ht="15.75" customHeight="1">
      <c r="A3406" s="203" t="str">
        <f>IF(B3406&lt;&gt;"",IF(AND(B3406&gt;=_TM1,B3406&lt;=_TM2,OR(TH!L3406="1111",TH!M3406="1111")),TH!D3406,""),"")</f>
        <v/>
      </c>
      <c r="B3406" s="36">
        <f t="shared" si="57"/>
        <v>8</v>
      </c>
      <c r="C3406" s="899">
        <f t="shared" si="58"/>
        <v>42242</v>
      </c>
      <c r="D3406" s="900" t="s">
        <v>2013</v>
      </c>
      <c r="E3406" s="900">
        <v>42242</v>
      </c>
      <c r="F3406" s="907" t="s">
        <v>2010</v>
      </c>
      <c r="G3406" s="902" t="s">
        <v>991</v>
      </c>
      <c r="H3406" s="913" t="s">
        <v>2014</v>
      </c>
      <c r="I3406" s="253">
        <v>10</v>
      </c>
      <c r="J3406" s="253">
        <v>9394.6803944956337</v>
      </c>
      <c r="K3406" s="904">
        <f t="shared" si="59"/>
        <v>93947</v>
      </c>
      <c r="L3406" s="869" t="s">
        <v>167</v>
      </c>
      <c r="M3406" s="869" t="s">
        <v>165</v>
      </c>
      <c r="N3406" s="52" t="str">
        <f>IF(AND('331-CT'!$E$7=TH!H3406,OR(L3406="331",M3406="331")),"331",IF(AND(OR(L3406="131",M3406="131"),H3406='131-CT'!$E$7),"131",""))</f>
        <v/>
      </c>
      <c r="O3406" s="869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799"/>
    </row>
    <row r="3407" spans="1:27" s="210" customFormat="1" ht="15.75" customHeight="1">
      <c r="A3407" s="203" t="str">
        <f>IF(B3407&lt;&gt;"",IF(AND(B3407&gt;=_TM1,B3407&lt;=_TM2,OR(TH!L3407="1111",TH!M3407="1111")),TH!D3407,""),"")</f>
        <v/>
      </c>
      <c r="B3407" s="36">
        <f t="shared" si="57"/>
        <v>8</v>
      </c>
      <c r="C3407" s="899">
        <f t="shared" si="58"/>
        <v>42242</v>
      </c>
      <c r="D3407" s="900" t="s">
        <v>2013</v>
      </c>
      <c r="E3407" s="900">
        <v>42242</v>
      </c>
      <c r="F3407" s="907" t="s">
        <v>1948</v>
      </c>
      <c r="G3407" s="902" t="s">
        <v>991</v>
      </c>
      <c r="H3407" s="913" t="s">
        <v>2014</v>
      </c>
      <c r="I3407" s="253">
        <v>10</v>
      </c>
      <c r="J3407" s="253">
        <v>9956.7552898928079</v>
      </c>
      <c r="K3407" s="904">
        <f t="shared" si="59"/>
        <v>99568</v>
      </c>
      <c r="L3407" s="869" t="s">
        <v>167</v>
      </c>
      <c r="M3407" s="869" t="s">
        <v>165</v>
      </c>
      <c r="N3407" s="52" t="str">
        <f>IF(AND('331-CT'!$E$7=TH!H3407,OR(L3407="331",M3407="331")),"331",IF(AND(OR(L3407="131",M3407="131"),H3407='131-CT'!$E$7),"131",""))</f>
        <v/>
      </c>
      <c r="O3407" s="869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799"/>
    </row>
    <row r="3408" spans="1:27" s="210" customFormat="1" ht="15.75" customHeight="1">
      <c r="A3408" s="203" t="str">
        <f>IF(B3408&lt;&gt;"",IF(AND(B3408&gt;=_TM1,B3408&lt;=_TM2,OR(TH!L3408="1111",TH!M3408="1111")),TH!D3408,""),"")</f>
        <v/>
      </c>
      <c r="B3408" s="36">
        <f t="shared" si="57"/>
        <v>8</v>
      </c>
      <c r="C3408" s="899">
        <f t="shared" si="58"/>
        <v>42242</v>
      </c>
      <c r="D3408" s="900" t="s">
        <v>2013</v>
      </c>
      <c r="E3408" s="900">
        <v>42242</v>
      </c>
      <c r="F3408" s="907" t="s">
        <v>1949</v>
      </c>
      <c r="G3408" s="902" t="s">
        <v>991</v>
      </c>
      <c r="H3408" s="913" t="s">
        <v>2014</v>
      </c>
      <c r="I3408" s="253">
        <v>10</v>
      </c>
      <c r="J3408" s="253">
        <v>12205.054871481507</v>
      </c>
      <c r="K3408" s="904">
        <f t="shared" si="59"/>
        <v>122051</v>
      </c>
      <c r="L3408" s="869" t="s">
        <v>167</v>
      </c>
      <c r="M3408" s="869" t="s">
        <v>165</v>
      </c>
      <c r="N3408" s="52" t="str">
        <f>IF(AND('331-CT'!$E$7=TH!H3408,OR(L3408="331",M3408="331")),"331",IF(AND(OR(L3408="131",M3408="131"),H3408='131-CT'!$E$7),"131",""))</f>
        <v/>
      </c>
      <c r="O3408" s="869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799"/>
    </row>
    <row r="3409" spans="1:27" s="210" customFormat="1" ht="15.75" customHeight="1">
      <c r="A3409" s="203" t="str">
        <f>IF(B3409&lt;&gt;"",IF(AND(B3409&gt;=_TM1,B3409&lt;=_TM2,OR(TH!L3409="1111",TH!M3409="1111")),TH!D3409,""),"")</f>
        <v/>
      </c>
      <c r="B3409" s="36">
        <f t="shared" si="57"/>
        <v>8</v>
      </c>
      <c r="C3409" s="899">
        <f t="shared" si="58"/>
        <v>42242</v>
      </c>
      <c r="D3409" s="900" t="s">
        <v>2013</v>
      </c>
      <c r="E3409" s="900">
        <v>42242</v>
      </c>
      <c r="F3409" s="907" t="s">
        <v>1950</v>
      </c>
      <c r="G3409" s="902" t="s">
        <v>991</v>
      </c>
      <c r="H3409" s="913" t="s">
        <v>2014</v>
      </c>
      <c r="I3409" s="253">
        <v>10</v>
      </c>
      <c r="J3409" s="253">
        <v>8752.3090854702914</v>
      </c>
      <c r="K3409" s="904">
        <f t="shared" si="59"/>
        <v>87523</v>
      </c>
      <c r="L3409" s="869" t="s">
        <v>167</v>
      </c>
      <c r="M3409" s="869" t="s">
        <v>165</v>
      </c>
      <c r="N3409" s="52" t="str">
        <f>IF(AND('331-CT'!$E$7=TH!H3409,OR(L3409="331",M3409="331")),"331",IF(AND(OR(L3409="131",M3409="131"),H3409='131-CT'!$E$7),"131",""))</f>
        <v/>
      </c>
      <c r="O3409" s="869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799"/>
    </row>
    <row r="3410" spans="1:27" s="210" customFormat="1" ht="15.75" customHeight="1">
      <c r="A3410" s="203" t="str">
        <f>IF(B3410&lt;&gt;"",IF(AND(B3410&gt;=_TM1,B3410&lt;=_TM2,OR(TH!L3410="1111",TH!M3410="1111")),TH!D3410,""),"")</f>
        <v/>
      </c>
      <c r="B3410" s="36">
        <f t="shared" si="57"/>
        <v>8</v>
      </c>
      <c r="C3410" s="899">
        <f t="shared" si="58"/>
        <v>42242</v>
      </c>
      <c r="D3410" s="900" t="s">
        <v>2013</v>
      </c>
      <c r="E3410" s="900">
        <v>42242</v>
      </c>
      <c r="F3410" s="907" t="s">
        <v>1951</v>
      </c>
      <c r="G3410" s="902" t="s">
        <v>991</v>
      </c>
      <c r="H3410" s="913" t="s">
        <v>2014</v>
      </c>
      <c r="I3410" s="253">
        <v>10</v>
      </c>
      <c r="J3410" s="253">
        <v>9715.8660490083057</v>
      </c>
      <c r="K3410" s="904">
        <f t="shared" si="59"/>
        <v>97159</v>
      </c>
      <c r="L3410" s="869" t="s">
        <v>167</v>
      </c>
      <c r="M3410" s="869" t="s">
        <v>165</v>
      </c>
      <c r="N3410" s="52" t="str">
        <f>IF(AND('331-CT'!$E$7=TH!H3410,OR(L3410="331",M3410="331")),"331",IF(AND(OR(L3410="131",M3410="131"),H3410='131-CT'!$E$7),"131",""))</f>
        <v/>
      </c>
      <c r="O3410" s="869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799"/>
    </row>
    <row r="3411" spans="1:27" s="210" customFormat="1" ht="15.75" customHeight="1">
      <c r="A3411" s="203" t="str">
        <f>IF(B3411&lt;&gt;"",IF(AND(B3411&gt;=_TM1,B3411&lt;=_TM2,OR(TH!L3411="1111",TH!M3411="1111")),TH!D3411,""),"")</f>
        <v/>
      </c>
      <c r="B3411" s="36">
        <f t="shared" si="57"/>
        <v>8</v>
      </c>
      <c r="C3411" s="899">
        <f t="shared" si="58"/>
        <v>42242</v>
      </c>
      <c r="D3411" s="900" t="s">
        <v>2013</v>
      </c>
      <c r="E3411" s="900">
        <v>42242</v>
      </c>
      <c r="F3411" s="907" t="s">
        <v>1952</v>
      </c>
      <c r="G3411" s="902" t="s">
        <v>991</v>
      </c>
      <c r="H3411" s="913" t="s">
        <v>2014</v>
      </c>
      <c r="I3411" s="253">
        <v>10</v>
      </c>
      <c r="J3411" s="253">
        <v>10679.42301254632</v>
      </c>
      <c r="K3411" s="904">
        <f t="shared" si="59"/>
        <v>106794</v>
      </c>
      <c r="L3411" s="869" t="s">
        <v>167</v>
      </c>
      <c r="M3411" s="869" t="s">
        <v>165</v>
      </c>
      <c r="N3411" s="52" t="str">
        <f>IF(AND('331-CT'!$E$7=TH!H3411,OR(L3411="331",M3411="331")),"331",IF(AND(OR(L3411="131",M3411="131"),H3411='131-CT'!$E$7),"131",""))</f>
        <v/>
      </c>
      <c r="O3411" s="869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799"/>
    </row>
    <row r="3412" spans="1:27" s="210" customFormat="1" ht="15.75" customHeight="1">
      <c r="A3412" s="203" t="str">
        <f>IF(B3412&lt;&gt;"",IF(AND(B3412&gt;=_TM1,B3412&lt;=_TM2,OR(TH!L3412="1111",TH!M3412="1111")),TH!D3412,""),"")</f>
        <v/>
      </c>
      <c r="B3412" s="36">
        <f t="shared" si="57"/>
        <v>8</v>
      </c>
      <c r="C3412" s="899">
        <f t="shared" si="58"/>
        <v>42242</v>
      </c>
      <c r="D3412" s="900" t="s">
        <v>2013</v>
      </c>
      <c r="E3412" s="900">
        <v>42242</v>
      </c>
      <c r="F3412" s="907" t="s">
        <v>2011</v>
      </c>
      <c r="G3412" s="902" t="s">
        <v>991</v>
      </c>
      <c r="H3412" s="913" t="s">
        <v>2014</v>
      </c>
      <c r="I3412" s="253">
        <v>10</v>
      </c>
      <c r="J3412" s="253">
        <v>16781.950448287073</v>
      </c>
      <c r="K3412" s="904">
        <f t="shared" si="59"/>
        <v>167820</v>
      </c>
      <c r="L3412" s="869" t="s">
        <v>167</v>
      </c>
      <c r="M3412" s="869" t="s">
        <v>165</v>
      </c>
      <c r="N3412" s="52" t="str">
        <f>IF(AND('331-CT'!$E$7=TH!H3412,OR(L3412="331",M3412="331")),"331",IF(AND(OR(L3412="131",M3412="131"),H3412='131-CT'!$E$7),"131",""))</f>
        <v/>
      </c>
      <c r="O3412" s="869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799"/>
    </row>
    <row r="3413" spans="1:27" s="210" customFormat="1" ht="15.75" customHeight="1">
      <c r="A3413" s="203" t="str">
        <f>IF(B3413&lt;&gt;"",IF(AND(B3413&gt;=_TM1,B3413&lt;=_TM2,OR(TH!L3413="1111",TH!M3413="1111")),TH!D3413,""),"")</f>
        <v/>
      </c>
      <c r="B3413" s="36">
        <f t="shared" si="57"/>
        <v>8</v>
      </c>
      <c r="C3413" s="899">
        <f t="shared" si="58"/>
        <v>42243</v>
      </c>
      <c r="D3413" s="900" t="s">
        <v>2013</v>
      </c>
      <c r="E3413" s="900">
        <v>42243</v>
      </c>
      <c r="F3413" s="907" t="s">
        <v>2012</v>
      </c>
      <c r="G3413" s="902" t="s">
        <v>992</v>
      </c>
      <c r="H3413" s="913" t="s">
        <v>2014</v>
      </c>
      <c r="I3413" s="253">
        <v>2000</v>
      </c>
      <c r="J3413" s="253">
        <v>1766.5210998196919</v>
      </c>
      <c r="K3413" s="904">
        <f t="shared" si="59"/>
        <v>3533042</v>
      </c>
      <c r="L3413" s="869" t="s">
        <v>167</v>
      </c>
      <c r="M3413" s="869" t="s">
        <v>165</v>
      </c>
      <c r="N3413" s="52" t="str">
        <f>IF(AND('331-CT'!$E$7=TH!H3413,OR(L3413="331",M3413="331")),"331",IF(AND(OR(L3413="131",M3413="131"),H3413='131-CT'!$E$7),"131",""))</f>
        <v/>
      </c>
      <c r="O3413" s="869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799"/>
    </row>
    <row r="3414" spans="1:27" s="210" customFormat="1" ht="15.75" customHeight="1">
      <c r="A3414" s="203" t="str">
        <f>IF(B3414&lt;&gt;"",IF(AND(B3414&gt;=_TM1,B3414&lt;=_TM2,OR(TH!L3414="1111",TH!M3414="1111")),TH!D3414,""),"")</f>
        <v/>
      </c>
      <c r="B3414" s="36">
        <f t="shared" si="57"/>
        <v>8</v>
      </c>
      <c r="C3414" s="899">
        <f t="shared" si="58"/>
        <v>42243</v>
      </c>
      <c r="D3414" s="900" t="s">
        <v>2013</v>
      </c>
      <c r="E3414" s="900">
        <v>42243</v>
      </c>
      <c r="F3414" s="907" t="s">
        <v>1955</v>
      </c>
      <c r="G3414" s="902" t="s">
        <v>992</v>
      </c>
      <c r="H3414" s="913" t="s">
        <v>2014</v>
      </c>
      <c r="I3414" s="253">
        <v>500</v>
      </c>
      <c r="J3414" s="253">
        <v>3533.0421996393839</v>
      </c>
      <c r="K3414" s="904">
        <f t="shared" si="59"/>
        <v>1766521</v>
      </c>
      <c r="L3414" s="869" t="s">
        <v>167</v>
      </c>
      <c r="M3414" s="869" t="s">
        <v>165</v>
      </c>
      <c r="N3414" s="52" t="str">
        <f>IF(AND('331-CT'!$E$7=TH!H3414,OR(L3414="331",M3414="331")),"331",IF(AND(OR(L3414="131",M3414="131"),H3414='131-CT'!$E$7),"131",""))</f>
        <v/>
      </c>
      <c r="O3414" s="869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799"/>
    </row>
    <row r="3415" spans="1:27" s="210" customFormat="1" ht="15.75" customHeight="1">
      <c r="A3415" s="203" t="str">
        <f>IF(B3415&lt;&gt;"",IF(AND(B3415&gt;=_TM1,B3415&lt;=_TM2,OR(TH!L3415="1111",TH!M3415="1111")),TH!D3415,""),"")</f>
        <v/>
      </c>
      <c r="B3415" s="36">
        <f t="shared" si="57"/>
        <v>8</v>
      </c>
      <c r="C3415" s="899">
        <f t="shared" si="58"/>
        <v>42243</v>
      </c>
      <c r="D3415" s="900" t="s">
        <v>2013</v>
      </c>
      <c r="E3415" s="900">
        <v>42243</v>
      </c>
      <c r="F3415" s="907" t="s">
        <v>398</v>
      </c>
      <c r="G3415" s="902" t="s">
        <v>993</v>
      </c>
      <c r="H3415" s="913" t="s">
        <v>2014</v>
      </c>
      <c r="I3415" s="253">
        <v>608</v>
      </c>
      <c r="J3415" s="253">
        <v>6584.3059175097605</v>
      </c>
      <c r="K3415" s="904">
        <f t="shared" si="59"/>
        <v>4003258</v>
      </c>
      <c r="L3415" s="869" t="s">
        <v>167</v>
      </c>
      <c r="M3415" s="869" t="s">
        <v>165</v>
      </c>
      <c r="N3415" s="52" t="str">
        <f>IF(AND('331-CT'!$E$7=TH!H3415,OR(L3415="331",M3415="331")),"331",IF(AND(OR(L3415="131",M3415="131"),H3415='131-CT'!$E$7),"131",""))</f>
        <v/>
      </c>
      <c r="O3415" s="869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799"/>
    </row>
    <row r="3416" spans="1:27" s="210" customFormat="1" ht="15.75" customHeight="1">
      <c r="A3416" s="203" t="str">
        <f>IF(B3416&lt;&gt;"",IF(AND(B3416&gt;=_TM1,B3416&lt;=_TM2,OR(TH!L3416="1111",TH!M3416="1111")),TH!D3416,""),"")</f>
        <v/>
      </c>
      <c r="B3416" s="36">
        <f t="shared" si="57"/>
        <v>8</v>
      </c>
      <c r="C3416" s="899">
        <f t="shared" si="58"/>
        <v>42243</v>
      </c>
      <c r="D3416" s="900" t="s">
        <v>2013</v>
      </c>
      <c r="E3416" s="900">
        <v>42243</v>
      </c>
      <c r="F3416" s="907" t="s">
        <v>446</v>
      </c>
      <c r="G3416" s="902" t="s">
        <v>993</v>
      </c>
      <c r="H3416" s="913" t="s">
        <v>2014</v>
      </c>
      <c r="I3416" s="253">
        <v>329</v>
      </c>
      <c r="J3416" s="253">
        <v>7306.9736401632708</v>
      </c>
      <c r="K3416" s="904">
        <f t="shared" si="59"/>
        <v>2403994</v>
      </c>
      <c r="L3416" s="869" t="s">
        <v>167</v>
      </c>
      <c r="M3416" s="869" t="s">
        <v>165</v>
      </c>
      <c r="N3416" s="52" t="str">
        <f>IF(AND('331-CT'!$E$7=TH!H3416,OR(L3416="331",M3416="331")),"331",IF(AND(OR(L3416="131",M3416="131"),H3416='131-CT'!$E$7),"131",""))</f>
        <v/>
      </c>
      <c r="O3416" s="869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799"/>
    </row>
    <row r="3417" spans="1:27" s="210" customFormat="1" ht="15.75" customHeight="1">
      <c r="A3417" s="203" t="str">
        <f>IF(B3417&lt;&gt;"",IF(AND(B3417&gt;=_TM1,B3417&lt;=_TM2,OR(TH!L3417="1111",TH!M3417="1111")),TH!D3417,""),"")</f>
        <v/>
      </c>
      <c r="B3417" s="36">
        <f t="shared" si="57"/>
        <v>8</v>
      </c>
      <c r="C3417" s="899">
        <f t="shared" si="58"/>
        <v>42243</v>
      </c>
      <c r="D3417" s="900" t="s">
        <v>2013</v>
      </c>
      <c r="E3417" s="900">
        <v>42243</v>
      </c>
      <c r="F3417" s="907" t="s">
        <v>994</v>
      </c>
      <c r="G3417" s="902" t="s">
        <v>993</v>
      </c>
      <c r="H3417" s="913" t="s">
        <v>2014</v>
      </c>
      <c r="I3417" s="253">
        <v>312</v>
      </c>
      <c r="J3417" s="253">
        <v>10438.533771661816</v>
      </c>
      <c r="K3417" s="904">
        <f t="shared" si="59"/>
        <v>3256823</v>
      </c>
      <c r="L3417" s="869" t="s">
        <v>167</v>
      </c>
      <c r="M3417" s="869" t="s">
        <v>165</v>
      </c>
      <c r="N3417" s="52" t="str">
        <f>IF(AND('331-CT'!$E$7=TH!H3417,OR(L3417="331",M3417="331")),"331",IF(AND(OR(L3417="131",M3417="131"),H3417='131-CT'!$E$7),"131",""))</f>
        <v/>
      </c>
      <c r="O3417" s="869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799"/>
    </row>
    <row r="3418" spans="1:27" s="210" customFormat="1" ht="15.75" customHeight="1">
      <c r="A3418" s="203" t="str">
        <f>IF(B3418&lt;&gt;"",IF(AND(B3418&gt;=_TM1,B3418&lt;=_TM2,OR(TH!L3418="1111",TH!M3418="1111")),TH!D3418,""),"")</f>
        <v/>
      </c>
      <c r="B3418" s="36">
        <f t="shared" si="57"/>
        <v>8</v>
      </c>
      <c r="C3418" s="899">
        <f t="shared" si="58"/>
        <v>42243</v>
      </c>
      <c r="D3418" s="900" t="s">
        <v>2013</v>
      </c>
      <c r="E3418" s="900">
        <v>42243</v>
      </c>
      <c r="F3418" s="907" t="s">
        <v>995</v>
      </c>
      <c r="G3418" s="902" t="s">
        <v>993</v>
      </c>
      <c r="H3418" s="913" t="s">
        <v>2014</v>
      </c>
      <c r="I3418" s="253">
        <v>309</v>
      </c>
      <c r="J3418" s="253">
        <v>11883.869216968837</v>
      </c>
      <c r="K3418" s="904">
        <f t="shared" si="59"/>
        <v>3672116</v>
      </c>
      <c r="L3418" s="869" t="s">
        <v>167</v>
      </c>
      <c r="M3418" s="869" t="s">
        <v>165</v>
      </c>
      <c r="N3418" s="52" t="str">
        <f>IF(AND('331-CT'!$E$7=TH!H3418,OR(L3418="331",M3418="331")),"331",IF(AND(OR(L3418="131",M3418="131"),H3418='131-CT'!$E$7),"131",""))</f>
        <v/>
      </c>
      <c r="O3418" s="869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799"/>
    </row>
    <row r="3419" spans="1:27" s="210" customFormat="1" ht="15.75" customHeight="1">
      <c r="A3419" s="203" t="str">
        <f>IF(B3419&lt;&gt;"",IF(AND(B3419&gt;=_TM1,B3419&lt;=_TM2,OR(TH!L3419="1111",TH!M3419="1111")),TH!D3419,""),"")</f>
        <v/>
      </c>
      <c r="B3419" s="36">
        <f t="shared" si="57"/>
        <v>8</v>
      </c>
      <c r="C3419" s="899">
        <f t="shared" si="58"/>
        <v>42243</v>
      </c>
      <c r="D3419" s="900" t="s">
        <v>2013</v>
      </c>
      <c r="E3419" s="900">
        <v>42243</v>
      </c>
      <c r="F3419" s="907" t="s">
        <v>2010</v>
      </c>
      <c r="G3419" s="902" t="s">
        <v>996</v>
      </c>
      <c r="H3419" s="913" t="s">
        <v>2014</v>
      </c>
      <c r="I3419" s="253">
        <v>2000</v>
      </c>
      <c r="J3419" s="253">
        <v>9394.6803944956337</v>
      </c>
      <c r="K3419" s="904">
        <f t="shared" si="59"/>
        <v>18789361</v>
      </c>
      <c r="L3419" s="869" t="s">
        <v>167</v>
      </c>
      <c r="M3419" s="869" t="s">
        <v>165</v>
      </c>
      <c r="N3419" s="52" t="str">
        <f>IF(AND('331-CT'!$E$7=TH!H3419,OR(L3419="331",M3419="331")),"331",IF(AND(OR(L3419="131",M3419="131"),H3419='131-CT'!$E$7),"131",""))</f>
        <v/>
      </c>
      <c r="O3419" s="869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799"/>
    </row>
    <row r="3420" spans="1:27" s="210" customFormat="1" ht="15.75" customHeight="1">
      <c r="A3420" s="203" t="str">
        <f>IF(B3420&lt;&gt;"",IF(AND(B3420&gt;=_TM1,B3420&lt;=_TM2,OR(TH!L3420="1111",TH!M3420="1111")),TH!D3420,""),"")</f>
        <v/>
      </c>
      <c r="B3420" s="36">
        <f t="shared" si="57"/>
        <v>8</v>
      </c>
      <c r="C3420" s="899">
        <f t="shared" si="58"/>
        <v>42244</v>
      </c>
      <c r="D3420" s="900" t="s">
        <v>2013</v>
      </c>
      <c r="E3420" s="900">
        <v>42244</v>
      </c>
      <c r="F3420" s="907" t="s">
        <v>451</v>
      </c>
      <c r="G3420" s="902" t="s">
        <v>997</v>
      </c>
      <c r="H3420" s="913" t="s">
        <v>2014</v>
      </c>
      <c r="I3420" s="253">
        <v>307</v>
      </c>
      <c r="J3420" s="253">
        <v>10759.719426174488</v>
      </c>
      <c r="K3420" s="904">
        <f t="shared" si="59"/>
        <v>3303234</v>
      </c>
      <c r="L3420" s="869" t="s">
        <v>167</v>
      </c>
      <c r="M3420" s="869" t="s">
        <v>165</v>
      </c>
      <c r="N3420" s="52" t="str">
        <f>IF(AND('331-CT'!$E$7=TH!H3420,OR(L3420="331",M3420="331")),"331",IF(AND(OR(L3420="131",M3420="131"),H3420='131-CT'!$E$7),"131",""))</f>
        <v/>
      </c>
      <c r="O3420" s="869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799"/>
    </row>
    <row r="3421" spans="1:27" s="210" customFormat="1" ht="15.75" customHeight="1">
      <c r="A3421" s="203" t="str">
        <f>IF(B3421&lt;&gt;"",IF(AND(B3421&gt;=_TM1,B3421&lt;=_TM2,OR(TH!L3421="1111",TH!M3421="1111")),TH!D3421,""),"")</f>
        <v/>
      </c>
      <c r="B3421" s="36">
        <f t="shared" si="54"/>
        <v>8</v>
      </c>
      <c r="C3421" s="899">
        <f t="shared" si="55"/>
        <v>42244</v>
      </c>
      <c r="D3421" s="900" t="s">
        <v>2013</v>
      </c>
      <c r="E3421" s="900">
        <v>42244</v>
      </c>
      <c r="F3421" s="907" t="s">
        <v>998</v>
      </c>
      <c r="G3421" s="902" t="s">
        <v>997</v>
      </c>
      <c r="H3421" s="913" t="s">
        <v>2014</v>
      </c>
      <c r="I3421" s="253">
        <v>50</v>
      </c>
      <c r="J3421" s="253">
        <v>9474.9768081238017</v>
      </c>
      <c r="K3421" s="904">
        <f t="shared" si="56"/>
        <v>473749</v>
      </c>
      <c r="L3421" s="869" t="s">
        <v>167</v>
      </c>
      <c r="M3421" s="869" t="s">
        <v>165</v>
      </c>
      <c r="N3421" s="52" t="str">
        <f>IF(AND('331-CT'!$E$7=TH!H3421,OR(L3421="331",M3421="331")),"331",IF(AND(OR(L3421="131",M3421="131"),H3421='131-CT'!$E$7),"131",""))</f>
        <v/>
      </c>
      <c r="O3421" s="869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799"/>
    </row>
    <row r="3422" spans="1:27" s="210" customFormat="1" ht="15.75" customHeight="1">
      <c r="A3422" s="203" t="str">
        <f>IF(B3422&lt;&gt;"",IF(AND(B3422&gt;=_TM1,B3422&lt;=_TM2,OR(TH!L3422="1111",TH!M3422="1111")),TH!D3422,""),"")</f>
        <v/>
      </c>
      <c r="B3422" s="36">
        <f t="shared" si="54"/>
        <v>8</v>
      </c>
      <c r="C3422" s="899">
        <f t="shared" si="55"/>
        <v>42244</v>
      </c>
      <c r="D3422" s="900" t="s">
        <v>2013</v>
      </c>
      <c r="E3422" s="900">
        <v>42244</v>
      </c>
      <c r="F3422" s="907" t="s">
        <v>999</v>
      </c>
      <c r="G3422" s="902" t="s">
        <v>1000</v>
      </c>
      <c r="H3422" s="913" t="s">
        <v>2014</v>
      </c>
      <c r="I3422" s="253">
        <v>217</v>
      </c>
      <c r="J3422" s="253">
        <v>6022.2310221125863</v>
      </c>
      <c r="K3422" s="904">
        <f t="shared" si="56"/>
        <v>1306824</v>
      </c>
      <c r="L3422" s="869" t="s">
        <v>167</v>
      </c>
      <c r="M3422" s="869" t="s">
        <v>165</v>
      </c>
      <c r="N3422" s="52" t="str">
        <f>IF(AND('331-CT'!$E$7=TH!H3422,OR(L3422="331",M3422="331")),"331",IF(AND(OR(L3422="131",M3422="131"),H3422='131-CT'!$E$7),"131",""))</f>
        <v/>
      </c>
      <c r="O3422" s="869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799"/>
    </row>
    <row r="3423" spans="1:27" s="210" customFormat="1" ht="15.75" customHeight="1">
      <c r="A3423" s="203" t="str">
        <f>IF(B3423&lt;&gt;"",IF(AND(B3423&gt;=_TM1,B3423&lt;=_TM2,OR(TH!L3423="1111",TH!M3423="1111")),TH!D3423,""),"")</f>
        <v/>
      </c>
      <c r="B3423" s="36">
        <f t="shared" si="54"/>
        <v>8</v>
      </c>
      <c r="C3423" s="899">
        <f t="shared" si="55"/>
        <v>42244</v>
      </c>
      <c r="D3423" s="900" t="s">
        <v>2013</v>
      </c>
      <c r="E3423" s="900">
        <v>42244</v>
      </c>
      <c r="F3423" s="907" t="s">
        <v>1948</v>
      </c>
      <c r="G3423" s="902" t="s">
        <v>1001</v>
      </c>
      <c r="H3423" s="913" t="s">
        <v>2014</v>
      </c>
      <c r="I3423" s="253">
        <v>34</v>
      </c>
      <c r="J3423" s="253">
        <v>9956.7552898928079</v>
      </c>
      <c r="K3423" s="904">
        <f t="shared" si="56"/>
        <v>338530</v>
      </c>
      <c r="L3423" s="869" t="s">
        <v>167</v>
      </c>
      <c r="M3423" s="869" t="s">
        <v>165</v>
      </c>
      <c r="N3423" s="52" t="str">
        <f>IF(AND('331-CT'!$E$7=TH!H3423,OR(L3423="331",M3423="331")),"331",IF(AND(OR(L3423="131",M3423="131"),H3423='131-CT'!$E$7),"131",""))</f>
        <v/>
      </c>
      <c r="O3423" s="869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799"/>
    </row>
    <row r="3424" spans="1:27" s="210" customFormat="1" ht="15.75" customHeight="1">
      <c r="A3424" s="203" t="str">
        <f>IF(B3424&lt;&gt;"",IF(AND(B3424&gt;=_TM1,B3424&lt;=_TM2,OR(TH!L3424="1111",TH!M3424="1111")),TH!D3424,""),"")</f>
        <v/>
      </c>
      <c r="B3424" s="36">
        <f t="shared" si="54"/>
        <v>8</v>
      </c>
      <c r="C3424" s="899">
        <f t="shared" si="55"/>
        <v>42244</v>
      </c>
      <c r="D3424" s="900" t="s">
        <v>2013</v>
      </c>
      <c r="E3424" s="900">
        <v>42244</v>
      </c>
      <c r="F3424" s="907" t="s">
        <v>1950</v>
      </c>
      <c r="G3424" s="902" t="s">
        <v>1001</v>
      </c>
      <c r="H3424" s="913" t="s">
        <v>2014</v>
      </c>
      <c r="I3424" s="253">
        <v>34</v>
      </c>
      <c r="J3424" s="253">
        <v>8752.3090854702914</v>
      </c>
      <c r="K3424" s="904">
        <f t="shared" si="56"/>
        <v>297579</v>
      </c>
      <c r="L3424" s="869" t="s">
        <v>167</v>
      </c>
      <c r="M3424" s="869" t="s">
        <v>165</v>
      </c>
      <c r="N3424" s="52" t="str">
        <f>IF(AND('331-CT'!$E$7=TH!H3424,OR(L3424="331",M3424="331")),"331",IF(AND(OR(L3424="131",M3424="131"),H3424='131-CT'!$E$7),"131",""))</f>
        <v/>
      </c>
      <c r="O3424" s="869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799"/>
    </row>
    <row r="3425" spans="1:27" s="210" customFormat="1" ht="15.75" customHeight="1">
      <c r="A3425" s="203" t="str">
        <f>IF(B3425&lt;&gt;"",IF(AND(B3425&gt;=_TM1,B3425&lt;=_TM2,OR(TH!L3425="1111",TH!M3425="1111")),TH!D3425,""),"")</f>
        <v/>
      </c>
      <c r="B3425" s="36">
        <f t="shared" si="54"/>
        <v>8</v>
      </c>
      <c r="C3425" s="899">
        <f t="shared" si="55"/>
        <v>42244</v>
      </c>
      <c r="D3425" s="900" t="s">
        <v>2013</v>
      </c>
      <c r="E3425" s="900">
        <v>42244</v>
      </c>
      <c r="F3425" s="907" t="s">
        <v>1951</v>
      </c>
      <c r="G3425" s="902" t="s">
        <v>1001</v>
      </c>
      <c r="H3425" s="913" t="s">
        <v>2014</v>
      </c>
      <c r="I3425" s="253">
        <v>20</v>
      </c>
      <c r="J3425" s="253">
        <v>9715.8660490083057</v>
      </c>
      <c r="K3425" s="904">
        <f t="shared" si="56"/>
        <v>194317</v>
      </c>
      <c r="L3425" s="869" t="s">
        <v>167</v>
      </c>
      <c r="M3425" s="869" t="s">
        <v>165</v>
      </c>
      <c r="N3425" s="52" t="str">
        <f>IF(AND('331-CT'!$E$7=TH!H3425,OR(L3425="331",M3425="331")),"331",IF(AND(OR(L3425="131",M3425="131"),H3425='131-CT'!$E$7),"131",""))</f>
        <v/>
      </c>
      <c r="O3425" s="869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799"/>
    </row>
    <row r="3426" spans="1:27" s="210" customFormat="1" ht="15.75" customHeight="1">
      <c r="A3426" s="203" t="str">
        <f>IF(B3426&lt;&gt;"",IF(AND(B3426&gt;=_TM1,B3426&lt;=_TM2,OR(TH!L3426="1111",TH!M3426="1111")),TH!D3426,""),"")</f>
        <v/>
      </c>
      <c r="B3426" s="36">
        <f t="shared" si="54"/>
        <v>8</v>
      </c>
      <c r="C3426" s="899">
        <f t="shared" si="55"/>
        <v>42244</v>
      </c>
      <c r="D3426" s="900" t="s">
        <v>2013</v>
      </c>
      <c r="E3426" s="900">
        <v>42244</v>
      </c>
      <c r="F3426" s="907" t="s">
        <v>2011</v>
      </c>
      <c r="G3426" s="902" t="s">
        <v>1001</v>
      </c>
      <c r="H3426" s="913" t="s">
        <v>2014</v>
      </c>
      <c r="I3426" s="253">
        <v>14</v>
      </c>
      <c r="J3426" s="253">
        <v>16781.950448287073</v>
      </c>
      <c r="K3426" s="904">
        <f t="shared" si="56"/>
        <v>234947</v>
      </c>
      <c r="L3426" s="869" t="s">
        <v>167</v>
      </c>
      <c r="M3426" s="869" t="s">
        <v>165</v>
      </c>
      <c r="N3426" s="52" t="str">
        <f>IF(AND('331-CT'!$E$7=TH!H3426,OR(L3426="331",M3426="331")),"331",IF(AND(OR(L3426="131",M3426="131"),H3426='131-CT'!$E$7),"131",""))</f>
        <v/>
      </c>
      <c r="O3426" s="869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799"/>
    </row>
    <row r="3427" spans="1:27" s="210" customFormat="1" ht="15.75" customHeight="1">
      <c r="A3427" s="203" t="str">
        <f>IF(B3427&lt;&gt;"",IF(AND(B3427&gt;=_TM1,B3427&lt;=_TM2,OR(TH!L3427="1111",TH!M3427="1111")),TH!D3427,""),"")</f>
        <v/>
      </c>
      <c r="B3427" s="36">
        <f t="shared" si="54"/>
        <v>8</v>
      </c>
      <c r="C3427" s="899">
        <f t="shared" si="55"/>
        <v>42245</v>
      </c>
      <c r="D3427" s="900" t="s">
        <v>2013</v>
      </c>
      <c r="E3427" s="900">
        <v>42245</v>
      </c>
      <c r="F3427" s="907" t="s">
        <v>746</v>
      </c>
      <c r="G3427" s="902" t="s">
        <v>1002</v>
      </c>
      <c r="H3427" s="913" t="s">
        <v>2014</v>
      </c>
      <c r="I3427" s="253">
        <v>500</v>
      </c>
      <c r="J3427" s="253">
        <v>18548.471548106765</v>
      </c>
      <c r="K3427" s="904">
        <f t="shared" si="56"/>
        <v>9274236</v>
      </c>
      <c r="L3427" s="869" t="s">
        <v>167</v>
      </c>
      <c r="M3427" s="869" t="s">
        <v>165</v>
      </c>
      <c r="N3427" s="52" t="str">
        <f>IF(AND('331-CT'!$E$7=TH!H3427,OR(L3427="331",M3427="331")),"331",IF(AND(OR(L3427="131",M3427="131"),H3427='131-CT'!$E$7),"131",""))</f>
        <v/>
      </c>
      <c r="O3427" s="869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799"/>
    </row>
    <row r="3428" spans="1:27" s="210" customFormat="1" ht="15.75" customHeight="1">
      <c r="A3428" s="203" t="str">
        <f>IF(B3428&lt;&gt;"",IF(AND(B3428&gt;=_TM1,B3428&lt;=_TM2,OR(TH!L3428="1111",TH!M3428="1111")),TH!D3428,""),"")</f>
        <v/>
      </c>
      <c r="B3428" s="36">
        <f t="shared" si="54"/>
        <v>8</v>
      </c>
      <c r="C3428" s="899">
        <f t="shared" si="55"/>
        <v>42245</v>
      </c>
      <c r="D3428" s="900" t="s">
        <v>2013</v>
      </c>
      <c r="E3428" s="900">
        <v>42245</v>
      </c>
      <c r="F3428" s="907" t="s">
        <v>1952</v>
      </c>
      <c r="G3428" s="902" t="s">
        <v>1004</v>
      </c>
      <c r="H3428" s="913" t="s">
        <v>2014</v>
      </c>
      <c r="I3428" s="253">
        <v>50</v>
      </c>
      <c r="J3428" s="253">
        <v>10679.42301254632</v>
      </c>
      <c r="K3428" s="904">
        <f t="shared" si="56"/>
        <v>533971</v>
      </c>
      <c r="L3428" s="869" t="s">
        <v>167</v>
      </c>
      <c r="M3428" s="869" t="s">
        <v>165</v>
      </c>
      <c r="N3428" s="52" t="str">
        <f>IF(AND('331-CT'!$E$7=TH!H3428,OR(L3428="331",M3428="331")),"331",IF(AND(OR(L3428="131",M3428="131"),H3428='131-CT'!$E$7),"131",""))</f>
        <v/>
      </c>
      <c r="O3428" s="869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799"/>
    </row>
    <row r="3429" spans="1:27" s="210" customFormat="1" ht="15.75" customHeight="1">
      <c r="A3429" s="203" t="str">
        <f>IF(B3429&lt;&gt;"",IF(AND(B3429&gt;=_TM1,B3429&lt;=_TM2,OR(TH!L3429="1111",TH!M3429="1111")),TH!D3429,""),"")</f>
        <v/>
      </c>
      <c r="B3429" s="36">
        <f t="shared" si="54"/>
        <v>8</v>
      </c>
      <c r="C3429" s="899">
        <f t="shared" si="55"/>
        <v>42245</v>
      </c>
      <c r="D3429" s="900" t="s">
        <v>2013</v>
      </c>
      <c r="E3429" s="900">
        <v>42245</v>
      </c>
      <c r="F3429" s="907" t="s">
        <v>2011</v>
      </c>
      <c r="G3429" s="902" t="s">
        <v>1004</v>
      </c>
      <c r="H3429" s="913" t="s">
        <v>2014</v>
      </c>
      <c r="I3429" s="253">
        <v>50</v>
      </c>
      <c r="J3429" s="253">
        <v>16781.950448287073</v>
      </c>
      <c r="K3429" s="904">
        <f t="shared" si="56"/>
        <v>839098</v>
      </c>
      <c r="L3429" s="869" t="s">
        <v>167</v>
      </c>
      <c r="M3429" s="869" t="s">
        <v>165</v>
      </c>
      <c r="N3429" s="52" t="str">
        <f>IF(AND('331-CT'!$E$7=TH!H3429,OR(L3429="331",M3429="331")),"331",IF(AND(OR(L3429="131",M3429="131"),H3429='131-CT'!$E$7),"131",""))</f>
        <v/>
      </c>
      <c r="O3429" s="869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799"/>
    </row>
    <row r="3430" spans="1:27" s="210" customFormat="1" ht="15.75" customHeight="1">
      <c r="A3430" s="203" t="str">
        <f>IF(B3430&lt;&gt;"",IF(AND(B3430&gt;=_TM1,B3430&lt;=_TM2,OR(TH!L3430="1111",TH!M3430="1111")),TH!D3430,""),"")</f>
        <v/>
      </c>
      <c r="B3430" s="36">
        <f t="shared" si="54"/>
        <v>9</v>
      </c>
      <c r="C3430" s="899">
        <f t="shared" si="55"/>
        <v>42248</v>
      </c>
      <c r="D3430" s="900" t="s">
        <v>2013</v>
      </c>
      <c r="E3430" s="900">
        <v>42248</v>
      </c>
      <c r="F3430" s="907" t="s">
        <v>494</v>
      </c>
      <c r="G3430" s="902" t="s">
        <v>1005</v>
      </c>
      <c r="H3430" s="913" t="s">
        <v>2014</v>
      </c>
      <c r="I3430" s="253">
        <v>1226</v>
      </c>
      <c r="J3430" s="253">
        <v>5460.1561267154111</v>
      </c>
      <c r="K3430" s="904">
        <f t="shared" si="56"/>
        <v>6694151</v>
      </c>
      <c r="L3430" s="869" t="s">
        <v>167</v>
      </c>
      <c r="M3430" s="869" t="s">
        <v>165</v>
      </c>
      <c r="N3430" s="52" t="str">
        <f>IF(AND('331-CT'!$E$7=TH!H3430,OR(L3430="331",M3430="331")),"331",IF(AND(OR(L3430="131",M3430="131"),H3430='131-CT'!$E$7),"131",""))</f>
        <v/>
      </c>
      <c r="O3430" s="869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799"/>
    </row>
    <row r="3431" spans="1:27" s="210" customFormat="1" ht="15.75" customHeight="1">
      <c r="A3431" s="203" t="str">
        <f>IF(B3431&lt;&gt;"",IF(AND(B3431&gt;=_TM1,B3431&lt;=_TM2,OR(TH!L3431="1111",TH!M3431="1111")),TH!D3431,""),"")</f>
        <v/>
      </c>
      <c r="B3431" s="36">
        <f t="shared" si="54"/>
        <v>9</v>
      </c>
      <c r="C3431" s="899">
        <f t="shared" si="55"/>
        <v>42248</v>
      </c>
      <c r="D3431" s="900" t="s">
        <v>2013</v>
      </c>
      <c r="E3431" s="900">
        <v>42248</v>
      </c>
      <c r="F3431" s="907" t="s">
        <v>624</v>
      </c>
      <c r="G3431" s="902" t="s">
        <v>1006</v>
      </c>
      <c r="H3431" s="913" t="s">
        <v>2014</v>
      </c>
      <c r="I3431" s="253">
        <v>135</v>
      </c>
      <c r="J3431" s="253">
        <v>46250.734249824658</v>
      </c>
      <c r="K3431" s="904">
        <f t="shared" si="56"/>
        <v>6243849</v>
      </c>
      <c r="L3431" s="869" t="s">
        <v>167</v>
      </c>
      <c r="M3431" s="869" t="s">
        <v>165</v>
      </c>
      <c r="N3431" s="52" t="str">
        <f>IF(AND('331-CT'!$E$7=TH!H3431,OR(L3431="331",M3431="331")),"331",IF(AND(OR(L3431="131",M3431="131"),H3431='131-CT'!$E$7),"131",""))</f>
        <v/>
      </c>
      <c r="O3431" s="869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799"/>
    </row>
    <row r="3432" spans="1:27" s="210" customFormat="1" ht="15.75" customHeight="1">
      <c r="A3432" s="203" t="str">
        <f>IF(B3432&lt;&gt;"",IF(AND(B3432&gt;=_TM1,B3432&lt;=_TM2,OR(TH!L3432="1111",TH!M3432="1111")),TH!D3432,""),"")</f>
        <v/>
      </c>
      <c r="B3432" s="36">
        <f t="shared" si="54"/>
        <v>9</v>
      </c>
      <c r="C3432" s="899">
        <f t="shared" si="55"/>
        <v>42248</v>
      </c>
      <c r="D3432" s="900" t="s">
        <v>2013</v>
      </c>
      <c r="E3432" s="900">
        <v>42248</v>
      </c>
      <c r="F3432" s="907" t="s">
        <v>1007</v>
      </c>
      <c r="G3432" s="902" t="s">
        <v>1006</v>
      </c>
      <c r="H3432" s="913" t="s">
        <v>2014</v>
      </c>
      <c r="I3432" s="253">
        <v>25</v>
      </c>
      <c r="J3432" s="253">
        <v>66886.912552263791</v>
      </c>
      <c r="K3432" s="904">
        <f t="shared" si="56"/>
        <v>1672173</v>
      </c>
      <c r="L3432" s="869" t="s">
        <v>167</v>
      </c>
      <c r="M3432" s="869" t="s">
        <v>165</v>
      </c>
      <c r="N3432" s="52" t="str">
        <f>IF(AND('331-CT'!$E$7=TH!H3432,OR(L3432="331",M3432="331")),"331",IF(AND(OR(L3432="131",M3432="131"),H3432='131-CT'!$E$7),"131",""))</f>
        <v/>
      </c>
      <c r="O3432" s="869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799"/>
    </row>
    <row r="3433" spans="1:27" s="210" customFormat="1" ht="15.75" customHeight="1">
      <c r="A3433" s="203" t="str">
        <f>IF(B3433&lt;&gt;"",IF(AND(B3433&gt;=_TM1,B3433&lt;=_TM2,OR(TH!L3433="1111",TH!M3433="1111")),TH!D3433,""),"")</f>
        <v/>
      </c>
      <c r="B3433" s="36">
        <f t="shared" si="54"/>
        <v>9</v>
      </c>
      <c r="C3433" s="899">
        <f t="shared" si="55"/>
        <v>42248</v>
      </c>
      <c r="D3433" s="900" t="s">
        <v>2013</v>
      </c>
      <c r="E3433" s="900">
        <v>42248</v>
      </c>
      <c r="F3433" s="907" t="s">
        <v>1008</v>
      </c>
      <c r="G3433" s="902" t="s">
        <v>1006</v>
      </c>
      <c r="H3433" s="913" t="s">
        <v>2014</v>
      </c>
      <c r="I3433" s="253">
        <v>68</v>
      </c>
      <c r="J3433" s="253">
        <v>22804.181470399657</v>
      </c>
      <c r="K3433" s="904">
        <f t="shared" si="56"/>
        <v>1550684</v>
      </c>
      <c r="L3433" s="869" t="s">
        <v>167</v>
      </c>
      <c r="M3433" s="869" t="s">
        <v>165</v>
      </c>
      <c r="N3433" s="52" t="str">
        <f>IF(AND('331-CT'!$E$7=TH!H3433,OR(L3433="331",M3433="331")),"331",IF(AND(OR(L3433="131",M3433="131"),H3433='131-CT'!$E$7),"131",""))</f>
        <v/>
      </c>
      <c r="O3433" s="869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799"/>
    </row>
    <row r="3434" spans="1:27" s="210" customFormat="1" ht="15.75" customHeight="1">
      <c r="A3434" s="203" t="str">
        <f>IF(B3434&lt;&gt;"",IF(AND(B3434&gt;=_TM1,B3434&lt;=_TM2,OR(TH!L3434="1111",TH!M3434="1111")),TH!D3434,""),"")</f>
        <v/>
      </c>
      <c r="B3434" s="36">
        <f t="shared" si="54"/>
        <v>9</v>
      </c>
      <c r="C3434" s="899">
        <f t="shared" si="55"/>
        <v>42248</v>
      </c>
      <c r="D3434" s="900" t="s">
        <v>2013</v>
      </c>
      <c r="E3434" s="900">
        <v>42248</v>
      </c>
      <c r="F3434" s="907" t="s">
        <v>923</v>
      </c>
      <c r="G3434" s="902" t="s">
        <v>1006</v>
      </c>
      <c r="H3434" s="913" t="s">
        <v>2014</v>
      </c>
      <c r="I3434" s="253">
        <v>49</v>
      </c>
      <c r="J3434" s="253">
        <v>26417.520083667208</v>
      </c>
      <c r="K3434" s="904">
        <f t="shared" si="56"/>
        <v>1294458</v>
      </c>
      <c r="L3434" s="869" t="s">
        <v>167</v>
      </c>
      <c r="M3434" s="869" t="s">
        <v>165</v>
      </c>
      <c r="N3434" s="52" t="str">
        <f>IF(AND('331-CT'!$E$7=TH!H3434,OR(L3434="331",M3434="331")),"331",IF(AND(OR(L3434="131",M3434="131"),H3434='131-CT'!$E$7),"131",""))</f>
        <v/>
      </c>
      <c r="O3434" s="869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799"/>
    </row>
    <row r="3435" spans="1:27" s="210" customFormat="1" ht="15.75" customHeight="1">
      <c r="A3435" s="203" t="str">
        <f>IF(B3435&lt;&gt;"",IF(AND(B3435&gt;=_TM1,B3435&lt;=_TM2,OR(TH!L3435="1111",TH!M3435="1111")),TH!D3435,""),"")</f>
        <v/>
      </c>
      <c r="B3435" s="36">
        <f t="shared" si="54"/>
        <v>9</v>
      </c>
      <c r="C3435" s="899">
        <f t="shared" si="55"/>
        <v>42248</v>
      </c>
      <c r="D3435" s="900" t="s">
        <v>2013</v>
      </c>
      <c r="E3435" s="900">
        <v>42248</v>
      </c>
      <c r="F3435" s="907" t="s">
        <v>921</v>
      </c>
      <c r="G3435" s="902" t="s">
        <v>1006</v>
      </c>
      <c r="H3435" s="913" t="s">
        <v>2014</v>
      </c>
      <c r="I3435" s="253">
        <v>70</v>
      </c>
      <c r="J3435" s="253">
        <v>15818.393484749058</v>
      </c>
      <c r="K3435" s="904">
        <f t="shared" si="56"/>
        <v>1107288</v>
      </c>
      <c r="L3435" s="869" t="s">
        <v>167</v>
      </c>
      <c r="M3435" s="869" t="s">
        <v>165</v>
      </c>
      <c r="N3435" s="52" t="str">
        <f>IF(AND('331-CT'!$E$7=TH!H3435,OR(L3435="331",M3435="331")),"331",IF(AND(OR(L3435="131",M3435="131"),H3435='131-CT'!$E$7),"131",""))</f>
        <v/>
      </c>
      <c r="O3435" s="869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799"/>
    </row>
    <row r="3436" spans="1:27" s="210" customFormat="1" ht="15.75" customHeight="1">
      <c r="A3436" s="203" t="str">
        <f>IF(B3436&lt;&gt;"",IF(AND(B3436&gt;=_TM1,B3436&lt;=_TM2,OR(TH!L3436="1111",TH!M3436="1111")),TH!D3436,""),"")</f>
        <v/>
      </c>
      <c r="B3436" s="36">
        <f t="shared" si="54"/>
        <v>9</v>
      </c>
      <c r="C3436" s="899">
        <f t="shared" si="55"/>
        <v>42248</v>
      </c>
      <c r="D3436" s="900" t="s">
        <v>2013</v>
      </c>
      <c r="E3436" s="900">
        <v>42248</v>
      </c>
      <c r="F3436" s="907" t="s">
        <v>1009</v>
      </c>
      <c r="G3436" s="902" t="s">
        <v>1006</v>
      </c>
      <c r="H3436" s="913" t="s">
        <v>2014</v>
      </c>
      <c r="I3436" s="253">
        <v>45</v>
      </c>
      <c r="J3436" s="253">
        <v>29227.894560653083</v>
      </c>
      <c r="K3436" s="904">
        <f t="shared" si="56"/>
        <v>1315255</v>
      </c>
      <c r="L3436" s="869" t="s">
        <v>167</v>
      </c>
      <c r="M3436" s="869" t="s">
        <v>165</v>
      </c>
      <c r="N3436" s="52" t="str">
        <f>IF(AND('331-CT'!$E$7=TH!H3436,OR(L3436="331",M3436="331")),"331",IF(AND(OR(L3436="131",M3436="131"),H3436='131-CT'!$E$7),"131",""))</f>
        <v/>
      </c>
      <c r="O3436" s="869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799"/>
    </row>
    <row r="3437" spans="1:27" s="210" customFormat="1" ht="15.75" customHeight="1">
      <c r="A3437" s="203" t="str">
        <f>IF(B3437&lt;&gt;"",IF(AND(B3437&gt;=_TM1,B3437&lt;=_TM2,OR(TH!L3437="1111",TH!M3437="1111")),TH!D3437,""),"")</f>
        <v/>
      </c>
      <c r="B3437" s="36">
        <f t="shared" si="54"/>
        <v>9</v>
      </c>
      <c r="C3437" s="899">
        <f t="shared" si="55"/>
        <v>42248</v>
      </c>
      <c r="D3437" s="900" t="s">
        <v>2013</v>
      </c>
      <c r="E3437" s="900">
        <v>42248</v>
      </c>
      <c r="F3437" s="907" t="s">
        <v>1782</v>
      </c>
      <c r="G3437" s="902" t="s">
        <v>1010</v>
      </c>
      <c r="H3437" s="913" t="s">
        <v>2014</v>
      </c>
      <c r="I3437" s="253">
        <v>70</v>
      </c>
      <c r="J3437" s="253">
        <v>11402.090735199828</v>
      </c>
      <c r="K3437" s="904">
        <f t="shared" si="56"/>
        <v>798146</v>
      </c>
      <c r="L3437" s="869" t="s">
        <v>167</v>
      </c>
      <c r="M3437" s="869" t="s">
        <v>165</v>
      </c>
      <c r="N3437" s="52" t="str">
        <f>IF(AND('331-CT'!$E$7=TH!H3437,OR(L3437="331",M3437="331")),"331",IF(AND(OR(L3437="131",M3437="131"),H3437='131-CT'!$E$7),"131",""))</f>
        <v/>
      </c>
      <c r="O3437" s="869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799"/>
    </row>
    <row r="3438" spans="1:27" s="210" customFormat="1" ht="15.75" customHeight="1">
      <c r="A3438" s="203" t="str">
        <f>IF(B3438&lt;&gt;"",IF(AND(B3438&gt;=_TM1,B3438&lt;=_TM2,OR(TH!L3438="1111",TH!M3438="1111")),TH!D3438,""),"")</f>
        <v/>
      </c>
      <c r="B3438" s="36">
        <f t="shared" si="54"/>
        <v>9</v>
      </c>
      <c r="C3438" s="899">
        <f t="shared" si="55"/>
        <v>42248</v>
      </c>
      <c r="D3438" s="900" t="s">
        <v>2013</v>
      </c>
      <c r="E3438" s="900">
        <v>42248</v>
      </c>
      <c r="F3438" s="907" t="s">
        <v>1761</v>
      </c>
      <c r="G3438" s="902" t="s">
        <v>1010</v>
      </c>
      <c r="H3438" s="913" t="s">
        <v>2014</v>
      </c>
      <c r="I3438" s="253">
        <v>50</v>
      </c>
      <c r="J3438" s="253">
        <v>11642.979976084333</v>
      </c>
      <c r="K3438" s="904">
        <f t="shared" si="56"/>
        <v>582149</v>
      </c>
      <c r="L3438" s="869" t="s">
        <v>167</v>
      </c>
      <c r="M3438" s="869" t="s">
        <v>165</v>
      </c>
      <c r="N3438" s="52" t="str">
        <f>IF(AND('331-CT'!$E$7=TH!H3438,OR(L3438="331",M3438="331")),"331",IF(AND(OR(L3438="131",M3438="131"),H3438='131-CT'!$E$7),"131",""))</f>
        <v/>
      </c>
      <c r="O3438" s="869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799"/>
    </row>
    <row r="3439" spans="1:27" s="210" customFormat="1" ht="15.75" customHeight="1">
      <c r="A3439" s="203" t="str">
        <f>IF(B3439&lt;&gt;"",IF(AND(B3439&gt;=_TM1,B3439&lt;=_TM2,OR(TH!L3439="1111",TH!M3439="1111")),TH!D3439,""),"")</f>
        <v/>
      </c>
      <c r="B3439" s="36">
        <f t="shared" si="54"/>
        <v>9</v>
      </c>
      <c r="C3439" s="899">
        <f t="shared" si="55"/>
        <v>42248</v>
      </c>
      <c r="D3439" s="900" t="s">
        <v>2013</v>
      </c>
      <c r="E3439" s="900">
        <v>42248</v>
      </c>
      <c r="F3439" s="907" t="s">
        <v>1783</v>
      </c>
      <c r="G3439" s="902" t="s">
        <v>1010</v>
      </c>
      <c r="H3439" s="913" t="s">
        <v>2014</v>
      </c>
      <c r="I3439" s="253">
        <v>150</v>
      </c>
      <c r="J3439" s="253">
        <v>11402.090735199828</v>
      </c>
      <c r="K3439" s="904">
        <f t="shared" si="56"/>
        <v>1710314</v>
      </c>
      <c r="L3439" s="869" t="s">
        <v>167</v>
      </c>
      <c r="M3439" s="869" t="s">
        <v>165</v>
      </c>
      <c r="N3439" s="52" t="str">
        <f>IF(AND('331-CT'!$E$7=TH!H3439,OR(L3439="331",M3439="331")),"331",IF(AND(OR(L3439="131",M3439="131"),H3439='131-CT'!$E$7),"131",""))</f>
        <v/>
      </c>
      <c r="O3439" s="869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799"/>
    </row>
    <row r="3440" spans="1:27" s="210" customFormat="1" ht="15.75" customHeight="1">
      <c r="A3440" s="203" t="str">
        <f>IF(B3440&lt;&gt;"",IF(AND(B3440&gt;=_TM1,B3440&lt;=_TM2,OR(TH!L3440="1111",TH!M3440="1111")),TH!D3440,""),"")</f>
        <v/>
      </c>
      <c r="B3440" s="36">
        <f t="shared" si="54"/>
        <v>9</v>
      </c>
      <c r="C3440" s="899">
        <f t="shared" si="55"/>
        <v>42248</v>
      </c>
      <c r="D3440" s="900" t="s">
        <v>2013</v>
      </c>
      <c r="E3440" s="900">
        <v>42248</v>
      </c>
      <c r="F3440" s="907" t="s">
        <v>742</v>
      </c>
      <c r="G3440" s="902" t="s">
        <v>1010</v>
      </c>
      <c r="H3440" s="913" t="s">
        <v>2014</v>
      </c>
      <c r="I3440" s="253">
        <v>395</v>
      </c>
      <c r="J3440" s="253">
        <v>15738.09707112089</v>
      </c>
      <c r="K3440" s="904">
        <f t="shared" si="56"/>
        <v>6216548</v>
      </c>
      <c r="L3440" s="869" t="s">
        <v>167</v>
      </c>
      <c r="M3440" s="869" t="s">
        <v>165</v>
      </c>
      <c r="N3440" s="52" t="str">
        <f>IF(AND('331-CT'!$E$7=TH!H3440,OR(L3440="331",M3440="331")),"331",IF(AND(OR(L3440="131",M3440="131"),H3440='131-CT'!$E$7),"131",""))</f>
        <v/>
      </c>
      <c r="O3440" s="869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799"/>
    </row>
    <row r="3441" spans="1:27" s="210" customFormat="1" ht="15.75" customHeight="1">
      <c r="A3441" s="203" t="str">
        <f>IF(B3441&lt;&gt;"",IF(AND(B3441&gt;=_TM1,B3441&lt;=_TM2,OR(TH!L3441="1111",TH!M3441="1111")),TH!D3441,""),"")</f>
        <v/>
      </c>
      <c r="B3441" s="36">
        <f t="shared" si="54"/>
        <v>9</v>
      </c>
      <c r="C3441" s="899">
        <f t="shared" si="55"/>
        <v>42248</v>
      </c>
      <c r="D3441" s="900" t="s">
        <v>2013</v>
      </c>
      <c r="E3441" s="900">
        <v>42248</v>
      </c>
      <c r="F3441" s="907" t="s">
        <v>668</v>
      </c>
      <c r="G3441" s="902" t="s">
        <v>1010</v>
      </c>
      <c r="H3441" s="913" t="s">
        <v>2014</v>
      </c>
      <c r="I3441" s="253">
        <v>25</v>
      </c>
      <c r="J3441" s="253">
        <v>17906.100239081421</v>
      </c>
      <c r="K3441" s="904">
        <f t="shared" si="56"/>
        <v>447653</v>
      </c>
      <c r="L3441" s="869" t="s">
        <v>167</v>
      </c>
      <c r="M3441" s="869" t="s">
        <v>165</v>
      </c>
      <c r="N3441" s="52" t="str">
        <f>IF(AND('331-CT'!$E$7=TH!H3441,OR(L3441="331",M3441="331")),"331",IF(AND(OR(L3441="131",M3441="131"),H3441='131-CT'!$E$7),"131",""))</f>
        <v/>
      </c>
      <c r="O3441" s="869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799"/>
    </row>
    <row r="3442" spans="1:27" s="210" customFormat="1" ht="15.75" customHeight="1">
      <c r="A3442" s="203" t="str">
        <f>IF(B3442&lt;&gt;"",IF(AND(B3442&gt;=_TM1,B3442&lt;=_TM2,OR(TH!L3442="1111",TH!M3442="1111")),TH!D3442,""),"")</f>
        <v/>
      </c>
      <c r="B3442" s="36">
        <f t="shared" si="54"/>
        <v>9</v>
      </c>
      <c r="C3442" s="899">
        <f t="shared" si="55"/>
        <v>42248</v>
      </c>
      <c r="D3442" s="900" t="s">
        <v>2013</v>
      </c>
      <c r="E3442" s="900">
        <v>42248</v>
      </c>
      <c r="F3442" s="907" t="s">
        <v>1741</v>
      </c>
      <c r="G3442" s="902" t="s">
        <v>1010</v>
      </c>
      <c r="H3442" s="913" t="s">
        <v>2014</v>
      </c>
      <c r="I3442" s="253">
        <v>25</v>
      </c>
      <c r="J3442" s="253">
        <v>8912.9019127266274</v>
      </c>
      <c r="K3442" s="904">
        <f t="shared" si="56"/>
        <v>222823</v>
      </c>
      <c r="L3442" s="869" t="s">
        <v>167</v>
      </c>
      <c r="M3442" s="869" t="s">
        <v>165</v>
      </c>
      <c r="N3442" s="52" t="str">
        <f>IF(AND('331-CT'!$E$7=TH!H3442,OR(L3442="331",M3442="331")),"331",IF(AND(OR(L3442="131",M3442="131"),H3442='131-CT'!$E$7),"131",""))</f>
        <v/>
      </c>
      <c r="O3442" s="869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799"/>
    </row>
    <row r="3443" spans="1:27" s="210" customFormat="1" ht="15.75" customHeight="1">
      <c r="A3443" s="203" t="str">
        <f>IF(B3443&lt;&gt;"",IF(AND(B3443&gt;=_TM1,B3443&lt;=_TM2,OR(TH!L3443="1111",TH!M3443="1111")),TH!D3443,""),"")</f>
        <v/>
      </c>
      <c r="B3443" s="36">
        <f t="shared" si="54"/>
        <v>9</v>
      </c>
      <c r="C3443" s="899">
        <f t="shared" si="55"/>
        <v>42248</v>
      </c>
      <c r="D3443" s="900" t="s">
        <v>2013</v>
      </c>
      <c r="E3443" s="900">
        <v>42248</v>
      </c>
      <c r="F3443" s="907" t="s">
        <v>741</v>
      </c>
      <c r="G3443" s="902" t="s">
        <v>1010</v>
      </c>
      <c r="H3443" s="913" t="s">
        <v>2014</v>
      </c>
      <c r="I3443" s="253">
        <v>140</v>
      </c>
      <c r="J3443" s="253">
        <v>7949.3449491886131</v>
      </c>
      <c r="K3443" s="904">
        <f t="shared" si="56"/>
        <v>1112908</v>
      </c>
      <c r="L3443" s="869" t="s">
        <v>167</v>
      </c>
      <c r="M3443" s="869" t="s">
        <v>165</v>
      </c>
      <c r="N3443" s="52" t="str">
        <f>IF(AND('331-CT'!$E$7=TH!H3443,OR(L3443="331",M3443="331")),"331",IF(AND(OR(L3443="131",M3443="131"),H3443='131-CT'!$E$7),"131",""))</f>
        <v/>
      </c>
      <c r="O3443" s="869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799"/>
    </row>
    <row r="3444" spans="1:27" s="210" customFormat="1" ht="15.75" customHeight="1">
      <c r="A3444" s="203" t="str">
        <f>IF(B3444&lt;&gt;"",IF(AND(B3444&gt;=_TM1,B3444&lt;=_TM2,OR(TH!L3444="1111",TH!M3444="1111")),TH!D3444,""),"")</f>
        <v/>
      </c>
      <c r="B3444" s="36">
        <f t="shared" si="54"/>
        <v>9</v>
      </c>
      <c r="C3444" s="899">
        <f t="shared" si="55"/>
        <v>42248</v>
      </c>
      <c r="D3444" s="900" t="s">
        <v>2013</v>
      </c>
      <c r="E3444" s="900">
        <v>42248</v>
      </c>
      <c r="F3444" s="907" t="s">
        <v>1784</v>
      </c>
      <c r="G3444" s="902" t="s">
        <v>1010</v>
      </c>
      <c r="H3444" s="913" t="s">
        <v>2014</v>
      </c>
      <c r="I3444" s="253">
        <v>50</v>
      </c>
      <c r="J3444" s="253">
        <v>9555.2732217519697</v>
      </c>
      <c r="K3444" s="904">
        <f t="shared" si="56"/>
        <v>477764</v>
      </c>
      <c r="L3444" s="869" t="s">
        <v>167</v>
      </c>
      <c r="M3444" s="869" t="s">
        <v>165</v>
      </c>
      <c r="N3444" s="52" t="str">
        <f>IF(AND('331-CT'!$E$7=TH!H3444,OR(L3444="331",M3444="331")),"331",IF(AND(OR(L3444="131",M3444="131"),H3444='131-CT'!$E$7),"131",""))</f>
        <v/>
      </c>
      <c r="O3444" s="869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799"/>
    </row>
    <row r="3445" spans="1:27" s="210" customFormat="1" ht="15.75" customHeight="1">
      <c r="A3445" s="203" t="str">
        <f>IF(B3445&lt;&gt;"",IF(AND(B3445&gt;=_TM1,B3445&lt;=_TM2,OR(TH!L3445="1111",TH!M3445="1111")),TH!D3445,""),"")</f>
        <v/>
      </c>
      <c r="B3445" s="36">
        <f t="shared" si="54"/>
        <v>9</v>
      </c>
      <c r="C3445" s="899">
        <f t="shared" si="55"/>
        <v>42248</v>
      </c>
      <c r="D3445" s="900" t="s">
        <v>2013</v>
      </c>
      <c r="E3445" s="900">
        <v>42248</v>
      </c>
      <c r="F3445" s="907" t="s">
        <v>1785</v>
      </c>
      <c r="G3445" s="902" t="s">
        <v>1010</v>
      </c>
      <c r="H3445" s="913" t="s">
        <v>2014</v>
      </c>
      <c r="I3445" s="253">
        <v>35</v>
      </c>
      <c r="J3445" s="253">
        <v>11482.387148827996</v>
      </c>
      <c r="K3445" s="904">
        <f t="shared" si="56"/>
        <v>401884</v>
      </c>
      <c r="L3445" s="869" t="s">
        <v>167</v>
      </c>
      <c r="M3445" s="869" t="s">
        <v>165</v>
      </c>
      <c r="N3445" s="52" t="str">
        <f>IF(AND('331-CT'!$E$7=TH!H3445,OR(L3445="331",M3445="331")),"331",IF(AND(OR(L3445="131",M3445="131"),H3445='131-CT'!$E$7),"131",""))</f>
        <v/>
      </c>
      <c r="O3445" s="869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799"/>
    </row>
    <row r="3446" spans="1:27" s="210" customFormat="1" ht="15.75" customHeight="1">
      <c r="A3446" s="203" t="str">
        <f>IF(B3446&lt;&gt;"",IF(AND(B3446&gt;=_TM1,B3446&lt;=_TM2,OR(TH!L3446="1111",TH!M3446="1111")),TH!D3446,""),"")</f>
        <v/>
      </c>
      <c r="B3446" s="36">
        <f t="shared" si="54"/>
        <v>9</v>
      </c>
      <c r="C3446" s="899">
        <f t="shared" si="55"/>
        <v>42248</v>
      </c>
      <c r="D3446" s="900" t="s">
        <v>2013</v>
      </c>
      <c r="E3446" s="900">
        <v>42248</v>
      </c>
      <c r="F3446" s="907" t="s">
        <v>1780</v>
      </c>
      <c r="G3446" s="902" t="s">
        <v>1010</v>
      </c>
      <c r="H3446" s="913" t="s">
        <v>2014</v>
      </c>
      <c r="I3446" s="253">
        <v>125</v>
      </c>
      <c r="J3446" s="253">
        <v>6985.7879856505997</v>
      </c>
      <c r="K3446" s="904">
        <f t="shared" si="56"/>
        <v>873223</v>
      </c>
      <c r="L3446" s="869" t="s">
        <v>167</v>
      </c>
      <c r="M3446" s="869" t="s">
        <v>165</v>
      </c>
      <c r="N3446" s="52" t="str">
        <f>IF(AND('331-CT'!$E$7=TH!H3446,OR(L3446="331",M3446="331")),"331",IF(AND(OR(L3446="131",M3446="131"),H3446='131-CT'!$E$7),"131",""))</f>
        <v/>
      </c>
      <c r="O3446" s="869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799"/>
    </row>
    <row r="3447" spans="1:27" s="210" customFormat="1" ht="15.75" customHeight="1">
      <c r="A3447" s="203" t="str">
        <f>IF(B3447&lt;&gt;"",IF(AND(B3447&gt;=_TM1,B3447&lt;=_TM2,OR(TH!L3447="1111",TH!M3447="1111")),TH!D3447,""),"")</f>
        <v/>
      </c>
      <c r="B3447" s="36">
        <f t="shared" si="54"/>
        <v>9</v>
      </c>
      <c r="C3447" s="899">
        <f t="shared" si="55"/>
        <v>42254</v>
      </c>
      <c r="D3447" s="900" t="s">
        <v>2013</v>
      </c>
      <c r="E3447" s="900">
        <v>42254</v>
      </c>
      <c r="F3447" s="907" t="s">
        <v>1011</v>
      </c>
      <c r="G3447" s="902" t="s">
        <v>1012</v>
      </c>
      <c r="H3447" s="913" t="s">
        <v>2014</v>
      </c>
      <c r="I3447" s="253">
        <v>1013</v>
      </c>
      <c r="J3447" s="253">
        <v>11000.60866705899</v>
      </c>
      <c r="K3447" s="904">
        <f t="shared" si="56"/>
        <v>11143617</v>
      </c>
      <c r="L3447" s="869" t="s">
        <v>167</v>
      </c>
      <c r="M3447" s="869" t="s">
        <v>165</v>
      </c>
      <c r="N3447" s="52" t="str">
        <f>IF(AND('331-CT'!$E$7=TH!H3447,OR(L3447="331",M3447="331")),"331",IF(AND(OR(L3447="131",M3447="131"),H3447='131-CT'!$E$7),"131",""))</f>
        <v/>
      </c>
      <c r="O3447" s="869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799"/>
    </row>
    <row r="3448" spans="1:27" s="210" customFormat="1" ht="15.75" customHeight="1">
      <c r="A3448" s="203" t="str">
        <f>IF(B3448&lt;&gt;"",IF(AND(B3448&gt;=_TM1,B3448&lt;=_TM2,OR(TH!L3448="1111",TH!M3448="1111")),TH!D3448,""),"")</f>
        <v/>
      </c>
      <c r="B3448" s="36">
        <f t="shared" si="54"/>
        <v>9</v>
      </c>
      <c r="C3448" s="899">
        <f t="shared" si="55"/>
        <v>42255</v>
      </c>
      <c r="D3448" s="900" t="s">
        <v>2013</v>
      </c>
      <c r="E3448" s="900">
        <v>42255</v>
      </c>
      <c r="F3448" s="907" t="s">
        <v>441</v>
      </c>
      <c r="G3448" s="902" t="s">
        <v>1014</v>
      </c>
      <c r="H3448" s="913" t="s">
        <v>2014</v>
      </c>
      <c r="I3448" s="253">
        <v>984</v>
      </c>
      <c r="J3448" s="253">
        <v>4095.1170950365586</v>
      </c>
      <c r="K3448" s="904">
        <f t="shared" si="56"/>
        <v>4029595</v>
      </c>
      <c r="L3448" s="869" t="s">
        <v>167</v>
      </c>
      <c r="M3448" s="869" t="s">
        <v>165</v>
      </c>
      <c r="N3448" s="52" t="str">
        <f>IF(AND('331-CT'!$E$7=TH!H3448,OR(L3448="331",M3448="331")),"331",IF(AND(OR(L3448="131",M3448="131"),H3448='131-CT'!$E$7),"131",""))</f>
        <v/>
      </c>
      <c r="O3448" s="869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799"/>
    </row>
    <row r="3449" spans="1:27" s="210" customFormat="1" ht="15.75" customHeight="1">
      <c r="A3449" s="203" t="str">
        <f>IF(B3449&lt;&gt;"",IF(AND(B3449&gt;=_TM1,B3449&lt;=_TM2,OR(TH!L3449="1111",TH!M3449="1111")),TH!D3449,""),"")</f>
        <v/>
      </c>
      <c r="B3449" s="36">
        <f t="shared" si="54"/>
        <v>9</v>
      </c>
      <c r="C3449" s="899">
        <f t="shared" si="55"/>
        <v>42255</v>
      </c>
      <c r="D3449" s="900" t="s">
        <v>2013</v>
      </c>
      <c r="E3449" s="900">
        <v>42255</v>
      </c>
      <c r="F3449" s="907" t="s">
        <v>1015</v>
      </c>
      <c r="G3449" s="902" t="s">
        <v>1016</v>
      </c>
      <c r="H3449" s="913" t="s">
        <v>2014</v>
      </c>
      <c r="I3449" s="253">
        <v>80</v>
      </c>
      <c r="J3449" s="253">
        <v>12847.426180506851</v>
      </c>
      <c r="K3449" s="904">
        <f t="shared" si="56"/>
        <v>1027794</v>
      </c>
      <c r="L3449" s="869" t="s">
        <v>167</v>
      </c>
      <c r="M3449" s="869" t="s">
        <v>165</v>
      </c>
      <c r="N3449" s="52" t="str">
        <f>IF(AND('331-CT'!$E$7=TH!H3449,OR(L3449="331",M3449="331")),"331",IF(AND(OR(L3449="131",M3449="131"),H3449='131-CT'!$E$7),"131",""))</f>
        <v/>
      </c>
      <c r="O3449" s="869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799"/>
    </row>
    <row r="3450" spans="1:27" s="210" customFormat="1" ht="15.75" customHeight="1">
      <c r="A3450" s="203" t="str">
        <f>IF(B3450&lt;&gt;"",IF(AND(B3450&gt;=_TM1,B3450&lt;=_TM2,OR(TH!L3450="1111",TH!M3450="1111")),TH!D3450,""),"")</f>
        <v/>
      </c>
      <c r="B3450" s="36">
        <f t="shared" si="54"/>
        <v>9</v>
      </c>
      <c r="C3450" s="899">
        <f t="shared" si="55"/>
        <v>42255</v>
      </c>
      <c r="D3450" s="900" t="s">
        <v>2013</v>
      </c>
      <c r="E3450" s="900">
        <v>42255</v>
      </c>
      <c r="F3450" s="907" t="s">
        <v>1786</v>
      </c>
      <c r="G3450" s="902" t="s">
        <v>1017</v>
      </c>
      <c r="H3450" s="913" t="s">
        <v>2014</v>
      </c>
      <c r="I3450" s="253">
        <v>50</v>
      </c>
      <c r="J3450" s="253">
        <v>21439.142438720806</v>
      </c>
      <c r="K3450" s="904">
        <f t="shared" si="56"/>
        <v>1071957</v>
      </c>
      <c r="L3450" s="869" t="s">
        <v>167</v>
      </c>
      <c r="M3450" s="869" t="s">
        <v>165</v>
      </c>
      <c r="N3450" s="52" t="str">
        <f>IF(AND('331-CT'!$E$7=TH!H3450,OR(L3450="331",M3450="331")),"331",IF(AND(OR(L3450="131",M3450="131"),H3450='131-CT'!$E$7),"131",""))</f>
        <v/>
      </c>
      <c r="O3450" s="869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799"/>
    </row>
    <row r="3451" spans="1:27" s="210" customFormat="1" ht="15.75" customHeight="1">
      <c r="A3451" s="203" t="str">
        <f>IF(B3451&lt;&gt;"",IF(AND(B3451&gt;=_TM1,B3451&lt;=_TM2,OR(TH!L3451="1111",TH!M3451="1111")),TH!D3451,""),"")</f>
        <v/>
      </c>
      <c r="B3451" s="36">
        <f t="shared" si="54"/>
        <v>9</v>
      </c>
      <c r="C3451" s="899">
        <f t="shared" si="55"/>
        <v>42255</v>
      </c>
      <c r="D3451" s="900" t="s">
        <v>2013</v>
      </c>
      <c r="E3451" s="900">
        <v>42255</v>
      </c>
      <c r="F3451" s="907" t="s">
        <v>1786</v>
      </c>
      <c r="G3451" s="902" t="s">
        <v>1017</v>
      </c>
      <c r="H3451" s="913" t="s">
        <v>2014</v>
      </c>
      <c r="I3451" s="253">
        <v>100</v>
      </c>
      <c r="J3451" s="253">
        <v>21439.142438720806</v>
      </c>
      <c r="K3451" s="904">
        <f t="shared" si="56"/>
        <v>2143914</v>
      </c>
      <c r="L3451" s="869" t="s">
        <v>167</v>
      </c>
      <c r="M3451" s="869" t="s">
        <v>165</v>
      </c>
      <c r="N3451" s="52" t="str">
        <f>IF(AND('331-CT'!$E$7=TH!H3451,OR(L3451="331",M3451="331")),"331",IF(AND(OR(L3451="131",M3451="131"),H3451='131-CT'!$E$7),"131",""))</f>
        <v/>
      </c>
      <c r="O3451" s="869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799"/>
    </row>
    <row r="3452" spans="1:27" s="210" customFormat="1" ht="15.75" customHeight="1">
      <c r="A3452" s="203" t="str">
        <f>IF(B3452&lt;&gt;"",IF(AND(B3452&gt;=_TM1,B3452&lt;=_TM2,OR(TH!L3452="1111",TH!M3452="1111")),TH!D3452,""),"")</f>
        <v/>
      </c>
      <c r="B3452" s="36">
        <f t="shared" si="54"/>
        <v>9</v>
      </c>
      <c r="C3452" s="899">
        <f t="shared" si="55"/>
        <v>42255</v>
      </c>
      <c r="D3452" s="900" t="s">
        <v>2013</v>
      </c>
      <c r="E3452" s="900">
        <v>42255</v>
      </c>
      <c r="F3452" s="907" t="s">
        <v>692</v>
      </c>
      <c r="G3452" s="902" t="s">
        <v>1017</v>
      </c>
      <c r="H3452" s="913" t="s">
        <v>2014</v>
      </c>
      <c r="I3452" s="253">
        <v>75</v>
      </c>
      <c r="J3452" s="253">
        <v>14373.058039442038</v>
      </c>
      <c r="K3452" s="904">
        <f t="shared" si="56"/>
        <v>1077979</v>
      </c>
      <c r="L3452" s="869" t="s">
        <v>167</v>
      </c>
      <c r="M3452" s="869" t="s">
        <v>165</v>
      </c>
      <c r="N3452" s="52" t="str">
        <f>IF(AND('331-CT'!$E$7=TH!H3452,OR(L3452="331",M3452="331")),"331",IF(AND(OR(L3452="131",M3452="131"),H3452='131-CT'!$E$7),"131",""))</f>
        <v/>
      </c>
      <c r="O3452" s="869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799"/>
    </row>
    <row r="3453" spans="1:27" s="210" customFormat="1" ht="15.75" customHeight="1">
      <c r="A3453" s="203" t="str">
        <f>IF(B3453&lt;&gt;"",IF(AND(B3453&gt;=_TM1,B3453&lt;=_TM2,OR(TH!L3453="1111",TH!M3453="1111")),TH!D3453,""),"")</f>
        <v/>
      </c>
      <c r="B3453" s="36">
        <f t="shared" si="54"/>
        <v>9</v>
      </c>
      <c r="C3453" s="899">
        <f t="shared" si="55"/>
        <v>42255</v>
      </c>
      <c r="D3453" s="900" t="s">
        <v>2013</v>
      </c>
      <c r="E3453" s="900">
        <v>42255</v>
      </c>
      <c r="F3453" s="907" t="s">
        <v>694</v>
      </c>
      <c r="G3453" s="902" t="s">
        <v>1017</v>
      </c>
      <c r="H3453" s="913" t="s">
        <v>2014</v>
      </c>
      <c r="I3453" s="253">
        <v>30</v>
      </c>
      <c r="J3453" s="253">
        <v>11803.572803340669</v>
      </c>
      <c r="K3453" s="904">
        <f t="shared" si="56"/>
        <v>354107</v>
      </c>
      <c r="L3453" s="869" t="s">
        <v>167</v>
      </c>
      <c r="M3453" s="869" t="s">
        <v>165</v>
      </c>
      <c r="N3453" s="52" t="str">
        <f>IF(AND('331-CT'!$E$7=TH!H3453,OR(L3453="331",M3453="331")),"331",IF(AND(OR(L3453="131",M3453="131"),H3453='131-CT'!$E$7),"131",""))</f>
        <v/>
      </c>
      <c r="O3453" s="869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799"/>
    </row>
    <row r="3454" spans="1:27" s="210" customFormat="1" ht="15.75" customHeight="1">
      <c r="A3454" s="203" t="str">
        <f>IF(B3454&lt;&gt;"",IF(AND(B3454&gt;=_TM1,B3454&lt;=_TM2,OR(TH!L3454="1111",TH!M3454="1111")),TH!D3454,""),"")</f>
        <v/>
      </c>
      <c r="B3454" s="36">
        <f t="shared" si="54"/>
        <v>9</v>
      </c>
      <c r="C3454" s="899">
        <f t="shared" si="55"/>
        <v>42255</v>
      </c>
      <c r="D3454" s="900" t="s">
        <v>2013</v>
      </c>
      <c r="E3454" s="900">
        <v>42255</v>
      </c>
      <c r="F3454" s="907" t="s">
        <v>1700</v>
      </c>
      <c r="G3454" s="902" t="s">
        <v>1017</v>
      </c>
      <c r="H3454" s="913" t="s">
        <v>2014</v>
      </c>
      <c r="I3454" s="253">
        <v>50</v>
      </c>
      <c r="J3454" s="253">
        <v>14373.058039442038</v>
      </c>
      <c r="K3454" s="904">
        <f t="shared" si="56"/>
        <v>718653</v>
      </c>
      <c r="L3454" s="869" t="s">
        <v>167</v>
      </c>
      <c r="M3454" s="869" t="s">
        <v>165</v>
      </c>
      <c r="N3454" s="52" t="str">
        <f>IF(AND('331-CT'!$E$7=TH!H3454,OR(L3454="331",M3454="331")),"331",IF(AND(OR(L3454="131",M3454="131"),H3454='131-CT'!$E$7),"131",""))</f>
        <v/>
      </c>
      <c r="O3454" s="869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799"/>
    </row>
    <row r="3455" spans="1:27" s="210" customFormat="1" ht="15.75" customHeight="1">
      <c r="A3455" s="203" t="str">
        <f>IF(B3455&lt;&gt;"",IF(AND(B3455&gt;=_TM1,B3455&lt;=_TM2,OR(TH!L3455="1111",TH!M3455="1111")),TH!D3455,""),"")</f>
        <v/>
      </c>
      <c r="B3455" s="36">
        <f t="shared" si="54"/>
        <v>9</v>
      </c>
      <c r="C3455" s="899">
        <f t="shared" si="55"/>
        <v>42255</v>
      </c>
      <c r="D3455" s="900" t="s">
        <v>2013</v>
      </c>
      <c r="E3455" s="900">
        <v>42255</v>
      </c>
      <c r="F3455" s="907" t="s">
        <v>1787</v>
      </c>
      <c r="G3455" s="902" t="s">
        <v>1017</v>
      </c>
      <c r="H3455" s="913" t="s">
        <v>2014</v>
      </c>
      <c r="I3455" s="253">
        <v>750</v>
      </c>
      <c r="J3455" s="253">
        <v>1766.5210998196919</v>
      </c>
      <c r="K3455" s="904">
        <f t="shared" si="56"/>
        <v>1324891</v>
      </c>
      <c r="L3455" s="869" t="s">
        <v>167</v>
      </c>
      <c r="M3455" s="869" t="s">
        <v>165</v>
      </c>
      <c r="N3455" s="52" t="str">
        <f>IF(AND('331-CT'!$E$7=TH!H3455,OR(L3455="331",M3455="331")),"331",IF(AND(OR(L3455="131",M3455="131"),H3455='131-CT'!$E$7),"131",""))</f>
        <v/>
      </c>
      <c r="O3455" s="869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799"/>
    </row>
    <row r="3456" spans="1:27" s="210" customFormat="1" ht="15.75" customHeight="1">
      <c r="A3456" s="203" t="str">
        <f>IF(B3456&lt;&gt;"",IF(AND(B3456&gt;=_TM1,B3456&lt;=_TM2,OR(TH!L3456="1111",TH!M3456="1111")),TH!D3456,""),"")</f>
        <v/>
      </c>
      <c r="B3456" s="36">
        <f t="shared" si="54"/>
        <v>9</v>
      </c>
      <c r="C3456" s="899">
        <f t="shared" si="55"/>
        <v>42255</v>
      </c>
      <c r="D3456" s="900" t="s">
        <v>2013</v>
      </c>
      <c r="E3456" s="900">
        <v>42255</v>
      </c>
      <c r="F3456" s="907" t="s">
        <v>1788</v>
      </c>
      <c r="G3456" s="902" t="s">
        <v>1017</v>
      </c>
      <c r="H3456" s="913" t="s">
        <v>2014</v>
      </c>
      <c r="I3456" s="253">
        <v>210</v>
      </c>
      <c r="J3456" s="253">
        <v>8431.1234309576212</v>
      </c>
      <c r="K3456" s="904">
        <f t="shared" si="56"/>
        <v>1770536</v>
      </c>
      <c r="L3456" s="869" t="s">
        <v>167</v>
      </c>
      <c r="M3456" s="869" t="s">
        <v>165</v>
      </c>
      <c r="N3456" s="52" t="str">
        <f>IF(AND('331-CT'!$E$7=TH!H3456,OR(L3456="331",M3456="331")),"331",IF(AND(OR(L3456="131",M3456="131"),H3456='131-CT'!$E$7),"131",""))</f>
        <v/>
      </c>
      <c r="O3456" s="869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799"/>
    </row>
    <row r="3457" spans="1:27" s="210" customFormat="1" ht="15.75" customHeight="1">
      <c r="A3457" s="203" t="str">
        <f>IF(B3457&lt;&gt;"",IF(AND(B3457&gt;=_TM1,B3457&lt;=_TM2,OR(TH!L3457="1111",TH!M3457="1111")),TH!D3457,""),"")</f>
        <v/>
      </c>
      <c r="B3457" s="36">
        <f t="shared" si="54"/>
        <v>9</v>
      </c>
      <c r="C3457" s="899">
        <f t="shared" si="55"/>
        <v>42255</v>
      </c>
      <c r="D3457" s="900" t="s">
        <v>2013</v>
      </c>
      <c r="E3457" s="900">
        <v>42255</v>
      </c>
      <c r="F3457" s="907" t="s">
        <v>1745</v>
      </c>
      <c r="G3457" s="902" t="s">
        <v>1017</v>
      </c>
      <c r="H3457" s="913" t="s">
        <v>2014</v>
      </c>
      <c r="I3457" s="253">
        <v>185</v>
      </c>
      <c r="J3457" s="253">
        <v>9314.3839808674657</v>
      </c>
      <c r="K3457" s="904">
        <f t="shared" si="56"/>
        <v>1723161</v>
      </c>
      <c r="L3457" s="869" t="s">
        <v>167</v>
      </c>
      <c r="M3457" s="869" t="s">
        <v>165</v>
      </c>
      <c r="N3457" s="52" t="str">
        <f>IF(AND('331-CT'!$E$7=TH!H3457,OR(L3457="331",M3457="331")),"331",IF(AND(OR(L3457="131",M3457="131"),H3457='131-CT'!$E$7),"131",""))</f>
        <v/>
      </c>
      <c r="O3457" s="869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799"/>
    </row>
    <row r="3458" spans="1:27" s="210" customFormat="1" ht="15.75" customHeight="1">
      <c r="A3458" s="203" t="str">
        <f>IF(B3458&lt;&gt;"",IF(AND(B3458&gt;=_TM1,B3458&lt;=_TM2,OR(TH!L3458="1111",TH!M3458="1111")),TH!D3458,""),"")</f>
        <v/>
      </c>
      <c r="B3458" s="36">
        <f t="shared" si="54"/>
        <v>9</v>
      </c>
      <c r="C3458" s="899">
        <f t="shared" si="55"/>
        <v>42255</v>
      </c>
      <c r="D3458" s="900" t="s">
        <v>2013</v>
      </c>
      <c r="E3458" s="900">
        <v>42255</v>
      </c>
      <c r="F3458" s="907" t="s">
        <v>1789</v>
      </c>
      <c r="G3458" s="902" t="s">
        <v>1017</v>
      </c>
      <c r="H3458" s="913" t="s">
        <v>2014</v>
      </c>
      <c r="I3458" s="253">
        <v>185</v>
      </c>
      <c r="J3458" s="253">
        <v>8672.0126718421234</v>
      </c>
      <c r="K3458" s="904">
        <f t="shared" si="56"/>
        <v>1604322</v>
      </c>
      <c r="L3458" s="869" t="s">
        <v>167</v>
      </c>
      <c r="M3458" s="869" t="s">
        <v>165</v>
      </c>
      <c r="N3458" s="52" t="str">
        <f>IF(AND('331-CT'!$E$7=TH!H3458,OR(L3458="331",M3458="331")),"331",IF(AND(OR(L3458="131",M3458="131"),H3458='131-CT'!$E$7),"131",""))</f>
        <v/>
      </c>
      <c r="O3458" s="869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799"/>
    </row>
    <row r="3459" spans="1:27" s="210" customFormat="1" ht="15.75" customHeight="1">
      <c r="A3459" s="203" t="str">
        <f>IF(B3459&lt;&gt;"",IF(AND(B3459&gt;=_TM1,B3459&lt;=_TM2,OR(TH!L3459="1111",TH!M3459="1111")),TH!D3459,""),"")</f>
        <v/>
      </c>
      <c r="B3459" s="36">
        <f t="shared" si="54"/>
        <v>9</v>
      </c>
      <c r="C3459" s="899">
        <f t="shared" si="55"/>
        <v>42256</v>
      </c>
      <c r="D3459" s="900" t="s">
        <v>2013</v>
      </c>
      <c r="E3459" s="900">
        <v>42256</v>
      </c>
      <c r="F3459" s="907" t="s">
        <v>1018</v>
      </c>
      <c r="G3459" s="902" t="s">
        <v>1019</v>
      </c>
      <c r="H3459" s="913" t="s">
        <v>2014</v>
      </c>
      <c r="I3459" s="253">
        <v>300</v>
      </c>
      <c r="J3459" s="253">
        <v>11642.979976084333</v>
      </c>
      <c r="K3459" s="904">
        <f t="shared" si="56"/>
        <v>3492894</v>
      </c>
      <c r="L3459" s="869" t="s">
        <v>167</v>
      </c>
      <c r="M3459" s="869" t="s">
        <v>165</v>
      </c>
      <c r="N3459" s="52" t="str">
        <f>IF(AND('331-CT'!$E$7=TH!H3459,OR(L3459="331",M3459="331")),"331",IF(AND(OR(L3459="131",M3459="131"),H3459='131-CT'!$E$7),"131",""))</f>
        <v/>
      </c>
      <c r="O3459" s="869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799"/>
    </row>
    <row r="3460" spans="1:27" s="210" customFormat="1" ht="15.75" customHeight="1">
      <c r="A3460" s="203" t="str">
        <f>IF(B3460&lt;&gt;"",IF(AND(B3460&gt;=_TM1,B3460&lt;=_TM2,OR(TH!L3460="1111",TH!M3460="1111")),TH!D3460,""),"")</f>
        <v/>
      </c>
      <c r="B3460" s="36">
        <f t="shared" si="54"/>
        <v>9</v>
      </c>
      <c r="C3460" s="899">
        <f t="shared" si="55"/>
        <v>42256</v>
      </c>
      <c r="D3460" s="900" t="s">
        <v>2013</v>
      </c>
      <c r="E3460" s="900">
        <v>42256</v>
      </c>
      <c r="F3460" s="907" t="s">
        <v>1790</v>
      </c>
      <c r="G3460" s="902" t="s">
        <v>1020</v>
      </c>
      <c r="H3460" s="913" t="s">
        <v>2014</v>
      </c>
      <c r="I3460" s="253">
        <v>52</v>
      </c>
      <c r="J3460" s="253">
        <v>6504.0095038815934</v>
      </c>
      <c r="K3460" s="904">
        <f t="shared" si="56"/>
        <v>338208</v>
      </c>
      <c r="L3460" s="869" t="s">
        <v>167</v>
      </c>
      <c r="M3460" s="869" t="s">
        <v>165</v>
      </c>
      <c r="N3460" s="52" t="str">
        <f>IF(AND('331-CT'!$E$7=TH!H3460,OR(L3460="331",M3460="331")),"331",IF(AND(OR(L3460="131",M3460="131"),H3460='131-CT'!$E$7),"131",""))</f>
        <v/>
      </c>
      <c r="O3460" s="869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799"/>
    </row>
    <row r="3461" spans="1:27" s="210" customFormat="1" ht="15.75" customHeight="1">
      <c r="A3461" s="203" t="str">
        <f>IF(B3461&lt;&gt;"",IF(AND(B3461&gt;=_TM1,B3461&lt;=_TM2,OR(TH!L3461="1111",TH!M3461="1111")),TH!D3461,""),"")</f>
        <v/>
      </c>
      <c r="B3461" s="36">
        <f t="shared" si="54"/>
        <v>9</v>
      </c>
      <c r="C3461" s="899">
        <f t="shared" si="55"/>
        <v>42256</v>
      </c>
      <c r="D3461" s="900" t="s">
        <v>2013</v>
      </c>
      <c r="E3461" s="900">
        <v>42256</v>
      </c>
      <c r="F3461" s="907" t="s">
        <v>746</v>
      </c>
      <c r="G3461" s="902" t="s">
        <v>1020</v>
      </c>
      <c r="H3461" s="913" t="s">
        <v>2014</v>
      </c>
      <c r="I3461" s="253">
        <v>1000</v>
      </c>
      <c r="J3461" s="253">
        <v>18548.471548106765</v>
      </c>
      <c r="K3461" s="904">
        <f t="shared" si="56"/>
        <v>18548472</v>
      </c>
      <c r="L3461" s="869" t="s">
        <v>167</v>
      </c>
      <c r="M3461" s="869" t="s">
        <v>165</v>
      </c>
      <c r="N3461" s="52" t="str">
        <f>IF(AND('331-CT'!$E$7=TH!H3461,OR(L3461="331",M3461="331")),"331",IF(AND(OR(L3461="131",M3461="131"),H3461='131-CT'!$E$7),"131",""))</f>
        <v/>
      </c>
      <c r="O3461" s="869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799"/>
    </row>
    <row r="3462" spans="1:27" s="210" customFormat="1" ht="15.75" customHeight="1">
      <c r="A3462" s="203" t="str">
        <f>IF(B3462&lt;&gt;"",IF(AND(B3462&gt;=_TM1,B3462&lt;=_TM2,OR(TH!L3462="1111",TH!M3462="1111")),TH!D3462,""),"")</f>
        <v/>
      </c>
      <c r="B3462" s="36">
        <f t="shared" si="54"/>
        <v>9</v>
      </c>
      <c r="C3462" s="899">
        <f t="shared" si="55"/>
        <v>42256</v>
      </c>
      <c r="D3462" s="900" t="s">
        <v>2013</v>
      </c>
      <c r="E3462" s="900">
        <v>42256</v>
      </c>
      <c r="F3462" s="907" t="s">
        <v>748</v>
      </c>
      <c r="G3462" s="902" t="s">
        <v>1020</v>
      </c>
      <c r="H3462" s="913" t="s">
        <v>2014</v>
      </c>
      <c r="I3462" s="253">
        <v>100</v>
      </c>
      <c r="J3462" s="253">
        <v>15015.429348467382</v>
      </c>
      <c r="K3462" s="904">
        <f t="shared" si="56"/>
        <v>1501543</v>
      </c>
      <c r="L3462" s="869" t="s">
        <v>167</v>
      </c>
      <c r="M3462" s="869" t="s">
        <v>165</v>
      </c>
      <c r="N3462" s="52" t="str">
        <f>IF(AND('331-CT'!$E$7=TH!H3462,OR(L3462="331",M3462="331")),"331",IF(AND(OR(L3462="131",M3462="131"),H3462='131-CT'!$E$7),"131",""))</f>
        <v/>
      </c>
      <c r="O3462" s="869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799"/>
    </row>
    <row r="3463" spans="1:27" s="210" customFormat="1" ht="15.75" customHeight="1">
      <c r="A3463" s="203" t="str">
        <f>IF(B3463&lt;&gt;"",IF(AND(B3463&gt;=_TM1,B3463&lt;=_TM2,OR(TH!L3463="1111",TH!M3463="1111")),TH!D3463,""),"")</f>
        <v/>
      </c>
      <c r="B3463" s="36">
        <f t="shared" si="54"/>
        <v>9</v>
      </c>
      <c r="C3463" s="899">
        <f t="shared" si="55"/>
        <v>42256</v>
      </c>
      <c r="D3463" s="900" t="s">
        <v>2013</v>
      </c>
      <c r="E3463" s="900">
        <v>42256</v>
      </c>
      <c r="F3463" s="907" t="s">
        <v>728</v>
      </c>
      <c r="G3463" s="902" t="s">
        <v>1020</v>
      </c>
      <c r="H3463" s="913" t="s">
        <v>2014</v>
      </c>
      <c r="I3463" s="253">
        <v>100</v>
      </c>
      <c r="J3463" s="253">
        <v>13650.390316788527</v>
      </c>
      <c r="K3463" s="904">
        <f t="shared" si="56"/>
        <v>1365039</v>
      </c>
      <c r="L3463" s="869" t="s">
        <v>167</v>
      </c>
      <c r="M3463" s="869" t="s">
        <v>165</v>
      </c>
      <c r="N3463" s="52" t="str">
        <f>IF(AND('331-CT'!$E$7=TH!H3463,OR(L3463="331",M3463="331")),"331",IF(AND(OR(L3463="131",M3463="131"),H3463='131-CT'!$E$7),"131",""))</f>
        <v/>
      </c>
      <c r="O3463" s="869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799"/>
    </row>
    <row r="3464" spans="1:27" s="210" customFormat="1" ht="15.75" customHeight="1">
      <c r="A3464" s="203" t="str">
        <f>IF(B3464&lt;&gt;"",IF(AND(B3464&gt;=_TM1,B3464&lt;=_TM2,OR(TH!L3464="1111",TH!M3464="1111")),TH!D3464,""),"")</f>
        <v/>
      </c>
      <c r="B3464" s="36">
        <f t="shared" si="54"/>
        <v>9</v>
      </c>
      <c r="C3464" s="899">
        <f t="shared" si="55"/>
        <v>42257</v>
      </c>
      <c r="D3464" s="900" t="s">
        <v>2013</v>
      </c>
      <c r="E3464" s="900">
        <v>42257</v>
      </c>
      <c r="F3464" s="907" t="s">
        <v>1791</v>
      </c>
      <c r="G3464" s="902" t="s">
        <v>1021</v>
      </c>
      <c r="H3464" s="913" t="s">
        <v>2014</v>
      </c>
      <c r="I3464" s="253">
        <v>500</v>
      </c>
      <c r="J3464" s="253">
        <v>22322.402988630649</v>
      </c>
      <c r="K3464" s="904">
        <f t="shared" si="56"/>
        <v>11161201</v>
      </c>
      <c r="L3464" s="869" t="s">
        <v>167</v>
      </c>
      <c r="M3464" s="869" t="s">
        <v>165</v>
      </c>
      <c r="N3464" s="52" t="str">
        <f>IF(AND('331-CT'!$E$7=TH!H3464,OR(L3464="331",M3464="331")),"331",IF(AND(OR(L3464="131",M3464="131"),H3464='131-CT'!$E$7),"131",""))</f>
        <v/>
      </c>
      <c r="O3464" s="869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799"/>
    </row>
    <row r="3465" spans="1:27" s="210" customFormat="1" ht="15.75" customHeight="1">
      <c r="A3465" s="203" t="str">
        <f>IF(B3465&lt;&gt;"",IF(AND(B3465&gt;=_TM1,B3465&lt;=_TM2,OR(TH!L3465="1111",TH!M3465="1111")),TH!D3465,""),"")</f>
        <v/>
      </c>
      <c r="B3465" s="36">
        <f t="shared" si="54"/>
        <v>9</v>
      </c>
      <c r="C3465" s="899">
        <f t="shared" si="55"/>
        <v>42257</v>
      </c>
      <c r="D3465" s="900" t="s">
        <v>2013</v>
      </c>
      <c r="E3465" s="900">
        <v>42257</v>
      </c>
      <c r="F3465" s="907" t="s">
        <v>1792</v>
      </c>
      <c r="G3465" s="902" t="s">
        <v>1021</v>
      </c>
      <c r="H3465" s="913" t="s">
        <v>2014</v>
      </c>
      <c r="I3465" s="253">
        <v>2070</v>
      </c>
      <c r="J3465" s="253">
        <v>6343.4166766252574</v>
      </c>
      <c r="K3465" s="904">
        <f t="shared" si="56"/>
        <v>13130873</v>
      </c>
      <c r="L3465" s="869" t="s">
        <v>167</v>
      </c>
      <c r="M3465" s="869" t="s">
        <v>165</v>
      </c>
      <c r="N3465" s="52" t="str">
        <f>IF(AND('331-CT'!$E$7=TH!H3465,OR(L3465="331",M3465="331")),"331",IF(AND(OR(L3465="131",M3465="131"),H3465='131-CT'!$E$7),"131",""))</f>
        <v/>
      </c>
      <c r="O3465" s="869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799"/>
    </row>
    <row r="3466" spans="1:27" s="210" customFormat="1" ht="15.75" customHeight="1">
      <c r="A3466" s="203" t="str">
        <f>IF(B3466&lt;&gt;"",IF(AND(B3466&gt;=_TM1,B3466&lt;=_TM2,OR(TH!L3466="1111",TH!M3466="1111")),TH!D3466,""),"")</f>
        <v/>
      </c>
      <c r="B3466" s="36">
        <f t="shared" si="54"/>
        <v>9</v>
      </c>
      <c r="C3466" s="899">
        <f t="shared" si="55"/>
        <v>42257</v>
      </c>
      <c r="D3466" s="900" t="s">
        <v>2013</v>
      </c>
      <c r="E3466" s="900">
        <v>42257</v>
      </c>
      <c r="F3466" s="907" t="s">
        <v>413</v>
      </c>
      <c r="G3466" s="902" t="s">
        <v>1023</v>
      </c>
      <c r="H3466" s="913" t="s">
        <v>2014</v>
      </c>
      <c r="I3466" s="253">
        <v>401</v>
      </c>
      <c r="J3466" s="253">
        <v>7628.159294675942</v>
      </c>
      <c r="K3466" s="904">
        <f t="shared" si="56"/>
        <v>3058892</v>
      </c>
      <c r="L3466" s="869" t="s">
        <v>167</v>
      </c>
      <c r="M3466" s="869" t="s">
        <v>165</v>
      </c>
      <c r="N3466" s="52" t="str">
        <f>IF(AND('331-CT'!$E$7=TH!H3466,OR(L3466="331",M3466="331")),"331",IF(AND(OR(L3466="131",M3466="131"),H3466='131-CT'!$E$7),"131",""))</f>
        <v/>
      </c>
      <c r="O3466" s="869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799"/>
    </row>
    <row r="3467" spans="1:27" s="210" customFormat="1" ht="15.75" customHeight="1">
      <c r="A3467" s="203" t="str">
        <f>IF(B3467&lt;&gt;"",IF(AND(B3467&gt;=_TM1,B3467&lt;=_TM2,OR(TH!L3467="1111",TH!M3467="1111")),TH!D3467,""),"")</f>
        <v/>
      </c>
      <c r="B3467" s="36">
        <f t="shared" si="54"/>
        <v>9</v>
      </c>
      <c r="C3467" s="899">
        <f t="shared" si="55"/>
        <v>42257</v>
      </c>
      <c r="D3467" s="900" t="s">
        <v>2013</v>
      </c>
      <c r="E3467" s="900">
        <v>42257</v>
      </c>
      <c r="F3467" s="907" t="s">
        <v>1024</v>
      </c>
      <c r="G3467" s="902" t="s">
        <v>1023</v>
      </c>
      <c r="H3467" s="913" t="s">
        <v>2014</v>
      </c>
      <c r="I3467" s="253">
        <v>34</v>
      </c>
      <c r="J3467" s="253">
        <v>6263.1202629970894</v>
      </c>
      <c r="K3467" s="904">
        <f t="shared" si="56"/>
        <v>212946</v>
      </c>
      <c r="L3467" s="869" t="s">
        <v>167</v>
      </c>
      <c r="M3467" s="869" t="s">
        <v>165</v>
      </c>
      <c r="N3467" s="52" t="str">
        <f>IF(AND('331-CT'!$E$7=TH!H3467,OR(L3467="331",M3467="331")),"331",IF(AND(OR(L3467="131",M3467="131"),H3467='131-CT'!$E$7),"131",""))</f>
        <v/>
      </c>
      <c r="O3467" s="869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799"/>
    </row>
    <row r="3468" spans="1:27" s="210" customFormat="1" ht="15.75" customHeight="1">
      <c r="A3468" s="203" t="str">
        <f>IF(B3468&lt;&gt;"",IF(AND(B3468&gt;=_TM1,B3468&lt;=_TM2,OR(TH!L3468="1111",TH!M3468="1111")),TH!D3468,""),"")</f>
        <v/>
      </c>
      <c r="B3468" s="36">
        <f t="shared" si="45"/>
        <v>9</v>
      </c>
      <c r="C3468" s="899">
        <f t="shared" si="47"/>
        <v>42258</v>
      </c>
      <c r="D3468" s="900" t="s">
        <v>2013</v>
      </c>
      <c r="E3468" s="900">
        <v>42258</v>
      </c>
      <c r="F3468" s="907" t="s">
        <v>1011</v>
      </c>
      <c r="G3468" s="902" t="s">
        <v>1025</v>
      </c>
      <c r="H3468" s="913" t="s">
        <v>2014</v>
      </c>
      <c r="I3468" s="253">
        <v>1000</v>
      </c>
      <c r="J3468" s="253">
        <v>11000.60866705899</v>
      </c>
      <c r="K3468" s="904">
        <f t="shared" si="46"/>
        <v>11000609</v>
      </c>
      <c r="L3468" s="869" t="s">
        <v>167</v>
      </c>
      <c r="M3468" s="869" t="s">
        <v>165</v>
      </c>
      <c r="N3468" s="52" t="str">
        <f>IF(AND('331-CT'!$E$7=TH!H3468,OR(L3468="331",M3468="331")),"331",IF(AND(OR(L3468="131",M3468="131"),H3468='131-CT'!$E$7),"131",""))</f>
        <v/>
      </c>
      <c r="O3468" s="869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799"/>
    </row>
    <row r="3469" spans="1:27" s="210" customFormat="1" ht="15.75" customHeight="1">
      <c r="A3469" s="203" t="str">
        <f>IF(B3469&lt;&gt;"",IF(AND(B3469&gt;=_TM1,B3469&lt;=_TM2,OR(TH!L3469="1111",TH!M3469="1111")),TH!D3469,""),"")</f>
        <v/>
      </c>
      <c r="B3469" s="36">
        <f t="shared" si="45"/>
        <v>9</v>
      </c>
      <c r="C3469" s="899">
        <f t="shared" si="47"/>
        <v>42258</v>
      </c>
      <c r="D3469" s="900" t="s">
        <v>2013</v>
      </c>
      <c r="E3469" s="900">
        <v>42258</v>
      </c>
      <c r="F3469" s="907" t="s">
        <v>1702</v>
      </c>
      <c r="G3469" s="902" t="s">
        <v>1026</v>
      </c>
      <c r="H3469" s="913" t="s">
        <v>2014</v>
      </c>
      <c r="I3469" s="253">
        <v>500</v>
      </c>
      <c r="J3469" s="253">
        <v>9956.7552898928079</v>
      </c>
      <c r="K3469" s="904">
        <f t="shared" si="46"/>
        <v>4978378</v>
      </c>
      <c r="L3469" s="869" t="s">
        <v>167</v>
      </c>
      <c r="M3469" s="869" t="s">
        <v>165</v>
      </c>
      <c r="N3469" s="52" t="str">
        <f>IF(AND('331-CT'!$E$7=TH!H3469,OR(L3469="331",M3469="331")),"331",IF(AND(OR(L3469="131",M3469="131"),H3469='131-CT'!$E$7),"131",""))</f>
        <v/>
      </c>
      <c r="O3469" s="869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799"/>
    </row>
    <row r="3470" spans="1:27" s="210" customFormat="1" ht="15.75" customHeight="1">
      <c r="A3470" s="203" t="str">
        <f>IF(B3470&lt;&gt;"",IF(AND(B3470&gt;=_TM1,B3470&lt;=_TM2,OR(TH!L3470="1111",TH!M3470="1111")),TH!D3470,""),"")</f>
        <v/>
      </c>
      <c r="B3470" s="36">
        <f t="shared" si="45"/>
        <v>9</v>
      </c>
      <c r="C3470" s="899">
        <f t="shared" si="47"/>
        <v>42259</v>
      </c>
      <c r="D3470" s="900" t="s">
        <v>2013</v>
      </c>
      <c r="E3470" s="900">
        <v>42259</v>
      </c>
      <c r="F3470" s="907" t="s">
        <v>398</v>
      </c>
      <c r="G3470" s="902" t="s">
        <v>1027</v>
      </c>
      <c r="H3470" s="913" t="s">
        <v>2014</v>
      </c>
      <c r="I3470" s="253">
        <v>931</v>
      </c>
      <c r="J3470" s="253">
        <v>6584.3059175097605</v>
      </c>
      <c r="K3470" s="904">
        <f t="shared" si="46"/>
        <v>6129989</v>
      </c>
      <c r="L3470" s="869" t="s">
        <v>167</v>
      </c>
      <c r="M3470" s="869" t="s">
        <v>165</v>
      </c>
      <c r="N3470" s="52" t="str">
        <f>IF(AND('331-CT'!$E$7=TH!H3470,OR(L3470="331",M3470="331")),"331",IF(AND(OR(L3470="131",M3470="131"),H3470='131-CT'!$E$7),"131",""))</f>
        <v/>
      </c>
      <c r="O3470" s="869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799"/>
    </row>
    <row r="3471" spans="1:27" s="210" customFormat="1" ht="15.75" customHeight="1">
      <c r="A3471" s="203" t="str">
        <f>IF(B3471&lt;&gt;"",IF(AND(B3471&gt;=_TM1,B3471&lt;=_TM2,OR(TH!L3471="1111",TH!M3471="1111")),TH!D3471,""),"")</f>
        <v/>
      </c>
      <c r="B3471" s="36">
        <f t="shared" si="45"/>
        <v>9</v>
      </c>
      <c r="C3471" s="899">
        <f t="shared" si="47"/>
        <v>42259</v>
      </c>
      <c r="D3471" s="900" t="s">
        <v>2013</v>
      </c>
      <c r="E3471" s="900">
        <v>42259</v>
      </c>
      <c r="F3471" s="907" t="s">
        <v>446</v>
      </c>
      <c r="G3471" s="902" t="s">
        <v>1027</v>
      </c>
      <c r="H3471" s="913" t="s">
        <v>2014</v>
      </c>
      <c r="I3471" s="253">
        <v>311</v>
      </c>
      <c r="J3471" s="253">
        <v>7306.9736401632708</v>
      </c>
      <c r="K3471" s="904">
        <f t="shared" si="46"/>
        <v>2272469</v>
      </c>
      <c r="L3471" s="869" t="s">
        <v>167</v>
      </c>
      <c r="M3471" s="869" t="s">
        <v>165</v>
      </c>
      <c r="N3471" s="52" t="str">
        <f>IF(AND('331-CT'!$E$7=TH!H3471,OR(L3471="331",M3471="331")),"331",IF(AND(OR(L3471="131",M3471="131"),H3471='131-CT'!$E$7),"131",""))</f>
        <v/>
      </c>
      <c r="O3471" s="869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799"/>
    </row>
    <row r="3472" spans="1:27" s="210" customFormat="1" ht="15.75" customHeight="1">
      <c r="A3472" s="203" t="str">
        <f>IF(B3472&lt;&gt;"",IF(AND(B3472&gt;=_TM1,B3472&lt;=_TM2,OR(TH!L3472="1111",TH!M3472="1111")),TH!D3472,""),"")</f>
        <v/>
      </c>
      <c r="B3472" s="36">
        <f t="shared" si="45"/>
        <v>9</v>
      </c>
      <c r="C3472" s="899">
        <f t="shared" si="47"/>
        <v>42259</v>
      </c>
      <c r="D3472" s="900" t="s">
        <v>2013</v>
      </c>
      <c r="E3472" s="900">
        <v>42259</v>
      </c>
      <c r="F3472" s="907" t="s">
        <v>401</v>
      </c>
      <c r="G3472" s="902" t="s">
        <v>1027</v>
      </c>
      <c r="H3472" s="913" t="s">
        <v>2014</v>
      </c>
      <c r="I3472" s="253">
        <v>311</v>
      </c>
      <c r="J3472" s="253">
        <v>7788.7521219322771</v>
      </c>
      <c r="K3472" s="904">
        <f t="shared" si="46"/>
        <v>2422302</v>
      </c>
      <c r="L3472" s="869" t="s">
        <v>167</v>
      </c>
      <c r="M3472" s="869" t="s">
        <v>165</v>
      </c>
      <c r="N3472" s="52" t="str">
        <f>IF(AND('331-CT'!$E$7=TH!H3472,OR(L3472="331",M3472="331")),"331",IF(AND(OR(L3472="131",M3472="131"),H3472='131-CT'!$E$7),"131",""))</f>
        <v/>
      </c>
      <c r="O3472" s="869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799"/>
    </row>
    <row r="3473" spans="1:27" s="210" customFormat="1" ht="15.75" customHeight="1">
      <c r="A3473" s="203" t="str">
        <f>IF(B3473&lt;&gt;"",IF(AND(B3473&gt;=_TM1,B3473&lt;=_TM2,OR(TH!L3473="1111",TH!M3473="1111")),TH!D3473,""),"")</f>
        <v/>
      </c>
      <c r="B3473" s="36">
        <f t="shared" si="45"/>
        <v>9</v>
      </c>
      <c r="C3473" s="899">
        <f t="shared" si="47"/>
        <v>42259</v>
      </c>
      <c r="D3473" s="900" t="s">
        <v>2013</v>
      </c>
      <c r="E3473" s="900">
        <v>42259</v>
      </c>
      <c r="F3473" s="907" t="s">
        <v>1948</v>
      </c>
      <c r="G3473" s="902" t="s">
        <v>1028</v>
      </c>
      <c r="H3473" s="913" t="s">
        <v>2014</v>
      </c>
      <c r="I3473" s="253">
        <v>1667</v>
      </c>
      <c r="J3473" s="253">
        <v>9956.7552898928079</v>
      </c>
      <c r="K3473" s="904">
        <f t="shared" si="46"/>
        <v>16597911</v>
      </c>
      <c r="L3473" s="869" t="s">
        <v>167</v>
      </c>
      <c r="M3473" s="869" t="s">
        <v>165</v>
      </c>
      <c r="N3473" s="52" t="str">
        <f>IF(AND('331-CT'!$E$7=TH!H3473,OR(L3473="331",M3473="331")),"331",IF(AND(OR(L3473="131",M3473="131"),H3473='131-CT'!$E$7),"131",""))</f>
        <v/>
      </c>
      <c r="O3473" s="869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799"/>
    </row>
    <row r="3474" spans="1:27" s="210" customFormat="1" ht="15.75" customHeight="1">
      <c r="A3474" s="203" t="str">
        <f>IF(B3474&lt;&gt;"",IF(AND(B3474&gt;=_TM1,B3474&lt;=_TM2,OR(TH!L3474="1111",TH!M3474="1111")),TH!D3474,""),"")</f>
        <v/>
      </c>
      <c r="B3474" s="36">
        <f t="shared" si="45"/>
        <v>9</v>
      </c>
      <c r="C3474" s="899">
        <f t="shared" si="47"/>
        <v>42259</v>
      </c>
      <c r="D3474" s="900" t="s">
        <v>2013</v>
      </c>
      <c r="E3474" s="900">
        <v>42259</v>
      </c>
      <c r="F3474" s="907" t="s">
        <v>1766</v>
      </c>
      <c r="G3474" s="902" t="s">
        <v>1029</v>
      </c>
      <c r="H3474" s="913" t="s">
        <v>2014</v>
      </c>
      <c r="I3474" s="253">
        <v>1500</v>
      </c>
      <c r="J3474" s="253">
        <v>10037.051703520976</v>
      </c>
      <c r="K3474" s="904">
        <f t="shared" si="46"/>
        <v>15055578</v>
      </c>
      <c r="L3474" s="869" t="s">
        <v>167</v>
      </c>
      <c r="M3474" s="869" t="s">
        <v>165</v>
      </c>
      <c r="N3474" s="52" t="str">
        <f>IF(AND('331-CT'!$E$7=TH!H3474,OR(L3474="331",M3474="331")),"331",IF(AND(OR(L3474="131",M3474="131"),H3474='131-CT'!$E$7),"131",""))</f>
        <v/>
      </c>
      <c r="O3474" s="869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799"/>
    </row>
    <row r="3475" spans="1:27" s="210" customFormat="1" ht="15.75" customHeight="1">
      <c r="A3475" s="203" t="str">
        <f>IF(B3475&lt;&gt;"",IF(AND(B3475&gt;=_TM1,B3475&lt;=_TM2,OR(TH!L3475="1111",TH!M3475="1111")),TH!D3475,""),"")</f>
        <v/>
      </c>
      <c r="B3475" s="36">
        <f t="shared" si="45"/>
        <v>9</v>
      </c>
      <c r="C3475" s="899">
        <f t="shared" si="47"/>
        <v>42262</v>
      </c>
      <c r="D3475" s="900" t="s">
        <v>2013</v>
      </c>
      <c r="E3475" s="900">
        <v>42262</v>
      </c>
      <c r="F3475" s="907" t="s">
        <v>1030</v>
      </c>
      <c r="G3475" s="902" t="s">
        <v>1031</v>
      </c>
      <c r="H3475" s="913" t="s">
        <v>2014</v>
      </c>
      <c r="I3475" s="253">
        <v>203</v>
      </c>
      <c r="J3475" s="253">
        <v>12927.722594135019</v>
      </c>
      <c r="K3475" s="904">
        <f t="shared" si="46"/>
        <v>2624328</v>
      </c>
      <c r="L3475" s="869" t="s">
        <v>167</v>
      </c>
      <c r="M3475" s="869" t="s">
        <v>165</v>
      </c>
      <c r="N3475" s="52" t="str">
        <f>IF(AND('331-CT'!$E$7=TH!H3475,OR(L3475="331",M3475="331")),"331",IF(AND(OR(L3475="131",M3475="131"),H3475='131-CT'!$E$7),"131",""))</f>
        <v/>
      </c>
      <c r="O3475" s="869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799"/>
    </row>
    <row r="3476" spans="1:27" s="210" customFormat="1" ht="15.75" customHeight="1">
      <c r="A3476" s="203" t="str">
        <f>IF(B3476&lt;&gt;"",IF(AND(B3476&gt;=_TM1,B3476&lt;=_TM2,OR(TH!L3476="1111",TH!M3476="1111")),TH!D3476,""),"")</f>
        <v/>
      </c>
      <c r="B3476" s="36">
        <f t="shared" si="45"/>
        <v>9</v>
      </c>
      <c r="C3476" s="899">
        <f t="shared" si="47"/>
        <v>42262</v>
      </c>
      <c r="D3476" s="900" t="s">
        <v>2013</v>
      </c>
      <c r="E3476" s="900">
        <v>42262</v>
      </c>
      <c r="F3476" s="907" t="s">
        <v>2010</v>
      </c>
      <c r="G3476" s="902" t="s">
        <v>1032</v>
      </c>
      <c r="H3476" s="913" t="s">
        <v>2014</v>
      </c>
      <c r="I3476" s="253">
        <v>110</v>
      </c>
      <c r="J3476" s="253">
        <v>9394.6803944956337</v>
      </c>
      <c r="K3476" s="904">
        <f t="shared" si="46"/>
        <v>1033415</v>
      </c>
      <c r="L3476" s="869" t="s">
        <v>167</v>
      </c>
      <c r="M3476" s="869" t="s">
        <v>165</v>
      </c>
      <c r="N3476" s="52" t="str">
        <f>IF(AND('331-CT'!$E$7=TH!H3476,OR(L3476="331",M3476="331")),"331",IF(AND(OR(L3476="131",M3476="131"),H3476='131-CT'!$E$7),"131",""))</f>
        <v/>
      </c>
      <c r="O3476" s="869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799"/>
    </row>
    <row r="3477" spans="1:27" s="210" customFormat="1" ht="15.75" customHeight="1">
      <c r="A3477" s="203" t="str">
        <f>IF(B3477&lt;&gt;"",IF(AND(B3477&gt;=_TM1,B3477&lt;=_TM2,OR(TH!L3477="1111",TH!M3477="1111")),TH!D3477,""),"")</f>
        <v/>
      </c>
      <c r="B3477" s="36">
        <f t="shared" si="45"/>
        <v>9</v>
      </c>
      <c r="C3477" s="899">
        <f t="shared" si="47"/>
        <v>42262</v>
      </c>
      <c r="D3477" s="900" t="s">
        <v>2013</v>
      </c>
      <c r="E3477" s="900">
        <v>42262</v>
      </c>
      <c r="F3477" s="907" t="s">
        <v>1948</v>
      </c>
      <c r="G3477" s="902" t="s">
        <v>1032</v>
      </c>
      <c r="H3477" s="913" t="s">
        <v>2014</v>
      </c>
      <c r="I3477" s="253">
        <v>10</v>
      </c>
      <c r="J3477" s="253">
        <v>9956.7552898928079</v>
      </c>
      <c r="K3477" s="904">
        <f t="shared" si="46"/>
        <v>99568</v>
      </c>
      <c r="L3477" s="869" t="s">
        <v>167</v>
      </c>
      <c r="M3477" s="869" t="s">
        <v>165</v>
      </c>
      <c r="N3477" s="52" t="str">
        <f>IF(AND('331-CT'!$E$7=TH!H3477,OR(L3477="331",M3477="331")),"331",IF(AND(OR(L3477="131",M3477="131"),H3477='131-CT'!$E$7),"131",""))</f>
        <v/>
      </c>
      <c r="O3477" s="869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799"/>
    </row>
    <row r="3478" spans="1:27" s="210" customFormat="1" ht="15.75" customHeight="1">
      <c r="A3478" s="203" t="str">
        <f>IF(B3478&lt;&gt;"",IF(AND(B3478&gt;=_TM1,B3478&lt;=_TM2,OR(TH!L3478="1111",TH!M3478="1111")),TH!D3478,""),"")</f>
        <v/>
      </c>
      <c r="B3478" s="36">
        <f t="shared" si="45"/>
        <v>9</v>
      </c>
      <c r="C3478" s="899">
        <f t="shared" si="47"/>
        <v>42262</v>
      </c>
      <c r="D3478" s="900" t="s">
        <v>2013</v>
      </c>
      <c r="E3478" s="900">
        <v>42262</v>
      </c>
      <c r="F3478" s="907" t="s">
        <v>1949</v>
      </c>
      <c r="G3478" s="902" t="s">
        <v>1032</v>
      </c>
      <c r="H3478" s="913" t="s">
        <v>2014</v>
      </c>
      <c r="I3478" s="253">
        <v>10</v>
      </c>
      <c r="J3478" s="253">
        <v>12205.054871481507</v>
      </c>
      <c r="K3478" s="904">
        <f t="shared" si="46"/>
        <v>122051</v>
      </c>
      <c r="L3478" s="869" t="s">
        <v>167</v>
      </c>
      <c r="M3478" s="869" t="s">
        <v>165</v>
      </c>
      <c r="N3478" s="52" t="str">
        <f>IF(AND('331-CT'!$E$7=TH!H3478,OR(L3478="331",M3478="331")),"331",IF(AND(OR(L3478="131",M3478="131"),H3478='131-CT'!$E$7),"131",""))</f>
        <v/>
      </c>
      <c r="O3478" s="869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799"/>
    </row>
    <row r="3479" spans="1:27" s="210" customFormat="1" ht="15.75" customHeight="1">
      <c r="A3479" s="203" t="str">
        <f>IF(B3479&lt;&gt;"",IF(AND(B3479&gt;=_TM1,B3479&lt;=_TM2,OR(TH!L3479="1111",TH!M3479="1111")),TH!D3479,""),"")</f>
        <v/>
      </c>
      <c r="B3479" s="36">
        <f t="shared" si="45"/>
        <v>9</v>
      </c>
      <c r="C3479" s="899">
        <f t="shared" si="47"/>
        <v>42262</v>
      </c>
      <c r="D3479" s="900" t="s">
        <v>2013</v>
      </c>
      <c r="E3479" s="900">
        <v>42262</v>
      </c>
      <c r="F3479" s="907" t="s">
        <v>1950</v>
      </c>
      <c r="G3479" s="902" t="s">
        <v>1032</v>
      </c>
      <c r="H3479" s="913" t="s">
        <v>2014</v>
      </c>
      <c r="I3479" s="253">
        <v>10</v>
      </c>
      <c r="J3479" s="253">
        <v>8752.3090854702914</v>
      </c>
      <c r="K3479" s="904">
        <f t="shared" si="46"/>
        <v>87523</v>
      </c>
      <c r="L3479" s="869" t="s">
        <v>167</v>
      </c>
      <c r="M3479" s="869" t="s">
        <v>165</v>
      </c>
      <c r="N3479" s="52" t="str">
        <f>IF(AND('331-CT'!$E$7=TH!H3479,OR(L3479="331",M3479="331")),"331",IF(AND(OR(L3479="131",M3479="131"),H3479='131-CT'!$E$7),"131",""))</f>
        <v/>
      </c>
      <c r="O3479" s="869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799"/>
    </row>
    <row r="3480" spans="1:27" s="210" customFormat="1" ht="15.75" customHeight="1">
      <c r="A3480" s="203" t="str">
        <f>IF(B3480&lt;&gt;"",IF(AND(B3480&gt;=_TM1,B3480&lt;=_TM2,OR(TH!L3480="1111",TH!M3480="1111")),TH!D3480,""),"")</f>
        <v/>
      </c>
      <c r="B3480" s="36">
        <f t="shared" si="45"/>
        <v>9</v>
      </c>
      <c r="C3480" s="899">
        <f t="shared" si="47"/>
        <v>42262</v>
      </c>
      <c r="D3480" s="900" t="s">
        <v>2013</v>
      </c>
      <c r="E3480" s="900">
        <v>42262</v>
      </c>
      <c r="F3480" s="907" t="s">
        <v>1951</v>
      </c>
      <c r="G3480" s="902" t="s">
        <v>1032</v>
      </c>
      <c r="H3480" s="913" t="s">
        <v>2014</v>
      </c>
      <c r="I3480" s="253">
        <v>10</v>
      </c>
      <c r="J3480" s="253">
        <v>9715.8660490083057</v>
      </c>
      <c r="K3480" s="904">
        <f t="shared" si="46"/>
        <v>97159</v>
      </c>
      <c r="L3480" s="869" t="s">
        <v>167</v>
      </c>
      <c r="M3480" s="869" t="s">
        <v>165</v>
      </c>
      <c r="N3480" s="52" t="str">
        <f>IF(AND('331-CT'!$E$7=TH!H3480,OR(L3480="331",M3480="331")),"331",IF(AND(OR(L3480="131",M3480="131"),H3480='131-CT'!$E$7),"131",""))</f>
        <v/>
      </c>
      <c r="O3480" s="869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799"/>
    </row>
    <row r="3481" spans="1:27" s="210" customFormat="1" ht="15.75" customHeight="1">
      <c r="A3481" s="203" t="str">
        <f>IF(B3481&lt;&gt;"",IF(AND(B3481&gt;=_TM1,B3481&lt;=_TM2,OR(TH!L3481="1111",TH!M3481="1111")),TH!D3481,""),"")</f>
        <v/>
      </c>
      <c r="B3481" s="36">
        <f t="shared" si="45"/>
        <v>9</v>
      </c>
      <c r="C3481" s="899">
        <f t="shared" si="47"/>
        <v>42262</v>
      </c>
      <c r="D3481" s="900" t="s">
        <v>2013</v>
      </c>
      <c r="E3481" s="900">
        <v>42262</v>
      </c>
      <c r="F3481" s="907" t="s">
        <v>1952</v>
      </c>
      <c r="G3481" s="902" t="s">
        <v>1032</v>
      </c>
      <c r="H3481" s="913" t="s">
        <v>2014</v>
      </c>
      <c r="I3481" s="253">
        <v>10</v>
      </c>
      <c r="J3481" s="253">
        <v>10679.42301254632</v>
      </c>
      <c r="K3481" s="904">
        <f t="shared" si="46"/>
        <v>106794</v>
      </c>
      <c r="L3481" s="869" t="s">
        <v>167</v>
      </c>
      <c r="M3481" s="869" t="s">
        <v>165</v>
      </c>
      <c r="N3481" s="52" t="str">
        <f>IF(AND('331-CT'!$E$7=TH!H3481,OR(L3481="331",M3481="331")),"331",IF(AND(OR(L3481="131",M3481="131"),H3481='131-CT'!$E$7),"131",""))</f>
        <v/>
      </c>
      <c r="O3481" s="869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799"/>
    </row>
    <row r="3482" spans="1:27" s="210" customFormat="1" ht="15.75" customHeight="1">
      <c r="A3482" s="203" t="str">
        <f>IF(B3482&lt;&gt;"",IF(AND(B3482&gt;=_TM1,B3482&lt;=_TM2,OR(TH!L3482="1111",TH!M3482="1111")),TH!D3482,""),"")</f>
        <v/>
      </c>
      <c r="B3482" s="36">
        <f t="shared" si="45"/>
        <v>9</v>
      </c>
      <c r="C3482" s="899">
        <f t="shared" si="47"/>
        <v>42262</v>
      </c>
      <c r="D3482" s="900" t="s">
        <v>2013</v>
      </c>
      <c r="E3482" s="900">
        <v>42262</v>
      </c>
      <c r="F3482" s="907" t="s">
        <v>2011</v>
      </c>
      <c r="G3482" s="902" t="s">
        <v>1032</v>
      </c>
      <c r="H3482" s="913" t="s">
        <v>2014</v>
      </c>
      <c r="I3482" s="253">
        <v>10</v>
      </c>
      <c r="J3482" s="253">
        <v>16781.950448287073</v>
      </c>
      <c r="K3482" s="904">
        <f t="shared" si="46"/>
        <v>167820</v>
      </c>
      <c r="L3482" s="869" t="s">
        <v>167</v>
      </c>
      <c r="M3482" s="869" t="s">
        <v>165</v>
      </c>
      <c r="N3482" s="52" t="str">
        <f>IF(AND('331-CT'!$E$7=TH!H3482,OR(L3482="331",M3482="331")),"331",IF(AND(OR(L3482="131",M3482="131"),H3482='131-CT'!$E$7),"131",""))</f>
        <v/>
      </c>
      <c r="O3482" s="869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799"/>
    </row>
    <row r="3483" spans="1:27" s="210" customFormat="1" ht="15.75" customHeight="1">
      <c r="A3483" s="203" t="str">
        <f>IF(B3483&lt;&gt;"",IF(AND(B3483&gt;=_TM1,B3483&lt;=_TM2,OR(TH!L3483="1111",TH!M3483="1111")),TH!D3483,""),"")</f>
        <v/>
      </c>
      <c r="B3483" s="36">
        <f t="shared" si="45"/>
        <v>9</v>
      </c>
      <c r="C3483" s="899">
        <f t="shared" si="47"/>
        <v>42263</v>
      </c>
      <c r="D3483" s="900" t="s">
        <v>2013</v>
      </c>
      <c r="E3483" s="900">
        <v>42263</v>
      </c>
      <c r="F3483" s="907" t="s">
        <v>713</v>
      </c>
      <c r="G3483" s="902" t="s">
        <v>1033</v>
      </c>
      <c r="H3483" s="913" t="s">
        <v>2014</v>
      </c>
      <c r="I3483" s="253">
        <v>500</v>
      </c>
      <c r="J3483" s="253">
        <v>8591.7162582139572</v>
      </c>
      <c r="K3483" s="904">
        <f t="shared" si="46"/>
        <v>4295858</v>
      </c>
      <c r="L3483" s="869" t="s">
        <v>167</v>
      </c>
      <c r="M3483" s="869" t="s">
        <v>165</v>
      </c>
      <c r="N3483" s="52" t="str">
        <f>IF(AND('331-CT'!$E$7=TH!H3483,OR(L3483="331",M3483="331")),"331",IF(AND(OR(L3483="131",M3483="131"),H3483='131-CT'!$E$7),"131",""))</f>
        <v/>
      </c>
      <c r="O3483" s="869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799"/>
    </row>
    <row r="3484" spans="1:27" s="210" customFormat="1" ht="15.75" customHeight="1">
      <c r="A3484" s="203" t="str">
        <f>IF(B3484&lt;&gt;"",IF(AND(B3484&gt;=_TM1,B3484&lt;=_TM2,OR(TH!L3484="1111",TH!M3484="1111")),TH!D3484,""),"")</f>
        <v/>
      </c>
      <c r="B3484" s="36">
        <f t="shared" si="45"/>
        <v>9</v>
      </c>
      <c r="C3484" s="899">
        <f t="shared" si="47"/>
        <v>42263</v>
      </c>
      <c r="D3484" s="900" t="s">
        <v>2013</v>
      </c>
      <c r="E3484" s="900">
        <v>42263</v>
      </c>
      <c r="F3484" s="907" t="s">
        <v>1034</v>
      </c>
      <c r="G3484" s="902" t="s">
        <v>1033</v>
      </c>
      <c r="H3484" s="913" t="s">
        <v>2014</v>
      </c>
      <c r="I3484" s="253">
        <v>500</v>
      </c>
      <c r="J3484" s="253">
        <v>9635.5696353801377</v>
      </c>
      <c r="K3484" s="904">
        <f t="shared" si="46"/>
        <v>4817785</v>
      </c>
      <c r="L3484" s="869" t="s">
        <v>167</v>
      </c>
      <c r="M3484" s="869" t="s">
        <v>165</v>
      </c>
      <c r="N3484" s="52" t="str">
        <f>IF(AND('331-CT'!$E$7=TH!H3484,OR(L3484="331",M3484="331")),"331",IF(AND(OR(L3484="131",M3484="131"),H3484='131-CT'!$E$7),"131",""))</f>
        <v/>
      </c>
      <c r="O3484" s="869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799"/>
    </row>
    <row r="3485" spans="1:27" s="210" customFormat="1" ht="15.75" customHeight="1">
      <c r="A3485" s="203" t="str">
        <f>IF(B3485&lt;&gt;"",IF(AND(B3485&gt;=_TM1,B3485&lt;=_TM2,OR(TH!L3485="1111",TH!M3485="1111")),TH!D3485,""),"")</f>
        <v/>
      </c>
      <c r="B3485" s="36">
        <f t="shared" si="45"/>
        <v>9</v>
      </c>
      <c r="C3485" s="899">
        <f t="shared" si="47"/>
        <v>42263</v>
      </c>
      <c r="D3485" s="900" t="s">
        <v>2013</v>
      </c>
      <c r="E3485" s="900">
        <v>42263</v>
      </c>
      <c r="F3485" s="907" t="s">
        <v>1731</v>
      </c>
      <c r="G3485" s="902" t="s">
        <v>1035</v>
      </c>
      <c r="H3485" s="913" t="s">
        <v>2014</v>
      </c>
      <c r="I3485" s="253">
        <v>1000</v>
      </c>
      <c r="J3485" s="253">
        <v>1365.0390316788528</v>
      </c>
      <c r="K3485" s="904">
        <f t="shared" si="46"/>
        <v>1365039</v>
      </c>
      <c r="L3485" s="869" t="s">
        <v>167</v>
      </c>
      <c r="M3485" s="869" t="s">
        <v>165</v>
      </c>
      <c r="N3485" s="52" t="str">
        <f>IF(AND('331-CT'!$E$7=TH!H3485,OR(L3485="331",M3485="331")),"331",IF(AND(OR(L3485="131",M3485="131"),H3485='131-CT'!$E$7),"131",""))</f>
        <v/>
      </c>
      <c r="O3485" s="869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799"/>
    </row>
    <row r="3486" spans="1:27" s="210" customFormat="1" ht="15.75" customHeight="1">
      <c r="A3486" s="203" t="str">
        <f>IF(B3486&lt;&gt;"",IF(AND(B3486&gt;=_TM1,B3486&lt;=_TM2,OR(TH!L3486="1111",TH!M3486="1111")),TH!D3486,""),"")</f>
        <v/>
      </c>
      <c r="B3486" s="36">
        <f t="shared" si="45"/>
        <v>9</v>
      </c>
      <c r="C3486" s="899">
        <f t="shared" si="47"/>
        <v>42263</v>
      </c>
      <c r="D3486" s="900" t="s">
        <v>2013</v>
      </c>
      <c r="E3486" s="900">
        <v>42263</v>
      </c>
      <c r="F3486" s="907" t="s">
        <v>1793</v>
      </c>
      <c r="G3486" s="902" t="s">
        <v>1035</v>
      </c>
      <c r="H3486" s="913" t="s">
        <v>2014</v>
      </c>
      <c r="I3486" s="253">
        <v>1000</v>
      </c>
      <c r="J3486" s="253">
        <v>1284.742618050685</v>
      </c>
      <c r="K3486" s="904">
        <f t="shared" si="46"/>
        <v>1284743</v>
      </c>
      <c r="L3486" s="869" t="s">
        <v>167</v>
      </c>
      <c r="M3486" s="869" t="s">
        <v>165</v>
      </c>
      <c r="N3486" s="52" t="str">
        <f>IF(AND('331-CT'!$E$7=TH!H3486,OR(L3486="331",M3486="331")),"331",IF(AND(OR(L3486="131",M3486="131"),H3486='131-CT'!$E$7),"131",""))</f>
        <v/>
      </c>
      <c r="O3486" s="869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799"/>
    </row>
    <row r="3487" spans="1:27" s="210" customFormat="1" ht="15.75" customHeight="1">
      <c r="A3487" s="203" t="str">
        <f>IF(B3487&lt;&gt;"",IF(AND(B3487&gt;=_TM1,B3487&lt;=_TM2,OR(TH!L3487="1111",TH!M3487="1111")),TH!D3487,""),"")</f>
        <v/>
      </c>
      <c r="B3487" s="36">
        <f t="shared" si="45"/>
        <v>9</v>
      </c>
      <c r="C3487" s="899">
        <f t="shared" si="47"/>
        <v>42263</v>
      </c>
      <c r="D3487" s="900" t="s">
        <v>2013</v>
      </c>
      <c r="E3487" s="900">
        <v>42263</v>
      </c>
      <c r="F3487" s="907" t="s">
        <v>1794</v>
      </c>
      <c r="G3487" s="902" t="s">
        <v>1035</v>
      </c>
      <c r="H3487" s="913" t="s">
        <v>2014</v>
      </c>
      <c r="I3487" s="253">
        <v>500</v>
      </c>
      <c r="J3487" s="253">
        <v>3773.931440523887</v>
      </c>
      <c r="K3487" s="904">
        <f t="shared" si="46"/>
        <v>1886966</v>
      </c>
      <c r="L3487" s="869" t="s">
        <v>167</v>
      </c>
      <c r="M3487" s="869" t="s">
        <v>165</v>
      </c>
      <c r="N3487" s="52" t="str">
        <f>IF(AND('331-CT'!$E$7=TH!H3487,OR(L3487="331",M3487="331")),"331",IF(AND(OR(L3487="131",M3487="131"),H3487='131-CT'!$E$7),"131",""))</f>
        <v/>
      </c>
      <c r="O3487" s="869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799"/>
    </row>
    <row r="3488" spans="1:27" s="210" customFormat="1" ht="15.75" customHeight="1">
      <c r="A3488" s="203" t="str">
        <f>IF(B3488&lt;&gt;"",IF(AND(B3488&gt;=_TM1,B3488&lt;=_TM2,OR(TH!L3488="1111",TH!M3488="1111")),TH!D3488,""),"")</f>
        <v/>
      </c>
      <c r="B3488" s="36">
        <f t="shared" si="45"/>
        <v>9</v>
      </c>
      <c r="C3488" s="899">
        <f t="shared" si="47"/>
        <v>42263</v>
      </c>
      <c r="D3488" s="900" t="s">
        <v>2013</v>
      </c>
      <c r="E3488" s="900">
        <v>42263</v>
      </c>
      <c r="F3488" s="907" t="s">
        <v>1795</v>
      </c>
      <c r="G3488" s="902" t="s">
        <v>1035</v>
      </c>
      <c r="H3488" s="913" t="s">
        <v>2014</v>
      </c>
      <c r="I3488" s="253">
        <v>500</v>
      </c>
      <c r="J3488" s="253">
        <v>2810.3744769858731</v>
      </c>
      <c r="K3488" s="904">
        <f t="shared" si="46"/>
        <v>1405187</v>
      </c>
      <c r="L3488" s="869" t="s">
        <v>167</v>
      </c>
      <c r="M3488" s="869" t="s">
        <v>165</v>
      </c>
      <c r="N3488" s="52" t="str">
        <f>IF(AND('331-CT'!$E$7=TH!H3488,OR(L3488="331",M3488="331")),"331",IF(AND(OR(L3488="131",M3488="131"),H3488='131-CT'!$E$7),"131",""))</f>
        <v/>
      </c>
      <c r="O3488" s="869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799"/>
    </row>
    <row r="3489" spans="1:27" s="210" customFormat="1" ht="15.75" customHeight="1">
      <c r="A3489" s="203" t="str">
        <f>IF(B3489&lt;&gt;"",IF(AND(B3489&gt;=_TM1,B3489&lt;=_TM2,OR(TH!L3489="1111",TH!M3489="1111")),TH!D3489,""),"")</f>
        <v/>
      </c>
      <c r="B3489" s="36">
        <f t="shared" si="45"/>
        <v>9</v>
      </c>
      <c r="C3489" s="899">
        <f t="shared" si="47"/>
        <v>42265</v>
      </c>
      <c r="D3489" s="900" t="s">
        <v>2013</v>
      </c>
      <c r="E3489" s="900">
        <v>42265</v>
      </c>
      <c r="F3489" s="907" t="s">
        <v>1140</v>
      </c>
      <c r="G3489" s="902" t="s">
        <v>1036</v>
      </c>
      <c r="H3489" s="913" t="s">
        <v>2014</v>
      </c>
      <c r="I3489" s="253">
        <v>810</v>
      </c>
      <c r="J3489" s="253">
        <v>9153.7911536111296</v>
      </c>
      <c r="K3489" s="904">
        <f t="shared" si="46"/>
        <v>7414571</v>
      </c>
      <c r="L3489" s="869" t="s">
        <v>167</v>
      </c>
      <c r="M3489" s="869" t="s">
        <v>165</v>
      </c>
      <c r="N3489" s="52" t="str">
        <f>IF(AND('331-CT'!$E$7=TH!H3489,OR(L3489="331",M3489="331")),"331",IF(AND(OR(L3489="131",M3489="131"),H3489='131-CT'!$E$7),"131",""))</f>
        <v/>
      </c>
      <c r="O3489" s="869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799"/>
    </row>
    <row r="3490" spans="1:27" s="210" customFormat="1" ht="15.75" customHeight="1">
      <c r="A3490" s="203" t="str">
        <f>IF(B3490&lt;&gt;"",IF(AND(B3490&gt;=_TM1,B3490&lt;=_TM2,OR(TH!L3490="1111",TH!M3490="1111")),TH!D3490,""),"")</f>
        <v/>
      </c>
      <c r="B3490" s="36">
        <f t="shared" si="45"/>
        <v>9</v>
      </c>
      <c r="C3490" s="899">
        <f t="shared" si="47"/>
        <v>42265</v>
      </c>
      <c r="D3490" s="900" t="s">
        <v>2013</v>
      </c>
      <c r="E3490" s="900">
        <v>42265</v>
      </c>
      <c r="F3490" s="907" t="s">
        <v>1140</v>
      </c>
      <c r="G3490" s="902" t="s">
        <v>1036</v>
      </c>
      <c r="H3490" s="913" t="s">
        <v>2014</v>
      </c>
      <c r="I3490" s="253">
        <v>50</v>
      </c>
      <c r="J3490" s="253">
        <v>9153.7911536111296</v>
      </c>
      <c r="K3490" s="904">
        <f t="shared" si="46"/>
        <v>457690</v>
      </c>
      <c r="L3490" s="869" t="s">
        <v>167</v>
      </c>
      <c r="M3490" s="869" t="s">
        <v>165</v>
      </c>
      <c r="N3490" s="52" t="str">
        <f>IF(AND('331-CT'!$E$7=TH!H3490,OR(L3490="331",M3490="331")),"331",IF(AND(OR(L3490="131",M3490="131"),H3490='131-CT'!$E$7),"131",""))</f>
        <v/>
      </c>
      <c r="O3490" s="869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799"/>
    </row>
    <row r="3491" spans="1:27" s="210" customFormat="1" ht="15.75" customHeight="1">
      <c r="A3491" s="203" t="str">
        <f>IF(B3491&lt;&gt;"",IF(AND(B3491&gt;=_TM1,B3491&lt;=_TM2,OR(TH!L3491="1111",TH!M3491="1111")),TH!D3491,""),"")</f>
        <v/>
      </c>
      <c r="B3491" s="36">
        <f t="shared" si="45"/>
        <v>9</v>
      </c>
      <c r="C3491" s="899">
        <f t="shared" si="47"/>
        <v>42265</v>
      </c>
      <c r="D3491" s="900" t="s">
        <v>2013</v>
      </c>
      <c r="E3491" s="900">
        <v>42265</v>
      </c>
      <c r="F3491" s="907" t="s">
        <v>1654</v>
      </c>
      <c r="G3491" s="902" t="s">
        <v>1036</v>
      </c>
      <c r="H3491" s="913" t="s">
        <v>2014</v>
      </c>
      <c r="I3491" s="253">
        <v>1720</v>
      </c>
      <c r="J3491" s="253">
        <v>802.96413628167818</v>
      </c>
      <c r="K3491" s="904">
        <f t="shared" si="46"/>
        <v>1381098</v>
      </c>
      <c r="L3491" s="869" t="s">
        <v>167</v>
      </c>
      <c r="M3491" s="869" t="s">
        <v>165</v>
      </c>
      <c r="N3491" s="52" t="str">
        <f>IF(AND('331-CT'!$E$7=TH!H3491,OR(L3491="331",M3491="331")),"331",IF(AND(OR(L3491="131",M3491="131"),H3491='131-CT'!$E$7),"131",""))</f>
        <v/>
      </c>
      <c r="O3491" s="869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799"/>
    </row>
    <row r="3492" spans="1:27" s="210" customFormat="1" ht="15.75" customHeight="1">
      <c r="A3492" s="203" t="str">
        <f>IF(B3492&lt;&gt;"",IF(AND(B3492&gt;=_TM1,B3492&lt;=_TM2,OR(TH!L3492="1111",TH!M3492="1111")),TH!D3492,""),"")</f>
        <v/>
      </c>
      <c r="B3492" s="36">
        <f t="shared" si="45"/>
        <v>9</v>
      </c>
      <c r="C3492" s="899">
        <f t="shared" si="47"/>
        <v>42266</v>
      </c>
      <c r="D3492" s="900" t="s">
        <v>2013</v>
      </c>
      <c r="E3492" s="900">
        <v>42266</v>
      </c>
      <c r="F3492" s="907" t="s">
        <v>1791</v>
      </c>
      <c r="G3492" s="902" t="s">
        <v>1037</v>
      </c>
      <c r="H3492" s="913" t="s">
        <v>2014</v>
      </c>
      <c r="I3492" s="253">
        <v>210</v>
      </c>
      <c r="J3492" s="253">
        <v>22322.402988630649</v>
      </c>
      <c r="K3492" s="904">
        <f t="shared" si="46"/>
        <v>4687705</v>
      </c>
      <c r="L3492" s="869" t="s">
        <v>167</v>
      </c>
      <c r="M3492" s="869" t="s">
        <v>165</v>
      </c>
      <c r="N3492" s="52" t="str">
        <f>IF(AND('331-CT'!$E$7=TH!H3492,OR(L3492="331",M3492="331")),"331",IF(AND(OR(L3492="131",M3492="131"),H3492='131-CT'!$E$7),"131",""))</f>
        <v/>
      </c>
      <c r="O3492" s="869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799"/>
    </row>
    <row r="3493" spans="1:27" s="210" customFormat="1" ht="15.75" customHeight="1">
      <c r="A3493" s="203" t="str">
        <f>IF(B3493&lt;&gt;"",IF(AND(B3493&gt;=_TM1,B3493&lt;=_TM2,OR(TH!L3493="1111",TH!M3493="1111")),TH!D3493,""),"")</f>
        <v/>
      </c>
      <c r="B3493" s="36">
        <f t="shared" si="45"/>
        <v>9</v>
      </c>
      <c r="C3493" s="899">
        <f t="shared" si="47"/>
        <v>42266</v>
      </c>
      <c r="D3493" s="900" t="s">
        <v>2013</v>
      </c>
      <c r="E3493" s="900">
        <v>42266</v>
      </c>
      <c r="F3493" s="907" t="s">
        <v>451</v>
      </c>
      <c r="G3493" s="902" t="s">
        <v>1038</v>
      </c>
      <c r="H3493" s="913" t="s">
        <v>2014</v>
      </c>
      <c r="I3493" s="253">
        <v>304</v>
      </c>
      <c r="J3493" s="253">
        <v>10759.719426174488</v>
      </c>
      <c r="K3493" s="904">
        <f t="shared" si="46"/>
        <v>3270955</v>
      </c>
      <c r="L3493" s="869" t="s">
        <v>167</v>
      </c>
      <c r="M3493" s="869" t="s">
        <v>165</v>
      </c>
      <c r="N3493" s="52" t="str">
        <f>IF(AND('331-CT'!$E$7=TH!H3493,OR(L3493="331",M3493="331")),"331",IF(AND(OR(L3493="131",M3493="131"),H3493='131-CT'!$E$7),"131",""))</f>
        <v/>
      </c>
      <c r="O3493" s="869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799"/>
    </row>
    <row r="3494" spans="1:27" s="210" customFormat="1" ht="15.75" customHeight="1">
      <c r="A3494" s="203" t="str">
        <f>IF(B3494&lt;&gt;"",IF(AND(B3494&gt;=_TM1,B3494&lt;=_TM2,OR(TH!L3494="1111",TH!M3494="1111")),TH!D3494,""),"")</f>
        <v/>
      </c>
      <c r="B3494" s="36">
        <f t="shared" si="45"/>
        <v>9</v>
      </c>
      <c r="C3494" s="899">
        <f t="shared" si="47"/>
        <v>42266</v>
      </c>
      <c r="D3494" s="900" t="s">
        <v>2013</v>
      </c>
      <c r="E3494" s="900">
        <v>42266</v>
      </c>
      <c r="F3494" s="907" t="s">
        <v>539</v>
      </c>
      <c r="G3494" s="902" t="s">
        <v>1038</v>
      </c>
      <c r="H3494" s="913" t="s">
        <v>2014</v>
      </c>
      <c r="I3494" s="253">
        <v>203</v>
      </c>
      <c r="J3494" s="253">
        <v>7547.862881047774</v>
      </c>
      <c r="K3494" s="904">
        <f t="shared" si="46"/>
        <v>1532216</v>
      </c>
      <c r="L3494" s="869" t="s">
        <v>167</v>
      </c>
      <c r="M3494" s="869" t="s">
        <v>165</v>
      </c>
      <c r="N3494" s="52" t="str">
        <f>IF(AND('331-CT'!$E$7=TH!H3494,OR(L3494="331",M3494="331")),"331",IF(AND(OR(L3494="131",M3494="131"),H3494='131-CT'!$E$7),"131",""))</f>
        <v/>
      </c>
      <c r="O3494" s="869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799"/>
    </row>
    <row r="3495" spans="1:27" s="210" customFormat="1" ht="15.75" customHeight="1">
      <c r="A3495" s="203" t="str">
        <f>IF(B3495&lt;&gt;"",IF(AND(B3495&gt;=_TM1,B3495&lt;=_TM2,OR(TH!L3495="1111",TH!M3495="1111")),TH!D3495,""),"")</f>
        <v/>
      </c>
      <c r="B3495" s="36">
        <f t="shared" si="45"/>
        <v>9</v>
      </c>
      <c r="C3495" s="899">
        <f t="shared" si="47"/>
        <v>42268</v>
      </c>
      <c r="D3495" s="900" t="s">
        <v>2013</v>
      </c>
      <c r="E3495" s="900">
        <v>42268</v>
      </c>
      <c r="F3495" s="907" t="s">
        <v>760</v>
      </c>
      <c r="G3495" s="902" t="s">
        <v>1039</v>
      </c>
      <c r="H3495" s="913" t="s">
        <v>2014</v>
      </c>
      <c r="I3495" s="253">
        <v>496</v>
      </c>
      <c r="J3495" s="253">
        <v>7788.7521219322771</v>
      </c>
      <c r="K3495" s="904">
        <f t="shared" si="46"/>
        <v>3863221</v>
      </c>
      <c r="L3495" s="869" t="s">
        <v>167</v>
      </c>
      <c r="M3495" s="869" t="s">
        <v>165</v>
      </c>
      <c r="N3495" s="52" t="str">
        <f>IF(AND('331-CT'!$E$7=TH!H3495,OR(L3495="331",M3495="331")),"331",IF(AND(OR(L3495="131",M3495="131"),H3495='131-CT'!$E$7),"131",""))</f>
        <v/>
      </c>
      <c r="O3495" s="869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799"/>
    </row>
    <row r="3496" spans="1:27" s="210" customFormat="1" ht="15.75" customHeight="1">
      <c r="A3496" s="203" t="str">
        <f>IF(B3496&lt;&gt;"",IF(AND(B3496&gt;=_TM1,B3496&lt;=_TM2,OR(TH!L3496="1111",TH!M3496="1111")),TH!D3496,""),"")</f>
        <v/>
      </c>
      <c r="B3496" s="36">
        <f t="shared" si="45"/>
        <v>9</v>
      </c>
      <c r="C3496" s="899">
        <f t="shared" si="47"/>
        <v>42268</v>
      </c>
      <c r="D3496" s="900" t="s">
        <v>2013</v>
      </c>
      <c r="E3496" s="900">
        <v>42268</v>
      </c>
      <c r="F3496" s="907" t="s">
        <v>2010</v>
      </c>
      <c r="G3496" s="902" t="s">
        <v>1040</v>
      </c>
      <c r="H3496" s="913" t="s">
        <v>2014</v>
      </c>
      <c r="I3496" s="253">
        <v>50</v>
      </c>
      <c r="J3496" s="253">
        <v>9394.6803944956337</v>
      </c>
      <c r="K3496" s="904">
        <f t="shared" si="46"/>
        <v>469734</v>
      </c>
      <c r="L3496" s="869" t="s">
        <v>167</v>
      </c>
      <c r="M3496" s="869" t="s">
        <v>165</v>
      </c>
      <c r="N3496" s="52" t="str">
        <f>IF(AND('331-CT'!$E$7=TH!H3496,OR(L3496="331",M3496="331")),"331",IF(AND(OR(L3496="131",M3496="131"),H3496='131-CT'!$E$7),"131",""))</f>
        <v/>
      </c>
      <c r="O3496" s="869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799"/>
    </row>
    <row r="3497" spans="1:27" s="210" customFormat="1" ht="15.75" customHeight="1">
      <c r="A3497" s="203" t="str">
        <f>IF(B3497&lt;&gt;"",IF(AND(B3497&gt;=_TM1,B3497&lt;=_TM2,OR(TH!L3497="1111",TH!M3497="1111")),TH!D3497,""),"")</f>
        <v/>
      </c>
      <c r="B3497" s="36">
        <f t="shared" ref="B3497:B3884" si="60">IF(C3497&lt;&gt;"",MONTH(C3497),"")</f>
        <v>9</v>
      </c>
      <c r="C3497" s="899">
        <f t="shared" si="47"/>
        <v>42268</v>
      </c>
      <c r="D3497" s="900" t="s">
        <v>2013</v>
      </c>
      <c r="E3497" s="900">
        <v>42268</v>
      </c>
      <c r="F3497" s="907" t="s">
        <v>1950</v>
      </c>
      <c r="G3497" s="902" t="s">
        <v>1040</v>
      </c>
      <c r="H3497" s="913" t="s">
        <v>2014</v>
      </c>
      <c r="I3497" s="253">
        <v>50</v>
      </c>
      <c r="J3497" s="253">
        <v>8752.3090854702914</v>
      </c>
      <c r="K3497" s="904">
        <f t="shared" si="46"/>
        <v>437615</v>
      </c>
      <c r="L3497" s="869" t="s">
        <v>167</v>
      </c>
      <c r="M3497" s="869" t="s">
        <v>165</v>
      </c>
      <c r="N3497" s="52" t="str">
        <f>IF(AND('331-CT'!$E$7=TH!H3497,OR(L3497="331",M3497="331")),"331",IF(AND(OR(L3497="131",M3497="131"),H3497='131-CT'!$E$7),"131",""))</f>
        <v/>
      </c>
      <c r="O3497" s="869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799"/>
    </row>
    <row r="3498" spans="1:27" s="210" customFormat="1" ht="15.75" customHeight="1">
      <c r="A3498" s="203" t="str">
        <f>IF(B3498&lt;&gt;"",IF(AND(B3498&gt;=_TM1,B3498&lt;=_TM2,OR(TH!L3498="1111",TH!M3498="1111")),TH!D3498,""),"")</f>
        <v/>
      </c>
      <c r="B3498" s="36">
        <f t="shared" si="60"/>
        <v>9</v>
      </c>
      <c r="C3498" s="899">
        <f t="shared" si="47"/>
        <v>42268</v>
      </c>
      <c r="D3498" s="900" t="s">
        <v>2013</v>
      </c>
      <c r="E3498" s="900">
        <v>42268</v>
      </c>
      <c r="F3498" s="907" t="s">
        <v>1951</v>
      </c>
      <c r="G3498" s="902" t="s">
        <v>1040</v>
      </c>
      <c r="H3498" s="913" t="s">
        <v>2014</v>
      </c>
      <c r="I3498" s="253">
        <v>50</v>
      </c>
      <c r="J3498" s="253">
        <v>9715.8660490083057</v>
      </c>
      <c r="K3498" s="904">
        <f t="shared" si="46"/>
        <v>485793</v>
      </c>
      <c r="L3498" s="869" t="s">
        <v>167</v>
      </c>
      <c r="M3498" s="869" t="s">
        <v>165</v>
      </c>
      <c r="N3498" s="52" t="str">
        <f>IF(AND('331-CT'!$E$7=TH!H3498,OR(L3498="331",M3498="331")),"331",IF(AND(OR(L3498="131",M3498="131"),H3498='131-CT'!$E$7),"131",""))</f>
        <v/>
      </c>
      <c r="O3498" s="869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799"/>
    </row>
    <row r="3499" spans="1:27" s="210" customFormat="1" ht="15.75" customHeight="1">
      <c r="A3499" s="203" t="str">
        <f>IF(B3499&lt;&gt;"",IF(AND(B3499&gt;=_TM1,B3499&lt;=_TM2,OR(TH!L3499="1111",TH!M3499="1111")),TH!D3499,""),"")</f>
        <v/>
      </c>
      <c r="B3499" s="36">
        <f t="shared" si="60"/>
        <v>9</v>
      </c>
      <c r="C3499" s="899">
        <f t="shared" si="47"/>
        <v>42268</v>
      </c>
      <c r="D3499" s="900" t="s">
        <v>2013</v>
      </c>
      <c r="E3499" s="900">
        <v>42268</v>
      </c>
      <c r="F3499" s="907" t="s">
        <v>1766</v>
      </c>
      <c r="G3499" s="902" t="s">
        <v>1041</v>
      </c>
      <c r="H3499" s="913" t="s">
        <v>2014</v>
      </c>
      <c r="I3499" s="253">
        <v>1000</v>
      </c>
      <c r="J3499" s="253">
        <v>10037.051703520976</v>
      </c>
      <c r="K3499" s="904">
        <f t="shared" si="46"/>
        <v>10037052</v>
      </c>
      <c r="L3499" s="869" t="s">
        <v>167</v>
      </c>
      <c r="M3499" s="869" t="s">
        <v>165</v>
      </c>
      <c r="N3499" s="52" t="str">
        <f>IF(AND('331-CT'!$E$7=TH!H3499,OR(L3499="331",M3499="331")),"331",IF(AND(OR(L3499="131",M3499="131"),H3499='131-CT'!$E$7),"131",""))</f>
        <v/>
      </c>
      <c r="O3499" s="869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799"/>
    </row>
    <row r="3500" spans="1:27" s="210" customFormat="1" ht="15.75" customHeight="1">
      <c r="A3500" s="203" t="str">
        <f>IF(B3500&lt;&gt;"",IF(AND(B3500&gt;=_TM1,B3500&lt;=_TM2,OR(TH!L3500="1111",TH!M3500="1111")),TH!D3500,""),"")</f>
        <v/>
      </c>
      <c r="B3500" s="36">
        <f t="shared" si="60"/>
        <v>9</v>
      </c>
      <c r="C3500" s="899">
        <f t="shared" si="47"/>
        <v>42268</v>
      </c>
      <c r="D3500" s="900" t="s">
        <v>2013</v>
      </c>
      <c r="E3500" s="900">
        <v>42268</v>
      </c>
      <c r="F3500" s="907" t="s">
        <v>1749</v>
      </c>
      <c r="G3500" s="902" t="s">
        <v>1041</v>
      </c>
      <c r="H3500" s="913" t="s">
        <v>2014</v>
      </c>
      <c r="I3500" s="253">
        <v>355</v>
      </c>
      <c r="J3500" s="253">
        <v>14854.836521211046</v>
      </c>
      <c r="K3500" s="904">
        <f t="shared" si="46"/>
        <v>5273467</v>
      </c>
      <c r="L3500" s="869" t="s">
        <v>167</v>
      </c>
      <c r="M3500" s="869" t="s">
        <v>165</v>
      </c>
      <c r="N3500" s="52" t="str">
        <f>IF(AND('331-CT'!$E$7=TH!H3500,OR(L3500="331",M3500="331")),"331",IF(AND(OR(L3500="131",M3500="131"),H3500='131-CT'!$E$7),"131",""))</f>
        <v/>
      </c>
      <c r="O3500" s="869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799"/>
    </row>
    <row r="3501" spans="1:27" s="210" customFormat="1" ht="15.75" customHeight="1">
      <c r="A3501" s="203" t="str">
        <f>IF(B3501&lt;&gt;"",IF(AND(B3501&gt;=_TM1,B3501&lt;=_TM2,OR(TH!L3501="1111",TH!M3501="1111")),TH!D3501,""),"")</f>
        <v/>
      </c>
      <c r="B3501" s="36">
        <f t="shared" si="60"/>
        <v>9</v>
      </c>
      <c r="C3501" s="899">
        <f t="shared" si="47"/>
        <v>42268</v>
      </c>
      <c r="D3501" s="900" t="s">
        <v>2013</v>
      </c>
      <c r="E3501" s="900">
        <v>42268</v>
      </c>
      <c r="F3501" s="907" t="s">
        <v>567</v>
      </c>
      <c r="G3501" s="902" t="s">
        <v>1042</v>
      </c>
      <c r="H3501" s="913" t="s">
        <v>2014</v>
      </c>
      <c r="I3501" s="253">
        <v>21</v>
      </c>
      <c r="J3501" s="253">
        <v>41031.467363993754</v>
      </c>
      <c r="K3501" s="904">
        <f t="shared" si="46"/>
        <v>861661</v>
      </c>
      <c r="L3501" s="869" t="s">
        <v>167</v>
      </c>
      <c r="M3501" s="869" t="s">
        <v>165</v>
      </c>
      <c r="N3501" s="52" t="str">
        <f>IF(AND('331-CT'!$E$7=TH!H3501,OR(L3501="331",M3501="331")),"331",IF(AND(OR(L3501="131",M3501="131"),H3501='131-CT'!$E$7),"131",""))</f>
        <v/>
      </c>
      <c r="O3501" s="869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799"/>
    </row>
    <row r="3502" spans="1:27" s="210" customFormat="1" ht="15.75" customHeight="1">
      <c r="A3502" s="203" t="str">
        <f>IF(B3502&lt;&gt;"",IF(AND(B3502&gt;=_TM1,B3502&lt;=_TM2,OR(TH!L3502="1111",TH!M3502="1111")),TH!D3502,""),"")</f>
        <v/>
      </c>
      <c r="B3502" s="36">
        <f t="shared" si="60"/>
        <v>9</v>
      </c>
      <c r="C3502" s="899">
        <f t="shared" si="47"/>
        <v>42268</v>
      </c>
      <c r="D3502" s="900" t="s">
        <v>2013</v>
      </c>
      <c r="E3502" s="900">
        <v>42268</v>
      </c>
      <c r="F3502" s="907" t="s">
        <v>1043</v>
      </c>
      <c r="G3502" s="902" t="s">
        <v>1044</v>
      </c>
      <c r="H3502" s="913" t="s">
        <v>2014</v>
      </c>
      <c r="I3502" s="253">
        <v>50</v>
      </c>
      <c r="J3502" s="253">
        <v>19993.806993413786</v>
      </c>
      <c r="K3502" s="904">
        <f t="shared" si="46"/>
        <v>999690</v>
      </c>
      <c r="L3502" s="869" t="s">
        <v>167</v>
      </c>
      <c r="M3502" s="869" t="s">
        <v>165</v>
      </c>
      <c r="N3502" s="52" t="str">
        <f>IF(AND('331-CT'!$E$7=TH!H3502,OR(L3502="331",M3502="331")),"331",IF(AND(OR(L3502="131",M3502="131"),H3502='131-CT'!$E$7),"131",""))</f>
        <v/>
      </c>
      <c r="O3502" s="869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799"/>
    </row>
    <row r="3503" spans="1:27" s="210" customFormat="1" ht="15.75" customHeight="1">
      <c r="A3503" s="203" t="str">
        <f>IF(B3503&lt;&gt;"",IF(AND(B3503&gt;=_TM1,B3503&lt;=_TM2,OR(TH!L3503="1111",TH!M3503="1111")),TH!D3503,""),"")</f>
        <v/>
      </c>
      <c r="B3503" s="36">
        <f t="shared" si="60"/>
        <v>9</v>
      </c>
      <c r="C3503" s="899">
        <f t="shared" si="47"/>
        <v>42268</v>
      </c>
      <c r="D3503" s="900" t="s">
        <v>2013</v>
      </c>
      <c r="E3503" s="900">
        <v>42268</v>
      </c>
      <c r="F3503" s="907" t="s">
        <v>1045</v>
      </c>
      <c r="G3503" s="902" t="s">
        <v>1044</v>
      </c>
      <c r="H3503" s="913" t="s">
        <v>2014</v>
      </c>
      <c r="I3503" s="253">
        <v>50</v>
      </c>
      <c r="J3503" s="253">
        <v>26497.816497295375</v>
      </c>
      <c r="K3503" s="904">
        <f t="shared" si="46"/>
        <v>1324891</v>
      </c>
      <c r="L3503" s="869" t="s">
        <v>167</v>
      </c>
      <c r="M3503" s="869" t="s">
        <v>165</v>
      </c>
      <c r="N3503" s="52" t="str">
        <f>IF(AND('331-CT'!$E$7=TH!H3503,OR(L3503="331",M3503="331")),"331",IF(AND(OR(L3503="131",M3503="131"),H3503='131-CT'!$E$7),"131",""))</f>
        <v/>
      </c>
      <c r="O3503" s="869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799"/>
    </row>
    <row r="3504" spans="1:27" s="210" customFormat="1" ht="15.75" customHeight="1">
      <c r="A3504" s="203" t="str">
        <f>IF(B3504&lt;&gt;"",IF(AND(B3504&gt;=_TM1,B3504&lt;=_TM2,OR(TH!L3504="1111",TH!M3504="1111")),TH!D3504,""),"")</f>
        <v/>
      </c>
      <c r="B3504" s="36">
        <f t="shared" si="60"/>
        <v>9</v>
      </c>
      <c r="C3504" s="899">
        <f t="shared" si="47"/>
        <v>42268</v>
      </c>
      <c r="D3504" s="900" t="s">
        <v>2013</v>
      </c>
      <c r="E3504" s="900">
        <v>42268</v>
      </c>
      <c r="F3504" s="907" t="s">
        <v>1046</v>
      </c>
      <c r="G3504" s="902" t="s">
        <v>1044</v>
      </c>
      <c r="H3504" s="913" t="s">
        <v>2014</v>
      </c>
      <c r="I3504" s="253">
        <v>20</v>
      </c>
      <c r="J3504" s="253">
        <v>10920.312253430822</v>
      </c>
      <c r="K3504" s="904">
        <f t="shared" si="46"/>
        <v>218406</v>
      </c>
      <c r="L3504" s="869" t="s">
        <v>167</v>
      </c>
      <c r="M3504" s="869" t="s">
        <v>165</v>
      </c>
      <c r="N3504" s="52" t="str">
        <f>IF(AND('331-CT'!$E$7=TH!H3504,OR(L3504="331",M3504="331")),"331",IF(AND(OR(L3504="131",M3504="131"),H3504='131-CT'!$E$7),"131",""))</f>
        <v/>
      </c>
      <c r="O3504" s="869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799"/>
    </row>
    <row r="3505" spans="1:27" s="210" customFormat="1" ht="15.75" customHeight="1">
      <c r="A3505" s="203" t="str">
        <f>IF(B3505&lt;&gt;"",IF(AND(B3505&gt;=_TM1,B3505&lt;=_TM2,OR(TH!L3505="1111",TH!M3505="1111")),TH!D3505,""),"")</f>
        <v/>
      </c>
      <c r="B3505" s="36">
        <f t="shared" si="60"/>
        <v>9</v>
      </c>
      <c r="C3505" s="899">
        <f t="shared" si="47"/>
        <v>42268</v>
      </c>
      <c r="D3505" s="900" t="s">
        <v>2013</v>
      </c>
      <c r="E3505" s="900">
        <v>42268</v>
      </c>
      <c r="F3505" s="907" t="s">
        <v>1956</v>
      </c>
      <c r="G3505" s="902" t="s">
        <v>1047</v>
      </c>
      <c r="H3505" s="913" t="s">
        <v>2014</v>
      </c>
      <c r="I3505" s="253">
        <v>3200</v>
      </c>
      <c r="J3505" s="253">
        <v>3131.5601314985447</v>
      </c>
      <c r="K3505" s="904">
        <f t="shared" si="46"/>
        <v>10020992</v>
      </c>
      <c r="L3505" s="869" t="s">
        <v>167</v>
      </c>
      <c r="M3505" s="869" t="s">
        <v>165</v>
      </c>
      <c r="N3505" s="52" t="str">
        <f>IF(AND('331-CT'!$E$7=TH!H3505,OR(L3505="331",M3505="331")),"331",IF(AND(OR(L3505="131",M3505="131"),H3505='131-CT'!$E$7),"131",""))</f>
        <v/>
      </c>
      <c r="O3505" s="869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799"/>
    </row>
    <row r="3506" spans="1:27" s="210" customFormat="1" ht="15.75" customHeight="1">
      <c r="A3506" s="203" t="str">
        <f>IF(B3506&lt;&gt;"",IF(AND(B3506&gt;=_TM1,B3506&lt;=_TM2,OR(TH!L3506="1111",TH!M3506="1111")),TH!D3506,""),"")</f>
        <v/>
      </c>
      <c r="B3506" s="36">
        <f t="shared" si="60"/>
        <v>9</v>
      </c>
      <c r="C3506" s="899">
        <f t="shared" si="47"/>
        <v>42269</v>
      </c>
      <c r="D3506" s="900" t="s">
        <v>2013</v>
      </c>
      <c r="E3506" s="900">
        <v>42269</v>
      </c>
      <c r="F3506" s="907" t="s">
        <v>999</v>
      </c>
      <c r="G3506" s="902" t="s">
        <v>1048</v>
      </c>
      <c r="H3506" s="913" t="s">
        <v>2014</v>
      </c>
      <c r="I3506" s="253">
        <v>300</v>
      </c>
      <c r="J3506" s="253">
        <v>6022.2310221125863</v>
      </c>
      <c r="K3506" s="904">
        <f t="shared" si="46"/>
        <v>1806669</v>
      </c>
      <c r="L3506" s="869" t="s">
        <v>167</v>
      </c>
      <c r="M3506" s="869" t="s">
        <v>165</v>
      </c>
      <c r="N3506" s="52" t="str">
        <f>IF(AND('331-CT'!$E$7=TH!H3506,OR(L3506="331",M3506="331")),"331",IF(AND(OR(L3506="131",M3506="131"),H3506='131-CT'!$E$7),"131",""))</f>
        <v/>
      </c>
      <c r="O3506" s="869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799"/>
    </row>
    <row r="3507" spans="1:27" s="210" customFormat="1" ht="15.75" customHeight="1">
      <c r="A3507" s="203" t="str">
        <f>IF(B3507&lt;&gt;"",IF(AND(B3507&gt;=_TM1,B3507&lt;=_TM2,OR(TH!L3507="1111",TH!M3507="1111")),TH!D3507,""),"")</f>
        <v/>
      </c>
      <c r="B3507" s="36">
        <f t="shared" si="60"/>
        <v>9</v>
      </c>
      <c r="C3507" s="899">
        <f t="shared" si="47"/>
        <v>42270</v>
      </c>
      <c r="D3507" s="900" t="s">
        <v>2013</v>
      </c>
      <c r="E3507" s="900">
        <v>42270</v>
      </c>
      <c r="F3507" s="907" t="s">
        <v>1049</v>
      </c>
      <c r="G3507" s="902" t="s">
        <v>1050</v>
      </c>
      <c r="H3507" s="913" t="s">
        <v>2014</v>
      </c>
      <c r="I3507" s="253">
        <v>555</v>
      </c>
      <c r="J3507" s="253">
        <v>8109.9377764449491</v>
      </c>
      <c r="K3507" s="904">
        <f t="shared" si="46"/>
        <v>4501015</v>
      </c>
      <c r="L3507" s="869" t="s">
        <v>167</v>
      </c>
      <c r="M3507" s="869" t="s">
        <v>165</v>
      </c>
      <c r="N3507" s="52" t="str">
        <f>IF(AND('331-CT'!$E$7=TH!H3507,OR(L3507="331",M3507="331")),"331",IF(AND(OR(L3507="131",M3507="131"),H3507='131-CT'!$E$7),"131",""))</f>
        <v/>
      </c>
      <c r="O3507" s="869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799"/>
    </row>
    <row r="3508" spans="1:27" s="210" customFormat="1" ht="15.75" customHeight="1">
      <c r="A3508" s="203" t="str">
        <f>IF(B3508&lt;&gt;"",IF(AND(B3508&gt;=_TM1,B3508&lt;=_TM2,OR(TH!L3508="1111",TH!M3508="1111")),TH!D3508,""),"")</f>
        <v/>
      </c>
      <c r="B3508" s="36">
        <f t="shared" si="60"/>
        <v>9</v>
      </c>
      <c r="C3508" s="899">
        <f t="shared" si="47"/>
        <v>42270</v>
      </c>
      <c r="D3508" s="900" t="s">
        <v>2013</v>
      </c>
      <c r="E3508" s="900">
        <v>42270</v>
      </c>
      <c r="F3508" s="907" t="s">
        <v>1052</v>
      </c>
      <c r="G3508" s="902" t="s">
        <v>1053</v>
      </c>
      <c r="H3508" s="913" t="s">
        <v>2014</v>
      </c>
      <c r="I3508" s="253">
        <v>1097</v>
      </c>
      <c r="J3508" s="253">
        <v>5701.0453675999142</v>
      </c>
      <c r="K3508" s="904">
        <f t="shared" si="46"/>
        <v>6254047</v>
      </c>
      <c r="L3508" s="869" t="s">
        <v>167</v>
      </c>
      <c r="M3508" s="869" t="s">
        <v>165</v>
      </c>
      <c r="N3508" s="52" t="str">
        <f>IF(AND('331-CT'!$E$7=TH!H3508,OR(L3508="331",M3508="331")),"331",IF(AND(OR(L3508="131",M3508="131"),H3508='131-CT'!$E$7),"131",""))</f>
        <v/>
      </c>
      <c r="O3508" s="869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799"/>
    </row>
    <row r="3509" spans="1:27" s="210" customFormat="1" ht="15.75" customHeight="1">
      <c r="A3509" s="203" t="str">
        <f>IF(B3509&lt;&gt;"",IF(AND(B3509&gt;=_TM1,B3509&lt;=_TM2,OR(TH!L3509="1111",TH!M3509="1111")),TH!D3509,""),"")</f>
        <v/>
      </c>
      <c r="B3509" s="36">
        <f t="shared" si="60"/>
        <v>9</v>
      </c>
      <c r="C3509" s="899">
        <f t="shared" si="47"/>
        <v>42275</v>
      </c>
      <c r="D3509" s="900" t="s">
        <v>2013</v>
      </c>
      <c r="E3509" s="900">
        <v>42275</v>
      </c>
      <c r="F3509" s="907" t="s">
        <v>1948</v>
      </c>
      <c r="G3509" s="902" t="s">
        <v>1054</v>
      </c>
      <c r="H3509" s="913" t="s">
        <v>2014</v>
      </c>
      <c r="I3509" s="253">
        <v>44</v>
      </c>
      <c r="J3509" s="253">
        <v>9956.7552898928079</v>
      </c>
      <c r="K3509" s="904">
        <f t="shared" si="46"/>
        <v>438097</v>
      </c>
      <c r="L3509" s="869" t="s">
        <v>167</v>
      </c>
      <c r="M3509" s="869" t="s">
        <v>165</v>
      </c>
      <c r="N3509" s="52" t="str">
        <f>IF(AND('331-CT'!$E$7=TH!H3509,OR(L3509="331",M3509="331")),"331",IF(AND(OR(L3509="131",M3509="131"),H3509='131-CT'!$E$7),"131",""))</f>
        <v/>
      </c>
      <c r="O3509" s="869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799"/>
    </row>
    <row r="3510" spans="1:27" s="210" customFormat="1" ht="15.75" customHeight="1">
      <c r="A3510" s="203" t="str">
        <f>IF(B3510&lt;&gt;"",IF(AND(B3510&gt;=_TM1,B3510&lt;=_TM2,OR(TH!L3510="1111",TH!M3510="1111")),TH!D3510,""),"")</f>
        <v/>
      </c>
      <c r="B3510" s="36">
        <f t="shared" si="60"/>
        <v>9</v>
      </c>
      <c r="C3510" s="899">
        <f t="shared" si="47"/>
        <v>42275</v>
      </c>
      <c r="D3510" s="900" t="s">
        <v>2013</v>
      </c>
      <c r="E3510" s="900">
        <v>42275</v>
      </c>
      <c r="F3510" s="907" t="s">
        <v>2009</v>
      </c>
      <c r="G3510" s="902" t="s">
        <v>1054</v>
      </c>
      <c r="H3510" s="913" t="s">
        <v>2014</v>
      </c>
      <c r="I3510" s="253">
        <v>44</v>
      </c>
      <c r="J3510" s="253">
        <v>8190.2341900731171</v>
      </c>
      <c r="K3510" s="904">
        <f t="shared" si="46"/>
        <v>360370</v>
      </c>
      <c r="L3510" s="869" t="s">
        <v>167</v>
      </c>
      <c r="M3510" s="869" t="s">
        <v>165</v>
      </c>
      <c r="N3510" s="52" t="str">
        <f>IF(AND('331-CT'!$E$7=TH!H3510,OR(L3510="331",M3510="331")),"331",IF(AND(OR(L3510="131",M3510="131"),H3510='131-CT'!$E$7),"131",""))</f>
        <v/>
      </c>
      <c r="O3510" s="869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799"/>
    </row>
    <row r="3511" spans="1:27" s="210" customFormat="1" ht="15.75" customHeight="1">
      <c r="A3511" s="203" t="str">
        <f>IF(B3511&lt;&gt;"",IF(AND(B3511&gt;=_TM1,B3511&lt;=_TM2,OR(TH!L3511="1111",TH!M3511="1111")),TH!D3511,""),"")</f>
        <v/>
      </c>
      <c r="B3511" s="36">
        <f t="shared" si="60"/>
        <v>9</v>
      </c>
      <c r="C3511" s="899">
        <f t="shared" si="47"/>
        <v>42275</v>
      </c>
      <c r="D3511" s="900" t="s">
        <v>2013</v>
      </c>
      <c r="E3511" s="900">
        <v>42275</v>
      </c>
      <c r="F3511" s="907" t="s">
        <v>1949</v>
      </c>
      <c r="G3511" s="902" t="s">
        <v>1054</v>
      </c>
      <c r="H3511" s="913" t="s">
        <v>2014</v>
      </c>
      <c r="I3511" s="253">
        <v>44</v>
      </c>
      <c r="J3511" s="253">
        <v>12205.054871481507</v>
      </c>
      <c r="K3511" s="904">
        <f t="shared" si="46"/>
        <v>537022</v>
      </c>
      <c r="L3511" s="869" t="s">
        <v>167</v>
      </c>
      <c r="M3511" s="869" t="s">
        <v>165</v>
      </c>
      <c r="N3511" s="52" t="str">
        <f>IF(AND('331-CT'!$E$7=TH!H3511,OR(L3511="331",M3511="331")),"331",IF(AND(OR(L3511="131",M3511="131"),H3511='131-CT'!$E$7),"131",""))</f>
        <v/>
      </c>
      <c r="O3511" s="869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799"/>
    </row>
    <row r="3512" spans="1:27" s="210" customFormat="1" ht="15.75" customHeight="1">
      <c r="A3512" s="203" t="str">
        <f>IF(B3512&lt;&gt;"",IF(AND(B3512&gt;=_TM1,B3512&lt;=_TM2,OR(TH!L3512="1111",TH!M3512="1111")),TH!D3512,""),"")</f>
        <v/>
      </c>
      <c r="B3512" s="36">
        <f t="shared" si="60"/>
        <v>9</v>
      </c>
      <c r="C3512" s="899">
        <f t="shared" si="47"/>
        <v>42276</v>
      </c>
      <c r="D3512" s="900" t="s">
        <v>2013</v>
      </c>
      <c r="E3512" s="900">
        <v>42276</v>
      </c>
      <c r="F3512" s="907" t="s">
        <v>494</v>
      </c>
      <c r="G3512" s="902" t="s">
        <v>1055</v>
      </c>
      <c r="H3512" s="913" t="s">
        <v>2014</v>
      </c>
      <c r="I3512" s="253">
        <v>1018</v>
      </c>
      <c r="J3512" s="253">
        <v>5460.1561267154111</v>
      </c>
      <c r="K3512" s="904">
        <f t="shared" ref="K3512:K3884" si="61">ROUND(I3512*J3512,0)</f>
        <v>5558439</v>
      </c>
      <c r="L3512" s="869" t="s">
        <v>167</v>
      </c>
      <c r="M3512" s="869" t="s">
        <v>165</v>
      </c>
      <c r="N3512" s="52" t="str">
        <f>IF(AND('331-CT'!$E$7=TH!H3512,OR(L3512="331",M3512="331")),"331",IF(AND(OR(L3512="131",M3512="131"),H3512='131-CT'!$E$7),"131",""))</f>
        <v/>
      </c>
      <c r="O3512" s="869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799"/>
    </row>
    <row r="3513" spans="1:27" s="210" customFormat="1" ht="15.75" customHeight="1">
      <c r="A3513" s="203" t="str">
        <f>IF(B3513&lt;&gt;"",IF(AND(B3513&gt;=_TM1,B3513&lt;=_TM2,OR(TH!L3513="1111",TH!M3513="1111")),TH!D3513,""),"")</f>
        <v/>
      </c>
      <c r="B3513" s="36">
        <f t="shared" si="60"/>
        <v>9</v>
      </c>
      <c r="C3513" s="899">
        <f t="shared" si="47"/>
        <v>42276</v>
      </c>
      <c r="D3513" s="900" t="s">
        <v>2013</v>
      </c>
      <c r="E3513" s="900">
        <v>42276</v>
      </c>
      <c r="F3513" s="907" t="s">
        <v>682</v>
      </c>
      <c r="G3513" s="902" t="s">
        <v>1055</v>
      </c>
      <c r="H3513" s="913" t="s">
        <v>2014</v>
      </c>
      <c r="I3513" s="253">
        <v>400</v>
      </c>
      <c r="J3513" s="253">
        <v>4255.7099222928946</v>
      </c>
      <c r="K3513" s="904">
        <f t="shared" si="61"/>
        <v>1702284</v>
      </c>
      <c r="L3513" s="869" t="s">
        <v>167</v>
      </c>
      <c r="M3513" s="869" t="s">
        <v>165</v>
      </c>
      <c r="N3513" s="52" t="str">
        <f>IF(AND('331-CT'!$E$7=TH!H3513,OR(L3513="331",M3513="331")),"331",IF(AND(OR(L3513="131",M3513="131"),H3513='131-CT'!$E$7),"131",""))</f>
        <v/>
      </c>
      <c r="O3513" s="869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799"/>
    </row>
    <row r="3514" spans="1:27" s="210" customFormat="1" ht="15.75" customHeight="1">
      <c r="A3514" s="203" t="str">
        <f>IF(B3514&lt;&gt;"",IF(AND(B3514&gt;=_TM1,B3514&lt;=_TM2,OR(TH!L3514="1111",TH!M3514="1111")),TH!D3514,""),"")</f>
        <v/>
      </c>
      <c r="B3514" s="36">
        <f t="shared" si="60"/>
        <v>9</v>
      </c>
      <c r="C3514" s="899">
        <f t="shared" si="47"/>
        <v>42276</v>
      </c>
      <c r="D3514" s="900" t="s">
        <v>2013</v>
      </c>
      <c r="E3514" s="900">
        <v>42276</v>
      </c>
      <c r="F3514" s="907" t="s">
        <v>398</v>
      </c>
      <c r="G3514" s="902" t="s">
        <v>1056</v>
      </c>
      <c r="H3514" s="913" t="s">
        <v>2014</v>
      </c>
      <c r="I3514" s="253">
        <v>1270</v>
      </c>
      <c r="J3514" s="253">
        <v>6584.3059175097605</v>
      </c>
      <c r="K3514" s="904">
        <f t="shared" si="61"/>
        <v>8362069</v>
      </c>
      <c r="L3514" s="869" t="s">
        <v>167</v>
      </c>
      <c r="M3514" s="869" t="s">
        <v>165</v>
      </c>
      <c r="N3514" s="52" t="str">
        <f>IF(AND('331-CT'!$E$7=TH!H3514,OR(L3514="331",M3514="331")),"331",IF(AND(OR(L3514="131",M3514="131"),H3514='131-CT'!$E$7),"131",""))</f>
        <v/>
      </c>
      <c r="O3514" s="869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799"/>
    </row>
    <row r="3515" spans="1:27" s="210" customFormat="1" ht="15.75" customHeight="1">
      <c r="A3515" s="203" t="str">
        <f>IF(B3515&lt;&gt;"",IF(AND(B3515&gt;=_TM1,B3515&lt;=_TM2,OR(TH!L3515="1111",TH!M3515="1111")),TH!D3515,""),"")</f>
        <v/>
      </c>
      <c r="B3515" s="36">
        <f t="shared" si="60"/>
        <v>9</v>
      </c>
      <c r="C3515" s="899">
        <f t="shared" si="47"/>
        <v>42276</v>
      </c>
      <c r="D3515" s="900" t="s">
        <v>2013</v>
      </c>
      <c r="E3515" s="900">
        <v>42276</v>
      </c>
      <c r="F3515" s="907" t="s">
        <v>536</v>
      </c>
      <c r="G3515" s="902" t="s">
        <v>1056</v>
      </c>
      <c r="H3515" s="913" t="s">
        <v>2014</v>
      </c>
      <c r="I3515" s="253">
        <v>320</v>
      </c>
      <c r="J3515" s="253">
        <v>15416.91141660822</v>
      </c>
      <c r="K3515" s="904">
        <f t="shared" si="61"/>
        <v>4933412</v>
      </c>
      <c r="L3515" s="869" t="s">
        <v>167</v>
      </c>
      <c r="M3515" s="869" t="s">
        <v>165</v>
      </c>
      <c r="N3515" s="52" t="str">
        <f>IF(AND('331-CT'!$E$7=TH!H3515,OR(L3515="331",M3515="331")),"331",IF(AND(OR(L3515="131",M3515="131"),H3515='131-CT'!$E$7),"131",""))</f>
        <v/>
      </c>
      <c r="O3515" s="869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799"/>
    </row>
    <row r="3516" spans="1:27" s="210" customFormat="1" ht="15.75" customHeight="1">
      <c r="A3516" s="203" t="str">
        <f>IF(B3516&lt;&gt;"",IF(AND(B3516&gt;=_TM1,B3516&lt;=_TM2,OR(TH!L3516="1111",TH!M3516="1111")),TH!D3516,""),"")</f>
        <v/>
      </c>
      <c r="B3516" s="36">
        <f t="shared" si="60"/>
        <v>9</v>
      </c>
      <c r="C3516" s="899">
        <f t="shared" si="47"/>
        <v>42277</v>
      </c>
      <c r="D3516" s="900" t="s">
        <v>2013</v>
      </c>
      <c r="E3516" s="900">
        <v>42277</v>
      </c>
      <c r="F3516" s="907" t="s">
        <v>454</v>
      </c>
      <c r="G3516" s="902" t="s">
        <v>1057</v>
      </c>
      <c r="H3516" s="913" t="s">
        <v>2014</v>
      </c>
      <c r="I3516" s="253">
        <v>268</v>
      </c>
      <c r="J3516" s="253">
        <v>58214.899880421661</v>
      </c>
      <c r="K3516" s="904">
        <f t="shared" si="61"/>
        <v>15601593</v>
      </c>
      <c r="L3516" s="869" t="s">
        <v>167</v>
      </c>
      <c r="M3516" s="869" t="s">
        <v>165</v>
      </c>
      <c r="N3516" s="52" t="str">
        <f>IF(AND('331-CT'!$E$7=TH!H3516,OR(L3516="331",M3516="331")),"331",IF(AND(OR(L3516="131",M3516="131"),H3516='131-CT'!$E$7),"131",""))</f>
        <v/>
      </c>
      <c r="O3516" s="869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799"/>
    </row>
    <row r="3517" spans="1:27" s="210" customFormat="1" ht="15.75" customHeight="1">
      <c r="A3517" s="203" t="str">
        <f>IF(B3517&lt;&gt;"",IF(AND(B3517&gt;=_TM1,B3517&lt;=_TM2,OR(TH!L3517="1111",TH!M3517="1111")),TH!D3517,""),"")</f>
        <v/>
      </c>
      <c r="B3517" s="36">
        <f t="shared" si="60"/>
        <v>9</v>
      </c>
      <c r="C3517" s="899">
        <f t="shared" si="47"/>
        <v>42277</v>
      </c>
      <c r="D3517" s="900" t="s">
        <v>2013</v>
      </c>
      <c r="E3517" s="900">
        <v>42277</v>
      </c>
      <c r="F3517" s="907" t="s">
        <v>1049</v>
      </c>
      <c r="G3517" s="902" t="s">
        <v>1058</v>
      </c>
      <c r="H3517" s="913" t="s">
        <v>2014</v>
      </c>
      <c r="I3517" s="253">
        <v>514</v>
      </c>
      <c r="J3517" s="253">
        <v>8109.9377764449491</v>
      </c>
      <c r="K3517" s="904">
        <f t="shared" si="61"/>
        <v>4168508</v>
      </c>
      <c r="L3517" s="869" t="s">
        <v>167</v>
      </c>
      <c r="M3517" s="869" t="s">
        <v>165</v>
      </c>
      <c r="N3517" s="52" t="str">
        <f>IF(AND('331-CT'!$E$7=TH!H3517,OR(L3517="331",M3517="331")),"331",IF(AND(OR(L3517="131",M3517="131"),H3517='131-CT'!$E$7),"131",""))</f>
        <v/>
      </c>
      <c r="O3517" s="869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799"/>
    </row>
    <row r="3518" spans="1:27" s="210" customFormat="1" ht="15.75" customHeight="1">
      <c r="A3518" s="203" t="str">
        <f>IF(B3518&lt;&gt;"",IF(AND(B3518&gt;=_TM1,B3518&lt;=_TM2,OR(TH!L3518="1111",TH!M3518="1111")),TH!D3518,""),"")</f>
        <v/>
      </c>
      <c r="B3518" s="36">
        <f t="shared" si="60"/>
        <v>9</v>
      </c>
      <c r="C3518" s="899">
        <f t="shared" si="47"/>
        <v>42277</v>
      </c>
      <c r="D3518" s="900" t="s">
        <v>2013</v>
      </c>
      <c r="E3518" s="900">
        <v>42277</v>
      </c>
      <c r="F3518" s="907" t="s">
        <v>1060</v>
      </c>
      <c r="G3518" s="902" t="s">
        <v>1058</v>
      </c>
      <c r="H3518" s="913" t="s">
        <v>2014</v>
      </c>
      <c r="I3518" s="253">
        <v>497</v>
      </c>
      <c r="J3518" s="253">
        <v>9474.9768081238017</v>
      </c>
      <c r="K3518" s="904">
        <f t="shared" si="61"/>
        <v>4709063</v>
      </c>
      <c r="L3518" s="869" t="s">
        <v>167</v>
      </c>
      <c r="M3518" s="869" t="s">
        <v>165</v>
      </c>
      <c r="N3518" s="52" t="str">
        <f>IF(AND('331-CT'!$E$7=TH!H3518,OR(L3518="331",M3518="331")),"331",IF(AND(OR(L3518="131",M3518="131"),H3518='131-CT'!$E$7),"131",""))</f>
        <v/>
      </c>
      <c r="O3518" s="869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799"/>
    </row>
    <row r="3519" spans="1:27" s="210" customFormat="1" ht="15.75" customHeight="1">
      <c r="A3519" s="203" t="str">
        <f>IF(B3519&lt;&gt;"",IF(AND(B3519&gt;=_TM1,B3519&lt;=_TM2,OR(TH!L3519="1111",TH!M3519="1111")),TH!D3519,""),"")</f>
        <v/>
      </c>
      <c r="B3519" s="36">
        <f t="shared" si="60"/>
        <v>9</v>
      </c>
      <c r="C3519" s="899">
        <f t="shared" si="47"/>
        <v>42277</v>
      </c>
      <c r="D3519" s="900" t="s">
        <v>2013</v>
      </c>
      <c r="E3519" s="900">
        <v>42277</v>
      </c>
      <c r="F3519" s="907" t="s">
        <v>1061</v>
      </c>
      <c r="G3519" s="902" t="s">
        <v>1058</v>
      </c>
      <c r="H3519" s="913" t="s">
        <v>2014</v>
      </c>
      <c r="I3519" s="253">
        <v>500</v>
      </c>
      <c r="J3519" s="253">
        <v>8190.2341900731171</v>
      </c>
      <c r="K3519" s="904">
        <f t="shared" si="61"/>
        <v>4095117</v>
      </c>
      <c r="L3519" s="869" t="s">
        <v>167</v>
      </c>
      <c r="M3519" s="869" t="s">
        <v>165</v>
      </c>
      <c r="N3519" s="52" t="str">
        <f>IF(AND('331-CT'!$E$7=TH!H3519,OR(L3519="331",M3519="331")),"331",IF(AND(OR(L3519="131",M3519="131"),H3519='131-CT'!$E$7),"131",""))</f>
        <v/>
      </c>
      <c r="O3519" s="869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799"/>
    </row>
    <row r="3520" spans="1:27" s="210" customFormat="1" ht="15.75" customHeight="1">
      <c r="A3520" s="203" t="str">
        <f>IF(B3520&lt;&gt;"",IF(AND(B3520&gt;=_TM1,B3520&lt;=_TM2,OR(TH!L3520="1111",TH!M3520="1111")),TH!D3520,""),"")</f>
        <v/>
      </c>
      <c r="B3520" s="36">
        <f t="shared" si="60"/>
        <v>9</v>
      </c>
      <c r="C3520" s="899">
        <f t="shared" si="47"/>
        <v>42277</v>
      </c>
      <c r="D3520" s="900" t="s">
        <v>2013</v>
      </c>
      <c r="E3520" s="900">
        <v>42277</v>
      </c>
      <c r="F3520" s="907" t="s">
        <v>1062</v>
      </c>
      <c r="G3520" s="902" t="s">
        <v>1063</v>
      </c>
      <c r="H3520" s="913" t="s">
        <v>2014</v>
      </c>
      <c r="I3520" s="253">
        <v>1000</v>
      </c>
      <c r="J3520" s="253">
        <v>5701.0453675999142</v>
      </c>
      <c r="K3520" s="904">
        <f t="shared" si="61"/>
        <v>5701045</v>
      </c>
      <c r="L3520" s="869" t="s">
        <v>167</v>
      </c>
      <c r="M3520" s="869" t="s">
        <v>165</v>
      </c>
      <c r="N3520" s="52" t="str">
        <f>IF(AND('331-CT'!$E$7=TH!H3520,OR(L3520="331",M3520="331")),"331",IF(AND(OR(L3520="131",M3520="131"),H3520='131-CT'!$E$7),"131",""))</f>
        <v/>
      </c>
      <c r="O3520" s="869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799"/>
    </row>
    <row r="3521" spans="1:27" s="836" customFormat="1" ht="15.75" customHeight="1">
      <c r="A3521" s="884" t="str">
        <f>IF(B3521&lt;&gt;"",IF(AND(B3521&gt;=_TM1,B3521&lt;=_TM2,OR(TH!L3521="1111",TH!M3521="1111")),TH!D3521,""),"")</f>
        <v/>
      </c>
      <c r="B3521" s="826">
        <f t="shared" si="60"/>
        <v>10</v>
      </c>
      <c r="C3521" s="827">
        <f t="shared" ref="C3521:C3688" si="62">E3521</f>
        <v>42278</v>
      </c>
      <c r="D3521" s="828" t="s">
        <v>2013</v>
      </c>
      <c r="E3521" s="828">
        <v>42278</v>
      </c>
      <c r="F3521" s="829" t="s">
        <v>1948</v>
      </c>
      <c r="G3521" s="830" t="s">
        <v>1065</v>
      </c>
      <c r="H3521" s="838" t="s">
        <v>2014</v>
      </c>
      <c r="I3521" s="832">
        <v>20</v>
      </c>
      <c r="J3521" s="832">
        <v>9246.5105112078254</v>
      </c>
      <c r="K3521" s="833">
        <f>ROUND(I3521*J3521,0)</f>
        <v>184930</v>
      </c>
      <c r="L3521" s="886" t="s">
        <v>167</v>
      </c>
      <c r="M3521" s="886" t="s">
        <v>165</v>
      </c>
      <c r="N3521" s="52" t="str">
        <f>IF(AND('331-CT'!$E$7=TH!H3521,OR(L3521="331",M3521="331")),"331",IF(AND(OR(L3521="131",M3521="131"),H3521='131-CT'!$E$7),"131",""))</f>
        <v/>
      </c>
      <c r="O3521" s="869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35"/>
    </row>
    <row r="3522" spans="1:27" s="210" customFormat="1" ht="15.75" customHeight="1">
      <c r="A3522" s="203" t="str">
        <f>IF(B3522&lt;&gt;"",IF(AND(B3522&gt;=_TM1,B3522&lt;=_TM2,OR(TH!L3522="1111",TH!M3522="1111")),TH!D3522,""),"")</f>
        <v/>
      </c>
      <c r="B3522" s="36">
        <f t="shared" si="60"/>
        <v>10</v>
      </c>
      <c r="C3522" s="899">
        <f t="shared" si="62"/>
        <v>42278</v>
      </c>
      <c r="D3522" s="900" t="s">
        <v>2013</v>
      </c>
      <c r="E3522" s="900">
        <v>42278</v>
      </c>
      <c r="F3522" s="907" t="s">
        <v>1949</v>
      </c>
      <c r="G3522" s="902" t="s">
        <v>1065</v>
      </c>
      <c r="H3522" s="913" t="s">
        <v>2014</v>
      </c>
      <c r="I3522" s="253">
        <v>20</v>
      </c>
      <c r="J3522" s="253">
        <v>11334.432239545076</v>
      </c>
      <c r="K3522" s="904">
        <f t="shared" si="61"/>
        <v>226689</v>
      </c>
      <c r="L3522" s="869" t="s">
        <v>167</v>
      </c>
      <c r="M3522" s="869" t="s">
        <v>165</v>
      </c>
      <c r="N3522" s="52" t="str">
        <f>IF(AND('331-CT'!$E$7=TH!H3522,OR(L3522="331",M3522="331")),"331",IF(AND(OR(L3522="131",M3522="131"),H3522='131-CT'!$E$7),"131",""))</f>
        <v/>
      </c>
      <c r="O3522" s="869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799"/>
    </row>
    <row r="3523" spans="1:27" s="210" customFormat="1" ht="15.75" customHeight="1">
      <c r="A3523" s="203" t="str">
        <f>IF(B3523&lt;&gt;"",IF(AND(B3523&gt;=_TM1,B3523&lt;=_TM2,OR(TH!L3523="1111",TH!M3523="1111")),TH!D3523,""),"")</f>
        <v/>
      </c>
      <c r="B3523" s="36">
        <f t="shared" si="60"/>
        <v>10</v>
      </c>
      <c r="C3523" s="899">
        <f t="shared" si="62"/>
        <v>42278</v>
      </c>
      <c r="D3523" s="900" t="s">
        <v>2013</v>
      </c>
      <c r="E3523" s="900">
        <v>42278</v>
      </c>
      <c r="F3523" s="907" t="s">
        <v>1952</v>
      </c>
      <c r="G3523" s="902" t="s">
        <v>1065</v>
      </c>
      <c r="H3523" s="913" t="s">
        <v>2014</v>
      </c>
      <c r="I3523" s="253">
        <v>50</v>
      </c>
      <c r="J3523" s="253">
        <v>9917.6282096019422</v>
      </c>
      <c r="K3523" s="904">
        <f t="shared" si="61"/>
        <v>495881</v>
      </c>
      <c r="L3523" s="869" t="s">
        <v>167</v>
      </c>
      <c r="M3523" s="869" t="s">
        <v>165</v>
      </c>
      <c r="N3523" s="52" t="str">
        <f>IF(AND('331-CT'!$E$7=TH!H3523,OR(L3523="331",M3523="331")),"331",IF(AND(OR(L3523="131",M3523="131"),H3523='131-CT'!$E$7),"131",""))</f>
        <v/>
      </c>
      <c r="O3523" s="869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799"/>
    </row>
    <row r="3524" spans="1:27" s="210" customFormat="1" ht="15.75" customHeight="1">
      <c r="A3524" s="203" t="str">
        <f>IF(B3524&lt;&gt;"",IF(AND(B3524&gt;=_TM1,B3524&lt;=_TM2,OR(TH!L3524="1111",TH!M3524="1111")),TH!D3524,""),"")</f>
        <v/>
      </c>
      <c r="B3524" s="36">
        <f t="shared" si="60"/>
        <v>10</v>
      </c>
      <c r="C3524" s="899">
        <f t="shared" si="62"/>
        <v>42279</v>
      </c>
      <c r="D3524" s="900" t="s">
        <v>2013</v>
      </c>
      <c r="E3524" s="900">
        <v>42279</v>
      </c>
      <c r="F3524" s="907" t="s">
        <v>413</v>
      </c>
      <c r="G3524" s="902" t="s">
        <v>1066</v>
      </c>
      <c r="H3524" s="913" t="s">
        <v>2014</v>
      </c>
      <c r="I3524" s="253">
        <v>298</v>
      </c>
      <c r="J3524" s="253">
        <v>7084.0201497156722</v>
      </c>
      <c r="K3524" s="904">
        <f t="shared" si="61"/>
        <v>2111038</v>
      </c>
      <c r="L3524" s="869" t="s">
        <v>167</v>
      </c>
      <c r="M3524" s="869" t="s">
        <v>165</v>
      </c>
      <c r="N3524" s="52" t="str">
        <f>IF(AND('331-CT'!$E$7=TH!H3524,OR(L3524="331",M3524="331")),"331",IF(AND(OR(L3524="131",M3524="131"),H3524='131-CT'!$E$7),"131",""))</f>
        <v/>
      </c>
      <c r="O3524" s="869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799"/>
    </row>
    <row r="3525" spans="1:27" s="210" customFormat="1" ht="15.75" customHeight="1">
      <c r="A3525" s="203" t="str">
        <f>IF(B3525&lt;&gt;"",IF(AND(B3525&gt;=_TM1,B3525&lt;=_TM2,OR(TH!L3525="1111",TH!M3525="1111")),TH!D3525,""),"")</f>
        <v/>
      </c>
      <c r="B3525" s="36">
        <f t="shared" si="60"/>
        <v>10</v>
      </c>
      <c r="C3525" s="899">
        <f t="shared" si="62"/>
        <v>42279</v>
      </c>
      <c r="D3525" s="900" t="s">
        <v>2013</v>
      </c>
      <c r="E3525" s="900">
        <v>42279</v>
      </c>
      <c r="F3525" s="907" t="s">
        <v>413</v>
      </c>
      <c r="G3525" s="902" t="s">
        <v>1066</v>
      </c>
      <c r="H3525" s="913" t="s">
        <v>2014</v>
      </c>
      <c r="I3525" s="253">
        <v>207</v>
      </c>
      <c r="J3525" s="253">
        <v>7084.0201497156722</v>
      </c>
      <c r="K3525" s="904">
        <f t="shared" si="61"/>
        <v>1466392</v>
      </c>
      <c r="L3525" s="869" t="s">
        <v>167</v>
      </c>
      <c r="M3525" s="869" t="s">
        <v>165</v>
      </c>
      <c r="N3525" s="52" t="str">
        <f>IF(AND('331-CT'!$E$7=TH!H3525,OR(L3525="331",M3525="331")),"331",IF(AND(OR(L3525="131",M3525="131"),H3525='131-CT'!$E$7),"131",""))</f>
        <v/>
      </c>
      <c r="O3525" s="869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799"/>
    </row>
    <row r="3526" spans="1:27" s="210" customFormat="1" ht="15.75" customHeight="1">
      <c r="A3526" s="203" t="str">
        <f>IF(B3526&lt;&gt;"",IF(AND(B3526&gt;=_TM1,B3526&lt;=_TM2,OR(TH!L3526="1111",TH!M3526="1111")),TH!D3526,""),"")</f>
        <v/>
      </c>
      <c r="B3526" s="36">
        <f t="shared" si="60"/>
        <v>10</v>
      </c>
      <c r="C3526" s="899">
        <f t="shared" si="62"/>
        <v>42279</v>
      </c>
      <c r="D3526" s="900" t="s">
        <v>2013</v>
      </c>
      <c r="E3526" s="900">
        <v>42279</v>
      </c>
      <c r="F3526" s="907" t="s">
        <v>595</v>
      </c>
      <c r="G3526" s="902" t="s">
        <v>1067</v>
      </c>
      <c r="H3526" s="913" t="s">
        <v>2014</v>
      </c>
      <c r="I3526" s="253">
        <v>238</v>
      </c>
      <c r="J3526" s="253">
        <v>6934.8828834058695</v>
      </c>
      <c r="K3526" s="904">
        <f t="shared" si="61"/>
        <v>1650502</v>
      </c>
      <c r="L3526" s="869" t="s">
        <v>167</v>
      </c>
      <c r="M3526" s="869" t="s">
        <v>165</v>
      </c>
      <c r="N3526" s="52" t="str">
        <f>IF(AND('331-CT'!$E$7=TH!H3526,OR(L3526="331",M3526="331")),"331",IF(AND(OR(L3526="131",M3526="131"),H3526='131-CT'!$E$7),"131",""))</f>
        <v/>
      </c>
      <c r="O3526" s="869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799"/>
    </row>
    <row r="3527" spans="1:27" s="210" customFormat="1" ht="15.75" customHeight="1">
      <c r="A3527" s="203" t="str">
        <f>IF(B3527&lt;&gt;"",IF(AND(B3527&gt;=_TM1,B3527&lt;=_TM2,OR(TH!L3527="1111",TH!M3527="1111")),TH!D3527,""),"")</f>
        <v/>
      </c>
      <c r="B3527" s="36">
        <f t="shared" si="60"/>
        <v>10</v>
      </c>
      <c r="C3527" s="899">
        <f t="shared" si="62"/>
        <v>42280</v>
      </c>
      <c r="D3527" s="900" t="s">
        <v>2013</v>
      </c>
      <c r="E3527" s="900">
        <v>42280</v>
      </c>
      <c r="F3527" s="907" t="s">
        <v>1948</v>
      </c>
      <c r="G3527" s="902" t="s">
        <v>1068</v>
      </c>
      <c r="H3527" s="913" t="s">
        <v>2014</v>
      </c>
      <c r="I3527" s="253">
        <v>2000</v>
      </c>
      <c r="J3527" s="253">
        <v>9246.5105112078254</v>
      </c>
      <c r="K3527" s="904">
        <f t="shared" si="61"/>
        <v>18493021</v>
      </c>
      <c r="L3527" s="869" t="s">
        <v>167</v>
      </c>
      <c r="M3527" s="869" t="s">
        <v>165</v>
      </c>
      <c r="N3527" s="52" t="str">
        <f>IF(AND('331-CT'!$E$7=TH!H3527,OR(L3527="331",M3527="331")),"331",IF(AND(OR(L3527="131",M3527="131"),H3527='131-CT'!$E$7),"131",""))</f>
        <v/>
      </c>
      <c r="O3527" s="869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799"/>
    </row>
    <row r="3528" spans="1:27" s="210" customFormat="1" ht="15.75" customHeight="1">
      <c r="A3528" s="203" t="str">
        <f>IF(B3528&lt;&gt;"",IF(AND(B3528&gt;=_TM1,B3528&lt;=_TM2,OR(TH!L3528="1111",TH!M3528="1111")),TH!D3528,""),"")</f>
        <v/>
      </c>
      <c r="B3528" s="36">
        <f t="shared" si="60"/>
        <v>10</v>
      </c>
      <c r="C3528" s="899">
        <f t="shared" si="62"/>
        <v>42280</v>
      </c>
      <c r="D3528" s="900" t="s">
        <v>2013</v>
      </c>
      <c r="E3528" s="900">
        <v>42280</v>
      </c>
      <c r="F3528" s="907" t="s">
        <v>446</v>
      </c>
      <c r="G3528" s="902" t="s">
        <v>1069</v>
      </c>
      <c r="H3528" s="913" t="s">
        <v>2014</v>
      </c>
      <c r="I3528" s="253">
        <v>606</v>
      </c>
      <c r="J3528" s="253">
        <v>6785.7456170960659</v>
      </c>
      <c r="K3528" s="904">
        <f t="shared" si="61"/>
        <v>4112162</v>
      </c>
      <c r="L3528" s="869" t="s">
        <v>167</v>
      </c>
      <c r="M3528" s="869" t="s">
        <v>165</v>
      </c>
      <c r="N3528" s="52" t="str">
        <f>IF(AND('331-CT'!$E$7=TH!H3528,OR(L3528="331",M3528="331")),"331",IF(AND(OR(L3528="131",M3528="131"),H3528='131-CT'!$E$7),"131",""))</f>
        <v/>
      </c>
      <c r="O3528" s="869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799"/>
    </row>
    <row r="3529" spans="1:27" s="210" customFormat="1" ht="15.75" customHeight="1">
      <c r="A3529" s="203" t="str">
        <f>IF(B3529&lt;&gt;"",IF(AND(B3529&gt;=_TM1,B3529&lt;=_TM2,OR(TH!L3529="1111",TH!M3529="1111")),TH!D3529,""),"")</f>
        <v/>
      </c>
      <c r="B3529" s="36">
        <f t="shared" si="60"/>
        <v>10</v>
      </c>
      <c r="C3529" s="899">
        <f t="shared" si="62"/>
        <v>42280</v>
      </c>
      <c r="D3529" s="900" t="s">
        <v>2013</v>
      </c>
      <c r="E3529" s="900">
        <v>42280</v>
      </c>
      <c r="F3529" s="907" t="s">
        <v>501</v>
      </c>
      <c r="G3529" s="902" t="s">
        <v>1069</v>
      </c>
      <c r="H3529" s="913" t="s">
        <v>2014</v>
      </c>
      <c r="I3529" s="253">
        <v>513</v>
      </c>
      <c r="J3529" s="253">
        <v>11781.844038474488</v>
      </c>
      <c r="K3529" s="904">
        <f t="shared" si="61"/>
        <v>6044086</v>
      </c>
      <c r="L3529" s="869" t="s">
        <v>167</v>
      </c>
      <c r="M3529" s="869" t="s">
        <v>165</v>
      </c>
      <c r="N3529" s="52" t="str">
        <f>IF(AND('331-CT'!$E$7=TH!H3529,OR(L3529="331",M3529="331")),"331",IF(AND(OR(L3529="131",M3529="131"),H3529='131-CT'!$E$7),"131",""))</f>
        <v/>
      </c>
      <c r="O3529" s="869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799"/>
    </row>
    <row r="3530" spans="1:27" s="210" customFormat="1" ht="15.75" customHeight="1">
      <c r="A3530" s="203" t="str">
        <f>IF(B3530&lt;&gt;"",IF(AND(B3530&gt;=_TM1,B3530&lt;=_TM2,OR(TH!L3530="1111",TH!M3530="1111")),TH!D3530,""),"")</f>
        <v/>
      </c>
      <c r="B3530" s="36">
        <f t="shared" si="60"/>
        <v>10</v>
      </c>
      <c r="C3530" s="899">
        <f t="shared" si="62"/>
        <v>42280</v>
      </c>
      <c r="D3530" s="900" t="s">
        <v>2013</v>
      </c>
      <c r="E3530" s="900">
        <v>42280</v>
      </c>
      <c r="F3530" s="907" t="s">
        <v>1070</v>
      </c>
      <c r="G3530" s="902" t="s">
        <v>1069</v>
      </c>
      <c r="H3530" s="913" t="s">
        <v>2014</v>
      </c>
      <c r="I3530" s="253">
        <v>618</v>
      </c>
      <c r="J3530" s="253">
        <v>6040.0592855470477</v>
      </c>
      <c r="K3530" s="904">
        <f t="shared" si="61"/>
        <v>3732757</v>
      </c>
      <c r="L3530" s="869" t="s">
        <v>167</v>
      </c>
      <c r="M3530" s="869" t="s">
        <v>165</v>
      </c>
      <c r="N3530" s="52" t="str">
        <f>IF(AND('331-CT'!$E$7=TH!H3530,OR(L3530="331",M3530="331")),"331",IF(AND(OR(L3530="131",M3530="131"),H3530='131-CT'!$E$7),"131",""))</f>
        <v/>
      </c>
      <c r="O3530" s="869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799"/>
    </row>
    <row r="3531" spans="1:27" s="210" customFormat="1" ht="15.75" customHeight="1">
      <c r="A3531" s="203" t="str">
        <f>IF(B3531&lt;&gt;"",IF(AND(B3531&gt;=_TM1,B3531&lt;=_TM2,OR(TH!L3531="1111",TH!M3531="1111")),TH!D3531,""),"")</f>
        <v/>
      </c>
      <c r="B3531" s="36">
        <f t="shared" si="60"/>
        <v>10</v>
      </c>
      <c r="C3531" s="899">
        <f t="shared" si="62"/>
        <v>42280</v>
      </c>
      <c r="D3531" s="900" t="s">
        <v>2013</v>
      </c>
      <c r="E3531" s="900">
        <v>42280</v>
      </c>
      <c r="F3531" s="907" t="s">
        <v>1796</v>
      </c>
      <c r="G3531" s="902" t="s">
        <v>1071</v>
      </c>
      <c r="H3531" s="913" t="s">
        <v>2014</v>
      </c>
      <c r="I3531" s="253">
        <v>1000</v>
      </c>
      <c r="J3531" s="253">
        <v>1267.6667636333309</v>
      </c>
      <c r="K3531" s="904">
        <f t="shared" si="61"/>
        <v>1267667</v>
      </c>
      <c r="L3531" s="869" t="s">
        <v>167</v>
      </c>
      <c r="M3531" s="869" t="s">
        <v>165</v>
      </c>
      <c r="N3531" s="52" t="str">
        <f>IF(AND('331-CT'!$E$7=TH!H3531,OR(L3531="331",M3531="331")),"331",IF(AND(OR(L3531="131",M3531="131"),H3531='131-CT'!$E$7),"131",""))</f>
        <v/>
      </c>
      <c r="O3531" s="869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799"/>
    </row>
    <row r="3532" spans="1:27" s="210" customFormat="1" ht="15.75" customHeight="1">
      <c r="A3532" s="203" t="str">
        <f>IF(B3532&lt;&gt;"",IF(AND(B3532&gt;=_TM1,B3532&lt;=_TM2,OR(TH!L3532="1111",TH!M3532="1111")),TH!D3532,""),"")</f>
        <v/>
      </c>
      <c r="B3532" s="36">
        <f t="shared" si="60"/>
        <v>10</v>
      </c>
      <c r="C3532" s="899">
        <f t="shared" si="62"/>
        <v>42280</v>
      </c>
      <c r="D3532" s="900" t="s">
        <v>2013</v>
      </c>
      <c r="E3532" s="900">
        <v>42280</v>
      </c>
      <c r="F3532" s="907" t="s">
        <v>1797</v>
      </c>
      <c r="G3532" s="902" t="s">
        <v>1071</v>
      </c>
      <c r="H3532" s="913" t="s">
        <v>2014</v>
      </c>
      <c r="I3532" s="253">
        <v>155</v>
      </c>
      <c r="J3532" s="253">
        <v>8351.6869133490036</v>
      </c>
      <c r="K3532" s="904">
        <f t="shared" si="61"/>
        <v>1294511</v>
      </c>
      <c r="L3532" s="869" t="s">
        <v>167</v>
      </c>
      <c r="M3532" s="869" t="s">
        <v>165</v>
      </c>
      <c r="N3532" s="52" t="str">
        <f>IF(AND('331-CT'!$E$7=TH!H3532,OR(L3532="331",M3532="331")),"331",IF(AND(OR(L3532="131",M3532="131"),H3532='131-CT'!$E$7),"131",""))</f>
        <v/>
      </c>
      <c r="O3532" s="869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799"/>
    </row>
    <row r="3533" spans="1:27" s="210" customFormat="1" ht="15.75" customHeight="1">
      <c r="A3533" s="203" t="str">
        <f>IF(B3533&lt;&gt;"",IF(AND(B3533&gt;=_TM1,B3533&lt;=_TM2,OR(TH!L3533="1111",TH!M3533="1111")),TH!D3533,""),"")</f>
        <v/>
      </c>
      <c r="B3533" s="36">
        <f t="shared" si="60"/>
        <v>10</v>
      </c>
      <c r="C3533" s="899">
        <f t="shared" si="62"/>
        <v>42280</v>
      </c>
      <c r="D3533" s="900" t="s">
        <v>2013</v>
      </c>
      <c r="E3533" s="900">
        <v>42280</v>
      </c>
      <c r="F3533" s="907" t="s">
        <v>1798</v>
      </c>
      <c r="G3533" s="902" t="s">
        <v>1071</v>
      </c>
      <c r="H3533" s="913" t="s">
        <v>2014</v>
      </c>
      <c r="I3533" s="253">
        <v>103</v>
      </c>
      <c r="J3533" s="253">
        <v>6711.1769839411636</v>
      </c>
      <c r="K3533" s="904">
        <f t="shared" si="61"/>
        <v>691251</v>
      </c>
      <c r="L3533" s="869" t="s">
        <v>167</v>
      </c>
      <c r="M3533" s="869" t="s">
        <v>165</v>
      </c>
      <c r="N3533" s="52" t="str">
        <f>IF(AND('331-CT'!$E$7=TH!H3533,OR(L3533="331",M3533="331")),"331",IF(AND(OR(L3533="131",M3533="131"),H3533='131-CT'!$E$7),"131",""))</f>
        <v/>
      </c>
      <c r="O3533" s="869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799"/>
    </row>
    <row r="3534" spans="1:27" s="210" customFormat="1" ht="15.75" customHeight="1">
      <c r="A3534" s="203" t="str">
        <f>IF(B3534&lt;&gt;"",IF(AND(B3534&gt;=_TM1,B3534&lt;=_TM2,OR(TH!L3534="1111",TH!M3534="1111")),TH!D3534,""),"")</f>
        <v/>
      </c>
      <c r="B3534" s="36">
        <f t="shared" si="60"/>
        <v>10</v>
      </c>
      <c r="C3534" s="899">
        <f t="shared" si="62"/>
        <v>42280</v>
      </c>
      <c r="D3534" s="900" t="s">
        <v>2013</v>
      </c>
      <c r="E3534" s="900">
        <v>42280</v>
      </c>
      <c r="F3534" s="907" t="s">
        <v>1799</v>
      </c>
      <c r="G3534" s="902" t="s">
        <v>1071</v>
      </c>
      <c r="H3534" s="913" t="s">
        <v>2014</v>
      </c>
      <c r="I3534" s="253">
        <v>250</v>
      </c>
      <c r="J3534" s="253">
        <v>11259.863606390174</v>
      </c>
      <c r="K3534" s="904">
        <f t="shared" si="61"/>
        <v>2814966</v>
      </c>
      <c r="L3534" s="869" t="s">
        <v>167</v>
      </c>
      <c r="M3534" s="869" t="s">
        <v>165</v>
      </c>
      <c r="N3534" s="52" t="str">
        <f>IF(AND('331-CT'!$E$7=TH!H3534,OR(L3534="331",M3534="331")),"331",IF(AND(OR(L3534="131",M3534="131"),H3534='131-CT'!$E$7),"131",""))</f>
        <v/>
      </c>
      <c r="O3534" s="869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799"/>
    </row>
    <row r="3535" spans="1:27" s="210" customFormat="1" ht="15.75" customHeight="1">
      <c r="A3535" s="203" t="str">
        <f>IF(B3535&lt;&gt;"",IF(AND(B3535&gt;=_TM1,B3535&lt;=_TM2,OR(TH!L3535="1111",TH!M3535="1111")),TH!D3535,""),"")</f>
        <v/>
      </c>
      <c r="B3535" s="36">
        <f t="shared" si="60"/>
        <v>10</v>
      </c>
      <c r="C3535" s="899">
        <f t="shared" si="62"/>
        <v>42280</v>
      </c>
      <c r="D3535" s="900" t="s">
        <v>2013</v>
      </c>
      <c r="E3535" s="900">
        <v>42280</v>
      </c>
      <c r="F3535" s="907" t="s">
        <v>1800</v>
      </c>
      <c r="G3535" s="902" t="s">
        <v>1071</v>
      </c>
      <c r="H3535" s="913" t="s">
        <v>2014</v>
      </c>
      <c r="I3535" s="253">
        <v>59</v>
      </c>
      <c r="J3535" s="253">
        <v>17523.628791401927</v>
      </c>
      <c r="K3535" s="904">
        <f t="shared" si="61"/>
        <v>1033894</v>
      </c>
      <c r="L3535" s="869" t="s">
        <v>167</v>
      </c>
      <c r="M3535" s="869" t="s">
        <v>165</v>
      </c>
      <c r="N3535" s="52" t="str">
        <f>IF(AND('331-CT'!$E$7=TH!H3535,OR(L3535="331",M3535="331")),"331",IF(AND(OR(L3535="131",M3535="131"),H3535='131-CT'!$E$7),"131",""))</f>
        <v/>
      </c>
      <c r="O3535" s="869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799"/>
    </row>
    <row r="3536" spans="1:27" s="210" customFormat="1" ht="15.75" customHeight="1">
      <c r="A3536" s="203" t="str">
        <f>IF(B3536&lt;&gt;"",IF(AND(B3536&gt;=_TM1,B3536&lt;=_TM2,OR(TH!L3536="1111",TH!M3536="1111")),TH!D3536,""),"")</f>
        <v/>
      </c>
      <c r="B3536" s="36">
        <f t="shared" si="60"/>
        <v>10</v>
      </c>
      <c r="C3536" s="899">
        <f t="shared" si="62"/>
        <v>42282</v>
      </c>
      <c r="D3536" s="900" t="s">
        <v>2013</v>
      </c>
      <c r="E3536" s="900">
        <v>42282</v>
      </c>
      <c r="F3536" s="907" t="s">
        <v>1072</v>
      </c>
      <c r="G3536" s="902" t="s">
        <v>1073</v>
      </c>
      <c r="H3536" s="913" t="s">
        <v>2014</v>
      </c>
      <c r="I3536" s="253">
        <v>110</v>
      </c>
      <c r="J3536" s="253">
        <v>9246.5105112078254</v>
      </c>
      <c r="K3536" s="904">
        <f t="shared" si="61"/>
        <v>1017116</v>
      </c>
      <c r="L3536" s="869" t="s">
        <v>167</v>
      </c>
      <c r="M3536" s="869" t="s">
        <v>165</v>
      </c>
      <c r="N3536" s="52" t="str">
        <f>IF(AND('331-CT'!$E$7=TH!H3536,OR(L3536="331",M3536="331")),"331",IF(AND(OR(L3536="131",M3536="131"),H3536='131-CT'!$E$7),"131",""))</f>
        <v/>
      </c>
      <c r="O3536" s="869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799"/>
    </row>
    <row r="3537" spans="1:27" s="210" customFormat="1" ht="15.75" customHeight="1">
      <c r="A3537" s="203" t="str">
        <f>IF(B3537&lt;&gt;"",IF(AND(B3537&gt;=_TM1,B3537&lt;=_TM2,OR(TH!L3537="1111",TH!M3537="1111")),TH!D3537,""),"")</f>
        <v/>
      </c>
      <c r="B3537" s="36">
        <f t="shared" si="60"/>
        <v>10</v>
      </c>
      <c r="C3537" s="899">
        <f t="shared" si="62"/>
        <v>42282</v>
      </c>
      <c r="D3537" s="900" t="s">
        <v>2013</v>
      </c>
      <c r="E3537" s="900">
        <v>42282</v>
      </c>
      <c r="F3537" s="907" t="s">
        <v>602</v>
      </c>
      <c r="G3537" s="902" t="s">
        <v>1073</v>
      </c>
      <c r="H3537" s="913" t="s">
        <v>2014</v>
      </c>
      <c r="I3537" s="253">
        <v>967</v>
      </c>
      <c r="J3537" s="253">
        <v>9395.6477775176299</v>
      </c>
      <c r="K3537" s="904">
        <f t="shared" si="61"/>
        <v>9085591</v>
      </c>
      <c r="L3537" s="869" t="s">
        <v>167</v>
      </c>
      <c r="M3537" s="869" t="s">
        <v>165</v>
      </c>
      <c r="N3537" s="52" t="str">
        <f>IF(AND('331-CT'!$E$7=TH!H3537,OR(L3537="331",M3537="331")),"331",IF(AND(OR(L3537="131",M3537="131"),H3537='131-CT'!$E$7),"131",""))</f>
        <v/>
      </c>
      <c r="O3537" s="869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799"/>
    </row>
    <row r="3538" spans="1:27" s="210" customFormat="1" ht="15.75" customHeight="1">
      <c r="A3538" s="203" t="str">
        <f>IF(B3538&lt;&gt;"",IF(AND(B3538&gt;=_TM1,B3538&lt;=_TM2,OR(TH!L3538="1111",TH!M3538="1111")),TH!D3538,""),"")</f>
        <v/>
      </c>
      <c r="B3538" s="36">
        <f t="shared" si="60"/>
        <v>10</v>
      </c>
      <c r="C3538" s="899">
        <f t="shared" si="62"/>
        <v>42282</v>
      </c>
      <c r="D3538" s="900" t="s">
        <v>2013</v>
      </c>
      <c r="E3538" s="900">
        <v>42282</v>
      </c>
      <c r="F3538" s="907" t="s">
        <v>727</v>
      </c>
      <c r="G3538" s="902" t="s">
        <v>1074</v>
      </c>
      <c r="H3538" s="913" t="s">
        <v>2014</v>
      </c>
      <c r="I3538" s="253">
        <v>167</v>
      </c>
      <c r="J3538" s="253">
        <v>7307.7260491803781</v>
      </c>
      <c r="K3538" s="904">
        <f t="shared" si="61"/>
        <v>1220390</v>
      </c>
      <c r="L3538" s="869" t="s">
        <v>167</v>
      </c>
      <c r="M3538" s="869" t="s">
        <v>165</v>
      </c>
      <c r="N3538" s="52" t="str">
        <f>IF(AND('331-CT'!$E$7=TH!H3538,OR(L3538="331",M3538="331")),"331",IF(AND(OR(L3538="131",M3538="131"),H3538='131-CT'!$E$7),"131",""))</f>
        <v/>
      </c>
      <c r="O3538" s="869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799"/>
    </row>
    <row r="3539" spans="1:27" s="210" customFormat="1" ht="15.75" customHeight="1">
      <c r="A3539" s="203" t="str">
        <f>IF(B3539&lt;&gt;"",IF(AND(B3539&gt;=_TM1,B3539&lt;=_TM2,OR(TH!L3539="1111",TH!M3539="1111")),TH!D3539,""),"")</f>
        <v/>
      </c>
      <c r="B3539" s="36">
        <f t="shared" si="60"/>
        <v>10</v>
      </c>
      <c r="C3539" s="899">
        <f t="shared" si="62"/>
        <v>42282</v>
      </c>
      <c r="D3539" s="900" t="s">
        <v>2013</v>
      </c>
      <c r="E3539" s="900">
        <v>42282</v>
      </c>
      <c r="F3539" s="907" t="s">
        <v>1780</v>
      </c>
      <c r="G3539" s="902" t="s">
        <v>1074</v>
      </c>
      <c r="H3539" s="913" t="s">
        <v>2014</v>
      </c>
      <c r="I3539" s="253">
        <v>105</v>
      </c>
      <c r="J3539" s="253">
        <v>6487.4710844764577</v>
      </c>
      <c r="K3539" s="904">
        <f t="shared" si="61"/>
        <v>681184</v>
      </c>
      <c r="L3539" s="869" t="s">
        <v>167</v>
      </c>
      <c r="M3539" s="869" t="s">
        <v>165</v>
      </c>
      <c r="N3539" s="52" t="str">
        <f>IF(AND('331-CT'!$E$7=TH!H3539,OR(L3539="331",M3539="331")),"331",IF(AND(OR(L3539="131",M3539="131"),H3539='131-CT'!$E$7),"131",""))</f>
        <v/>
      </c>
      <c r="O3539" s="869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799"/>
    </row>
    <row r="3540" spans="1:27" s="210" customFormat="1" ht="15.75" customHeight="1">
      <c r="A3540" s="203" t="str">
        <f>IF(B3540&lt;&gt;"",IF(AND(B3540&gt;=_TM1,B3540&lt;=_TM2,OR(TH!L3540="1111",TH!M3540="1111")),TH!D3540,""),"")</f>
        <v/>
      </c>
      <c r="B3540" s="36">
        <f t="shared" si="60"/>
        <v>10</v>
      </c>
      <c r="C3540" s="899">
        <f t="shared" si="62"/>
        <v>42282</v>
      </c>
      <c r="D3540" s="900" t="s">
        <v>2013</v>
      </c>
      <c r="E3540" s="900">
        <v>42282</v>
      </c>
      <c r="F3540" s="907" t="s">
        <v>1777</v>
      </c>
      <c r="G3540" s="902" t="s">
        <v>1074</v>
      </c>
      <c r="H3540" s="913" t="s">
        <v>2014</v>
      </c>
      <c r="I3540" s="253">
        <v>147</v>
      </c>
      <c r="J3540" s="253">
        <v>11781.844038474488</v>
      </c>
      <c r="K3540" s="904">
        <f t="shared" si="61"/>
        <v>1731931</v>
      </c>
      <c r="L3540" s="869" t="s">
        <v>167</v>
      </c>
      <c r="M3540" s="869" t="s">
        <v>165</v>
      </c>
      <c r="N3540" s="52" t="str">
        <f>IF(AND('331-CT'!$E$7=TH!H3540,OR(L3540="331",M3540="331")),"331",IF(AND(OR(L3540="131",M3540="131"),H3540='131-CT'!$E$7),"131",""))</f>
        <v/>
      </c>
      <c r="O3540" s="869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799"/>
    </row>
    <row r="3541" spans="1:27" s="210" customFormat="1" ht="15.75" customHeight="1">
      <c r="A3541" s="203" t="str">
        <f>IF(B3541&lt;&gt;"",IF(AND(B3541&gt;=_TM1,B3541&lt;=_TM2,OR(TH!L3541="1111",TH!M3541="1111")),TH!D3541,""),"")</f>
        <v/>
      </c>
      <c r="B3541" s="36">
        <f t="shared" si="60"/>
        <v>10</v>
      </c>
      <c r="C3541" s="899">
        <f t="shared" si="62"/>
        <v>42282</v>
      </c>
      <c r="D3541" s="900" t="s">
        <v>2013</v>
      </c>
      <c r="E3541" s="900">
        <v>42282</v>
      </c>
      <c r="F3541" s="907" t="s">
        <v>1801</v>
      </c>
      <c r="G3541" s="902" t="s">
        <v>1074</v>
      </c>
      <c r="H3541" s="913" t="s">
        <v>2014</v>
      </c>
      <c r="I3541" s="253">
        <v>100</v>
      </c>
      <c r="J3541" s="253">
        <v>5965.4906523921454</v>
      </c>
      <c r="K3541" s="904">
        <f t="shared" si="61"/>
        <v>596549</v>
      </c>
      <c r="L3541" s="869" t="s">
        <v>167</v>
      </c>
      <c r="M3541" s="869" t="s">
        <v>165</v>
      </c>
      <c r="N3541" s="52" t="str">
        <f>IF(AND('331-CT'!$E$7=TH!H3541,OR(L3541="331",M3541="331")),"331",IF(AND(OR(L3541="131",M3541="131"),H3541='131-CT'!$E$7),"131",""))</f>
        <v/>
      </c>
      <c r="O3541" s="869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799"/>
    </row>
    <row r="3542" spans="1:27" s="210" customFormat="1" ht="15.75" customHeight="1">
      <c r="A3542" s="203" t="str">
        <f>IF(B3542&lt;&gt;"",IF(AND(B3542&gt;=_TM1,B3542&lt;=_TM2,OR(TH!L3542="1111",TH!M3542="1111")),TH!D3542,""),"")</f>
        <v/>
      </c>
      <c r="B3542" s="36">
        <f t="shared" si="60"/>
        <v>10</v>
      </c>
      <c r="C3542" s="899">
        <f t="shared" si="62"/>
        <v>42282</v>
      </c>
      <c r="D3542" s="900" t="s">
        <v>2013</v>
      </c>
      <c r="E3542" s="900">
        <v>42282</v>
      </c>
      <c r="F3542" s="907" t="s">
        <v>1747</v>
      </c>
      <c r="G3542" s="902" t="s">
        <v>1074</v>
      </c>
      <c r="H3542" s="913" t="s">
        <v>2014</v>
      </c>
      <c r="I3542" s="253">
        <v>110</v>
      </c>
      <c r="J3542" s="253">
        <v>5294.3729539980286</v>
      </c>
      <c r="K3542" s="904">
        <f t="shared" si="61"/>
        <v>582381</v>
      </c>
      <c r="L3542" s="869" t="s">
        <v>167</v>
      </c>
      <c r="M3542" s="869" t="s">
        <v>165</v>
      </c>
      <c r="N3542" s="52" t="str">
        <f>IF(AND('331-CT'!$E$7=TH!H3542,OR(L3542="331",M3542="331")),"331",IF(AND(OR(L3542="131",M3542="131"),H3542='131-CT'!$E$7),"131",""))</f>
        <v/>
      </c>
      <c r="O3542" s="869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799"/>
    </row>
    <row r="3543" spans="1:27" s="210" customFormat="1" ht="15.75" customHeight="1">
      <c r="A3543" s="203" t="str">
        <f>IF(B3543&lt;&gt;"",IF(AND(B3543&gt;=_TM1,B3543&lt;=_TM2,OR(TH!L3543="1111",TH!M3543="1111")),TH!D3543,""),"")</f>
        <v/>
      </c>
      <c r="B3543" s="36">
        <f t="shared" si="60"/>
        <v>10</v>
      </c>
      <c r="C3543" s="899">
        <f t="shared" si="62"/>
        <v>42283</v>
      </c>
      <c r="D3543" s="900" t="s">
        <v>2013</v>
      </c>
      <c r="E3543" s="900">
        <v>42283</v>
      </c>
      <c r="F3543" s="907" t="s">
        <v>1075</v>
      </c>
      <c r="G3543" s="902" t="s">
        <v>1076</v>
      </c>
      <c r="H3543" s="913" t="s">
        <v>2014</v>
      </c>
      <c r="I3543" s="253">
        <v>998</v>
      </c>
      <c r="J3543" s="253">
        <v>8799.0987122784136</v>
      </c>
      <c r="K3543" s="904">
        <f t="shared" si="61"/>
        <v>8781501</v>
      </c>
      <c r="L3543" s="869" t="s">
        <v>167</v>
      </c>
      <c r="M3543" s="869" t="s">
        <v>165</v>
      </c>
      <c r="N3543" s="52" t="str">
        <f>IF(AND('331-CT'!$E$7=TH!H3543,OR(L3543="331",M3543="331")),"331",IF(AND(OR(L3543="131",M3543="131"),H3543='131-CT'!$E$7),"131",""))</f>
        <v/>
      </c>
      <c r="O3543" s="869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799"/>
    </row>
    <row r="3544" spans="1:27" s="210" customFormat="1" ht="15.75" customHeight="1">
      <c r="A3544" s="203" t="str">
        <f>IF(B3544&lt;&gt;"",IF(AND(B3544&gt;=_TM1,B3544&lt;=_TM2,OR(TH!L3544="1111",TH!M3544="1111")),TH!D3544,""),"")</f>
        <v/>
      </c>
      <c r="B3544" s="36">
        <f t="shared" si="60"/>
        <v>10</v>
      </c>
      <c r="C3544" s="899">
        <f t="shared" si="62"/>
        <v>42283</v>
      </c>
      <c r="D3544" s="900" t="s">
        <v>2013</v>
      </c>
      <c r="E3544" s="900">
        <v>42283</v>
      </c>
      <c r="F3544" s="907" t="s">
        <v>409</v>
      </c>
      <c r="G3544" s="902" t="s">
        <v>1077</v>
      </c>
      <c r="H3544" s="913" t="s">
        <v>2014</v>
      </c>
      <c r="I3544" s="253">
        <v>4110</v>
      </c>
      <c r="J3544" s="253">
        <v>5518.0788534627345</v>
      </c>
      <c r="K3544" s="904">
        <f t="shared" si="61"/>
        <v>22679304</v>
      </c>
      <c r="L3544" s="869" t="s">
        <v>167</v>
      </c>
      <c r="M3544" s="869" t="s">
        <v>165</v>
      </c>
      <c r="N3544" s="52" t="str">
        <f>IF(AND('331-CT'!$E$7=TH!H3544,OR(L3544="331",M3544="331")),"331",IF(AND(OR(L3544="131",M3544="131"),H3544='131-CT'!$E$7),"131",""))</f>
        <v/>
      </c>
      <c r="O3544" s="869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799"/>
    </row>
    <row r="3545" spans="1:27" s="210" customFormat="1" ht="15.75" customHeight="1">
      <c r="A3545" s="203" t="str">
        <f>IF(B3545&lt;&gt;"",IF(AND(B3545&gt;=_TM1,B3545&lt;=_TM2,OR(TH!L3545="1111",TH!M3545="1111")),TH!D3545,""),"")</f>
        <v/>
      </c>
      <c r="B3545" s="36">
        <f t="shared" si="60"/>
        <v>10</v>
      </c>
      <c r="C3545" s="899">
        <f t="shared" si="62"/>
        <v>42285</v>
      </c>
      <c r="D3545" s="900" t="s">
        <v>2013</v>
      </c>
      <c r="E3545" s="900">
        <v>42285</v>
      </c>
      <c r="F3545" s="907" t="s">
        <v>1948</v>
      </c>
      <c r="G3545" s="902" t="s">
        <v>1078</v>
      </c>
      <c r="H3545" s="913" t="s">
        <v>2014</v>
      </c>
      <c r="I3545" s="253">
        <v>20</v>
      </c>
      <c r="J3545" s="253">
        <v>9246.5105112078254</v>
      </c>
      <c r="K3545" s="904">
        <f t="shared" si="61"/>
        <v>184930</v>
      </c>
      <c r="L3545" s="869" t="s">
        <v>167</v>
      </c>
      <c r="M3545" s="869" t="s">
        <v>165</v>
      </c>
      <c r="N3545" s="52" t="str">
        <f>IF(AND('331-CT'!$E$7=TH!H3545,OR(L3545="331",M3545="331")),"331",IF(AND(OR(L3545="131",M3545="131"),H3545='131-CT'!$E$7),"131",""))</f>
        <v/>
      </c>
      <c r="O3545" s="869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799"/>
    </row>
    <row r="3546" spans="1:27" s="210" customFormat="1" ht="15.75" customHeight="1">
      <c r="A3546" s="203" t="str">
        <f>IF(B3546&lt;&gt;"",IF(AND(B3546&gt;=_TM1,B3546&lt;=_TM2,OR(TH!L3546="1111",TH!M3546="1111")),TH!D3546,""),"")</f>
        <v/>
      </c>
      <c r="B3546" s="36">
        <f t="shared" si="60"/>
        <v>10</v>
      </c>
      <c r="C3546" s="899">
        <f t="shared" si="62"/>
        <v>42285</v>
      </c>
      <c r="D3546" s="900" t="s">
        <v>2013</v>
      </c>
      <c r="E3546" s="900">
        <v>42285</v>
      </c>
      <c r="F3546" s="907" t="s">
        <v>1949</v>
      </c>
      <c r="G3546" s="902" t="s">
        <v>1078</v>
      </c>
      <c r="H3546" s="913" t="s">
        <v>2014</v>
      </c>
      <c r="I3546" s="253">
        <v>20</v>
      </c>
      <c r="J3546" s="253">
        <v>11334.432239545076</v>
      </c>
      <c r="K3546" s="904">
        <f t="shared" si="61"/>
        <v>226689</v>
      </c>
      <c r="L3546" s="869" t="s">
        <v>167</v>
      </c>
      <c r="M3546" s="869" t="s">
        <v>165</v>
      </c>
      <c r="N3546" s="52" t="str">
        <f>IF(AND('331-CT'!$E$7=TH!H3546,OR(L3546="331",M3546="331")),"331",IF(AND(OR(L3546="131",M3546="131"),H3546='131-CT'!$E$7),"131",""))</f>
        <v/>
      </c>
      <c r="O3546" s="869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799"/>
    </row>
    <row r="3547" spans="1:27" s="210" customFormat="1" ht="15.75" customHeight="1">
      <c r="A3547" s="203" t="str">
        <f>IF(B3547&lt;&gt;"",IF(AND(B3547&gt;=_TM1,B3547&lt;=_TM2,OR(TH!L3547="1111",TH!M3547="1111")),TH!D3547,""),"")</f>
        <v/>
      </c>
      <c r="B3547" s="36">
        <f t="shared" si="60"/>
        <v>10</v>
      </c>
      <c r="C3547" s="899">
        <f t="shared" si="62"/>
        <v>42285</v>
      </c>
      <c r="D3547" s="900" t="s">
        <v>2013</v>
      </c>
      <c r="E3547" s="900">
        <v>42285</v>
      </c>
      <c r="F3547" s="907" t="s">
        <v>1950</v>
      </c>
      <c r="G3547" s="902" t="s">
        <v>1078</v>
      </c>
      <c r="H3547" s="913" t="s">
        <v>2014</v>
      </c>
      <c r="I3547" s="253">
        <v>50</v>
      </c>
      <c r="J3547" s="253">
        <v>8127.9810138842986</v>
      </c>
      <c r="K3547" s="904">
        <f t="shared" si="61"/>
        <v>406399</v>
      </c>
      <c r="L3547" s="869" t="s">
        <v>167</v>
      </c>
      <c r="M3547" s="869" t="s">
        <v>165</v>
      </c>
      <c r="N3547" s="52" t="str">
        <f>IF(AND('331-CT'!$E$7=TH!H3547,OR(L3547="331",M3547="331")),"331",IF(AND(OR(L3547="131",M3547="131"),H3547='131-CT'!$E$7),"131",""))</f>
        <v/>
      </c>
      <c r="O3547" s="869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799"/>
    </row>
    <row r="3548" spans="1:27" s="210" customFormat="1" ht="15.75" customHeight="1">
      <c r="A3548" s="203" t="str">
        <f>IF(B3548&lt;&gt;"",IF(AND(B3548&gt;=_TM1,B3548&lt;=_TM2,OR(TH!L3548="1111",TH!M3548="1111")),TH!D3548,""),"")</f>
        <v/>
      </c>
      <c r="B3548" s="36">
        <f t="shared" si="60"/>
        <v>10</v>
      </c>
      <c r="C3548" s="899">
        <f t="shared" si="62"/>
        <v>42285</v>
      </c>
      <c r="D3548" s="900" t="s">
        <v>2013</v>
      </c>
      <c r="E3548" s="900">
        <v>42285</v>
      </c>
      <c r="F3548" s="907" t="s">
        <v>1951</v>
      </c>
      <c r="G3548" s="902" t="s">
        <v>1078</v>
      </c>
      <c r="H3548" s="913" t="s">
        <v>2014</v>
      </c>
      <c r="I3548" s="253">
        <v>20</v>
      </c>
      <c r="J3548" s="253">
        <v>9022.8046117431204</v>
      </c>
      <c r="K3548" s="904">
        <f t="shared" si="61"/>
        <v>180456</v>
      </c>
      <c r="L3548" s="869" t="s">
        <v>167</v>
      </c>
      <c r="M3548" s="869" t="s">
        <v>165</v>
      </c>
      <c r="N3548" s="52" t="str">
        <f>IF(AND('331-CT'!$E$7=TH!H3548,OR(L3548="331",M3548="331")),"331",IF(AND(OR(L3548="131",M3548="131"),H3548='131-CT'!$E$7),"131",""))</f>
        <v/>
      </c>
      <c r="O3548" s="869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799"/>
    </row>
    <row r="3549" spans="1:27" s="210" customFormat="1" ht="15.75" customHeight="1">
      <c r="A3549" s="203" t="str">
        <f>IF(B3549&lt;&gt;"",IF(AND(B3549&gt;=_TM1,B3549&lt;=_TM2,OR(TH!L3549="1111",TH!M3549="1111")),TH!D3549,""),"")</f>
        <v/>
      </c>
      <c r="B3549" s="36">
        <f t="shared" si="60"/>
        <v>10</v>
      </c>
      <c r="C3549" s="899">
        <f t="shared" si="62"/>
        <v>42285</v>
      </c>
      <c r="D3549" s="900" t="s">
        <v>2013</v>
      </c>
      <c r="E3549" s="900">
        <v>42285</v>
      </c>
      <c r="F3549" s="907" t="s">
        <v>1952</v>
      </c>
      <c r="G3549" s="902" t="s">
        <v>1078</v>
      </c>
      <c r="H3549" s="913" t="s">
        <v>2014</v>
      </c>
      <c r="I3549" s="253">
        <v>50</v>
      </c>
      <c r="J3549" s="253">
        <v>9917.6282096019422</v>
      </c>
      <c r="K3549" s="904">
        <f t="shared" si="61"/>
        <v>495881</v>
      </c>
      <c r="L3549" s="869" t="s">
        <v>167</v>
      </c>
      <c r="M3549" s="869" t="s">
        <v>165</v>
      </c>
      <c r="N3549" s="52" t="str">
        <f>IF(AND('331-CT'!$E$7=TH!H3549,OR(L3549="331",M3549="331")),"331",IF(AND(OR(L3549="131",M3549="131"),H3549='131-CT'!$E$7),"131",""))</f>
        <v/>
      </c>
      <c r="O3549" s="869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799"/>
    </row>
    <row r="3550" spans="1:27" s="210" customFormat="1" ht="15.75" customHeight="1">
      <c r="A3550" s="203" t="str">
        <f>IF(B3550&lt;&gt;"",IF(AND(B3550&gt;=_TM1,B3550&lt;=_TM2,OR(TH!L3550="1111",TH!M3550="1111")),TH!D3550,""),"")</f>
        <v/>
      </c>
      <c r="B3550" s="36">
        <f t="shared" si="60"/>
        <v>10</v>
      </c>
      <c r="C3550" s="899">
        <f t="shared" si="62"/>
        <v>42285</v>
      </c>
      <c r="D3550" s="900" t="s">
        <v>2013</v>
      </c>
      <c r="E3550" s="900">
        <v>42285</v>
      </c>
      <c r="F3550" s="907" t="s">
        <v>398</v>
      </c>
      <c r="G3550" s="902" t="s">
        <v>1079</v>
      </c>
      <c r="H3550" s="913" t="s">
        <v>2014</v>
      </c>
      <c r="I3550" s="253">
        <v>919</v>
      </c>
      <c r="J3550" s="253">
        <v>6114.6279187019491</v>
      </c>
      <c r="K3550" s="904">
        <f t="shared" si="61"/>
        <v>5619343</v>
      </c>
      <c r="L3550" s="869" t="s">
        <v>167</v>
      </c>
      <c r="M3550" s="869" t="s">
        <v>165</v>
      </c>
      <c r="N3550" s="52" t="str">
        <f>IF(AND('331-CT'!$E$7=TH!H3550,OR(L3550="331",M3550="331")),"331",IF(AND(OR(L3550="131",M3550="131"),H3550='131-CT'!$E$7),"131",""))</f>
        <v/>
      </c>
      <c r="O3550" s="869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799"/>
    </row>
    <row r="3551" spans="1:27" s="210" customFormat="1" ht="15.75" customHeight="1">
      <c r="A3551" s="203" t="str">
        <f>IF(B3551&lt;&gt;"",IF(AND(B3551&gt;=_TM1,B3551&lt;=_TM2,OR(TH!L3551="1111",TH!M3551="1111")),TH!D3551,""),"")</f>
        <v/>
      </c>
      <c r="B3551" s="36">
        <f t="shared" si="60"/>
        <v>10</v>
      </c>
      <c r="C3551" s="899">
        <f t="shared" si="62"/>
        <v>42285</v>
      </c>
      <c r="D3551" s="900" t="s">
        <v>2013</v>
      </c>
      <c r="E3551" s="900">
        <v>42285</v>
      </c>
      <c r="F3551" s="907" t="s">
        <v>919</v>
      </c>
      <c r="G3551" s="902" t="s">
        <v>1079</v>
      </c>
      <c r="H3551" s="913" t="s">
        <v>2014</v>
      </c>
      <c r="I3551" s="253">
        <v>311</v>
      </c>
      <c r="J3551" s="253">
        <v>6711.1769839411636</v>
      </c>
      <c r="K3551" s="904">
        <f t="shared" si="61"/>
        <v>2087176</v>
      </c>
      <c r="L3551" s="869" t="s">
        <v>167</v>
      </c>
      <c r="M3551" s="869" t="s">
        <v>165</v>
      </c>
      <c r="N3551" s="52" t="str">
        <f>IF(AND('331-CT'!$E$7=TH!H3551,OR(L3551="331",M3551="331")),"331",IF(AND(OR(L3551="131",M3551="131"),H3551='131-CT'!$E$7),"131",""))</f>
        <v/>
      </c>
      <c r="O3551" s="869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799"/>
    </row>
    <row r="3552" spans="1:27" s="210" customFormat="1" ht="15.75" customHeight="1">
      <c r="A3552" s="203" t="str">
        <f>IF(B3552&lt;&gt;"",IF(AND(B3552&gt;=_TM1,B3552&lt;=_TM2,OR(TH!L3552="1111",TH!M3552="1111")),TH!D3552,""),"")</f>
        <v/>
      </c>
      <c r="B3552" s="36">
        <f t="shared" si="60"/>
        <v>10</v>
      </c>
      <c r="C3552" s="899">
        <f t="shared" si="62"/>
        <v>42286</v>
      </c>
      <c r="D3552" s="900" t="s">
        <v>2013</v>
      </c>
      <c r="E3552" s="900">
        <v>42286</v>
      </c>
      <c r="F3552" s="907" t="s">
        <v>518</v>
      </c>
      <c r="G3552" s="902" t="s">
        <v>1080</v>
      </c>
      <c r="H3552" s="913" t="s">
        <v>2014</v>
      </c>
      <c r="I3552" s="253">
        <v>485</v>
      </c>
      <c r="J3552" s="253">
        <v>7755.137848109789</v>
      </c>
      <c r="K3552" s="904">
        <f t="shared" si="61"/>
        <v>3761242</v>
      </c>
      <c r="L3552" s="869" t="s">
        <v>167</v>
      </c>
      <c r="M3552" s="869" t="s">
        <v>165</v>
      </c>
      <c r="N3552" s="52" t="str">
        <f>IF(AND('331-CT'!$E$7=TH!H3552,OR(L3552="331",M3552="331")),"331",IF(AND(OR(L3552="131",M3552="131"),H3552='131-CT'!$E$7),"131",""))</f>
        <v/>
      </c>
      <c r="O3552" s="869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799"/>
    </row>
    <row r="3553" spans="1:27" s="210" customFormat="1" ht="15.75" customHeight="1">
      <c r="A3553" s="203" t="str">
        <f>IF(B3553&lt;&gt;"",IF(AND(B3553&gt;=_TM1,B3553&lt;=_TM2,OR(TH!L3553="1111",TH!M3553="1111")),TH!D3553,""),"")</f>
        <v/>
      </c>
      <c r="B3553" s="36">
        <f t="shared" si="60"/>
        <v>10</v>
      </c>
      <c r="C3553" s="899">
        <f t="shared" si="62"/>
        <v>42286</v>
      </c>
      <c r="D3553" s="900" t="s">
        <v>2013</v>
      </c>
      <c r="E3553" s="900">
        <v>42286</v>
      </c>
      <c r="F3553" s="907" t="s">
        <v>1676</v>
      </c>
      <c r="G3553" s="902" t="s">
        <v>1080</v>
      </c>
      <c r="H3553" s="913" t="s">
        <v>2014</v>
      </c>
      <c r="I3553" s="253">
        <v>1000</v>
      </c>
      <c r="J3553" s="253">
        <v>1043.9608641686254</v>
      </c>
      <c r="K3553" s="904">
        <f t="shared" si="61"/>
        <v>1043961</v>
      </c>
      <c r="L3553" s="869" t="s">
        <v>167</v>
      </c>
      <c r="M3553" s="869" t="s">
        <v>165</v>
      </c>
      <c r="N3553" s="52" t="str">
        <f>IF(AND('331-CT'!$E$7=TH!H3553,OR(L3553="331",M3553="331")),"331",IF(AND(OR(L3553="131",M3553="131"),H3553='131-CT'!$E$7),"131",""))</f>
        <v/>
      </c>
      <c r="O3553" s="869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799"/>
    </row>
    <row r="3554" spans="1:27" s="210" customFormat="1" ht="15.75" customHeight="1">
      <c r="A3554" s="203" t="str">
        <f>IF(B3554&lt;&gt;"",IF(AND(B3554&gt;=_TM1,B3554&lt;=_TM2,OR(TH!L3554="1111",TH!M3554="1111")),TH!D3554,""),"")</f>
        <v/>
      </c>
      <c r="B3554" s="36">
        <f t="shared" si="60"/>
        <v>10</v>
      </c>
      <c r="C3554" s="899">
        <f t="shared" si="62"/>
        <v>42286</v>
      </c>
      <c r="D3554" s="900" t="s">
        <v>2013</v>
      </c>
      <c r="E3554" s="900">
        <v>42286</v>
      </c>
      <c r="F3554" s="907" t="s">
        <v>952</v>
      </c>
      <c r="G3554" s="902" t="s">
        <v>1081</v>
      </c>
      <c r="H3554" s="913" t="s">
        <v>2014</v>
      </c>
      <c r="I3554" s="253">
        <v>157</v>
      </c>
      <c r="J3554" s="253">
        <v>24011.099875878386</v>
      </c>
      <c r="K3554" s="904">
        <f t="shared" si="61"/>
        <v>3769743</v>
      </c>
      <c r="L3554" s="869" t="s">
        <v>167</v>
      </c>
      <c r="M3554" s="869" t="s">
        <v>165</v>
      </c>
      <c r="N3554" s="52" t="str">
        <f>IF(AND('331-CT'!$E$7=TH!H3554,OR(L3554="331",M3554="331")),"331",IF(AND(OR(L3554="131",M3554="131"),H3554='131-CT'!$E$7),"131",""))</f>
        <v/>
      </c>
      <c r="O3554" s="869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799"/>
    </row>
    <row r="3555" spans="1:27" s="210" customFormat="1" ht="15.75" customHeight="1">
      <c r="A3555" s="203" t="str">
        <f>IF(B3555&lt;&gt;"",IF(AND(B3555&gt;=_TM1,B3555&lt;=_TM2,OR(TH!L3555="1111",TH!M3555="1111")),TH!D3555,""),"")</f>
        <v/>
      </c>
      <c r="B3555" s="36">
        <f t="shared" si="60"/>
        <v>10</v>
      </c>
      <c r="C3555" s="899">
        <f t="shared" si="62"/>
        <v>42286</v>
      </c>
      <c r="D3555" s="900" t="s">
        <v>2013</v>
      </c>
      <c r="E3555" s="900">
        <v>42286</v>
      </c>
      <c r="F3555" s="907" t="s">
        <v>1802</v>
      </c>
      <c r="G3555" s="902" t="s">
        <v>1082</v>
      </c>
      <c r="H3555" s="913" t="s">
        <v>2014</v>
      </c>
      <c r="I3555" s="253">
        <v>200</v>
      </c>
      <c r="J3555" s="253">
        <v>6934.8828834058695</v>
      </c>
      <c r="K3555" s="904">
        <f t="shared" si="61"/>
        <v>1386977</v>
      </c>
      <c r="L3555" s="869" t="s">
        <v>167</v>
      </c>
      <c r="M3555" s="869" t="s">
        <v>165</v>
      </c>
      <c r="N3555" s="52" t="str">
        <f>IF(AND('331-CT'!$E$7=TH!H3555,OR(L3555="331",M3555="331")),"331",IF(AND(OR(L3555="131",M3555="131"),H3555='131-CT'!$E$7),"131",""))</f>
        <v/>
      </c>
      <c r="O3555" s="869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799"/>
    </row>
    <row r="3556" spans="1:27" s="210" customFormat="1" ht="15.75" customHeight="1">
      <c r="A3556" s="203" t="str">
        <f>IF(B3556&lt;&gt;"",IF(AND(B3556&gt;=_TM1,B3556&lt;=_TM2,OR(TH!L3556="1111",TH!M3556="1111")),TH!D3556,""),"")</f>
        <v/>
      </c>
      <c r="B3556" s="36">
        <f t="shared" si="60"/>
        <v>10</v>
      </c>
      <c r="C3556" s="899">
        <f t="shared" si="62"/>
        <v>42286</v>
      </c>
      <c r="D3556" s="900" t="s">
        <v>2013</v>
      </c>
      <c r="E3556" s="900">
        <v>42286</v>
      </c>
      <c r="F3556" s="907" t="s">
        <v>1803</v>
      </c>
      <c r="G3556" s="902" t="s">
        <v>1082</v>
      </c>
      <c r="H3556" s="913" t="s">
        <v>2014</v>
      </c>
      <c r="I3556" s="253">
        <v>10</v>
      </c>
      <c r="J3556" s="253">
        <v>18343.883756105846</v>
      </c>
      <c r="K3556" s="904">
        <f t="shared" si="61"/>
        <v>183439</v>
      </c>
      <c r="L3556" s="869" t="s">
        <v>167</v>
      </c>
      <c r="M3556" s="869" t="s">
        <v>165</v>
      </c>
      <c r="N3556" s="52" t="str">
        <f>IF(AND('331-CT'!$E$7=TH!H3556,OR(L3556="331",M3556="331")),"331",IF(AND(OR(L3556="131",M3556="131"),H3556='131-CT'!$E$7),"131",""))</f>
        <v/>
      </c>
      <c r="O3556" s="869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799"/>
    </row>
    <row r="3557" spans="1:27" s="210" customFormat="1" ht="15.75" customHeight="1">
      <c r="A3557" s="203" t="str">
        <f>IF(B3557&lt;&gt;"",IF(AND(B3557&gt;=_TM1,B3557&lt;=_TM2,OR(TH!L3557="1111",TH!M3557="1111")),TH!D3557,""),"")</f>
        <v/>
      </c>
      <c r="B3557" s="36">
        <f t="shared" si="60"/>
        <v>10</v>
      </c>
      <c r="C3557" s="899">
        <f t="shared" si="62"/>
        <v>42286</v>
      </c>
      <c r="D3557" s="900" t="s">
        <v>2013</v>
      </c>
      <c r="E3557" s="900">
        <v>42286</v>
      </c>
      <c r="F3557" s="907" t="s">
        <v>1804</v>
      </c>
      <c r="G3557" s="902" t="s">
        <v>1082</v>
      </c>
      <c r="H3557" s="913" t="s">
        <v>2014</v>
      </c>
      <c r="I3557" s="253">
        <v>55</v>
      </c>
      <c r="J3557" s="253">
        <v>18716.726921880356</v>
      </c>
      <c r="K3557" s="904">
        <f t="shared" si="61"/>
        <v>1029420</v>
      </c>
      <c r="L3557" s="869" t="s">
        <v>167</v>
      </c>
      <c r="M3557" s="869" t="s">
        <v>165</v>
      </c>
      <c r="N3557" s="52" t="str">
        <f>IF(AND('331-CT'!$E$7=TH!H3557,OR(L3557="331",M3557="331")),"331",IF(AND(OR(L3557="131",M3557="131"),H3557='131-CT'!$E$7),"131",""))</f>
        <v/>
      </c>
      <c r="O3557" s="869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799"/>
    </row>
    <row r="3558" spans="1:27" s="210" customFormat="1" ht="15.75" customHeight="1">
      <c r="A3558" s="203" t="str">
        <f>IF(B3558&lt;&gt;"",IF(AND(B3558&gt;=_TM1,B3558&lt;=_TM2,OR(TH!L3558="1111",TH!M3558="1111")),TH!D3558,""),"")</f>
        <v/>
      </c>
      <c r="B3558" s="36">
        <f t="shared" si="60"/>
        <v>10</v>
      </c>
      <c r="C3558" s="899">
        <f t="shared" si="62"/>
        <v>42286</v>
      </c>
      <c r="D3558" s="900" t="s">
        <v>2013</v>
      </c>
      <c r="E3558" s="900">
        <v>42286</v>
      </c>
      <c r="F3558" s="907" t="s">
        <v>742</v>
      </c>
      <c r="G3558" s="902" t="s">
        <v>1082</v>
      </c>
      <c r="H3558" s="913" t="s">
        <v>2014</v>
      </c>
      <c r="I3558" s="253">
        <v>105</v>
      </c>
      <c r="J3558" s="253">
        <v>14615.452098360756</v>
      </c>
      <c r="K3558" s="904">
        <f t="shared" si="61"/>
        <v>1534622</v>
      </c>
      <c r="L3558" s="869" t="s">
        <v>167</v>
      </c>
      <c r="M3558" s="869" t="s">
        <v>165</v>
      </c>
      <c r="N3558" s="52" t="str">
        <f>IF(AND('331-CT'!$E$7=TH!H3558,OR(L3558="331",M3558="331")),"331",IF(AND(OR(L3558="131",M3558="131"),H3558='131-CT'!$E$7),"131",""))</f>
        <v/>
      </c>
      <c r="O3558" s="869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799"/>
    </row>
    <row r="3559" spans="1:27" s="210" customFormat="1" ht="15.75" customHeight="1">
      <c r="A3559" s="203" t="str">
        <f>IF(B3559&lt;&gt;"",IF(AND(B3559&gt;=_TM1,B3559&lt;=_TM2,OR(TH!L3559="1111",TH!M3559="1111")),TH!D3559,""),"")</f>
        <v/>
      </c>
      <c r="B3559" s="36">
        <f t="shared" si="60"/>
        <v>10</v>
      </c>
      <c r="C3559" s="899">
        <f t="shared" si="62"/>
        <v>42287</v>
      </c>
      <c r="D3559" s="900" t="s">
        <v>2013</v>
      </c>
      <c r="E3559" s="900">
        <v>42287</v>
      </c>
      <c r="F3559" s="907" t="s">
        <v>1083</v>
      </c>
      <c r="G3559" s="902" t="s">
        <v>1084</v>
      </c>
      <c r="H3559" s="913" t="s">
        <v>2014</v>
      </c>
      <c r="I3559" s="253">
        <v>710</v>
      </c>
      <c r="J3559" s="253">
        <v>13273.216701572524</v>
      </c>
      <c r="K3559" s="904">
        <f t="shared" si="61"/>
        <v>9423984</v>
      </c>
      <c r="L3559" s="869" t="s">
        <v>167</v>
      </c>
      <c r="M3559" s="869" t="s">
        <v>165</v>
      </c>
      <c r="N3559" s="52" t="str">
        <f>IF(AND('331-CT'!$E$7=TH!H3559,OR(L3559="331",M3559="331")),"331",IF(AND(OR(L3559="131",M3559="131"),H3559='131-CT'!$E$7),"131",""))</f>
        <v/>
      </c>
      <c r="O3559" s="869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799"/>
    </row>
    <row r="3560" spans="1:27" s="210" customFormat="1" ht="15.75" customHeight="1">
      <c r="A3560" s="203" t="str">
        <f>IF(B3560&lt;&gt;"",IF(AND(B3560&gt;=_TM1,B3560&lt;=_TM2,OR(TH!L3560="1111",TH!M3560="1111")),TH!D3560,""),"")</f>
        <v/>
      </c>
      <c r="B3560" s="36">
        <f t="shared" si="60"/>
        <v>10</v>
      </c>
      <c r="C3560" s="899">
        <f t="shared" si="62"/>
        <v>42287</v>
      </c>
      <c r="D3560" s="900" t="s">
        <v>2013</v>
      </c>
      <c r="E3560" s="900">
        <v>42287</v>
      </c>
      <c r="F3560" s="907" t="s">
        <v>1691</v>
      </c>
      <c r="G3560" s="902" t="s">
        <v>1085</v>
      </c>
      <c r="H3560" s="913" t="s">
        <v>2014</v>
      </c>
      <c r="I3560" s="253">
        <v>1000</v>
      </c>
      <c r="J3560" s="253">
        <v>447.41179892941091</v>
      </c>
      <c r="K3560" s="904">
        <f t="shared" si="61"/>
        <v>447412</v>
      </c>
      <c r="L3560" s="869" t="s">
        <v>167</v>
      </c>
      <c r="M3560" s="869" t="s">
        <v>165</v>
      </c>
      <c r="N3560" s="52" t="str">
        <f>IF(AND('331-CT'!$E$7=TH!H3560,OR(L3560="331",M3560="331")),"331",IF(AND(OR(L3560="131",M3560="131"),H3560='131-CT'!$E$7),"131",""))</f>
        <v/>
      </c>
      <c r="O3560" s="869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799"/>
    </row>
    <row r="3561" spans="1:27" s="210" customFormat="1" ht="15.75" customHeight="1">
      <c r="A3561" s="203" t="str">
        <f>IF(B3561&lt;&gt;"",IF(AND(B3561&gt;=_TM1,B3561&lt;=_TM2,OR(TH!L3561="1111",TH!M3561="1111")),TH!D3561,""),"")</f>
        <v/>
      </c>
      <c r="B3561" s="36">
        <f t="shared" si="60"/>
        <v>10</v>
      </c>
      <c r="C3561" s="899">
        <f t="shared" si="62"/>
        <v>42287</v>
      </c>
      <c r="D3561" s="900" t="s">
        <v>2013</v>
      </c>
      <c r="E3561" s="900">
        <v>42287</v>
      </c>
      <c r="F3561" s="907" t="s">
        <v>1692</v>
      </c>
      <c r="G3561" s="902" t="s">
        <v>1085</v>
      </c>
      <c r="H3561" s="913" t="s">
        <v>2014</v>
      </c>
      <c r="I3561" s="253">
        <v>1000</v>
      </c>
      <c r="J3561" s="253">
        <v>596.54906523921454</v>
      </c>
      <c r="K3561" s="904">
        <f t="shared" si="61"/>
        <v>596549</v>
      </c>
      <c r="L3561" s="869" t="s">
        <v>167</v>
      </c>
      <c r="M3561" s="869" t="s">
        <v>165</v>
      </c>
      <c r="N3561" s="52" t="str">
        <f>IF(AND('331-CT'!$E$7=TH!H3561,OR(L3561="331",M3561="331")),"331",IF(AND(OR(L3561="131",M3561="131"),H3561='131-CT'!$E$7),"131",""))</f>
        <v/>
      </c>
      <c r="O3561" s="869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799"/>
    </row>
    <row r="3562" spans="1:27" s="210" customFormat="1" ht="15.75" customHeight="1">
      <c r="A3562" s="203" t="str">
        <f>IF(B3562&lt;&gt;"",IF(AND(B3562&gt;=_TM1,B3562&lt;=_TM2,OR(TH!L3562="1111",TH!M3562="1111")),TH!D3562,""),"")</f>
        <v/>
      </c>
      <c r="B3562" s="36">
        <f t="shared" si="60"/>
        <v>10</v>
      </c>
      <c r="C3562" s="899">
        <f t="shared" si="62"/>
        <v>42287</v>
      </c>
      <c r="D3562" s="900" t="s">
        <v>2013</v>
      </c>
      <c r="E3562" s="900">
        <v>42287</v>
      </c>
      <c r="F3562" s="907" t="s">
        <v>1805</v>
      </c>
      <c r="G3562" s="902" t="s">
        <v>1086</v>
      </c>
      <c r="H3562" s="913" t="s">
        <v>2014</v>
      </c>
      <c r="I3562" s="253">
        <v>65</v>
      </c>
      <c r="J3562" s="253">
        <v>9544.7850438274327</v>
      </c>
      <c r="K3562" s="904">
        <f t="shared" si="61"/>
        <v>620411</v>
      </c>
      <c r="L3562" s="869" t="s">
        <v>167</v>
      </c>
      <c r="M3562" s="869" t="s">
        <v>165</v>
      </c>
      <c r="N3562" s="52" t="str">
        <f>IF(AND('331-CT'!$E$7=TH!H3562,OR(L3562="331",M3562="331")),"331",IF(AND(OR(L3562="131",M3562="131"),H3562='131-CT'!$E$7),"131",""))</f>
        <v/>
      </c>
      <c r="O3562" s="869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799"/>
    </row>
    <row r="3563" spans="1:27" s="210" customFormat="1" ht="15.75" customHeight="1">
      <c r="A3563" s="203" t="str">
        <f>IF(B3563&lt;&gt;"",IF(AND(B3563&gt;=_TM1,B3563&lt;=_TM2,OR(TH!L3563="1111",TH!M3563="1111")),TH!D3563,""),"")</f>
        <v/>
      </c>
      <c r="B3563" s="36">
        <f t="shared" si="60"/>
        <v>10</v>
      </c>
      <c r="C3563" s="899">
        <f t="shared" si="62"/>
        <v>42287</v>
      </c>
      <c r="D3563" s="900" t="s">
        <v>2013</v>
      </c>
      <c r="E3563" s="900">
        <v>42287</v>
      </c>
      <c r="F3563" s="907" t="s">
        <v>1746</v>
      </c>
      <c r="G3563" s="902" t="s">
        <v>1086</v>
      </c>
      <c r="H3563" s="913" t="s">
        <v>2014</v>
      </c>
      <c r="I3563" s="253">
        <v>65</v>
      </c>
      <c r="J3563" s="253">
        <v>7978.843747574495</v>
      </c>
      <c r="K3563" s="904">
        <f t="shared" si="61"/>
        <v>518625</v>
      </c>
      <c r="L3563" s="869" t="s">
        <v>167</v>
      </c>
      <c r="M3563" s="869" t="s">
        <v>165</v>
      </c>
      <c r="N3563" s="52" t="str">
        <f>IF(AND('331-CT'!$E$7=TH!H3563,OR(L3563="331",M3563="331")),"331",IF(AND(OR(L3563="131",M3563="131"),H3563='131-CT'!$E$7),"131",""))</f>
        <v/>
      </c>
      <c r="O3563" s="869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799"/>
    </row>
    <row r="3564" spans="1:27" s="210" customFormat="1" ht="15.75" customHeight="1">
      <c r="A3564" s="203" t="str">
        <f>IF(B3564&lt;&gt;"",IF(AND(B3564&gt;=_TM1,B3564&lt;=_TM2,OR(TH!L3564="1111",TH!M3564="1111")),TH!D3564,""),"")</f>
        <v/>
      </c>
      <c r="B3564" s="36">
        <f t="shared" si="60"/>
        <v>10</v>
      </c>
      <c r="C3564" s="899">
        <f t="shared" si="62"/>
        <v>42287</v>
      </c>
      <c r="D3564" s="900" t="s">
        <v>2013</v>
      </c>
      <c r="E3564" s="900">
        <v>42287</v>
      </c>
      <c r="F3564" s="907" t="s">
        <v>1743</v>
      </c>
      <c r="G3564" s="902" t="s">
        <v>1086</v>
      </c>
      <c r="H3564" s="913" t="s">
        <v>2014</v>
      </c>
      <c r="I3564" s="253">
        <v>105</v>
      </c>
      <c r="J3564" s="253">
        <v>6412.9024513215563</v>
      </c>
      <c r="K3564" s="904">
        <f t="shared" si="61"/>
        <v>673355</v>
      </c>
      <c r="L3564" s="869" t="s">
        <v>167</v>
      </c>
      <c r="M3564" s="869" t="s">
        <v>165</v>
      </c>
      <c r="N3564" s="52" t="str">
        <f>IF(AND('331-CT'!$E$7=TH!H3564,OR(L3564="331",M3564="331")),"331",IF(AND(OR(L3564="131",M3564="131"),H3564='131-CT'!$E$7),"131",""))</f>
        <v/>
      </c>
      <c r="O3564" s="869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799"/>
    </row>
    <row r="3565" spans="1:27" s="210" customFormat="1" ht="15.75" customHeight="1">
      <c r="A3565" s="203" t="str">
        <f>IF(B3565&lt;&gt;"",IF(AND(B3565&gt;=_TM1,B3565&lt;=_TM2,OR(TH!L3565="1111",TH!M3565="1111")),TH!D3565,""),"")</f>
        <v/>
      </c>
      <c r="B3565" s="36">
        <f t="shared" si="60"/>
        <v>10</v>
      </c>
      <c r="C3565" s="899">
        <f t="shared" si="62"/>
        <v>42287</v>
      </c>
      <c r="D3565" s="900" t="s">
        <v>2013</v>
      </c>
      <c r="E3565" s="900">
        <v>42287</v>
      </c>
      <c r="F3565" s="907" t="s">
        <v>1744</v>
      </c>
      <c r="G3565" s="902" t="s">
        <v>1086</v>
      </c>
      <c r="H3565" s="913" t="s">
        <v>2014</v>
      </c>
      <c r="I3565" s="253">
        <v>105</v>
      </c>
      <c r="J3565" s="253">
        <v>5890.9220192372441</v>
      </c>
      <c r="K3565" s="904">
        <f t="shared" si="61"/>
        <v>618547</v>
      </c>
      <c r="L3565" s="869" t="s">
        <v>167</v>
      </c>
      <c r="M3565" s="869" t="s">
        <v>165</v>
      </c>
      <c r="N3565" s="52" t="str">
        <f>IF(AND('331-CT'!$E$7=TH!H3565,OR(L3565="331",M3565="331")),"331",IF(AND(OR(L3565="131",M3565="131"),H3565='131-CT'!$E$7),"131",""))</f>
        <v/>
      </c>
      <c r="O3565" s="869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799"/>
    </row>
    <row r="3566" spans="1:27" s="210" customFormat="1" ht="15.75" customHeight="1">
      <c r="A3566" s="203" t="str">
        <f>IF(B3566&lt;&gt;"",IF(AND(B3566&gt;=_TM1,B3566&lt;=_TM2,OR(TH!L3566="1111",TH!M3566="1111")),TH!D3566,""),"")</f>
        <v/>
      </c>
      <c r="B3566" s="36">
        <f t="shared" si="60"/>
        <v>10</v>
      </c>
      <c r="C3566" s="899">
        <f t="shared" si="62"/>
        <v>42287</v>
      </c>
      <c r="D3566" s="900" t="s">
        <v>2013</v>
      </c>
      <c r="E3566" s="900">
        <v>42287</v>
      </c>
      <c r="F3566" s="907" t="s">
        <v>748</v>
      </c>
      <c r="G3566" s="902" t="s">
        <v>1086</v>
      </c>
      <c r="H3566" s="913" t="s">
        <v>2014</v>
      </c>
      <c r="I3566" s="253">
        <v>150</v>
      </c>
      <c r="J3566" s="253">
        <v>13944.334399966641</v>
      </c>
      <c r="K3566" s="904">
        <f t="shared" si="61"/>
        <v>2091650</v>
      </c>
      <c r="L3566" s="869" t="s">
        <v>167</v>
      </c>
      <c r="M3566" s="869" t="s">
        <v>165</v>
      </c>
      <c r="N3566" s="52" t="str">
        <f>IF(AND('331-CT'!$E$7=TH!H3566,OR(L3566="331",M3566="331")),"331",IF(AND(OR(L3566="131",M3566="131"),H3566='131-CT'!$E$7),"131",""))</f>
        <v/>
      </c>
      <c r="O3566" s="869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799"/>
    </row>
    <row r="3567" spans="1:27" s="210" customFormat="1" ht="15.75" customHeight="1">
      <c r="A3567" s="203" t="str">
        <f>IF(B3567&lt;&gt;"",IF(AND(B3567&gt;=_TM1,B3567&lt;=_TM2,OR(TH!L3567="1111",TH!M3567="1111")),TH!D3567,""),"")</f>
        <v/>
      </c>
      <c r="B3567" s="36">
        <f t="shared" si="60"/>
        <v>10</v>
      </c>
      <c r="C3567" s="899">
        <f t="shared" si="62"/>
        <v>42287</v>
      </c>
      <c r="D3567" s="900" t="s">
        <v>2013</v>
      </c>
      <c r="E3567" s="900">
        <v>42287</v>
      </c>
      <c r="F3567" s="907" t="s">
        <v>728</v>
      </c>
      <c r="G3567" s="902" t="s">
        <v>1086</v>
      </c>
      <c r="H3567" s="913" t="s">
        <v>2014</v>
      </c>
      <c r="I3567" s="253">
        <v>300</v>
      </c>
      <c r="J3567" s="253">
        <v>12676.667636333308</v>
      </c>
      <c r="K3567" s="904">
        <f t="shared" si="61"/>
        <v>3803000</v>
      </c>
      <c r="L3567" s="869" t="s">
        <v>167</v>
      </c>
      <c r="M3567" s="869" t="s">
        <v>165</v>
      </c>
      <c r="N3567" s="52" t="str">
        <f>IF(AND('331-CT'!$E$7=TH!H3567,OR(L3567="331",M3567="331")),"331",IF(AND(OR(L3567="131",M3567="131"),H3567='131-CT'!$E$7),"131",""))</f>
        <v/>
      </c>
      <c r="O3567" s="869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799"/>
    </row>
    <row r="3568" spans="1:27" s="210" customFormat="1" ht="15.75" customHeight="1">
      <c r="A3568" s="203" t="str">
        <f>IF(B3568&lt;&gt;"",IF(AND(B3568&gt;=_TM1,B3568&lt;=_TM2,OR(TH!L3568="1111",TH!M3568="1111")),TH!D3568,""),"")</f>
        <v/>
      </c>
      <c r="B3568" s="36">
        <f t="shared" si="60"/>
        <v>10</v>
      </c>
      <c r="C3568" s="899">
        <f t="shared" si="62"/>
        <v>42289</v>
      </c>
      <c r="D3568" s="900" t="s">
        <v>2013</v>
      </c>
      <c r="E3568" s="900">
        <v>42289</v>
      </c>
      <c r="F3568" s="907" t="s">
        <v>1806</v>
      </c>
      <c r="G3568" s="902" t="s">
        <v>1087</v>
      </c>
      <c r="H3568" s="913" t="s">
        <v>2014</v>
      </c>
      <c r="I3568" s="253">
        <v>220</v>
      </c>
      <c r="J3568" s="253">
        <v>9097.3732448980209</v>
      </c>
      <c r="K3568" s="904">
        <f t="shared" si="61"/>
        <v>2001422</v>
      </c>
      <c r="L3568" s="869" t="s">
        <v>167</v>
      </c>
      <c r="M3568" s="869" t="s">
        <v>165</v>
      </c>
      <c r="N3568" s="52" t="str">
        <f>IF(AND('331-CT'!$E$7=TH!H3568,OR(L3568="331",M3568="331")),"331",IF(AND(OR(L3568="131",M3568="131"),H3568='131-CT'!$E$7),"131",""))</f>
        <v/>
      </c>
      <c r="O3568" s="869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799"/>
    </row>
    <row r="3569" spans="1:27" s="210" customFormat="1" ht="15.75" customHeight="1">
      <c r="A3569" s="203" t="str">
        <f>IF(B3569&lt;&gt;"",IF(AND(B3569&gt;=_TM1,B3569&lt;=_TM2,OR(TH!L3569="1111",TH!M3569="1111")),TH!D3569,""),"")</f>
        <v/>
      </c>
      <c r="B3569" s="36">
        <f t="shared" si="60"/>
        <v>10</v>
      </c>
      <c r="C3569" s="899">
        <f t="shared" si="62"/>
        <v>42289</v>
      </c>
      <c r="D3569" s="900" t="s">
        <v>2013</v>
      </c>
      <c r="E3569" s="900">
        <v>42289</v>
      </c>
      <c r="F3569" s="907" t="s">
        <v>1782</v>
      </c>
      <c r="G3569" s="902" t="s">
        <v>1087</v>
      </c>
      <c r="H3569" s="913" t="s">
        <v>2014</v>
      </c>
      <c r="I3569" s="253">
        <v>140</v>
      </c>
      <c r="J3569" s="253">
        <v>10588.745907996057</v>
      </c>
      <c r="K3569" s="904">
        <f t="shared" si="61"/>
        <v>1482424</v>
      </c>
      <c r="L3569" s="869" t="s">
        <v>167</v>
      </c>
      <c r="M3569" s="869" t="s">
        <v>165</v>
      </c>
      <c r="N3569" s="52" t="str">
        <f>IF(AND('331-CT'!$E$7=TH!H3569,OR(L3569="331",M3569="331")),"331",IF(AND(OR(L3569="131",M3569="131"),H3569='131-CT'!$E$7),"131",""))</f>
        <v/>
      </c>
      <c r="O3569" s="869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799"/>
    </row>
    <row r="3570" spans="1:27" s="210" customFormat="1" ht="15.75" customHeight="1">
      <c r="A3570" s="203" t="str">
        <f>IF(B3570&lt;&gt;"",IF(AND(B3570&gt;=_TM1,B3570&lt;=_TM2,OR(TH!L3570="1111",TH!M3570="1111")),TH!D3570,""),"")</f>
        <v/>
      </c>
      <c r="B3570" s="36">
        <f t="shared" si="60"/>
        <v>10</v>
      </c>
      <c r="C3570" s="899">
        <f t="shared" si="62"/>
        <v>42289</v>
      </c>
      <c r="D3570" s="900" t="s">
        <v>2013</v>
      </c>
      <c r="E3570" s="900">
        <v>42289</v>
      </c>
      <c r="F3570" s="907" t="s">
        <v>1807</v>
      </c>
      <c r="G3570" s="902" t="s">
        <v>1087</v>
      </c>
      <c r="H3570" s="913" t="s">
        <v>2014</v>
      </c>
      <c r="I3570" s="253">
        <v>20</v>
      </c>
      <c r="J3570" s="253">
        <v>10290.47137537645</v>
      </c>
      <c r="K3570" s="904">
        <f t="shared" si="61"/>
        <v>205809</v>
      </c>
      <c r="L3570" s="869" t="s">
        <v>167</v>
      </c>
      <c r="M3570" s="869" t="s">
        <v>165</v>
      </c>
      <c r="N3570" s="52" t="str">
        <f>IF(AND('331-CT'!$E$7=TH!H3570,OR(L3570="331",M3570="331")),"331",IF(AND(OR(L3570="131",M3570="131"),H3570='131-CT'!$E$7),"131",""))</f>
        <v/>
      </c>
      <c r="O3570" s="869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799"/>
    </row>
    <row r="3571" spans="1:27" s="210" customFormat="1" ht="15.75" customHeight="1">
      <c r="A3571" s="203" t="str">
        <f>IF(B3571&lt;&gt;"",IF(AND(B3571&gt;=_TM1,B3571&lt;=_TM2,OR(TH!L3571="1111",TH!M3571="1111")),TH!D3571,""),"")</f>
        <v/>
      </c>
      <c r="B3571" s="36">
        <f t="shared" si="60"/>
        <v>10</v>
      </c>
      <c r="C3571" s="899">
        <f t="shared" si="62"/>
        <v>42289</v>
      </c>
      <c r="D3571" s="900" t="s">
        <v>2013</v>
      </c>
      <c r="E3571" s="900">
        <v>42289</v>
      </c>
      <c r="F3571" s="907" t="s">
        <v>1761</v>
      </c>
      <c r="G3571" s="902" t="s">
        <v>1087</v>
      </c>
      <c r="H3571" s="913" t="s">
        <v>2014</v>
      </c>
      <c r="I3571" s="253">
        <v>102</v>
      </c>
      <c r="J3571" s="253">
        <v>10812.451807460764</v>
      </c>
      <c r="K3571" s="904">
        <f t="shared" si="61"/>
        <v>1102870</v>
      </c>
      <c r="L3571" s="869" t="s">
        <v>167</v>
      </c>
      <c r="M3571" s="869" t="s">
        <v>165</v>
      </c>
      <c r="N3571" s="52" t="str">
        <f>IF(AND('331-CT'!$E$7=TH!H3571,OR(L3571="331",M3571="331")),"331",IF(AND(OR(L3571="131",M3571="131"),H3571='131-CT'!$E$7),"131",""))</f>
        <v/>
      </c>
      <c r="O3571" s="869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799"/>
    </row>
    <row r="3572" spans="1:27" s="210" customFormat="1" ht="15.75" customHeight="1">
      <c r="A3572" s="203" t="str">
        <f>IF(B3572&lt;&gt;"",IF(AND(B3572&gt;=_TM1,B3572&lt;=_TM2,OR(TH!L3572="1111",TH!M3572="1111")),TH!D3572,""),"")</f>
        <v/>
      </c>
      <c r="B3572" s="36">
        <f t="shared" si="60"/>
        <v>10</v>
      </c>
      <c r="C3572" s="899">
        <f t="shared" si="62"/>
        <v>42289</v>
      </c>
      <c r="D3572" s="900" t="s">
        <v>2013</v>
      </c>
      <c r="E3572" s="900">
        <v>42289</v>
      </c>
      <c r="F3572" s="907" t="s">
        <v>1088</v>
      </c>
      <c r="G3572" s="902" t="s">
        <v>1089</v>
      </c>
      <c r="H3572" s="913" t="s">
        <v>2014</v>
      </c>
      <c r="I3572" s="253">
        <v>300</v>
      </c>
      <c r="J3572" s="253">
        <v>8202.5496470392009</v>
      </c>
      <c r="K3572" s="904">
        <f t="shared" si="61"/>
        <v>2460765</v>
      </c>
      <c r="L3572" s="869" t="s">
        <v>167</v>
      </c>
      <c r="M3572" s="869" t="s">
        <v>165</v>
      </c>
      <c r="N3572" s="52" t="str">
        <f>IF(AND('331-CT'!$E$7=TH!H3572,OR(L3572="331",M3572="331")),"331",IF(AND(OR(L3572="131",M3572="131"),H3572='131-CT'!$E$7),"131",""))</f>
        <v/>
      </c>
      <c r="O3572" s="869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799"/>
    </row>
    <row r="3573" spans="1:27" s="210" customFormat="1" ht="15.75" customHeight="1">
      <c r="A3573" s="203" t="str">
        <f>IF(B3573&lt;&gt;"",IF(AND(B3573&gt;=_TM1,B3573&lt;=_TM2,OR(TH!L3573="1111",TH!M3573="1111")),TH!D3573,""),"")</f>
        <v/>
      </c>
      <c r="B3573" s="36">
        <f t="shared" si="60"/>
        <v>10</v>
      </c>
      <c r="C3573" s="899">
        <f t="shared" si="62"/>
        <v>42289</v>
      </c>
      <c r="D3573" s="900" t="s">
        <v>2013</v>
      </c>
      <c r="E3573" s="900">
        <v>42289</v>
      </c>
      <c r="F3573" s="907" t="s">
        <v>1091</v>
      </c>
      <c r="G3573" s="902" t="s">
        <v>1092</v>
      </c>
      <c r="H3573" s="913" t="s">
        <v>2014</v>
      </c>
      <c r="I3573" s="253">
        <v>300</v>
      </c>
      <c r="J3573" s="253">
        <v>26173.590237370536</v>
      </c>
      <c r="K3573" s="904">
        <f t="shared" si="61"/>
        <v>7852077</v>
      </c>
      <c r="L3573" s="869" t="s">
        <v>167</v>
      </c>
      <c r="M3573" s="869" t="s">
        <v>165</v>
      </c>
      <c r="N3573" s="52" t="str">
        <f>IF(AND('331-CT'!$E$7=TH!H3573,OR(L3573="331",M3573="331")),"331",IF(AND(OR(L3573="131",M3573="131"),H3573='131-CT'!$E$7),"131",""))</f>
        <v/>
      </c>
      <c r="O3573" s="869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799"/>
    </row>
    <row r="3574" spans="1:27" s="210" customFormat="1" ht="15.75" customHeight="1">
      <c r="A3574" s="203" t="str">
        <f>IF(B3574&lt;&gt;"",IF(AND(B3574&gt;=_TM1,B3574&lt;=_TM2,OR(TH!L3574="1111",TH!M3574="1111")),TH!D3574,""),"")</f>
        <v/>
      </c>
      <c r="B3574" s="36">
        <f t="shared" si="60"/>
        <v>10</v>
      </c>
      <c r="C3574" s="899">
        <f t="shared" si="62"/>
        <v>42289</v>
      </c>
      <c r="D3574" s="900" t="s">
        <v>2013</v>
      </c>
      <c r="E3574" s="900">
        <v>42289</v>
      </c>
      <c r="F3574" s="907" t="s">
        <v>1094</v>
      </c>
      <c r="G3574" s="902" t="s">
        <v>1092</v>
      </c>
      <c r="H3574" s="913" t="s">
        <v>2014</v>
      </c>
      <c r="I3574" s="253">
        <v>50</v>
      </c>
      <c r="J3574" s="253">
        <v>41534.728667280317</v>
      </c>
      <c r="K3574" s="904">
        <f t="shared" si="61"/>
        <v>2076736</v>
      </c>
      <c r="L3574" s="869" t="s">
        <v>167</v>
      </c>
      <c r="M3574" s="869" t="s">
        <v>165</v>
      </c>
      <c r="N3574" s="52" t="str">
        <f>IF(AND('331-CT'!$E$7=TH!H3574,OR(L3574="331",M3574="331")),"331",IF(AND(OR(L3574="131",M3574="131"),H3574='131-CT'!$E$7),"131",""))</f>
        <v/>
      </c>
      <c r="O3574" s="869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799"/>
    </row>
    <row r="3575" spans="1:27" s="210" customFormat="1" ht="15.75" customHeight="1">
      <c r="A3575" s="203" t="str">
        <f>IF(B3575&lt;&gt;"",IF(AND(B3575&gt;=_TM1,B3575&lt;=_TM2,OR(TH!L3575="1111",TH!M3575="1111")),TH!D3575,""),"")</f>
        <v/>
      </c>
      <c r="B3575" s="36">
        <f t="shared" si="60"/>
        <v>10</v>
      </c>
      <c r="C3575" s="899">
        <f t="shared" si="62"/>
        <v>42289</v>
      </c>
      <c r="D3575" s="900" t="s">
        <v>2013</v>
      </c>
      <c r="E3575" s="900">
        <v>42289</v>
      </c>
      <c r="F3575" s="907" t="s">
        <v>1740</v>
      </c>
      <c r="G3575" s="902" t="s">
        <v>1095</v>
      </c>
      <c r="H3575" s="913" t="s">
        <v>2014</v>
      </c>
      <c r="I3575" s="253">
        <v>1400</v>
      </c>
      <c r="J3575" s="253">
        <v>8799.0987122784136</v>
      </c>
      <c r="K3575" s="904">
        <f t="shared" si="61"/>
        <v>12318738</v>
      </c>
      <c r="L3575" s="869" t="s">
        <v>167</v>
      </c>
      <c r="M3575" s="869" t="s">
        <v>165</v>
      </c>
      <c r="N3575" s="52" t="str">
        <f>IF(AND('331-CT'!$E$7=TH!H3575,OR(L3575="331",M3575="331")),"331",IF(AND(OR(L3575="131",M3575="131"),H3575='131-CT'!$E$7),"131",""))</f>
        <v/>
      </c>
      <c r="O3575" s="869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799"/>
    </row>
    <row r="3576" spans="1:27" s="210" customFormat="1" ht="15.75" customHeight="1">
      <c r="A3576" s="203" t="str">
        <f>IF(B3576&lt;&gt;"",IF(AND(B3576&gt;=_TM1,B3576&lt;=_TM2,OR(TH!L3576="1111",TH!M3576="1111")),TH!D3576,""),"")</f>
        <v/>
      </c>
      <c r="B3576" s="36">
        <f t="shared" si="60"/>
        <v>10</v>
      </c>
      <c r="C3576" s="899">
        <f t="shared" si="62"/>
        <v>42290</v>
      </c>
      <c r="D3576" s="900" t="s">
        <v>2013</v>
      </c>
      <c r="E3576" s="900">
        <v>42290</v>
      </c>
      <c r="F3576" s="907" t="s">
        <v>2008</v>
      </c>
      <c r="G3576" s="902" t="s">
        <v>1097</v>
      </c>
      <c r="H3576" s="913" t="s">
        <v>2014</v>
      </c>
      <c r="I3576" s="253">
        <v>200</v>
      </c>
      <c r="J3576" s="253">
        <v>3206.4512256607782</v>
      </c>
      <c r="K3576" s="904">
        <f t="shared" si="61"/>
        <v>641290</v>
      </c>
      <c r="L3576" s="869" t="s">
        <v>167</v>
      </c>
      <c r="M3576" s="869" t="s">
        <v>165</v>
      </c>
      <c r="N3576" s="52" t="str">
        <f>IF(AND('331-CT'!$E$7=TH!H3576,OR(L3576="331",M3576="331")),"331",IF(AND(OR(L3576="131",M3576="131"),H3576='131-CT'!$E$7),"131",""))</f>
        <v/>
      </c>
      <c r="O3576" s="869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799"/>
    </row>
    <row r="3577" spans="1:27" s="210" customFormat="1" ht="15.75" customHeight="1">
      <c r="A3577" s="203" t="str">
        <f>IF(B3577&lt;&gt;"",IF(AND(B3577&gt;=_TM1,B3577&lt;=_TM2,OR(TH!L3577="1111",TH!M3577="1111")),TH!D3577,""),"")</f>
        <v/>
      </c>
      <c r="B3577" s="36">
        <f t="shared" si="60"/>
        <v>10</v>
      </c>
      <c r="C3577" s="899">
        <f t="shared" si="62"/>
        <v>42290</v>
      </c>
      <c r="D3577" s="900" t="s">
        <v>2013</v>
      </c>
      <c r="E3577" s="900">
        <v>42290</v>
      </c>
      <c r="F3577" s="907" t="s">
        <v>746</v>
      </c>
      <c r="G3577" s="902" t="s">
        <v>1098</v>
      </c>
      <c r="H3577" s="913" t="s">
        <v>2014</v>
      </c>
      <c r="I3577" s="253">
        <v>1000</v>
      </c>
      <c r="J3577" s="253">
        <v>17225.354258782321</v>
      </c>
      <c r="K3577" s="904">
        <f t="shared" si="61"/>
        <v>17225354</v>
      </c>
      <c r="L3577" s="869" t="s">
        <v>167</v>
      </c>
      <c r="M3577" s="869" t="s">
        <v>165</v>
      </c>
      <c r="N3577" s="52" t="str">
        <f>IF(AND('331-CT'!$E$7=TH!H3577,OR(L3577="331",M3577="331")),"331",IF(AND(OR(L3577="131",M3577="131"),H3577='131-CT'!$E$7),"131",""))</f>
        <v/>
      </c>
      <c r="O3577" s="869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799"/>
    </row>
    <row r="3578" spans="1:27" s="210" customFormat="1" ht="15.75" customHeight="1">
      <c r="A3578" s="203" t="str">
        <f>IF(B3578&lt;&gt;"",IF(AND(B3578&gt;=_TM1,B3578&lt;=_TM2,OR(TH!L3578="1111",TH!M3578="1111")),TH!D3578,""),"")</f>
        <v/>
      </c>
      <c r="B3578" s="36">
        <f t="shared" si="60"/>
        <v>10</v>
      </c>
      <c r="C3578" s="899">
        <f t="shared" si="62"/>
        <v>42291</v>
      </c>
      <c r="D3578" s="900" t="s">
        <v>2013</v>
      </c>
      <c r="E3578" s="900">
        <v>42291</v>
      </c>
      <c r="F3578" s="907" t="s">
        <v>1948</v>
      </c>
      <c r="G3578" s="902" t="s">
        <v>1099</v>
      </c>
      <c r="H3578" s="913" t="s">
        <v>2014</v>
      </c>
      <c r="I3578" s="253">
        <v>2107</v>
      </c>
      <c r="J3578" s="253">
        <v>9246.5105112078254</v>
      </c>
      <c r="K3578" s="904">
        <f t="shared" si="61"/>
        <v>19482398</v>
      </c>
      <c r="L3578" s="869" t="s">
        <v>167</v>
      </c>
      <c r="M3578" s="869" t="s">
        <v>165</v>
      </c>
      <c r="N3578" s="52" t="str">
        <f>IF(AND('331-CT'!$E$7=TH!H3578,OR(L3578="331",M3578="331")),"331",IF(AND(OR(L3578="131",M3578="131"),H3578='131-CT'!$E$7),"131",""))</f>
        <v/>
      </c>
      <c r="O3578" s="869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799"/>
    </row>
    <row r="3579" spans="1:27" s="210" customFormat="1" ht="15.75" customHeight="1">
      <c r="A3579" s="203" t="str">
        <f>IF(B3579&lt;&gt;"",IF(AND(B3579&gt;=_TM1,B3579&lt;=_TM2,OR(TH!L3579="1111",TH!M3579="1111")),TH!D3579,""),"")</f>
        <v/>
      </c>
      <c r="B3579" s="36">
        <f t="shared" si="60"/>
        <v>10</v>
      </c>
      <c r="C3579" s="899">
        <f t="shared" si="62"/>
        <v>42293</v>
      </c>
      <c r="D3579" s="900" t="s">
        <v>2013</v>
      </c>
      <c r="E3579" s="900">
        <v>42293</v>
      </c>
      <c r="F3579" s="907" t="s">
        <v>1766</v>
      </c>
      <c r="G3579" s="902" t="s">
        <v>1100</v>
      </c>
      <c r="H3579" s="913" t="s">
        <v>2014</v>
      </c>
      <c r="I3579" s="253">
        <v>1500</v>
      </c>
      <c r="J3579" s="253">
        <v>9321.0791443627277</v>
      </c>
      <c r="K3579" s="904">
        <f t="shared" si="61"/>
        <v>13981619</v>
      </c>
      <c r="L3579" s="869" t="s">
        <v>167</v>
      </c>
      <c r="M3579" s="869" t="s">
        <v>165</v>
      </c>
      <c r="N3579" s="52" t="str">
        <f>IF(AND('331-CT'!$E$7=TH!H3579,OR(L3579="331",M3579="331")),"331",IF(AND(OR(L3579="131",M3579="131"),H3579='131-CT'!$E$7),"131",""))</f>
        <v/>
      </c>
      <c r="O3579" s="869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799"/>
    </row>
    <row r="3580" spans="1:27" s="210" customFormat="1" ht="15.75" customHeight="1">
      <c r="A3580" s="203" t="str">
        <f>IF(B3580&lt;&gt;"",IF(AND(B3580&gt;=_TM1,B3580&lt;=_TM2,OR(TH!L3580="1111",TH!M3580="1111")),TH!D3580,""),"")</f>
        <v/>
      </c>
      <c r="B3580" s="36">
        <f t="shared" si="60"/>
        <v>10</v>
      </c>
      <c r="C3580" s="899">
        <f t="shared" si="62"/>
        <v>42293</v>
      </c>
      <c r="D3580" s="900" t="s">
        <v>2013</v>
      </c>
      <c r="E3580" s="900">
        <v>42293</v>
      </c>
      <c r="F3580" s="907" t="s">
        <v>398</v>
      </c>
      <c r="G3580" s="902" t="s">
        <v>1101</v>
      </c>
      <c r="H3580" s="913" t="s">
        <v>2014</v>
      </c>
      <c r="I3580" s="253">
        <v>1233</v>
      </c>
      <c r="J3580" s="253">
        <v>6114.6279187019491</v>
      </c>
      <c r="K3580" s="904">
        <f t="shared" si="61"/>
        <v>7539336</v>
      </c>
      <c r="L3580" s="869" t="s">
        <v>167</v>
      </c>
      <c r="M3580" s="869" t="s">
        <v>165</v>
      </c>
      <c r="N3580" s="52" t="str">
        <f>IF(AND('331-CT'!$E$7=TH!H3580,OR(L3580="331",M3580="331")),"331",IF(AND(OR(L3580="131",M3580="131"),H3580='131-CT'!$E$7),"131",""))</f>
        <v/>
      </c>
      <c r="O3580" s="869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799"/>
    </row>
    <row r="3581" spans="1:27" s="210" customFormat="1" ht="15.75" customHeight="1">
      <c r="A3581" s="203" t="str">
        <f>IF(B3581&lt;&gt;"",IF(AND(B3581&gt;=_TM1,B3581&lt;=_TM2,OR(TH!L3581="1111",TH!M3581="1111")),TH!D3581,""),"")</f>
        <v/>
      </c>
      <c r="B3581" s="36">
        <f t="shared" si="60"/>
        <v>10</v>
      </c>
      <c r="C3581" s="899">
        <f t="shared" si="62"/>
        <v>42293</v>
      </c>
      <c r="D3581" s="900" t="s">
        <v>2013</v>
      </c>
      <c r="E3581" s="900">
        <v>42293</v>
      </c>
      <c r="F3581" s="907" t="s">
        <v>446</v>
      </c>
      <c r="G3581" s="902" t="s">
        <v>1101</v>
      </c>
      <c r="H3581" s="913" t="s">
        <v>2014</v>
      </c>
      <c r="I3581" s="253">
        <v>607</v>
      </c>
      <c r="J3581" s="253">
        <v>6785.7456170960659</v>
      </c>
      <c r="K3581" s="904">
        <f t="shared" si="61"/>
        <v>4118948</v>
      </c>
      <c r="L3581" s="869" t="s">
        <v>167</v>
      </c>
      <c r="M3581" s="869" t="s">
        <v>165</v>
      </c>
      <c r="N3581" s="52" t="str">
        <f>IF(AND('331-CT'!$E$7=TH!H3581,OR(L3581="331",M3581="331")),"331",IF(AND(OR(L3581="131",M3581="131"),H3581='131-CT'!$E$7),"131",""))</f>
        <v/>
      </c>
      <c r="O3581" s="869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799"/>
    </row>
    <row r="3582" spans="1:27" s="210" customFormat="1" ht="15.75" customHeight="1">
      <c r="A3582" s="203" t="str">
        <f>IF(B3582&lt;&gt;"",IF(AND(B3582&gt;=_TM1,B3582&lt;=_TM2,OR(TH!L3582="1111",TH!M3582="1111")),TH!D3582,""),"")</f>
        <v/>
      </c>
      <c r="B3582" s="36">
        <f t="shared" si="60"/>
        <v>10</v>
      </c>
      <c r="C3582" s="899">
        <f t="shared" si="62"/>
        <v>42293</v>
      </c>
      <c r="D3582" s="900" t="s">
        <v>2013</v>
      </c>
      <c r="E3582" s="900">
        <v>42293</v>
      </c>
      <c r="F3582" s="907" t="s">
        <v>413</v>
      </c>
      <c r="G3582" s="902" t="s">
        <v>1102</v>
      </c>
      <c r="H3582" s="913" t="s">
        <v>2014</v>
      </c>
      <c r="I3582" s="253">
        <v>411</v>
      </c>
      <c r="J3582" s="253">
        <v>7084.0201497156722</v>
      </c>
      <c r="K3582" s="904">
        <f t="shared" si="61"/>
        <v>2911532</v>
      </c>
      <c r="L3582" s="869" t="s">
        <v>167</v>
      </c>
      <c r="M3582" s="869" t="s">
        <v>165</v>
      </c>
      <c r="N3582" s="52" t="str">
        <f>IF(AND('331-CT'!$E$7=TH!H3582,OR(L3582="331",M3582="331")),"331",IF(AND(OR(L3582="131",M3582="131"),H3582='131-CT'!$E$7),"131",""))</f>
        <v/>
      </c>
      <c r="O3582" s="869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799"/>
    </row>
    <row r="3583" spans="1:27" s="210" customFormat="1" ht="15.75" customHeight="1">
      <c r="A3583" s="203" t="str">
        <f>IF(B3583&lt;&gt;"",IF(AND(B3583&gt;=_TM1,B3583&lt;=_TM2,OR(TH!L3583="1111",TH!M3583="1111")),TH!D3583,""),"")</f>
        <v/>
      </c>
      <c r="B3583" s="36">
        <f t="shared" si="60"/>
        <v>10</v>
      </c>
      <c r="C3583" s="899">
        <f t="shared" si="62"/>
        <v>42293</v>
      </c>
      <c r="D3583" s="900" t="s">
        <v>2013</v>
      </c>
      <c r="E3583" s="900">
        <v>42293</v>
      </c>
      <c r="F3583" s="907" t="s">
        <v>999</v>
      </c>
      <c r="G3583" s="902" t="s">
        <v>1102</v>
      </c>
      <c r="H3583" s="913" t="s">
        <v>2014</v>
      </c>
      <c r="I3583" s="253">
        <v>536</v>
      </c>
      <c r="J3583" s="253">
        <v>5592.6474866176359</v>
      </c>
      <c r="K3583" s="904">
        <f t="shared" si="61"/>
        <v>2997659</v>
      </c>
      <c r="L3583" s="869" t="s">
        <v>167</v>
      </c>
      <c r="M3583" s="869" t="s">
        <v>165</v>
      </c>
      <c r="N3583" s="52" t="str">
        <f>IF(AND('331-CT'!$E$7=TH!H3583,OR(L3583="331",M3583="331")),"331",IF(AND(OR(L3583="131",M3583="131"),H3583='131-CT'!$E$7),"131",""))</f>
        <v/>
      </c>
      <c r="O3583" s="869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799"/>
    </row>
    <row r="3584" spans="1:27" s="210" customFormat="1" ht="15.75" customHeight="1">
      <c r="A3584" s="203" t="str">
        <f>IF(B3584&lt;&gt;"",IF(AND(B3584&gt;=_TM1,B3584&lt;=_TM2,OR(TH!L3584="1111",TH!M3584="1111")),TH!D3584,""),"")</f>
        <v/>
      </c>
      <c r="B3584" s="36">
        <f t="shared" si="60"/>
        <v>10</v>
      </c>
      <c r="C3584" s="899">
        <f t="shared" si="62"/>
        <v>42293</v>
      </c>
      <c r="D3584" s="900" t="s">
        <v>2013</v>
      </c>
      <c r="E3584" s="900">
        <v>42293</v>
      </c>
      <c r="F3584" s="907" t="s">
        <v>1103</v>
      </c>
      <c r="G3584" s="902" t="s">
        <v>1104</v>
      </c>
      <c r="H3584" s="913" t="s">
        <v>2014</v>
      </c>
      <c r="I3584" s="253">
        <v>203</v>
      </c>
      <c r="J3584" s="253">
        <v>5965.4906523921454</v>
      </c>
      <c r="K3584" s="904">
        <f t="shared" si="61"/>
        <v>1210995</v>
      </c>
      <c r="L3584" s="869" t="s">
        <v>167</v>
      </c>
      <c r="M3584" s="869" t="s">
        <v>165</v>
      </c>
      <c r="N3584" s="52" t="str">
        <f>IF(AND('331-CT'!$E$7=TH!H3584,OR(L3584="331",M3584="331")),"331",IF(AND(OR(L3584="131",M3584="131"),H3584='131-CT'!$E$7),"131",""))</f>
        <v/>
      </c>
      <c r="O3584" s="869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799"/>
    </row>
    <row r="3585" spans="1:27" s="210" customFormat="1" ht="15.75" customHeight="1">
      <c r="A3585" s="203" t="str">
        <f>IF(B3585&lt;&gt;"",IF(AND(B3585&gt;=_TM1,B3585&lt;=_TM2,OR(TH!L3585="1111",TH!M3585="1111")),TH!D3585,""),"")</f>
        <v/>
      </c>
      <c r="B3585" s="36">
        <f t="shared" si="60"/>
        <v>10</v>
      </c>
      <c r="C3585" s="899">
        <f t="shared" si="62"/>
        <v>42293</v>
      </c>
      <c r="D3585" s="900" t="s">
        <v>2013</v>
      </c>
      <c r="E3585" s="900">
        <v>42293</v>
      </c>
      <c r="F3585" s="907" t="s">
        <v>1106</v>
      </c>
      <c r="G3585" s="902" t="s">
        <v>1104</v>
      </c>
      <c r="H3585" s="913" t="s">
        <v>2014</v>
      </c>
      <c r="I3585" s="253">
        <v>312</v>
      </c>
      <c r="J3585" s="253">
        <v>6934.8828834058695</v>
      </c>
      <c r="K3585" s="904">
        <f t="shared" si="61"/>
        <v>2163683</v>
      </c>
      <c r="L3585" s="869" t="s">
        <v>167</v>
      </c>
      <c r="M3585" s="869" t="s">
        <v>165</v>
      </c>
      <c r="N3585" s="52" t="str">
        <f>IF(AND('331-CT'!$E$7=TH!H3585,OR(L3585="331",M3585="331")),"331",IF(AND(OR(L3585="131",M3585="131"),H3585='131-CT'!$E$7),"131",""))</f>
        <v/>
      </c>
      <c r="O3585" s="869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799"/>
    </row>
    <row r="3586" spans="1:27" s="210" customFormat="1" ht="15.75" customHeight="1">
      <c r="A3586" s="203" t="str">
        <f>IF(B3586&lt;&gt;"",IF(AND(B3586&gt;=_TM1,B3586&lt;=_TM2,OR(TH!L3586="1111",TH!M3586="1111")),TH!D3586,""),"")</f>
        <v/>
      </c>
      <c r="B3586" s="36">
        <f t="shared" si="60"/>
        <v>10</v>
      </c>
      <c r="C3586" s="899">
        <f t="shared" si="62"/>
        <v>42293</v>
      </c>
      <c r="D3586" s="900" t="s">
        <v>2013</v>
      </c>
      <c r="E3586" s="900">
        <v>42293</v>
      </c>
      <c r="F3586" s="907" t="s">
        <v>1107</v>
      </c>
      <c r="G3586" s="902" t="s">
        <v>1104</v>
      </c>
      <c r="H3586" s="913" t="s">
        <v>2014</v>
      </c>
      <c r="I3586" s="253">
        <v>513</v>
      </c>
      <c r="J3586" s="253">
        <v>12452.961736868603</v>
      </c>
      <c r="K3586" s="904">
        <f t="shared" si="61"/>
        <v>6388369</v>
      </c>
      <c r="L3586" s="869" t="s">
        <v>167</v>
      </c>
      <c r="M3586" s="869" t="s">
        <v>165</v>
      </c>
      <c r="N3586" s="52" t="str">
        <f>IF(AND('331-CT'!$E$7=TH!H3586,OR(L3586="331",M3586="331")),"331",IF(AND(OR(L3586="131",M3586="131"),H3586='131-CT'!$E$7),"131",""))</f>
        <v/>
      </c>
      <c r="O3586" s="869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799"/>
    </row>
    <row r="3587" spans="1:27" s="210" customFormat="1" ht="15.75" customHeight="1">
      <c r="A3587" s="203" t="str">
        <f>IF(B3587&lt;&gt;"",IF(AND(B3587&gt;=_TM1,B3587&lt;=_TM2,OR(TH!L3587="1111",TH!M3587="1111")),TH!D3587,""),"")</f>
        <v/>
      </c>
      <c r="B3587" s="36">
        <f t="shared" si="60"/>
        <v>10</v>
      </c>
      <c r="C3587" s="899">
        <f t="shared" si="62"/>
        <v>42294</v>
      </c>
      <c r="D3587" s="900" t="s">
        <v>2013</v>
      </c>
      <c r="E3587" s="900">
        <v>42294</v>
      </c>
      <c r="F3587" s="907" t="s">
        <v>616</v>
      </c>
      <c r="G3587" s="902" t="s">
        <v>1108</v>
      </c>
      <c r="H3587" s="913" t="s">
        <v>2014</v>
      </c>
      <c r="I3587" s="253">
        <v>1056</v>
      </c>
      <c r="J3587" s="253">
        <v>4921.52978822352</v>
      </c>
      <c r="K3587" s="904">
        <f t="shared" si="61"/>
        <v>5197135</v>
      </c>
      <c r="L3587" s="869" t="s">
        <v>167</v>
      </c>
      <c r="M3587" s="869" t="s">
        <v>165</v>
      </c>
      <c r="N3587" s="52" t="str">
        <f>IF(AND('331-CT'!$E$7=TH!H3587,OR(L3587="331",M3587="331")),"331",IF(AND(OR(L3587="131",M3587="131"),H3587='131-CT'!$E$7),"131",""))</f>
        <v/>
      </c>
      <c r="O3587" s="869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799"/>
    </row>
    <row r="3588" spans="1:27" s="210" customFormat="1" ht="15.75" customHeight="1">
      <c r="A3588" s="203" t="str">
        <f>IF(B3588&lt;&gt;"",IF(AND(B3588&gt;=_TM1,B3588&lt;=_TM2,OR(TH!L3588="1111",TH!M3588="1111")),TH!D3588,""),"")</f>
        <v/>
      </c>
      <c r="B3588" s="36">
        <f t="shared" si="60"/>
        <v>10</v>
      </c>
      <c r="C3588" s="899">
        <f t="shared" si="62"/>
        <v>42294</v>
      </c>
      <c r="D3588" s="900" t="s">
        <v>2013</v>
      </c>
      <c r="E3588" s="900">
        <v>42294</v>
      </c>
      <c r="F3588" s="907" t="s">
        <v>965</v>
      </c>
      <c r="G3588" s="902" t="s">
        <v>1109</v>
      </c>
      <c r="H3588" s="913" t="s">
        <v>2014</v>
      </c>
      <c r="I3588" s="253">
        <v>500</v>
      </c>
      <c r="J3588" s="253">
        <v>12974.942168952915</v>
      </c>
      <c r="K3588" s="904">
        <f t="shared" si="61"/>
        <v>6487471</v>
      </c>
      <c r="L3588" s="869" t="s">
        <v>167</v>
      </c>
      <c r="M3588" s="869" t="s">
        <v>165</v>
      </c>
      <c r="N3588" s="52" t="str">
        <f>IF(AND('331-CT'!$E$7=TH!H3588,OR(L3588="331",M3588="331")),"331",IF(AND(OR(L3588="131",M3588="131"),H3588='131-CT'!$E$7),"131",""))</f>
        <v/>
      </c>
      <c r="O3588" s="869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799"/>
    </row>
    <row r="3589" spans="1:27" s="210" customFormat="1" ht="15.75" customHeight="1">
      <c r="A3589" s="203" t="str">
        <f>IF(B3589&lt;&gt;"",IF(AND(B3589&gt;=_TM1,B3589&lt;=_TM2,OR(TH!L3589="1111",TH!M3589="1111")),TH!D3589,""),"")</f>
        <v/>
      </c>
      <c r="B3589" s="36">
        <f t="shared" si="60"/>
        <v>10</v>
      </c>
      <c r="C3589" s="899">
        <f t="shared" si="62"/>
        <v>42294</v>
      </c>
      <c r="D3589" s="900" t="s">
        <v>2013</v>
      </c>
      <c r="E3589" s="900">
        <v>42294</v>
      </c>
      <c r="F3589" s="907" t="s">
        <v>1110</v>
      </c>
      <c r="G3589" s="902" t="s">
        <v>1111</v>
      </c>
      <c r="H3589" s="913" t="s">
        <v>2014</v>
      </c>
      <c r="I3589" s="253">
        <v>252</v>
      </c>
      <c r="J3589" s="253">
        <v>8500.8241796588063</v>
      </c>
      <c r="K3589" s="904">
        <f t="shared" si="61"/>
        <v>2142208</v>
      </c>
      <c r="L3589" s="869" t="s">
        <v>167</v>
      </c>
      <c r="M3589" s="869" t="s">
        <v>165</v>
      </c>
      <c r="N3589" s="52" t="str">
        <f>IF(AND('331-CT'!$E$7=TH!H3589,OR(L3589="331",M3589="331")),"331",IF(AND(OR(L3589="131",M3589="131"),H3589='131-CT'!$E$7),"131",""))</f>
        <v/>
      </c>
      <c r="O3589" s="869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799"/>
    </row>
    <row r="3590" spans="1:27" s="210" customFormat="1" ht="15.75" customHeight="1">
      <c r="A3590" s="203" t="str">
        <f>IF(B3590&lt;&gt;"",IF(AND(B3590&gt;=_TM1,B3590&lt;=_TM2,OR(TH!L3590="1111",TH!M3590="1111")),TH!D3590,""),"")</f>
        <v/>
      </c>
      <c r="B3590" s="36">
        <f t="shared" si="60"/>
        <v>10</v>
      </c>
      <c r="C3590" s="899">
        <f t="shared" si="62"/>
        <v>42296</v>
      </c>
      <c r="D3590" s="900" t="s">
        <v>2013</v>
      </c>
      <c r="E3590" s="900">
        <v>42296</v>
      </c>
      <c r="F3590" s="907" t="s">
        <v>2009</v>
      </c>
      <c r="G3590" s="902" t="s">
        <v>1112</v>
      </c>
      <c r="H3590" s="913" t="s">
        <v>2014</v>
      </c>
      <c r="I3590" s="253">
        <v>44</v>
      </c>
      <c r="J3590" s="253">
        <v>7606.0005817999854</v>
      </c>
      <c r="K3590" s="904">
        <f t="shared" si="61"/>
        <v>334664</v>
      </c>
      <c r="L3590" s="869" t="s">
        <v>167</v>
      </c>
      <c r="M3590" s="869" t="s">
        <v>165</v>
      </c>
      <c r="N3590" s="52" t="str">
        <f>IF(AND('331-CT'!$E$7=TH!H3590,OR(L3590="331",M3590="331")),"331",IF(AND(OR(L3590="131",M3590="131"),H3590='131-CT'!$E$7),"131",""))</f>
        <v/>
      </c>
      <c r="O3590" s="869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799"/>
    </row>
    <row r="3591" spans="1:27" s="210" customFormat="1" ht="15.75" customHeight="1">
      <c r="A3591" s="203" t="str">
        <f>IF(B3591&lt;&gt;"",IF(AND(B3591&gt;=_TM1,B3591&lt;=_TM2,OR(TH!L3591="1111",TH!M3591="1111")),TH!D3591,""),"")</f>
        <v/>
      </c>
      <c r="B3591" s="36">
        <f t="shared" si="60"/>
        <v>10</v>
      </c>
      <c r="C3591" s="899">
        <f t="shared" si="62"/>
        <v>42296</v>
      </c>
      <c r="D3591" s="900" t="s">
        <v>2013</v>
      </c>
      <c r="E3591" s="900">
        <v>42296</v>
      </c>
      <c r="F3591" s="907" t="s">
        <v>1948</v>
      </c>
      <c r="G3591" s="902" t="s">
        <v>1112</v>
      </c>
      <c r="H3591" s="913" t="s">
        <v>2014</v>
      </c>
      <c r="I3591" s="253">
        <v>44</v>
      </c>
      <c r="J3591" s="253">
        <v>9246.5105112078254</v>
      </c>
      <c r="K3591" s="904">
        <f t="shared" si="61"/>
        <v>406846</v>
      </c>
      <c r="L3591" s="869" t="s">
        <v>167</v>
      </c>
      <c r="M3591" s="869" t="s">
        <v>165</v>
      </c>
      <c r="N3591" s="52" t="str">
        <f>IF(AND('331-CT'!$E$7=TH!H3591,OR(L3591="331",M3591="331")),"331",IF(AND(OR(L3591="131",M3591="131"),H3591='131-CT'!$E$7),"131",""))</f>
        <v/>
      </c>
      <c r="O3591" s="869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799"/>
    </row>
    <row r="3592" spans="1:27" s="210" customFormat="1" ht="15.75" customHeight="1">
      <c r="A3592" s="203" t="str">
        <f>IF(B3592&lt;&gt;"",IF(AND(B3592&gt;=_TM1,B3592&lt;=_TM2,OR(TH!L3592="1111",TH!M3592="1111")),TH!D3592,""),"")</f>
        <v/>
      </c>
      <c r="B3592" s="36">
        <f t="shared" si="60"/>
        <v>10</v>
      </c>
      <c r="C3592" s="899">
        <f t="shared" si="62"/>
        <v>42296</v>
      </c>
      <c r="D3592" s="900" t="s">
        <v>2013</v>
      </c>
      <c r="E3592" s="900">
        <v>42296</v>
      </c>
      <c r="F3592" s="907" t="s">
        <v>1949</v>
      </c>
      <c r="G3592" s="902" t="s">
        <v>1112</v>
      </c>
      <c r="H3592" s="913" t="s">
        <v>2014</v>
      </c>
      <c r="I3592" s="253">
        <v>44</v>
      </c>
      <c r="J3592" s="253">
        <v>11334.432239545076</v>
      </c>
      <c r="K3592" s="904">
        <f t="shared" si="61"/>
        <v>498715</v>
      </c>
      <c r="L3592" s="869" t="s">
        <v>167</v>
      </c>
      <c r="M3592" s="869" t="s">
        <v>165</v>
      </c>
      <c r="N3592" s="52" t="str">
        <f>IF(AND('331-CT'!$E$7=TH!H3592,OR(L3592="331",M3592="331")),"331",IF(AND(OR(L3592="131",M3592="131"),H3592='131-CT'!$E$7),"131",""))</f>
        <v/>
      </c>
      <c r="O3592" s="869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799"/>
    </row>
    <row r="3593" spans="1:27" s="210" customFormat="1" ht="15.75" customHeight="1">
      <c r="A3593" s="203" t="str">
        <f>IF(B3593&lt;&gt;"",IF(AND(B3593&gt;=_TM1,B3593&lt;=_TM2,OR(TH!L3593="1111",TH!M3593="1111")),TH!D3593,""),"")</f>
        <v/>
      </c>
      <c r="B3593" s="36">
        <f t="shared" si="60"/>
        <v>10</v>
      </c>
      <c r="C3593" s="899">
        <f t="shared" si="62"/>
        <v>42296</v>
      </c>
      <c r="D3593" s="900" t="s">
        <v>2013</v>
      </c>
      <c r="E3593" s="900">
        <v>42296</v>
      </c>
      <c r="F3593" s="907" t="s">
        <v>1950</v>
      </c>
      <c r="G3593" s="902" t="s">
        <v>1112</v>
      </c>
      <c r="H3593" s="913" t="s">
        <v>2014</v>
      </c>
      <c r="I3593" s="253">
        <v>50</v>
      </c>
      <c r="J3593" s="253">
        <v>8127.9810138842986</v>
      </c>
      <c r="K3593" s="904">
        <f t="shared" si="61"/>
        <v>406399</v>
      </c>
      <c r="L3593" s="869" t="s">
        <v>167</v>
      </c>
      <c r="M3593" s="869" t="s">
        <v>165</v>
      </c>
      <c r="N3593" s="52" t="str">
        <f>IF(AND('331-CT'!$E$7=TH!H3593,OR(L3593="331",M3593="331")),"331",IF(AND(OR(L3593="131",M3593="131"),H3593='131-CT'!$E$7),"131",""))</f>
        <v/>
      </c>
      <c r="O3593" s="869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799"/>
    </row>
    <row r="3594" spans="1:27" s="210" customFormat="1" ht="15.75" customHeight="1">
      <c r="A3594" s="203" t="str">
        <f>IF(B3594&lt;&gt;"",IF(AND(B3594&gt;=_TM1,B3594&lt;=_TM2,OR(TH!L3594="1111",TH!M3594="1111")),TH!D3594,""),"")</f>
        <v/>
      </c>
      <c r="B3594" s="36">
        <f t="shared" si="60"/>
        <v>10</v>
      </c>
      <c r="C3594" s="899">
        <f t="shared" si="62"/>
        <v>42296</v>
      </c>
      <c r="D3594" s="900" t="s">
        <v>2013</v>
      </c>
      <c r="E3594" s="900">
        <v>42296</v>
      </c>
      <c r="F3594" s="907" t="s">
        <v>1952</v>
      </c>
      <c r="G3594" s="902" t="s">
        <v>1112</v>
      </c>
      <c r="H3594" s="913" t="s">
        <v>2014</v>
      </c>
      <c r="I3594" s="253">
        <v>50</v>
      </c>
      <c r="J3594" s="253">
        <v>9917.6282096019422</v>
      </c>
      <c r="K3594" s="904">
        <f t="shared" si="61"/>
        <v>495881</v>
      </c>
      <c r="L3594" s="869" t="s">
        <v>167</v>
      </c>
      <c r="M3594" s="869" t="s">
        <v>165</v>
      </c>
      <c r="N3594" s="52" t="str">
        <f>IF(AND('331-CT'!$E$7=TH!H3594,OR(L3594="331",M3594="331")),"331",IF(AND(OR(L3594="131",M3594="131"),H3594='131-CT'!$E$7),"131",""))</f>
        <v/>
      </c>
      <c r="O3594" s="869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799"/>
    </row>
    <row r="3595" spans="1:27" s="210" customFormat="1" ht="15.75" customHeight="1">
      <c r="A3595" s="203" t="str">
        <f>IF(B3595&lt;&gt;"",IF(AND(B3595&gt;=_TM1,B3595&lt;=_TM2,OR(TH!L3595="1111",TH!M3595="1111")),TH!D3595,""),"")</f>
        <v/>
      </c>
      <c r="B3595" s="36">
        <f t="shared" si="60"/>
        <v>10</v>
      </c>
      <c r="C3595" s="899">
        <f t="shared" si="62"/>
        <v>42296</v>
      </c>
      <c r="D3595" s="900" t="s">
        <v>2013</v>
      </c>
      <c r="E3595" s="900">
        <v>42296</v>
      </c>
      <c r="F3595" s="907" t="s">
        <v>2011</v>
      </c>
      <c r="G3595" s="902" t="s">
        <v>1112</v>
      </c>
      <c r="H3595" s="913" t="s">
        <v>2014</v>
      </c>
      <c r="I3595" s="253">
        <v>50</v>
      </c>
      <c r="J3595" s="253">
        <v>15584.844329374479</v>
      </c>
      <c r="K3595" s="904">
        <f t="shared" si="61"/>
        <v>779242</v>
      </c>
      <c r="L3595" s="869" t="s">
        <v>167</v>
      </c>
      <c r="M3595" s="869" t="s">
        <v>165</v>
      </c>
      <c r="N3595" s="52" t="str">
        <f>IF(AND('331-CT'!$E$7=TH!H3595,OR(L3595="331",M3595="331")),"331",IF(AND(OR(L3595="131",M3595="131"),H3595='131-CT'!$E$7),"131",""))</f>
        <v/>
      </c>
      <c r="O3595" s="869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799"/>
    </row>
    <row r="3596" spans="1:27" s="210" customFormat="1" ht="15.75" customHeight="1">
      <c r="A3596" s="203" t="str">
        <f>IF(B3596&lt;&gt;"",IF(AND(B3596&gt;=_TM1,B3596&lt;=_TM2,OR(TH!L3596="1111",TH!M3596="1111")),TH!D3596,""),"")</f>
        <v/>
      </c>
      <c r="B3596" s="36">
        <f t="shared" si="60"/>
        <v>10</v>
      </c>
      <c r="C3596" s="899">
        <f t="shared" si="62"/>
        <v>42296</v>
      </c>
      <c r="D3596" s="900" t="s">
        <v>2013</v>
      </c>
      <c r="E3596" s="900">
        <v>42296</v>
      </c>
      <c r="F3596" s="907" t="s">
        <v>741</v>
      </c>
      <c r="G3596" s="902" t="s">
        <v>1113</v>
      </c>
      <c r="H3596" s="913" t="s">
        <v>2014</v>
      </c>
      <c r="I3596" s="253">
        <v>338</v>
      </c>
      <c r="J3596" s="253">
        <v>7382.2946823352795</v>
      </c>
      <c r="K3596" s="904">
        <f t="shared" si="61"/>
        <v>2495216</v>
      </c>
      <c r="L3596" s="869" t="s">
        <v>167</v>
      </c>
      <c r="M3596" s="869" t="s">
        <v>165</v>
      </c>
      <c r="N3596" s="52" t="str">
        <f>IF(AND('331-CT'!$E$7=TH!H3596,OR(L3596="331",M3596="331")),"331",IF(AND(OR(L3596="131",M3596="131"),H3596='131-CT'!$E$7),"131",""))</f>
        <v/>
      </c>
      <c r="O3596" s="869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799"/>
    </row>
    <row r="3597" spans="1:27" s="210" customFormat="1" ht="15.75" customHeight="1">
      <c r="A3597" s="203" t="str">
        <f>IF(B3597&lt;&gt;"",IF(AND(B3597&gt;=_TM1,B3597&lt;=_TM2,OR(TH!L3597="1111",TH!M3597="1111")),TH!D3597,""),"")</f>
        <v/>
      </c>
      <c r="B3597" s="36">
        <f t="shared" si="60"/>
        <v>10</v>
      </c>
      <c r="C3597" s="899">
        <f t="shared" si="62"/>
        <v>42296</v>
      </c>
      <c r="D3597" s="900" t="s">
        <v>2013</v>
      </c>
      <c r="E3597" s="900">
        <v>42296</v>
      </c>
      <c r="F3597" s="907" t="s">
        <v>849</v>
      </c>
      <c r="G3597" s="902" t="s">
        <v>1114</v>
      </c>
      <c r="H3597" s="913" t="s">
        <v>2014</v>
      </c>
      <c r="I3597" s="253">
        <v>50</v>
      </c>
      <c r="J3597" s="253">
        <v>12452.961736868603</v>
      </c>
      <c r="K3597" s="904">
        <f t="shared" si="61"/>
        <v>622648</v>
      </c>
      <c r="L3597" s="869" t="s">
        <v>167</v>
      </c>
      <c r="M3597" s="869" t="s">
        <v>165</v>
      </c>
      <c r="N3597" s="52" t="str">
        <f>IF(AND('331-CT'!$E$7=TH!H3597,OR(L3597="331",M3597="331")),"331",IF(AND(OR(L3597="131",M3597="131"),H3597='131-CT'!$E$7),"131",""))</f>
        <v/>
      </c>
      <c r="O3597" s="869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799"/>
    </row>
    <row r="3598" spans="1:27" s="210" customFormat="1" ht="15.75" customHeight="1">
      <c r="A3598" s="203" t="str">
        <f>IF(B3598&lt;&gt;"",IF(AND(B3598&gt;=_TM1,B3598&lt;=_TM2,OR(TH!L3598="1111",TH!M3598="1111")),TH!D3598,""),"")</f>
        <v/>
      </c>
      <c r="B3598" s="36">
        <f t="shared" si="60"/>
        <v>10</v>
      </c>
      <c r="C3598" s="899">
        <f t="shared" si="62"/>
        <v>42296</v>
      </c>
      <c r="D3598" s="900" t="s">
        <v>2013</v>
      </c>
      <c r="E3598" s="900">
        <v>42296</v>
      </c>
      <c r="F3598" s="907" t="s">
        <v>852</v>
      </c>
      <c r="G3598" s="902" t="s">
        <v>1114</v>
      </c>
      <c r="H3598" s="913" t="s">
        <v>2014</v>
      </c>
      <c r="I3598" s="253">
        <v>200</v>
      </c>
      <c r="J3598" s="253">
        <v>14242.608932586247</v>
      </c>
      <c r="K3598" s="904">
        <f t="shared" si="61"/>
        <v>2848522</v>
      </c>
      <c r="L3598" s="869" t="s">
        <v>167</v>
      </c>
      <c r="M3598" s="869" t="s">
        <v>165</v>
      </c>
      <c r="N3598" s="52" t="str">
        <f>IF(AND('331-CT'!$E$7=TH!H3598,OR(L3598="331",M3598="331")),"331",IF(AND(OR(L3598="131",M3598="131"),H3598='131-CT'!$E$7),"131",""))</f>
        <v/>
      </c>
      <c r="O3598" s="869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799"/>
    </row>
    <row r="3599" spans="1:27" s="210" customFormat="1" ht="15.75" customHeight="1">
      <c r="A3599" s="203" t="str">
        <f>IF(B3599&lt;&gt;"",IF(AND(B3599&gt;=_TM1,B3599&lt;=_TM2,OR(TH!L3599="1111",TH!M3599="1111")),TH!D3599,""),"")</f>
        <v/>
      </c>
      <c r="B3599" s="36">
        <f t="shared" si="60"/>
        <v>10</v>
      </c>
      <c r="C3599" s="899">
        <f t="shared" si="62"/>
        <v>42296</v>
      </c>
      <c r="D3599" s="900" t="s">
        <v>2013</v>
      </c>
      <c r="E3599" s="900">
        <v>42296</v>
      </c>
      <c r="F3599" s="907" t="s">
        <v>853</v>
      </c>
      <c r="G3599" s="902" t="s">
        <v>1114</v>
      </c>
      <c r="H3599" s="913" t="s">
        <v>2014</v>
      </c>
      <c r="I3599" s="253">
        <v>100</v>
      </c>
      <c r="J3599" s="253">
        <v>15957.68749514899</v>
      </c>
      <c r="K3599" s="904">
        <f t="shared" si="61"/>
        <v>1595769</v>
      </c>
      <c r="L3599" s="869" t="s">
        <v>167</v>
      </c>
      <c r="M3599" s="869" t="s">
        <v>165</v>
      </c>
      <c r="N3599" s="52" t="str">
        <f>IF(AND('331-CT'!$E$7=TH!H3599,OR(L3599="331",M3599="331")),"331",IF(AND(OR(L3599="131",M3599="131"),H3599='131-CT'!$E$7),"131",""))</f>
        <v/>
      </c>
      <c r="O3599" s="869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799"/>
    </row>
    <row r="3600" spans="1:27" s="210" customFormat="1" ht="15.75" customHeight="1">
      <c r="A3600" s="203" t="str">
        <f>IF(B3600&lt;&gt;"",IF(AND(B3600&gt;=_TM1,B3600&lt;=_TM2,OR(TH!L3600="1111",TH!M3600="1111")),TH!D3600,""),"")</f>
        <v/>
      </c>
      <c r="B3600" s="36">
        <f t="shared" si="60"/>
        <v>10</v>
      </c>
      <c r="C3600" s="899">
        <f t="shared" si="62"/>
        <v>42297</v>
      </c>
      <c r="D3600" s="900" t="s">
        <v>2013</v>
      </c>
      <c r="E3600" s="900">
        <v>42297</v>
      </c>
      <c r="F3600" s="907" t="s">
        <v>1115</v>
      </c>
      <c r="G3600" s="902" t="s">
        <v>1116</v>
      </c>
      <c r="H3600" s="913" t="s">
        <v>2014</v>
      </c>
      <c r="I3600" s="253">
        <v>300</v>
      </c>
      <c r="J3600" s="253">
        <v>10439.608641686254</v>
      </c>
      <c r="K3600" s="904">
        <f t="shared" si="61"/>
        <v>3131883</v>
      </c>
      <c r="L3600" s="869" t="s">
        <v>167</v>
      </c>
      <c r="M3600" s="869" t="s">
        <v>165</v>
      </c>
      <c r="N3600" s="52" t="str">
        <f>IF(AND('331-CT'!$E$7=TH!H3600,OR(L3600="331",M3600="331")),"331",IF(AND(OR(L3600="131",M3600="131"),H3600='131-CT'!$E$7),"131",""))</f>
        <v/>
      </c>
      <c r="O3600" s="869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799"/>
    </row>
    <row r="3601" spans="1:27" s="210" customFormat="1" ht="15.75" customHeight="1">
      <c r="A3601" s="203" t="str">
        <f>IF(B3601&lt;&gt;"",IF(AND(B3601&gt;=_TM1,B3601&lt;=_TM2,OR(TH!L3601="1111",TH!M3601="1111")),TH!D3601,""),"")</f>
        <v/>
      </c>
      <c r="B3601" s="36">
        <f t="shared" si="60"/>
        <v>10</v>
      </c>
      <c r="C3601" s="899">
        <f t="shared" si="62"/>
        <v>42297</v>
      </c>
      <c r="D3601" s="900" t="s">
        <v>2013</v>
      </c>
      <c r="E3601" s="900">
        <v>42297</v>
      </c>
      <c r="F3601" s="907" t="s">
        <v>1117</v>
      </c>
      <c r="G3601" s="902" t="s">
        <v>1118</v>
      </c>
      <c r="H3601" s="913" t="s">
        <v>2014</v>
      </c>
      <c r="I3601" s="253">
        <v>200</v>
      </c>
      <c r="J3601" s="253">
        <v>29902.021895115628</v>
      </c>
      <c r="K3601" s="904">
        <f t="shared" si="61"/>
        <v>5980404</v>
      </c>
      <c r="L3601" s="869" t="s">
        <v>167</v>
      </c>
      <c r="M3601" s="869" t="s">
        <v>165</v>
      </c>
      <c r="N3601" s="52" t="str">
        <f>IF(AND('331-CT'!$E$7=TH!H3601,OR(L3601="331",M3601="331")),"331",IF(AND(OR(L3601="131",M3601="131"),H3601='131-CT'!$E$7),"131",""))</f>
        <v/>
      </c>
      <c r="O3601" s="869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799"/>
    </row>
    <row r="3602" spans="1:27" s="210" customFormat="1" ht="15.75" customHeight="1">
      <c r="A3602" s="203" t="str">
        <f>IF(B3602&lt;&gt;"",IF(AND(B3602&gt;=_TM1,B3602&lt;=_TM2,OR(TH!L3602="1111",TH!M3602="1111")),TH!D3602,""),"")</f>
        <v/>
      </c>
      <c r="B3602" s="36">
        <f t="shared" si="60"/>
        <v>10</v>
      </c>
      <c r="C3602" s="899">
        <f t="shared" si="62"/>
        <v>42297</v>
      </c>
      <c r="D3602" s="900" t="s">
        <v>2013</v>
      </c>
      <c r="E3602" s="900">
        <v>42297</v>
      </c>
      <c r="F3602" s="907" t="s">
        <v>1119</v>
      </c>
      <c r="G3602" s="902" t="s">
        <v>1118</v>
      </c>
      <c r="H3602" s="913" t="s">
        <v>2014</v>
      </c>
      <c r="I3602" s="253">
        <v>150</v>
      </c>
      <c r="J3602" s="253">
        <v>31095.120025594057</v>
      </c>
      <c r="K3602" s="904">
        <f t="shared" si="61"/>
        <v>4664268</v>
      </c>
      <c r="L3602" s="869" t="s">
        <v>167</v>
      </c>
      <c r="M3602" s="869" t="s">
        <v>165</v>
      </c>
      <c r="N3602" s="52" t="str">
        <f>IF(AND('331-CT'!$E$7=TH!H3602,OR(L3602="331",M3602="331")),"331",IF(AND(OR(L3602="131",M3602="131"),H3602='131-CT'!$E$7),"131",""))</f>
        <v/>
      </c>
      <c r="O3602" s="869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799"/>
    </row>
    <row r="3603" spans="1:27" s="210" customFormat="1" ht="15.75" customHeight="1">
      <c r="A3603" s="203" t="str">
        <f>IF(B3603&lt;&gt;"",IF(AND(B3603&gt;=_TM1,B3603&lt;=_TM2,OR(TH!L3603="1111",TH!M3603="1111")),TH!D3603,""),"")</f>
        <v/>
      </c>
      <c r="B3603" s="36">
        <f t="shared" ref="B3603:B3688" si="63">IF(C3603&lt;&gt;"",MONTH(C3603),"")</f>
        <v>10</v>
      </c>
      <c r="C3603" s="899">
        <f t="shared" si="62"/>
        <v>42298</v>
      </c>
      <c r="D3603" s="900" t="s">
        <v>2013</v>
      </c>
      <c r="E3603" s="900">
        <v>42298</v>
      </c>
      <c r="F3603" s="907" t="s">
        <v>1120</v>
      </c>
      <c r="G3603" s="902" t="s">
        <v>1121</v>
      </c>
      <c r="H3603" s="913" t="s">
        <v>2014</v>
      </c>
      <c r="I3603" s="253">
        <v>1000</v>
      </c>
      <c r="J3603" s="253">
        <v>9992.1968427568445</v>
      </c>
      <c r="K3603" s="904">
        <f t="shared" si="61"/>
        <v>9992197</v>
      </c>
      <c r="L3603" s="869" t="s">
        <v>167</v>
      </c>
      <c r="M3603" s="869" t="s">
        <v>165</v>
      </c>
      <c r="N3603" s="52" t="str">
        <f>IF(AND('331-CT'!$E$7=TH!H3603,OR(L3603="331",M3603="331")),"331",IF(AND(OR(L3603="131",M3603="131"),H3603='131-CT'!$E$7),"131",""))</f>
        <v/>
      </c>
      <c r="O3603" s="869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799"/>
    </row>
    <row r="3604" spans="1:27" s="210" customFormat="1" ht="15.75" customHeight="1">
      <c r="A3604" s="203" t="str">
        <f>IF(B3604&lt;&gt;"",IF(AND(B3604&gt;=_TM1,B3604&lt;=_TM2,OR(TH!L3604="1111",TH!M3604="1111")),TH!D3604,""),"")</f>
        <v/>
      </c>
      <c r="B3604" s="36">
        <f t="shared" si="63"/>
        <v>10</v>
      </c>
      <c r="C3604" s="899">
        <f t="shared" si="62"/>
        <v>42299</v>
      </c>
      <c r="D3604" s="900" t="s">
        <v>2013</v>
      </c>
      <c r="E3604" s="900">
        <v>42299</v>
      </c>
      <c r="F3604" s="907" t="s">
        <v>1122</v>
      </c>
      <c r="G3604" s="902" t="s">
        <v>1123</v>
      </c>
      <c r="H3604" s="913" t="s">
        <v>2014</v>
      </c>
      <c r="I3604" s="253">
        <v>173</v>
      </c>
      <c r="J3604" s="253">
        <v>8127.9810138842986</v>
      </c>
      <c r="K3604" s="904">
        <f t="shared" si="61"/>
        <v>1406141</v>
      </c>
      <c r="L3604" s="869" t="s">
        <v>167</v>
      </c>
      <c r="M3604" s="869" t="s">
        <v>165</v>
      </c>
      <c r="N3604" s="52" t="str">
        <f>IF(AND('331-CT'!$E$7=TH!H3604,OR(L3604="331",M3604="331")),"331",IF(AND(OR(L3604="131",M3604="131"),H3604='131-CT'!$E$7),"131",""))</f>
        <v/>
      </c>
      <c r="O3604" s="869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799"/>
    </row>
    <row r="3605" spans="1:27" s="210" customFormat="1" ht="15.75" customHeight="1">
      <c r="A3605" s="203" t="str">
        <f>IF(B3605&lt;&gt;"",IF(AND(B3605&gt;=_TM1,B3605&lt;=_TM2,OR(TH!L3605="1111",TH!M3605="1111")),TH!D3605,""),"")</f>
        <v/>
      </c>
      <c r="B3605" s="36">
        <f t="shared" si="63"/>
        <v>10</v>
      </c>
      <c r="C3605" s="899">
        <f t="shared" si="62"/>
        <v>42299</v>
      </c>
      <c r="D3605" s="900" t="s">
        <v>2013</v>
      </c>
      <c r="E3605" s="900">
        <v>42299</v>
      </c>
      <c r="F3605" s="907" t="s">
        <v>540</v>
      </c>
      <c r="G3605" s="902" t="s">
        <v>1123</v>
      </c>
      <c r="H3605" s="913" t="s">
        <v>2014</v>
      </c>
      <c r="I3605" s="253">
        <v>318</v>
      </c>
      <c r="J3605" s="253">
        <v>6487.4710844764577</v>
      </c>
      <c r="K3605" s="904">
        <f t="shared" si="61"/>
        <v>2063016</v>
      </c>
      <c r="L3605" s="869" t="s">
        <v>167</v>
      </c>
      <c r="M3605" s="869" t="s">
        <v>165</v>
      </c>
      <c r="N3605" s="52" t="str">
        <f>IF(AND('331-CT'!$E$7=TH!H3605,OR(L3605="331",M3605="331")),"331",IF(AND(OR(L3605="131",M3605="131"),H3605='131-CT'!$E$7),"131",""))</f>
        <v/>
      </c>
      <c r="O3605" s="869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799"/>
    </row>
    <row r="3606" spans="1:27" s="210" customFormat="1" ht="15.75" customHeight="1">
      <c r="A3606" s="203" t="str">
        <f>IF(B3606&lt;&gt;"",IF(AND(B3606&gt;=_TM1,B3606&lt;=_TM2,OR(TH!L3606="1111",TH!M3606="1111")),TH!D3606,""),"")</f>
        <v/>
      </c>
      <c r="B3606" s="36">
        <f t="shared" si="63"/>
        <v>10</v>
      </c>
      <c r="C3606" s="899">
        <f t="shared" si="62"/>
        <v>42299</v>
      </c>
      <c r="D3606" s="900" t="s">
        <v>2013</v>
      </c>
      <c r="E3606" s="900">
        <v>42299</v>
      </c>
      <c r="F3606" s="907" t="s">
        <v>451</v>
      </c>
      <c r="G3606" s="902" t="s">
        <v>1123</v>
      </c>
      <c r="H3606" s="913" t="s">
        <v>2014</v>
      </c>
      <c r="I3606" s="253">
        <v>512</v>
      </c>
      <c r="J3606" s="253">
        <v>9992.1968427568445</v>
      </c>
      <c r="K3606" s="904">
        <f t="shared" si="61"/>
        <v>5116005</v>
      </c>
      <c r="L3606" s="869" t="s">
        <v>167</v>
      </c>
      <c r="M3606" s="869" t="s">
        <v>165</v>
      </c>
      <c r="N3606" s="52" t="str">
        <f>IF(AND('331-CT'!$E$7=TH!H3606,OR(L3606="331",M3606="331")),"331",IF(AND(OR(L3606="131",M3606="131"),H3606='131-CT'!$E$7),"131",""))</f>
        <v/>
      </c>
      <c r="O3606" s="869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799"/>
    </row>
    <row r="3607" spans="1:27" s="210" customFormat="1" ht="15.75" customHeight="1">
      <c r="A3607" s="203" t="str">
        <f>IF(B3607&lt;&gt;"",IF(AND(B3607&gt;=_TM1,B3607&lt;=_TM2,OR(TH!L3607="1111",TH!M3607="1111")),TH!D3607,""),"")</f>
        <v/>
      </c>
      <c r="B3607" s="36">
        <f t="shared" si="63"/>
        <v>10</v>
      </c>
      <c r="C3607" s="899">
        <f t="shared" si="62"/>
        <v>42299</v>
      </c>
      <c r="D3607" s="900" t="s">
        <v>2013</v>
      </c>
      <c r="E3607" s="900">
        <v>42299</v>
      </c>
      <c r="F3607" s="907" t="s">
        <v>931</v>
      </c>
      <c r="G3607" s="902" t="s">
        <v>1123</v>
      </c>
      <c r="H3607" s="913" t="s">
        <v>2014</v>
      </c>
      <c r="I3607" s="253">
        <v>207</v>
      </c>
      <c r="J3607" s="253">
        <v>7233.1574160254759</v>
      </c>
      <c r="K3607" s="904">
        <f t="shared" si="61"/>
        <v>1497264</v>
      </c>
      <c r="L3607" s="869" t="s">
        <v>167</v>
      </c>
      <c r="M3607" s="869" t="s">
        <v>165</v>
      </c>
      <c r="N3607" s="52" t="str">
        <f>IF(AND('331-CT'!$E$7=TH!H3607,OR(L3607="331",M3607="331")),"331",IF(AND(OR(L3607="131",M3607="131"),H3607='131-CT'!$E$7),"131",""))</f>
        <v/>
      </c>
      <c r="O3607" s="869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799"/>
    </row>
    <row r="3608" spans="1:27" s="210" customFormat="1" ht="15.75" customHeight="1">
      <c r="A3608" s="203" t="str">
        <f>IF(B3608&lt;&gt;"",IF(AND(B3608&gt;=_TM1,B3608&lt;=_TM2,OR(TH!L3608="1111",TH!M3608="1111")),TH!D3608,""),"")</f>
        <v/>
      </c>
      <c r="B3608" s="36">
        <f t="shared" si="63"/>
        <v>10</v>
      </c>
      <c r="C3608" s="899">
        <f t="shared" si="62"/>
        <v>42299</v>
      </c>
      <c r="D3608" s="900" t="s">
        <v>2013</v>
      </c>
      <c r="E3608" s="900">
        <v>42299</v>
      </c>
      <c r="F3608" s="907" t="s">
        <v>1124</v>
      </c>
      <c r="G3608" s="902" t="s">
        <v>1125</v>
      </c>
      <c r="H3608" s="913" t="s">
        <v>2014</v>
      </c>
      <c r="I3608" s="253">
        <v>300</v>
      </c>
      <c r="J3608" s="253">
        <v>6636.6083507862622</v>
      </c>
      <c r="K3608" s="904">
        <f t="shared" si="61"/>
        <v>1990983</v>
      </c>
      <c r="L3608" s="869" t="s">
        <v>167</v>
      </c>
      <c r="M3608" s="869" t="s">
        <v>165</v>
      </c>
      <c r="N3608" s="52" t="str">
        <f>IF(AND('331-CT'!$E$7=TH!H3608,OR(L3608="331",M3608="331")),"331",IF(AND(OR(L3608="131",M3608="131"),H3608='131-CT'!$E$7),"131",""))</f>
        <v/>
      </c>
      <c r="O3608" s="869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799"/>
    </row>
    <row r="3609" spans="1:27" s="210" customFormat="1" ht="15.75" customHeight="1">
      <c r="A3609" s="203" t="str">
        <f>IF(B3609&lt;&gt;"",IF(AND(B3609&gt;=_TM1,B3609&lt;=_TM2,OR(TH!L3609="1111",TH!M3609="1111")),TH!D3609,""),"")</f>
        <v/>
      </c>
      <c r="B3609" s="36">
        <f t="shared" si="63"/>
        <v>10</v>
      </c>
      <c r="C3609" s="899">
        <f t="shared" si="62"/>
        <v>42299</v>
      </c>
      <c r="D3609" s="900" t="s">
        <v>2013</v>
      </c>
      <c r="E3609" s="900">
        <v>42299</v>
      </c>
      <c r="F3609" s="907" t="s">
        <v>1953</v>
      </c>
      <c r="G3609" s="902" t="s">
        <v>1127</v>
      </c>
      <c r="H3609" s="913" t="s">
        <v>2014</v>
      </c>
      <c r="I3609" s="253">
        <v>800</v>
      </c>
      <c r="J3609" s="253">
        <v>5965.4906523921454</v>
      </c>
      <c r="K3609" s="904">
        <f t="shared" si="61"/>
        <v>4772393</v>
      </c>
      <c r="L3609" s="869" t="s">
        <v>167</v>
      </c>
      <c r="M3609" s="869" t="s">
        <v>165</v>
      </c>
      <c r="N3609" s="52" t="str">
        <f>IF(AND('331-CT'!$E$7=TH!H3609,OR(L3609="331",M3609="331")),"331",IF(AND(OR(L3609="131",M3609="131"),H3609='131-CT'!$E$7),"131",""))</f>
        <v/>
      </c>
      <c r="O3609" s="869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799"/>
    </row>
    <row r="3610" spans="1:27" s="210" customFormat="1" ht="15.75" customHeight="1">
      <c r="A3610" s="203" t="str">
        <f>IF(B3610&lt;&gt;"",IF(AND(B3610&gt;=_TM1,B3610&lt;=_TM2,OR(TH!L3610="1111",TH!M3610="1111")),TH!D3610,""),"")</f>
        <v/>
      </c>
      <c r="B3610" s="36">
        <f t="shared" si="63"/>
        <v>10</v>
      </c>
      <c r="C3610" s="899">
        <f t="shared" si="62"/>
        <v>42300</v>
      </c>
      <c r="D3610" s="900" t="s">
        <v>2013</v>
      </c>
      <c r="E3610" s="900">
        <v>42300</v>
      </c>
      <c r="F3610" s="907" t="s">
        <v>436</v>
      </c>
      <c r="G3610" s="902" t="s">
        <v>1129</v>
      </c>
      <c r="H3610" s="913" t="s">
        <v>2014</v>
      </c>
      <c r="I3610" s="253">
        <v>221</v>
      </c>
      <c r="J3610" s="253">
        <v>6562.03971763136</v>
      </c>
      <c r="K3610" s="904">
        <f t="shared" si="61"/>
        <v>1450211</v>
      </c>
      <c r="L3610" s="869" t="s">
        <v>167</v>
      </c>
      <c r="M3610" s="869" t="s">
        <v>165</v>
      </c>
      <c r="N3610" s="52" t="str">
        <f>IF(AND('331-CT'!$E$7=TH!H3610,OR(L3610="331",M3610="331")),"331",IF(AND(OR(L3610="131",M3610="131"),H3610='131-CT'!$E$7),"131",""))</f>
        <v/>
      </c>
      <c r="O3610" s="869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799"/>
    </row>
    <row r="3611" spans="1:27" s="210" customFormat="1" ht="15.75" customHeight="1">
      <c r="A3611" s="203" t="str">
        <f>IF(B3611&lt;&gt;"",IF(AND(B3611&gt;=_TM1,B3611&lt;=_TM2,OR(TH!L3611="1111",TH!M3611="1111")),TH!D3611,""),"")</f>
        <v/>
      </c>
      <c r="B3611" s="36">
        <f t="shared" si="63"/>
        <v>10</v>
      </c>
      <c r="C3611" s="899">
        <f t="shared" si="62"/>
        <v>42300</v>
      </c>
      <c r="D3611" s="900" t="s">
        <v>2013</v>
      </c>
      <c r="E3611" s="900">
        <v>42300</v>
      </c>
      <c r="F3611" s="907" t="s">
        <v>441</v>
      </c>
      <c r="G3611" s="902" t="s">
        <v>1129</v>
      </c>
      <c r="H3611" s="913" t="s">
        <v>2014</v>
      </c>
      <c r="I3611" s="253">
        <v>518</v>
      </c>
      <c r="J3611" s="253">
        <v>3803.0002908999927</v>
      </c>
      <c r="K3611" s="904">
        <f t="shared" si="61"/>
        <v>1969954</v>
      </c>
      <c r="L3611" s="869" t="s">
        <v>167</v>
      </c>
      <c r="M3611" s="869" t="s">
        <v>165</v>
      </c>
      <c r="N3611" s="52" t="str">
        <f>IF(AND('331-CT'!$E$7=TH!H3611,OR(L3611="331",M3611="331")),"331",IF(AND(OR(L3611="131",M3611="131"),H3611='131-CT'!$E$7),"131",""))</f>
        <v/>
      </c>
      <c r="O3611" s="869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799"/>
    </row>
    <row r="3612" spans="1:27" s="210" customFormat="1" ht="15.75" customHeight="1">
      <c r="A3612" s="203" t="str">
        <f>IF(B3612&lt;&gt;"",IF(AND(B3612&gt;=_TM1,B3612&lt;=_TM2,OR(TH!L3612="1111",TH!M3612="1111")),TH!D3612,""),"")</f>
        <v/>
      </c>
      <c r="B3612" s="36">
        <f t="shared" si="63"/>
        <v>10</v>
      </c>
      <c r="C3612" s="899">
        <f t="shared" si="62"/>
        <v>42300</v>
      </c>
      <c r="D3612" s="900" t="s">
        <v>2013</v>
      </c>
      <c r="E3612" s="900">
        <v>42300</v>
      </c>
      <c r="F3612" s="907" t="s">
        <v>522</v>
      </c>
      <c r="G3612" s="902" t="s">
        <v>1129</v>
      </c>
      <c r="H3612" s="913" t="s">
        <v>2014</v>
      </c>
      <c r="I3612" s="253">
        <v>227</v>
      </c>
      <c r="J3612" s="253">
        <v>4026.7061903646986</v>
      </c>
      <c r="K3612" s="904">
        <f t="shared" si="61"/>
        <v>914062</v>
      </c>
      <c r="L3612" s="869" t="s">
        <v>167</v>
      </c>
      <c r="M3612" s="869" t="s">
        <v>165</v>
      </c>
      <c r="N3612" s="52" t="str">
        <f>IF(AND('331-CT'!$E$7=TH!H3612,OR(L3612="331",M3612="331")),"331",IF(AND(OR(L3612="131",M3612="131"),H3612='131-CT'!$E$7),"131",""))</f>
        <v/>
      </c>
      <c r="O3612" s="869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799"/>
    </row>
    <row r="3613" spans="1:27" s="210" customFormat="1" ht="15.75" customHeight="1">
      <c r="A3613" s="203" t="str">
        <f>IF(B3613&lt;&gt;"",IF(AND(B3613&gt;=_TM1,B3613&lt;=_TM2,OR(TH!L3613="1111",TH!M3613="1111")),TH!D3613,""),"")</f>
        <v/>
      </c>
      <c r="B3613" s="36">
        <f t="shared" si="63"/>
        <v>10</v>
      </c>
      <c r="C3613" s="899">
        <f t="shared" si="62"/>
        <v>42300</v>
      </c>
      <c r="D3613" s="900" t="s">
        <v>2013</v>
      </c>
      <c r="E3613" s="900">
        <v>42300</v>
      </c>
      <c r="F3613" s="907" t="s">
        <v>439</v>
      </c>
      <c r="G3613" s="902" t="s">
        <v>1129</v>
      </c>
      <c r="H3613" s="913" t="s">
        <v>2014</v>
      </c>
      <c r="I3613" s="253">
        <v>204</v>
      </c>
      <c r="J3613" s="253">
        <v>4772.3925219137163</v>
      </c>
      <c r="K3613" s="904">
        <f t="shared" si="61"/>
        <v>973568</v>
      </c>
      <c r="L3613" s="869" t="s">
        <v>167</v>
      </c>
      <c r="M3613" s="869" t="s">
        <v>165</v>
      </c>
      <c r="N3613" s="52" t="str">
        <f>IF(AND('331-CT'!$E$7=TH!H3613,OR(L3613="331",M3613="331")),"331",IF(AND(OR(L3613="131",M3613="131"),H3613='131-CT'!$E$7),"131",""))</f>
        <v/>
      </c>
      <c r="O3613" s="869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99"/>
    </row>
    <row r="3614" spans="1:27" s="210" customFormat="1" ht="15.75" customHeight="1">
      <c r="A3614" s="203" t="str">
        <f>IF(B3614&lt;&gt;"",IF(AND(B3614&gt;=_TM1,B3614&lt;=_TM2,OR(TH!L3614="1111",TH!M3614="1111")),TH!D3614,""),"")</f>
        <v/>
      </c>
      <c r="B3614" s="36">
        <f t="shared" si="63"/>
        <v>10</v>
      </c>
      <c r="C3614" s="899">
        <f t="shared" si="62"/>
        <v>42300</v>
      </c>
      <c r="D3614" s="900" t="s">
        <v>2013</v>
      </c>
      <c r="E3614" s="900">
        <v>42300</v>
      </c>
      <c r="F3614" s="907" t="s">
        <v>1130</v>
      </c>
      <c r="G3614" s="902" t="s">
        <v>1131</v>
      </c>
      <c r="H3614" s="913" t="s">
        <v>2014</v>
      </c>
      <c r="I3614" s="253">
        <v>50</v>
      </c>
      <c r="J3614" s="253">
        <v>37060.610677986202</v>
      </c>
      <c r="K3614" s="904">
        <f t="shared" si="61"/>
        <v>1853031</v>
      </c>
      <c r="L3614" s="869" t="s">
        <v>167</v>
      </c>
      <c r="M3614" s="869" t="s">
        <v>165</v>
      </c>
      <c r="N3614" s="52" t="str">
        <f>IF(AND('331-CT'!$E$7=TH!H3614,OR(L3614="331",M3614="331")),"331",IF(AND(OR(L3614="131",M3614="131"),H3614='131-CT'!$E$7),"131",""))</f>
        <v/>
      </c>
      <c r="O3614" s="869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799"/>
    </row>
    <row r="3615" spans="1:27" s="210" customFormat="1" ht="15.75" customHeight="1">
      <c r="A3615" s="203" t="str">
        <f>IF(B3615&lt;&gt;"",IF(AND(B3615&gt;=_TM1,B3615&lt;=_TM2,OR(TH!L3615="1111",TH!M3615="1111")),TH!D3615,""),"")</f>
        <v/>
      </c>
      <c r="B3615" s="36">
        <f t="shared" si="63"/>
        <v>10</v>
      </c>
      <c r="C3615" s="899">
        <f t="shared" si="62"/>
        <v>42300</v>
      </c>
      <c r="D3615" s="900" t="s">
        <v>2013</v>
      </c>
      <c r="E3615" s="900">
        <v>42300</v>
      </c>
      <c r="F3615" s="907" t="s">
        <v>1132</v>
      </c>
      <c r="G3615" s="902" t="s">
        <v>1131</v>
      </c>
      <c r="H3615" s="913" t="s">
        <v>2014</v>
      </c>
      <c r="I3615" s="253">
        <v>38</v>
      </c>
      <c r="J3615" s="253">
        <v>36613.198879056792</v>
      </c>
      <c r="K3615" s="904">
        <f t="shared" si="61"/>
        <v>1391302</v>
      </c>
      <c r="L3615" s="869" t="s">
        <v>167</v>
      </c>
      <c r="M3615" s="869" t="s">
        <v>165</v>
      </c>
      <c r="N3615" s="52" t="str">
        <f>IF(AND('331-CT'!$E$7=TH!H3615,OR(L3615="331",M3615="331")),"331",IF(AND(OR(L3615="131",M3615="131"),H3615='131-CT'!$E$7),"131",""))</f>
        <v/>
      </c>
      <c r="O3615" s="869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799"/>
    </row>
    <row r="3616" spans="1:27" s="210" customFormat="1" ht="15.75" customHeight="1">
      <c r="A3616" s="203" t="str">
        <f>IF(B3616&lt;&gt;"",IF(AND(B3616&gt;=_TM1,B3616&lt;=_TM2,OR(TH!L3616="1111",TH!M3616="1111")),TH!D3616,""),"")</f>
        <v/>
      </c>
      <c r="B3616" s="36">
        <f t="shared" si="63"/>
        <v>10</v>
      </c>
      <c r="C3616" s="899">
        <f t="shared" si="62"/>
        <v>42300</v>
      </c>
      <c r="D3616" s="900" t="s">
        <v>2013</v>
      </c>
      <c r="E3616" s="900">
        <v>42300</v>
      </c>
      <c r="F3616" s="907" t="s">
        <v>454</v>
      </c>
      <c r="G3616" s="902" t="s">
        <v>1131</v>
      </c>
      <c r="H3616" s="913" t="s">
        <v>2014</v>
      </c>
      <c r="I3616" s="253">
        <v>257</v>
      </c>
      <c r="J3616" s="253">
        <v>54062.259037303818</v>
      </c>
      <c r="K3616" s="904">
        <f t="shared" si="61"/>
        <v>13894001</v>
      </c>
      <c r="L3616" s="869" t="s">
        <v>167</v>
      </c>
      <c r="M3616" s="869" t="s">
        <v>165</v>
      </c>
      <c r="N3616" s="52" t="str">
        <f>IF(AND('331-CT'!$E$7=TH!H3616,OR(L3616="331",M3616="331")),"331",IF(AND(OR(L3616="131",M3616="131"),H3616='131-CT'!$E$7),"131",""))</f>
        <v/>
      </c>
      <c r="O3616" s="869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799"/>
    </row>
    <row r="3617" spans="1:27" s="210" customFormat="1" ht="15.75" customHeight="1">
      <c r="A3617" s="203" t="str">
        <f>IF(B3617&lt;&gt;"",IF(AND(B3617&gt;=_TM1,B3617&lt;=_TM2,OR(TH!L3617="1111",TH!M3617="1111")),TH!D3617,""),"")</f>
        <v/>
      </c>
      <c r="B3617" s="36">
        <f t="shared" si="63"/>
        <v>10</v>
      </c>
      <c r="C3617" s="899">
        <f t="shared" si="62"/>
        <v>42300</v>
      </c>
      <c r="D3617" s="900" t="s">
        <v>2013</v>
      </c>
      <c r="E3617" s="900">
        <v>42300</v>
      </c>
      <c r="F3617" s="907" t="s">
        <v>1007</v>
      </c>
      <c r="G3617" s="902" t="s">
        <v>1131</v>
      </c>
      <c r="H3617" s="913" t="s">
        <v>2014</v>
      </c>
      <c r="I3617" s="253">
        <v>31</v>
      </c>
      <c r="J3617" s="253">
        <v>62115.671418033213</v>
      </c>
      <c r="K3617" s="904">
        <f t="shared" si="61"/>
        <v>1925586</v>
      </c>
      <c r="L3617" s="869" t="s">
        <v>167</v>
      </c>
      <c r="M3617" s="869" t="s">
        <v>165</v>
      </c>
      <c r="N3617" s="52" t="str">
        <f>IF(AND('331-CT'!$E$7=TH!H3617,OR(L3617="331",M3617="331")),"331",IF(AND(OR(L3617="131",M3617="131"),H3617='131-CT'!$E$7),"131",""))</f>
        <v/>
      </c>
      <c r="O3617" s="869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799"/>
    </row>
    <row r="3618" spans="1:27" s="210" customFormat="1" ht="15.75" customHeight="1">
      <c r="A3618" s="203" t="str">
        <f>IF(B3618&lt;&gt;"",IF(AND(B3618&gt;=_TM1,B3618&lt;=_TM2,OR(TH!L3618="1111",TH!M3618="1111")),TH!D3618,""),"")</f>
        <v/>
      </c>
      <c r="B3618" s="36">
        <f t="shared" si="63"/>
        <v>10</v>
      </c>
      <c r="C3618" s="899">
        <f t="shared" si="62"/>
        <v>42300</v>
      </c>
      <c r="D3618" s="900" t="s">
        <v>2013</v>
      </c>
      <c r="E3618" s="900">
        <v>42300</v>
      </c>
      <c r="F3618" s="907" t="s">
        <v>661</v>
      </c>
      <c r="G3618" s="902" t="s">
        <v>1133</v>
      </c>
      <c r="H3618" s="913" t="s">
        <v>2014</v>
      </c>
      <c r="I3618" s="253">
        <v>180</v>
      </c>
      <c r="J3618" s="253">
        <v>8053.4123807293972</v>
      </c>
      <c r="K3618" s="904">
        <f t="shared" si="61"/>
        <v>1449614</v>
      </c>
      <c r="L3618" s="869" t="s">
        <v>167</v>
      </c>
      <c r="M3618" s="869" t="s">
        <v>165</v>
      </c>
      <c r="N3618" s="52" t="str">
        <f>IF(AND('331-CT'!$E$7=TH!H3618,OR(L3618="331",M3618="331")),"331",IF(AND(OR(L3618="131",M3618="131"),H3618='131-CT'!$E$7),"131",""))</f>
        <v/>
      </c>
      <c r="O3618" s="869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799"/>
    </row>
    <row r="3619" spans="1:27" s="210" customFormat="1" ht="15.75" customHeight="1">
      <c r="A3619" s="203" t="str">
        <f>IF(B3619&lt;&gt;"",IF(AND(B3619&gt;=_TM1,B3619&lt;=_TM2,OR(TH!L3619="1111",TH!M3619="1111")),TH!D3619,""),"")</f>
        <v/>
      </c>
      <c r="B3619" s="36">
        <f t="shared" si="63"/>
        <v>10</v>
      </c>
      <c r="C3619" s="899">
        <f t="shared" si="62"/>
        <v>42300</v>
      </c>
      <c r="D3619" s="900" t="s">
        <v>2013</v>
      </c>
      <c r="E3619" s="900">
        <v>42300</v>
      </c>
      <c r="F3619" s="907" t="s">
        <v>432</v>
      </c>
      <c r="G3619" s="902" t="s">
        <v>1133</v>
      </c>
      <c r="H3619" s="913" t="s">
        <v>2014</v>
      </c>
      <c r="I3619" s="253">
        <v>120</v>
      </c>
      <c r="J3619" s="253">
        <v>9843.0595764470399</v>
      </c>
      <c r="K3619" s="904">
        <f t="shared" si="61"/>
        <v>1181167</v>
      </c>
      <c r="L3619" s="869" t="s">
        <v>167</v>
      </c>
      <c r="M3619" s="869" t="s">
        <v>165</v>
      </c>
      <c r="N3619" s="52" t="str">
        <f>IF(AND('331-CT'!$E$7=TH!H3619,OR(L3619="331",M3619="331")),"331",IF(AND(OR(L3619="131",M3619="131"),H3619='131-CT'!$E$7),"131",""))</f>
        <v/>
      </c>
      <c r="O3619" s="869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799"/>
    </row>
    <row r="3620" spans="1:27" s="210" customFormat="1" ht="15.75" customHeight="1">
      <c r="A3620" s="203" t="str">
        <f>IF(B3620&lt;&gt;"",IF(AND(B3620&gt;=_TM1,B3620&lt;=_TM2,OR(TH!L3620="1111",TH!M3620="1111")),TH!D3620,""),"")</f>
        <v/>
      </c>
      <c r="B3620" s="36">
        <f t="shared" si="63"/>
        <v>10</v>
      </c>
      <c r="C3620" s="899">
        <f t="shared" si="62"/>
        <v>42300</v>
      </c>
      <c r="D3620" s="900" t="s">
        <v>2013</v>
      </c>
      <c r="E3620" s="900">
        <v>42300</v>
      </c>
      <c r="F3620" s="907" t="s">
        <v>1134</v>
      </c>
      <c r="G3620" s="902" t="s">
        <v>1133</v>
      </c>
      <c r="H3620" s="913" t="s">
        <v>2014</v>
      </c>
      <c r="I3620" s="253">
        <v>220</v>
      </c>
      <c r="J3620" s="253">
        <v>8053.4123807293972</v>
      </c>
      <c r="K3620" s="904">
        <f t="shared" si="61"/>
        <v>1771751</v>
      </c>
      <c r="L3620" s="869" t="s">
        <v>167</v>
      </c>
      <c r="M3620" s="869" t="s">
        <v>165</v>
      </c>
      <c r="N3620" s="52" t="str">
        <f>IF(AND('331-CT'!$E$7=TH!H3620,OR(L3620="331",M3620="331")),"331",IF(AND(OR(L3620="131",M3620="131"),H3620='131-CT'!$E$7),"131",""))</f>
        <v/>
      </c>
      <c r="O3620" s="869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799"/>
    </row>
    <row r="3621" spans="1:27" s="210" customFormat="1" ht="15.75" customHeight="1">
      <c r="A3621" s="203" t="str">
        <f>IF(B3621&lt;&gt;"",IF(AND(B3621&gt;=_TM1,B3621&lt;=_TM2,OR(TH!L3621="1111",TH!M3621="1111")),TH!D3621,""),"")</f>
        <v/>
      </c>
      <c r="B3621" s="36">
        <f t="shared" si="63"/>
        <v>10</v>
      </c>
      <c r="C3621" s="899">
        <f t="shared" si="62"/>
        <v>42300</v>
      </c>
      <c r="D3621" s="900" t="s">
        <v>2013</v>
      </c>
      <c r="E3621" s="900">
        <v>42300</v>
      </c>
      <c r="F3621" s="907" t="s">
        <v>1135</v>
      </c>
      <c r="G3621" s="902" t="s">
        <v>1133</v>
      </c>
      <c r="H3621" s="913" t="s">
        <v>2014</v>
      </c>
      <c r="I3621" s="253">
        <v>360</v>
      </c>
      <c r="J3621" s="253">
        <v>9246.5105112078254</v>
      </c>
      <c r="K3621" s="904">
        <f t="shared" si="61"/>
        <v>3328744</v>
      </c>
      <c r="L3621" s="869" t="s">
        <v>167</v>
      </c>
      <c r="M3621" s="869" t="s">
        <v>165</v>
      </c>
      <c r="N3621" s="52" t="str">
        <f>IF(AND('331-CT'!$E$7=TH!H3621,OR(L3621="331",M3621="331")),"331",IF(AND(OR(L3621="131",M3621="131"),H3621='131-CT'!$E$7),"131",""))</f>
        <v/>
      </c>
      <c r="O3621" s="869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799"/>
    </row>
    <row r="3622" spans="1:27" s="210" customFormat="1" ht="15.75" customHeight="1">
      <c r="A3622" s="203" t="str">
        <f>IF(B3622&lt;&gt;"",IF(AND(B3622&gt;=_TM1,B3622&lt;=_TM2,OR(TH!L3622="1111",TH!M3622="1111")),TH!D3622,""),"")</f>
        <v/>
      </c>
      <c r="B3622" s="36">
        <f t="shared" si="63"/>
        <v>10</v>
      </c>
      <c r="C3622" s="899">
        <f t="shared" si="62"/>
        <v>42300</v>
      </c>
      <c r="D3622" s="900" t="s">
        <v>2013</v>
      </c>
      <c r="E3622" s="900">
        <v>42300</v>
      </c>
      <c r="F3622" s="907" t="s">
        <v>602</v>
      </c>
      <c r="G3622" s="902" t="s">
        <v>1133</v>
      </c>
      <c r="H3622" s="913" t="s">
        <v>2014</v>
      </c>
      <c r="I3622" s="253">
        <v>767</v>
      </c>
      <c r="J3622" s="253">
        <v>9395.6477775176299</v>
      </c>
      <c r="K3622" s="904">
        <f t="shared" si="61"/>
        <v>7206462</v>
      </c>
      <c r="L3622" s="869" t="s">
        <v>167</v>
      </c>
      <c r="M3622" s="869" t="s">
        <v>165</v>
      </c>
      <c r="N3622" s="52" t="str">
        <f>IF(AND('331-CT'!$E$7=TH!H3622,OR(L3622="331",M3622="331")),"331",IF(AND(OR(L3622="131",M3622="131"),H3622='131-CT'!$E$7),"131",""))</f>
        <v/>
      </c>
      <c r="O3622" s="869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799"/>
    </row>
    <row r="3623" spans="1:27" s="210" customFormat="1" ht="15.75" customHeight="1">
      <c r="A3623" s="203" t="str">
        <f>IF(B3623&lt;&gt;"",IF(AND(B3623&gt;=_TM1,B3623&lt;=_TM2,OR(TH!L3623="1111",TH!M3623="1111")),TH!D3623,""),"")</f>
        <v/>
      </c>
      <c r="B3623" s="36">
        <f t="shared" si="63"/>
        <v>10</v>
      </c>
      <c r="C3623" s="899">
        <f t="shared" si="62"/>
        <v>42300</v>
      </c>
      <c r="D3623" s="900" t="s">
        <v>2013</v>
      </c>
      <c r="E3623" s="900">
        <v>42300</v>
      </c>
      <c r="F3623" s="907" t="s">
        <v>2010</v>
      </c>
      <c r="G3623" s="902" t="s">
        <v>1136</v>
      </c>
      <c r="H3623" s="913" t="s">
        <v>2014</v>
      </c>
      <c r="I3623" s="253">
        <v>100</v>
      </c>
      <c r="J3623" s="253">
        <v>8724.5300791235113</v>
      </c>
      <c r="K3623" s="904">
        <f t="shared" si="61"/>
        <v>872453</v>
      </c>
      <c r="L3623" s="869" t="s">
        <v>167</v>
      </c>
      <c r="M3623" s="869" t="s">
        <v>165</v>
      </c>
      <c r="N3623" s="52" t="str">
        <f>IF(AND('331-CT'!$E$7=TH!H3623,OR(L3623="331",M3623="331")),"331",IF(AND(OR(L3623="131",M3623="131"),H3623='131-CT'!$E$7),"131",""))</f>
        <v/>
      </c>
      <c r="O3623" s="869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799"/>
    </row>
    <row r="3624" spans="1:27" s="210" customFormat="1" ht="15.75" customHeight="1">
      <c r="A3624" s="203" t="str">
        <f>IF(B3624&lt;&gt;"",IF(AND(B3624&gt;=_TM1,B3624&lt;=_TM2,OR(TH!L3624="1111",TH!M3624="1111")),TH!D3624,""),"")</f>
        <v/>
      </c>
      <c r="B3624" s="36">
        <f t="shared" si="63"/>
        <v>10</v>
      </c>
      <c r="C3624" s="899">
        <f t="shared" si="62"/>
        <v>42300</v>
      </c>
      <c r="D3624" s="900" t="s">
        <v>2013</v>
      </c>
      <c r="E3624" s="900">
        <v>42300</v>
      </c>
      <c r="F3624" s="907" t="s">
        <v>1948</v>
      </c>
      <c r="G3624" s="902" t="s">
        <v>1136</v>
      </c>
      <c r="H3624" s="913" t="s">
        <v>2014</v>
      </c>
      <c r="I3624" s="253">
        <v>50</v>
      </c>
      <c r="J3624" s="253">
        <v>9246.5105112078254</v>
      </c>
      <c r="K3624" s="904">
        <f t="shared" si="61"/>
        <v>462326</v>
      </c>
      <c r="L3624" s="869" t="s">
        <v>167</v>
      </c>
      <c r="M3624" s="869" t="s">
        <v>165</v>
      </c>
      <c r="N3624" s="52" t="str">
        <f>IF(AND('331-CT'!$E$7=TH!H3624,OR(L3624="331",M3624="331")),"331",IF(AND(OR(L3624="131",M3624="131"),H3624='131-CT'!$E$7),"131",""))</f>
        <v/>
      </c>
      <c r="O3624" s="869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799"/>
    </row>
    <row r="3625" spans="1:27" s="210" customFormat="1" ht="15.75" customHeight="1">
      <c r="A3625" s="203" t="str">
        <f>IF(B3625&lt;&gt;"",IF(AND(B3625&gt;=_TM1,B3625&lt;=_TM2,OR(TH!L3625="1111",TH!M3625="1111")),TH!D3625,""),"")</f>
        <v/>
      </c>
      <c r="B3625" s="36">
        <f t="shared" si="63"/>
        <v>10</v>
      </c>
      <c r="C3625" s="899">
        <f t="shared" si="62"/>
        <v>42300</v>
      </c>
      <c r="D3625" s="900" t="s">
        <v>2013</v>
      </c>
      <c r="E3625" s="900">
        <v>42300</v>
      </c>
      <c r="F3625" s="907" t="s">
        <v>1949</v>
      </c>
      <c r="G3625" s="902" t="s">
        <v>1136</v>
      </c>
      <c r="H3625" s="913" t="s">
        <v>2014</v>
      </c>
      <c r="I3625" s="253">
        <v>50</v>
      </c>
      <c r="J3625" s="253">
        <v>11334.432239545076</v>
      </c>
      <c r="K3625" s="904">
        <f t="shared" si="61"/>
        <v>566722</v>
      </c>
      <c r="L3625" s="869" t="s">
        <v>167</v>
      </c>
      <c r="M3625" s="869" t="s">
        <v>165</v>
      </c>
      <c r="N3625" s="52" t="str">
        <f>IF(AND('331-CT'!$E$7=TH!H3625,OR(L3625="331",M3625="331")),"331",IF(AND(OR(L3625="131",M3625="131"),H3625='131-CT'!$E$7),"131",""))</f>
        <v/>
      </c>
      <c r="O3625" s="869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799"/>
    </row>
    <row r="3626" spans="1:27" s="210" customFormat="1" ht="15.75" customHeight="1">
      <c r="A3626" s="203" t="str">
        <f>IF(B3626&lt;&gt;"",IF(AND(B3626&gt;=_TM1,B3626&lt;=_TM2,OR(TH!L3626="1111",TH!M3626="1111")),TH!D3626,""),"")</f>
        <v/>
      </c>
      <c r="B3626" s="36">
        <f t="shared" si="63"/>
        <v>10</v>
      </c>
      <c r="C3626" s="899">
        <f t="shared" si="62"/>
        <v>42300</v>
      </c>
      <c r="D3626" s="900" t="s">
        <v>2013</v>
      </c>
      <c r="E3626" s="900">
        <v>42300</v>
      </c>
      <c r="F3626" s="907" t="s">
        <v>1951</v>
      </c>
      <c r="G3626" s="902" t="s">
        <v>1136</v>
      </c>
      <c r="H3626" s="913" t="s">
        <v>2014</v>
      </c>
      <c r="I3626" s="253">
        <v>50</v>
      </c>
      <c r="J3626" s="253">
        <v>9022.8046117431204</v>
      </c>
      <c r="K3626" s="904">
        <f t="shared" si="61"/>
        <v>451140</v>
      </c>
      <c r="L3626" s="869" t="s">
        <v>167</v>
      </c>
      <c r="M3626" s="869" t="s">
        <v>165</v>
      </c>
      <c r="N3626" s="52" t="str">
        <f>IF(AND('331-CT'!$E$7=TH!H3626,OR(L3626="331",M3626="331")),"331",IF(AND(OR(L3626="131",M3626="131"),H3626='131-CT'!$E$7),"131",""))</f>
        <v/>
      </c>
      <c r="O3626" s="869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799"/>
    </row>
    <row r="3627" spans="1:27" s="210" customFormat="1" ht="15.75" customHeight="1">
      <c r="A3627" s="203" t="str">
        <f>IF(B3627&lt;&gt;"",IF(AND(B3627&gt;=_TM1,B3627&lt;=_TM2,OR(TH!L3627="1111",TH!M3627="1111")),TH!D3627,""),"")</f>
        <v/>
      </c>
      <c r="B3627" s="36">
        <f t="shared" si="63"/>
        <v>10</v>
      </c>
      <c r="C3627" s="899">
        <f t="shared" si="62"/>
        <v>42300</v>
      </c>
      <c r="D3627" s="900" t="s">
        <v>2013</v>
      </c>
      <c r="E3627" s="900">
        <v>42300</v>
      </c>
      <c r="F3627" s="907" t="s">
        <v>1137</v>
      </c>
      <c r="G3627" s="902" t="s">
        <v>1138</v>
      </c>
      <c r="H3627" s="913" t="s">
        <v>2014</v>
      </c>
      <c r="I3627" s="253">
        <v>1418</v>
      </c>
      <c r="J3627" s="253">
        <v>8351.6869133490036</v>
      </c>
      <c r="K3627" s="904">
        <f t="shared" si="61"/>
        <v>11842692</v>
      </c>
      <c r="L3627" s="869" t="s">
        <v>167</v>
      </c>
      <c r="M3627" s="869" t="s">
        <v>165</v>
      </c>
      <c r="N3627" s="52" t="str">
        <f>IF(AND('331-CT'!$E$7=TH!H3627,OR(L3627="331",M3627="331")),"331",IF(AND(OR(L3627="131",M3627="131"),H3627='131-CT'!$E$7),"131",""))</f>
        <v/>
      </c>
      <c r="O3627" s="869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799"/>
    </row>
    <row r="3628" spans="1:27" s="210" customFormat="1" ht="15.75" customHeight="1">
      <c r="A3628" s="203" t="str">
        <f>IF(B3628&lt;&gt;"",IF(AND(B3628&gt;=_TM1,B3628&lt;=_TM2,OR(TH!L3628="1111",TH!M3628="1111")),TH!D3628,""),"")</f>
        <v/>
      </c>
      <c r="B3628" s="36">
        <f t="shared" si="63"/>
        <v>10</v>
      </c>
      <c r="C3628" s="899">
        <f t="shared" si="62"/>
        <v>42303</v>
      </c>
      <c r="D3628" s="900" t="s">
        <v>2013</v>
      </c>
      <c r="E3628" s="900">
        <v>42303</v>
      </c>
      <c r="F3628" s="907" t="s">
        <v>413</v>
      </c>
      <c r="G3628" s="902" t="s">
        <v>1139</v>
      </c>
      <c r="H3628" s="913" t="s">
        <v>2014</v>
      </c>
      <c r="I3628" s="253">
        <v>430</v>
      </c>
      <c r="J3628" s="253">
        <v>7084.0201497156722</v>
      </c>
      <c r="K3628" s="904">
        <f t="shared" si="61"/>
        <v>3046129</v>
      </c>
      <c r="L3628" s="869" t="s">
        <v>167</v>
      </c>
      <c r="M3628" s="869" t="s">
        <v>165</v>
      </c>
      <c r="N3628" s="52" t="str">
        <f>IF(AND('331-CT'!$E$7=TH!H3628,OR(L3628="331",M3628="331")),"331",IF(AND(OR(L3628="131",M3628="131"),H3628='131-CT'!$E$7),"131",""))</f>
        <v/>
      </c>
      <c r="O3628" s="869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799"/>
    </row>
    <row r="3629" spans="1:27" s="210" customFormat="1" ht="15.75" customHeight="1">
      <c r="A3629" s="203" t="str">
        <f>IF(B3629&lt;&gt;"",IF(AND(B3629&gt;=_TM1,B3629&lt;=_TM2,OR(TH!L3629="1111",TH!M3629="1111")),TH!D3629,""),"")</f>
        <v/>
      </c>
      <c r="B3629" s="36">
        <f t="shared" si="63"/>
        <v>10</v>
      </c>
      <c r="C3629" s="899">
        <f t="shared" si="62"/>
        <v>42303</v>
      </c>
      <c r="D3629" s="900" t="s">
        <v>2013</v>
      </c>
      <c r="E3629" s="900">
        <v>42303</v>
      </c>
      <c r="F3629" s="907" t="s">
        <v>413</v>
      </c>
      <c r="G3629" s="902" t="s">
        <v>1139</v>
      </c>
      <c r="H3629" s="913" t="s">
        <v>2014</v>
      </c>
      <c r="I3629" s="253">
        <v>409</v>
      </c>
      <c r="J3629" s="253">
        <v>7084.0201497156722</v>
      </c>
      <c r="K3629" s="904">
        <f t="shared" si="61"/>
        <v>2897364</v>
      </c>
      <c r="L3629" s="869" t="s">
        <v>167</v>
      </c>
      <c r="M3629" s="869" t="s">
        <v>165</v>
      </c>
      <c r="N3629" s="52" t="str">
        <f>IF(AND('331-CT'!$E$7=TH!H3629,OR(L3629="331",M3629="331")),"331",IF(AND(OR(L3629="131",M3629="131"),H3629='131-CT'!$E$7),"131",""))</f>
        <v/>
      </c>
      <c r="O3629" s="869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799"/>
    </row>
    <row r="3630" spans="1:27" s="210" customFormat="1" ht="15.75" customHeight="1">
      <c r="A3630" s="203" t="str">
        <f>IF(B3630&lt;&gt;"",IF(AND(B3630&gt;=_TM1,B3630&lt;=_TM2,OR(TH!L3630="1111",TH!M3630="1111")),TH!D3630,""),"")</f>
        <v/>
      </c>
      <c r="B3630" s="36">
        <f t="shared" si="63"/>
        <v>10</v>
      </c>
      <c r="C3630" s="899">
        <f t="shared" si="62"/>
        <v>42304</v>
      </c>
      <c r="D3630" s="900" t="s">
        <v>2013</v>
      </c>
      <c r="E3630" s="900">
        <v>42304</v>
      </c>
      <c r="F3630" s="907" t="s">
        <v>1140</v>
      </c>
      <c r="G3630" s="902" t="s">
        <v>1141</v>
      </c>
      <c r="H3630" s="913" t="s">
        <v>2014</v>
      </c>
      <c r="I3630" s="253">
        <v>726</v>
      </c>
      <c r="J3630" s="253">
        <v>8500.8241796588063</v>
      </c>
      <c r="K3630" s="904">
        <f t="shared" si="61"/>
        <v>6171598</v>
      </c>
      <c r="L3630" s="869" t="s">
        <v>167</v>
      </c>
      <c r="M3630" s="869" t="s">
        <v>165</v>
      </c>
      <c r="N3630" s="52" t="str">
        <f>IF(AND('331-CT'!$E$7=TH!H3630,OR(L3630="331",M3630="331")),"331",IF(AND(OR(L3630="131",M3630="131"),H3630='131-CT'!$E$7),"131",""))</f>
        <v/>
      </c>
      <c r="O3630" s="869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799"/>
    </row>
    <row r="3631" spans="1:27" s="210" customFormat="1" ht="15.75" customHeight="1">
      <c r="A3631" s="203" t="str">
        <f>IF(B3631&lt;&gt;"",IF(AND(B3631&gt;=_TM1,B3631&lt;=_TM2,OR(TH!L3631="1111",TH!M3631="1111")),TH!D3631,""),"")</f>
        <v/>
      </c>
      <c r="B3631" s="36">
        <f t="shared" si="63"/>
        <v>10</v>
      </c>
      <c r="C3631" s="899">
        <f t="shared" si="62"/>
        <v>42304</v>
      </c>
      <c r="D3631" s="900" t="s">
        <v>2013</v>
      </c>
      <c r="E3631" s="900">
        <v>42304</v>
      </c>
      <c r="F3631" s="907" t="s">
        <v>1140</v>
      </c>
      <c r="G3631" s="902" t="s">
        <v>1141</v>
      </c>
      <c r="H3631" s="913" t="s">
        <v>2014</v>
      </c>
      <c r="I3631" s="253">
        <v>100</v>
      </c>
      <c r="J3631" s="253">
        <v>8500.8241796588063</v>
      </c>
      <c r="K3631" s="904">
        <f t="shared" si="61"/>
        <v>850082</v>
      </c>
      <c r="L3631" s="869" t="s">
        <v>167</v>
      </c>
      <c r="M3631" s="869" t="s">
        <v>165</v>
      </c>
      <c r="N3631" s="52" t="str">
        <f>IF(AND('331-CT'!$E$7=TH!H3631,OR(L3631="331",M3631="331")),"331",IF(AND(OR(L3631="131",M3631="131"),H3631='131-CT'!$E$7),"131",""))</f>
        <v/>
      </c>
      <c r="O3631" s="869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799"/>
    </row>
    <row r="3632" spans="1:27" s="210" customFormat="1" ht="15.75" customHeight="1">
      <c r="A3632" s="203" t="str">
        <f>IF(B3632&lt;&gt;"",IF(AND(B3632&gt;=_TM1,B3632&lt;=_TM2,OR(TH!L3632="1111",TH!M3632="1111")),TH!D3632,""),"")</f>
        <v/>
      </c>
      <c r="B3632" s="36">
        <f t="shared" si="63"/>
        <v>10</v>
      </c>
      <c r="C3632" s="899">
        <f t="shared" si="62"/>
        <v>42304</v>
      </c>
      <c r="D3632" s="900" t="s">
        <v>2013</v>
      </c>
      <c r="E3632" s="900">
        <v>42304</v>
      </c>
      <c r="F3632" s="907" t="s">
        <v>1677</v>
      </c>
      <c r="G3632" s="902" t="s">
        <v>1141</v>
      </c>
      <c r="H3632" s="913" t="s">
        <v>2014</v>
      </c>
      <c r="I3632" s="253">
        <v>1652</v>
      </c>
      <c r="J3632" s="253">
        <v>671.11769839411636</v>
      </c>
      <c r="K3632" s="904">
        <f t="shared" si="61"/>
        <v>1108686</v>
      </c>
      <c r="L3632" s="869" t="s">
        <v>167</v>
      </c>
      <c r="M3632" s="869" t="s">
        <v>165</v>
      </c>
      <c r="N3632" s="52" t="str">
        <f>IF(AND('331-CT'!$E$7=TH!H3632,OR(L3632="331",M3632="331")),"331",IF(AND(OR(L3632="131",M3632="131"),H3632='131-CT'!$E$7),"131",""))</f>
        <v/>
      </c>
      <c r="O3632" s="869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799"/>
    </row>
    <row r="3633" spans="1:27" s="210" customFormat="1" ht="15.75" customHeight="1">
      <c r="A3633" s="203" t="str">
        <f>IF(B3633&lt;&gt;"",IF(AND(B3633&gt;=_TM1,B3633&lt;=_TM2,OR(TH!L3633="1111",TH!M3633="1111")),TH!D3633,""),"")</f>
        <v/>
      </c>
      <c r="B3633" s="36">
        <f t="shared" si="63"/>
        <v>10</v>
      </c>
      <c r="C3633" s="899">
        <f t="shared" si="62"/>
        <v>42305</v>
      </c>
      <c r="D3633" s="900" t="s">
        <v>2013</v>
      </c>
      <c r="E3633" s="900">
        <v>42305</v>
      </c>
      <c r="F3633" s="907" t="s">
        <v>1122</v>
      </c>
      <c r="G3633" s="902" t="s">
        <v>1142</v>
      </c>
      <c r="H3633" s="913" t="s">
        <v>2014</v>
      </c>
      <c r="I3633" s="253">
        <v>103</v>
      </c>
      <c r="J3633" s="253">
        <v>8127.9810138842986</v>
      </c>
      <c r="K3633" s="904">
        <f t="shared" si="61"/>
        <v>837182</v>
      </c>
      <c r="L3633" s="869" t="s">
        <v>167</v>
      </c>
      <c r="M3633" s="869" t="s">
        <v>165</v>
      </c>
      <c r="N3633" s="52" t="str">
        <f>IF(AND('331-CT'!$E$7=TH!H3633,OR(L3633="331",M3633="331")),"331",IF(AND(OR(L3633="131",M3633="131"),H3633='131-CT'!$E$7),"131",""))</f>
        <v/>
      </c>
      <c r="O3633" s="869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799"/>
    </row>
    <row r="3634" spans="1:27" s="210" customFormat="1" ht="15.75" customHeight="1">
      <c r="A3634" s="203" t="str">
        <f>IF(B3634&lt;&gt;"",IF(AND(B3634&gt;=_TM1,B3634&lt;=_TM2,OR(TH!L3634="1111",TH!M3634="1111")),TH!D3634,""),"")</f>
        <v/>
      </c>
      <c r="B3634" s="36">
        <f t="shared" si="63"/>
        <v>10</v>
      </c>
      <c r="C3634" s="899">
        <f t="shared" si="62"/>
        <v>42306</v>
      </c>
      <c r="D3634" s="900" t="s">
        <v>2013</v>
      </c>
      <c r="E3634" s="900">
        <v>42306</v>
      </c>
      <c r="F3634" s="907" t="s">
        <v>431</v>
      </c>
      <c r="G3634" s="902" t="s">
        <v>1143</v>
      </c>
      <c r="H3634" s="913" t="s">
        <v>2014</v>
      </c>
      <c r="I3634" s="253">
        <v>110</v>
      </c>
      <c r="J3634" s="253">
        <v>7904.2751144195927</v>
      </c>
      <c r="K3634" s="904">
        <f t="shared" si="61"/>
        <v>869470</v>
      </c>
      <c r="L3634" s="869" t="s">
        <v>167</v>
      </c>
      <c r="M3634" s="869" t="s">
        <v>165</v>
      </c>
      <c r="N3634" s="52" t="str">
        <f>IF(AND('331-CT'!$E$7=TH!H3634,OR(L3634="331",M3634="331")),"331",IF(AND(OR(L3634="131",M3634="131"),H3634='131-CT'!$E$7),"131",""))</f>
        <v/>
      </c>
      <c r="O3634" s="869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799"/>
    </row>
    <row r="3635" spans="1:27" s="210" customFormat="1" ht="15.75" customHeight="1">
      <c r="A3635" s="203" t="str">
        <f>IF(B3635&lt;&gt;"",IF(AND(B3635&gt;=_TM1,B3635&lt;=_TM2,OR(TH!L3635="1111",TH!M3635="1111")),TH!D3635,""),"")</f>
        <v/>
      </c>
      <c r="B3635" s="36">
        <f t="shared" si="63"/>
        <v>10</v>
      </c>
      <c r="C3635" s="899">
        <f t="shared" si="62"/>
        <v>42306</v>
      </c>
      <c r="D3635" s="900" t="s">
        <v>2013</v>
      </c>
      <c r="E3635" s="900">
        <v>42306</v>
      </c>
      <c r="F3635" s="907" t="s">
        <v>1144</v>
      </c>
      <c r="G3635" s="902" t="s">
        <v>1143</v>
      </c>
      <c r="H3635" s="913" t="s">
        <v>2014</v>
      </c>
      <c r="I3635" s="253">
        <v>52</v>
      </c>
      <c r="J3635" s="253">
        <v>6412.9024513215563</v>
      </c>
      <c r="K3635" s="904">
        <f t="shared" si="61"/>
        <v>333471</v>
      </c>
      <c r="L3635" s="869" t="s">
        <v>167</v>
      </c>
      <c r="M3635" s="869" t="s">
        <v>165</v>
      </c>
      <c r="N3635" s="52" t="str">
        <f>IF(AND('331-CT'!$E$7=TH!H3635,OR(L3635="331",M3635="331")),"331",IF(AND(OR(L3635="131",M3635="131"),H3635='131-CT'!$E$7),"131",""))</f>
        <v/>
      </c>
      <c r="O3635" s="869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799"/>
    </row>
    <row r="3636" spans="1:27" s="210" customFormat="1" ht="15.75" customHeight="1">
      <c r="A3636" s="203" t="str">
        <f>IF(B3636&lt;&gt;"",IF(AND(B3636&gt;=_TM1,B3636&lt;=_TM2,OR(TH!L3636="1111",TH!M3636="1111")),TH!D3636,""),"")</f>
        <v/>
      </c>
      <c r="B3636" s="36">
        <f t="shared" si="63"/>
        <v>10</v>
      </c>
      <c r="C3636" s="899">
        <f t="shared" si="62"/>
        <v>42306</v>
      </c>
      <c r="D3636" s="900" t="s">
        <v>2013</v>
      </c>
      <c r="E3636" s="900">
        <v>42306</v>
      </c>
      <c r="F3636" s="907" t="s">
        <v>602</v>
      </c>
      <c r="G3636" s="902" t="s">
        <v>1143</v>
      </c>
      <c r="H3636" s="913" t="s">
        <v>2014</v>
      </c>
      <c r="I3636" s="253">
        <v>204</v>
      </c>
      <c r="J3636" s="253">
        <v>9395.6477775176299</v>
      </c>
      <c r="K3636" s="904">
        <f t="shared" si="61"/>
        <v>1916712</v>
      </c>
      <c r="L3636" s="869" t="s">
        <v>167</v>
      </c>
      <c r="M3636" s="869" t="s">
        <v>165</v>
      </c>
      <c r="N3636" s="52" t="str">
        <f>IF(AND('331-CT'!$E$7=TH!H3636,OR(L3636="331",M3636="331")),"331",IF(AND(OR(L3636="131",M3636="131"),H3636='131-CT'!$E$7),"131",""))</f>
        <v/>
      </c>
      <c r="O3636" s="869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799"/>
    </row>
    <row r="3637" spans="1:27" s="210" customFormat="1" ht="15.75" customHeight="1">
      <c r="A3637" s="203" t="str">
        <f>IF(B3637&lt;&gt;"",IF(AND(B3637&gt;=_TM1,B3637&lt;=_TM2,OR(TH!L3637="1111",TH!M3637="1111")),TH!D3637,""),"")</f>
        <v/>
      </c>
      <c r="B3637" s="36">
        <f t="shared" si="63"/>
        <v>10</v>
      </c>
      <c r="C3637" s="899">
        <f t="shared" si="62"/>
        <v>42306</v>
      </c>
      <c r="D3637" s="900" t="s">
        <v>2013</v>
      </c>
      <c r="E3637" s="900">
        <v>42306</v>
      </c>
      <c r="F3637" s="907" t="s">
        <v>430</v>
      </c>
      <c r="G3637" s="902" t="s">
        <v>1143</v>
      </c>
      <c r="H3637" s="913" t="s">
        <v>2014</v>
      </c>
      <c r="I3637" s="253">
        <v>52</v>
      </c>
      <c r="J3637" s="253">
        <v>6636.6083507862622</v>
      </c>
      <c r="K3637" s="904">
        <f t="shared" si="61"/>
        <v>345104</v>
      </c>
      <c r="L3637" s="869" t="s">
        <v>167</v>
      </c>
      <c r="M3637" s="869" t="s">
        <v>165</v>
      </c>
      <c r="N3637" s="52" t="str">
        <f>IF(AND('331-CT'!$E$7=TH!H3637,OR(L3637="331",M3637="331")),"331",IF(AND(OR(L3637="131",M3637="131"),H3637='131-CT'!$E$7),"131",""))</f>
        <v/>
      </c>
      <c r="O3637" s="869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799"/>
    </row>
    <row r="3638" spans="1:27" s="210" customFormat="1" ht="15.75" customHeight="1">
      <c r="A3638" s="203" t="str">
        <f>IF(B3638&lt;&gt;"",IF(AND(B3638&gt;=_TM1,B3638&lt;=_TM2,OR(TH!L3638="1111",TH!M3638="1111")),TH!D3638,""),"")</f>
        <v/>
      </c>
      <c r="B3638" s="36">
        <f t="shared" si="63"/>
        <v>10</v>
      </c>
      <c r="C3638" s="899">
        <f t="shared" si="62"/>
        <v>42306</v>
      </c>
      <c r="D3638" s="900" t="s">
        <v>2013</v>
      </c>
      <c r="E3638" s="900">
        <v>42306</v>
      </c>
      <c r="F3638" s="907" t="s">
        <v>523</v>
      </c>
      <c r="G3638" s="902" t="s">
        <v>1143</v>
      </c>
      <c r="H3638" s="913" t="s">
        <v>2014</v>
      </c>
      <c r="I3638" s="253">
        <v>110</v>
      </c>
      <c r="J3638" s="253">
        <v>10066.765475911747</v>
      </c>
      <c r="K3638" s="904">
        <f t="shared" si="61"/>
        <v>1107344</v>
      </c>
      <c r="L3638" s="869" t="s">
        <v>167</v>
      </c>
      <c r="M3638" s="869" t="s">
        <v>165</v>
      </c>
      <c r="N3638" s="52" t="str">
        <f>IF(AND('331-CT'!$E$7=TH!H3638,OR(L3638="331",M3638="331")),"331",IF(AND(OR(L3638="131",M3638="131"),H3638='131-CT'!$E$7),"131",""))</f>
        <v/>
      </c>
      <c r="O3638" s="869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799"/>
    </row>
    <row r="3639" spans="1:27" s="210" customFormat="1" ht="15.75" customHeight="1">
      <c r="A3639" s="203" t="str">
        <f>IF(B3639&lt;&gt;"",IF(AND(B3639&gt;=_TM1,B3639&lt;=_TM2,OR(TH!L3639="1111",TH!M3639="1111")),TH!D3639,""),"")</f>
        <v/>
      </c>
      <c r="B3639" s="36">
        <f t="shared" si="63"/>
        <v>10</v>
      </c>
      <c r="C3639" s="899">
        <f t="shared" si="62"/>
        <v>42306</v>
      </c>
      <c r="D3639" s="900" t="s">
        <v>2013</v>
      </c>
      <c r="E3639" s="900">
        <v>42306</v>
      </c>
      <c r="F3639" s="907" t="s">
        <v>1145</v>
      </c>
      <c r="G3639" s="902" t="s">
        <v>1143</v>
      </c>
      <c r="H3639" s="913" t="s">
        <v>2014</v>
      </c>
      <c r="I3639" s="253">
        <v>52</v>
      </c>
      <c r="J3639" s="253">
        <v>8575.3928128137086</v>
      </c>
      <c r="K3639" s="904">
        <f t="shared" si="61"/>
        <v>445920</v>
      </c>
      <c r="L3639" s="869" t="s">
        <v>167</v>
      </c>
      <c r="M3639" s="869" t="s">
        <v>165</v>
      </c>
      <c r="N3639" s="52" t="str">
        <f>IF(AND('331-CT'!$E$7=TH!H3639,OR(L3639="331",M3639="331")),"331",IF(AND(OR(L3639="131",M3639="131"),H3639='131-CT'!$E$7),"131",""))</f>
        <v/>
      </c>
      <c r="O3639" s="869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799"/>
    </row>
    <row r="3640" spans="1:27" s="210" customFormat="1" ht="15.75" customHeight="1">
      <c r="A3640" s="203" t="str">
        <f>IF(B3640&lt;&gt;"",IF(AND(B3640&gt;=_TM1,B3640&lt;=_TM2,OR(TH!L3640="1111",TH!M3640="1111")),TH!D3640,""),"")</f>
        <v/>
      </c>
      <c r="B3640" s="36">
        <f t="shared" si="63"/>
        <v>10</v>
      </c>
      <c r="C3640" s="899">
        <f t="shared" si="62"/>
        <v>42306</v>
      </c>
      <c r="D3640" s="900" t="s">
        <v>2013</v>
      </c>
      <c r="E3640" s="900">
        <v>42306</v>
      </c>
      <c r="F3640" s="907" t="s">
        <v>1146</v>
      </c>
      <c r="G3640" s="902" t="s">
        <v>1143</v>
      </c>
      <c r="H3640" s="913" t="s">
        <v>2014</v>
      </c>
      <c r="I3640" s="253">
        <v>52</v>
      </c>
      <c r="J3640" s="253">
        <v>8873.6673454333159</v>
      </c>
      <c r="K3640" s="904">
        <f t="shared" si="61"/>
        <v>461431</v>
      </c>
      <c r="L3640" s="869" t="s">
        <v>167</v>
      </c>
      <c r="M3640" s="869" t="s">
        <v>165</v>
      </c>
      <c r="N3640" s="52" t="str">
        <f>IF(AND('331-CT'!$E$7=TH!H3640,OR(L3640="331",M3640="331")),"331",IF(AND(OR(L3640="131",M3640="131"),H3640='131-CT'!$E$7),"131",""))</f>
        <v/>
      </c>
      <c r="O3640" s="869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799"/>
    </row>
    <row r="3641" spans="1:27" s="210" customFormat="1" ht="15.75" customHeight="1">
      <c r="A3641" s="203" t="str">
        <f>IF(B3641&lt;&gt;"",IF(AND(B3641&gt;=_TM1,B3641&lt;=_TM2,OR(TH!L3641="1111",TH!M3641="1111")),TH!D3641,""),"")</f>
        <v/>
      </c>
      <c r="B3641" s="36">
        <f t="shared" si="63"/>
        <v>10</v>
      </c>
      <c r="C3641" s="899">
        <f t="shared" si="62"/>
        <v>42306</v>
      </c>
      <c r="D3641" s="900" t="s">
        <v>2013</v>
      </c>
      <c r="E3641" s="900">
        <v>42306</v>
      </c>
      <c r="F3641" s="907" t="s">
        <v>432</v>
      </c>
      <c r="G3641" s="902" t="s">
        <v>1143</v>
      </c>
      <c r="H3641" s="913" t="s">
        <v>2014</v>
      </c>
      <c r="I3641" s="253">
        <v>131</v>
      </c>
      <c r="J3641" s="253">
        <v>9843.0595764470399</v>
      </c>
      <c r="K3641" s="904">
        <f t="shared" si="61"/>
        <v>1289441</v>
      </c>
      <c r="L3641" s="869" t="s">
        <v>167</v>
      </c>
      <c r="M3641" s="869" t="s">
        <v>165</v>
      </c>
      <c r="N3641" s="52" t="str">
        <f>IF(AND('331-CT'!$E$7=TH!H3641,OR(L3641="331",M3641="331")),"331",IF(AND(OR(L3641="131",M3641="131"),H3641='131-CT'!$E$7),"131",""))</f>
        <v/>
      </c>
      <c r="O3641" s="869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799"/>
    </row>
    <row r="3642" spans="1:27" s="210" customFormat="1" ht="15.75" customHeight="1">
      <c r="A3642" s="203" t="str">
        <f>IF(B3642&lt;&gt;"",IF(AND(B3642&gt;=_TM1,B3642&lt;=_TM2,OR(TH!L3642="1111",TH!M3642="1111")),TH!D3642,""),"")</f>
        <v/>
      </c>
      <c r="B3642" s="36">
        <f t="shared" si="63"/>
        <v>10</v>
      </c>
      <c r="C3642" s="899">
        <f t="shared" si="62"/>
        <v>42306</v>
      </c>
      <c r="D3642" s="900" t="s">
        <v>2013</v>
      </c>
      <c r="E3642" s="900">
        <v>42306</v>
      </c>
      <c r="F3642" s="907" t="s">
        <v>523</v>
      </c>
      <c r="G3642" s="902" t="s">
        <v>1143</v>
      </c>
      <c r="H3642" s="913" t="s">
        <v>2014</v>
      </c>
      <c r="I3642" s="253">
        <v>104</v>
      </c>
      <c r="J3642" s="253">
        <v>10066.765475911747</v>
      </c>
      <c r="K3642" s="904">
        <f t="shared" si="61"/>
        <v>1046944</v>
      </c>
      <c r="L3642" s="869" t="s">
        <v>167</v>
      </c>
      <c r="M3642" s="869" t="s">
        <v>165</v>
      </c>
      <c r="N3642" s="52" t="str">
        <f>IF(AND('331-CT'!$E$7=TH!H3642,OR(L3642="331",M3642="331")),"331",IF(AND(OR(L3642="131",M3642="131"),H3642='131-CT'!$E$7),"131",""))</f>
        <v/>
      </c>
      <c r="O3642" s="869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799"/>
    </row>
    <row r="3643" spans="1:27" s="210" customFormat="1" ht="15.75" customHeight="1">
      <c r="A3643" s="203" t="str">
        <f>IF(B3643&lt;&gt;"",IF(AND(B3643&gt;=_TM1,B3643&lt;=_TM2,OR(TH!L3643="1111",TH!M3643="1111")),TH!D3643,""),"")</f>
        <v/>
      </c>
      <c r="B3643" s="36">
        <f t="shared" si="63"/>
        <v>10</v>
      </c>
      <c r="C3643" s="899">
        <f t="shared" si="62"/>
        <v>42306</v>
      </c>
      <c r="D3643" s="900" t="s">
        <v>2013</v>
      </c>
      <c r="E3643" s="900">
        <v>42306</v>
      </c>
      <c r="F3643" s="907" t="s">
        <v>1740</v>
      </c>
      <c r="G3643" s="902" t="s">
        <v>1147</v>
      </c>
      <c r="H3643" s="913" t="s">
        <v>2014</v>
      </c>
      <c r="I3643" s="253">
        <v>1490</v>
      </c>
      <c r="J3643" s="253">
        <v>8799.0987122784136</v>
      </c>
      <c r="K3643" s="904">
        <f t="shared" si="61"/>
        <v>13110657</v>
      </c>
      <c r="L3643" s="869" t="s">
        <v>167</v>
      </c>
      <c r="M3643" s="869" t="s">
        <v>165</v>
      </c>
      <c r="N3643" s="52" t="str">
        <f>IF(AND('331-CT'!$E$7=TH!H3643,OR(L3643="331",M3643="331")),"331",IF(AND(OR(L3643="131",M3643="131"),H3643='131-CT'!$E$7),"131",""))</f>
        <v/>
      </c>
      <c r="O3643" s="869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799"/>
    </row>
    <row r="3644" spans="1:27" s="210" customFormat="1" ht="15.75" customHeight="1">
      <c r="A3644" s="203" t="str">
        <f>IF(B3644&lt;&gt;"",IF(AND(B3644&gt;=_TM1,B3644&lt;=_TM2,OR(TH!L3644="1111",TH!M3644="1111")),TH!D3644,""),"")</f>
        <v/>
      </c>
      <c r="B3644" s="36">
        <f t="shared" si="63"/>
        <v>10</v>
      </c>
      <c r="C3644" s="899">
        <f t="shared" si="62"/>
        <v>42308</v>
      </c>
      <c r="D3644" s="900" t="s">
        <v>2013</v>
      </c>
      <c r="E3644" s="900">
        <v>42308</v>
      </c>
      <c r="F3644" s="907" t="s">
        <v>1120</v>
      </c>
      <c r="G3644" s="902" t="s">
        <v>1148</v>
      </c>
      <c r="H3644" s="913" t="s">
        <v>2014</v>
      </c>
      <c r="I3644" s="253">
        <v>1000</v>
      </c>
      <c r="J3644" s="253">
        <v>9992.1968427568445</v>
      </c>
      <c r="K3644" s="904">
        <f t="shared" si="61"/>
        <v>9992197</v>
      </c>
      <c r="L3644" s="869" t="s">
        <v>167</v>
      </c>
      <c r="M3644" s="869" t="s">
        <v>165</v>
      </c>
      <c r="N3644" s="52" t="str">
        <f>IF(AND('331-CT'!$E$7=TH!H3644,OR(L3644="331",M3644="331")),"331",IF(AND(OR(L3644="131",M3644="131"),H3644='131-CT'!$E$7),"131",""))</f>
        <v/>
      </c>
      <c r="O3644" s="869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799"/>
    </row>
    <row r="3645" spans="1:27" s="210" customFormat="1" ht="15.75" customHeight="1">
      <c r="A3645" s="203" t="str">
        <f>IF(B3645&lt;&gt;"",IF(AND(B3645&gt;=_TM1,B3645&lt;=_TM2,OR(TH!L3645="1111",TH!M3645="1111")),TH!D3645,""),"")</f>
        <v/>
      </c>
      <c r="B3645" s="36">
        <f t="shared" si="63"/>
        <v>10</v>
      </c>
      <c r="C3645" s="899">
        <f t="shared" si="62"/>
        <v>42308</v>
      </c>
      <c r="D3645" s="900" t="s">
        <v>2013</v>
      </c>
      <c r="E3645" s="900">
        <v>42308</v>
      </c>
      <c r="F3645" s="907" t="s">
        <v>1948</v>
      </c>
      <c r="G3645" s="902" t="s">
        <v>1149</v>
      </c>
      <c r="H3645" s="913" t="s">
        <v>2014</v>
      </c>
      <c r="I3645" s="253">
        <v>1667</v>
      </c>
      <c r="J3645" s="253">
        <v>9246.5105112078254</v>
      </c>
      <c r="K3645" s="904">
        <f t="shared" si="61"/>
        <v>15413933</v>
      </c>
      <c r="L3645" s="869" t="s">
        <v>167</v>
      </c>
      <c r="M3645" s="869" t="s">
        <v>165</v>
      </c>
      <c r="N3645" s="52" t="str">
        <f>IF(AND('331-CT'!$E$7=TH!H3645,OR(L3645="331",M3645="331")),"331",IF(AND(OR(L3645="131",M3645="131"),H3645='131-CT'!$E$7),"131",""))</f>
        <v/>
      </c>
      <c r="O3645" s="869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799"/>
    </row>
    <row r="3646" spans="1:27" s="210" customFormat="1" ht="15.75" customHeight="1">
      <c r="A3646" s="203" t="str">
        <f>IF(B3646&lt;&gt;"",IF(AND(B3646&gt;=_TM1,B3646&lt;=_TM2,OR(TH!L3646="1111",TH!M3646="1111")),TH!D3646,""),"")</f>
        <v/>
      </c>
      <c r="B3646" s="36">
        <f t="shared" si="63"/>
        <v>10</v>
      </c>
      <c r="C3646" s="899">
        <f t="shared" si="62"/>
        <v>42308</v>
      </c>
      <c r="D3646" s="900" t="s">
        <v>2013</v>
      </c>
      <c r="E3646" s="900">
        <v>42308</v>
      </c>
      <c r="F3646" s="907" t="s">
        <v>454</v>
      </c>
      <c r="G3646" s="902" t="s">
        <v>1150</v>
      </c>
      <c r="H3646" s="913" t="s">
        <v>2014</v>
      </c>
      <c r="I3646" s="253">
        <v>300</v>
      </c>
      <c r="J3646" s="253">
        <v>54062.259037303818</v>
      </c>
      <c r="K3646" s="904">
        <f t="shared" si="61"/>
        <v>16218678</v>
      </c>
      <c r="L3646" s="869" t="s">
        <v>167</v>
      </c>
      <c r="M3646" s="869" t="s">
        <v>165</v>
      </c>
      <c r="N3646" s="52" t="str">
        <f>IF(AND('331-CT'!$E$7=TH!H3646,OR(L3646="331",M3646="331")),"331",IF(AND(OR(L3646="131",M3646="131"),H3646='131-CT'!$E$7),"131",""))</f>
        <v/>
      </c>
      <c r="O3646" s="869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799"/>
    </row>
    <row r="3647" spans="1:27" s="210" customFormat="1" ht="15.75" customHeight="1">
      <c r="A3647" s="203" t="str">
        <f>IF(B3647&lt;&gt;"",IF(AND(B3647&gt;=_TM1,B3647&lt;=_TM2,OR(TH!L3647="1111",TH!M3647="1111")),TH!D3647,""),"")</f>
        <v/>
      </c>
      <c r="B3647" s="36">
        <f t="shared" si="63"/>
        <v>11</v>
      </c>
      <c r="C3647" s="899">
        <f t="shared" si="62"/>
        <v>42311</v>
      </c>
      <c r="D3647" s="900" t="s">
        <v>2013</v>
      </c>
      <c r="E3647" s="900">
        <v>42311</v>
      </c>
      <c r="F3647" s="907" t="s">
        <v>454</v>
      </c>
      <c r="G3647" s="902" t="s">
        <v>1151</v>
      </c>
      <c r="H3647" s="913" t="s">
        <v>2014</v>
      </c>
      <c r="I3647" s="253">
        <v>248</v>
      </c>
      <c r="J3647" s="253">
        <v>54062.259037303818</v>
      </c>
      <c r="K3647" s="904">
        <f t="shared" si="61"/>
        <v>13407440</v>
      </c>
      <c r="L3647" s="869" t="s">
        <v>167</v>
      </c>
      <c r="M3647" s="869" t="s">
        <v>165</v>
      </c>
      <c r="N3647" s="52" t="str">
        <f>IF(AND('331-CT'!$E$7=TH!H3647,OR(L3647="331",M3647="331")),"331",IF(AND(OR(L3647="131",M3647="131"),H3647='131-CT'!$E$7),"131",""))</f>
        <v/>
      </c>
      <c r="O3647" s="869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799"/>
    </row>
    <row r="3648" spans="1:27" s="210" customFormat="1" ht="15.75" customHeight="1">
      <c r="A3648" s="203" t="str">
        <f>IF(B3648&lt;&gt;"",IF(AND(B3648&gt;=_TM1,B3648&lt;=_TM2,OR(TH!L3648="1111",TH!M3648="1111")),TH!D3648,""),"")</f>
        <v/>
      </c>
      <c r="B3648" s="36">
        <f t="shared" si="63"/>
        <v>11</v>
      </c>
      <c r="C3648" s="899">
        <f t="shared" si="62"/>
        <v>42311</v>
      </c>
      <c r="D3648" s="900" t="s">
        <v>2013</v>
      </c>
      <c r="E3648" s="900">
        <v>42311</v>
      </c>
      <c r="F3648" s="907" t="s">
        <v>518</v>
      </c>
      <c r="G3648" s="902" t="s">
        <v>1152</v>
      </c>
      <c r="H3648" s="913" t="s">
        <v>2014</v>
      </c>
      <c r="I3648" s="253">
        <v>511</v>
      </c>
      <c r="J3648" s="253">
        <v>7755.137848109789</v>
      </c>
      <c r="K3648" s="904">
        <f t="shared" si="61"/>
        <v>3962875</v>
      </c>
      <c r="L3648" s="869" t="s">
        <v>167</v>
      </c>
      <c r="M3648" s="869" t="s">
        <v>165</v>
      </c>
      <c r="N3648" s="52" t="str">
        <f>IF(AND('331-CT'!$E$7=TH!H3648,OR(L3648="331",M3648="331")),"331",IF(AND(OR(L3648="131",M3648="131"),H3648='131-CT'!$E$7),"131",""))</f>
        <v/>
      </c>
      <c r="O3648" s="869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799"/>
    </row>
    <row r="3649" spans="1:27" s="210" customFormat="1" ht="15.75" customHeight="1">
      <c r="A3649" s="203" t="str">
        <f>IF(B3649&lt;&gt;"",IF(AND(B3649&gt;=_TM1,B3649&lt;=_TM2,OR(TH!L3649="1111",TH!M3649="1111")),TH!D3649,""),"")</f>
        <v/>
      </c>
      <c r="B3649" s="36">
        <f t="shared" si="63"/>
        <v>11</v>
      </c>
      <c r="C3649" s="899">
        <f t="shared" si="62"/>
        <v>42311</v>
      </c>
      <c r="D3649" s="900" t="s">
        <v>2013</v>
      </c>
      <c r="E3649" s="900">
        <v>42311</v>
      </c>
      <c r="F3649" s="907" t="s">
        <v>1676</v>
      </c>
      <c r="G3649" s="902" t="s">
        <v>1152</v>
      </c>
      <c r="H3649" s="913" t="s">
        <v>2014</v>
      </c>
      <c r="I3649" s="253">
        <v>511</v>
      </c>
      <c r="J3649" s="253">
        <v>1043.9608641686254</v>
      </c>
      <c r="K3649" s="904">
        <f t="shared" si="61"/>
        <v>533464</v>
      </c>
      <c r="L3649" s="869" t="s">
        <v>167</v>
      </c>
      <c r="M3649" s="869" t="s">
        <v>165</v>
      </c>
      <c r="N3649" s="52" t="str">
        <f>IF(AND('331-CT'!$E$7=TH!H3649,OR(L3649="331",M3649="331")),"331",IF(AND(OR(L3649="131",M3649="131"),H3649='131-CT'!$E$7),"131",""))</f>
        <v/>
      </c>
      <c r="O3649" s="869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799"/>
    </row>
    <row r="3650" spans="1:27" s="210" customFormat="1" ht="15.75" customHeight="1">
      <c r="A3650" s="203" t="str">
        <f>IF(B3650&lt;&gt;"",IF(AND(B3650&gt;=_TM1,B3650&lt;=_TM2,OR(TH!L3650="1111",TH!M3650="1111")),TH!D3650,""),"")</f>
        <v/>
      </c>
      <c r="B3650" s="36">
        <f t="shared" si="63"/>
        <v>11</v>
      </c>
      <c r="C3650" s="899">
        <f t="shared" si="62"/>
        <v>42311</v>
      </c>
      <c r="D3650" s="900" t="s">
        <v>2013</v>
      </c>
      <c r="E3650" s="900">
        <v>42311</v>
      </c>
      <c r="F3650" s="907" t="s">
        <v>398</v>
      </c>
      <c r="G3650" s="902" t="s">
        <v>1153</v>
      </c>
      <c r="H3650" s="913" t="s">
        <v>2014</v>
      </c>
      <c r="I3650" s="253">
        <v>643</v>
      </c>
      <c r="J3650" s="253">
        <v>6114.6279187019491</v>
      </c>
      <c r="K3650" s="904">
        <f t="shared" si="61"/>
        <v>3931706</v>
      </c>
      <c r="L3650" s="869" t="s">
        <v>167</v>
      </c>
      <c r="M3650" s="869" t="s">
        <v>165</v>
      </c>
      <c r="N3650" s="52" t="str">
        <f>IF(AND('331-CT'!$E$7=TH!H3650,OR(L3650="331",M3650="331")),"331",IF(AND(OR(L3650="131",M3650="131"),H3650='131-CT'!$E$7),"131",""))</f>
        <v/>
      </c>
      <c r="O3650" s="869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799"/>
    </row>
    <row r="3651" spans="1:27" s="210" customFormat="1" ht="15.75" customHeight="1">
      <c r="A3651" s="203" t="str">
        <f>IF(B3651&lt;&gt;"",IF(AND(B3651&gt;=_TM1,B3651&lt;=_TM2,OR(TH!L3651="1111",TH!M3651="1111")),TH!D3651,""),"")</f>
        <v/>
      </c>
      <c r="B3651" s="36">
        <f t="shared" si="63"/>
        <v>11</v>
      </c>
      <c r="C3651" s="899">
        <f t="shared" si="62"/>
        <v>42311</v>
      </c>
      <c r="D3651" s="900" t="s">
        <v>2013</v>
      </c>
      <c r="E3651" s="900">
        <v>42311</v>
      </c>
      <c r="F3651" s="907" t="s">
        <v>501</v>
      </c>
      <c r="G3651" s="902" t="s">
        <v>1153</v>
      </c>
      <c r="H3651" s="913" t="s">
        <v>2014</v>
      </c>
      <c r="I3651" s="253">
        <v>601</v>
      </c>
      <c r="J3651" s="253">
        <v>11781.844038474488</v>
      </c>
      <c r="K3651" s="904">
        <f t="shared" si="61"/>
        <v>7080888</v>
      </c>
      <c r="L3651" s="869" t="s">
        <v>167</v>
      </c>
      <c r="M3651" s="869" t="s">
        <v>165</v>
      </c>
      <c r="N3651" s="52" t="str">
        <f>IF(AND('331-CT'!$E$7=TH!H3651,OR(L3651="331",M3651="331")),"331",IF(AND(OR(L3651="131",M3651="131"),H3651='131-CT'!$E$7),"131",""))</f>
        <v/>
      </c>
      <c r="O3651" s="869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799"/>
    </row>
    <row r="3652" spans="1:27" s="210" customFormat="1" ht="15.75" customHeight="1">
      <c r="A3652" s="203" t="str">
        <f>IF(B3652&lt;&gt;"",IF(AND(B3652&gt;=_TM1,B3652&lt;=_TM2,OR(TH!L3652="1111",TH!M3652="1111")),TH!D3652,""),"")</f>
        <v/>
      </c>
      <c r="B3652" s="36">
        <f t="shared" si="63"/>
        <v>11</v>
      </c>
      <c r="C3652" s="899">
        <f t="shared" si="62"/>
        <v>42311</v>
      </c>
      <c r="D3652" s="900" t="s">
        <v>2013</v>
      </c>
      <c r="E3652" s="900">
        <v>42311</v>
      </c>
      <c r="F3652" s="907" t="s">
        <v>994</v>
      </c>
      <c r="G3652" s="902" t="s">
        <v>1153</v>
      </c>
      <c r="H3652" s="913" t="s">
        <v>2014</v>
      </c>
      <c r="I3652" s="253">
        <v>610</v>
      </c>
      <c r="J3652" s="253">
        <v>9693.9223101372372</v>
      </c>
      <c r="K3652" s="904">
        <f t="shared" si="61"/>
        <v>5913293</v>
      </c>
      <c r="L3652" s="869" t="s">
        <v>167</v>
      </c>
      <c r="M3652" s="869" t="s">
        <v>165</v>
      </c>
      <c r="N3652" s="52" t="str">
        <f>IF(AND('331-CT'!$E$7=TH!H3652,OR(L3652="331",M3652="331")),"331",IF(AND(OR(L3652="131",M3652="131"),H3652='131-CT'!$E$7),"131",""))</f>
        <v/>
      </c>
      <c r="O3652" s="869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799"/>
    </row>
    <row r="3653" spans="1:27" s="210" customFormat="1" ht="15.75" customHeight="1">
      <c r="A3653" s="203" t="str">
        <f>IF(B3653&lt;&gt;"",IF(AND(B3653&gt;=_TM1,B3653&lt;=_TM2,OR(TH!L3653="1111",TH!M3653="1111")),TH!D3653,""),"")</f>
        <v/>
      </c>
      <c r="B3653" s="36">
        <f t="shared" si="63"/>
        <v>11</v>
      </c>
      <c r="C3653" s="899">
        <f t="shared" si="62"/>
        <v>42311</v>
      </c>
      <c r="D3653" s="900" t="s">
        <v>2013</v>
      </c>
      <c r="E3653" s="900">
        <v>42311</v>
      </c>
      <c r="F3653" s="907" t="s">
        <v>1808</v>
      </c>
      <c r="G3653" s="902" t="s">
        <v>1154</v>
      </c>
      <c r="H3653" s="913" t="s">
        <v>2014</v>
      </c>
      <c r="I3653" s="253">
        <v>86</v>
      </c>
      <c r="J3653" s="253">
        <v>3728.4316577450909</v>
      </c>
      <c r="K3653" s="904">
        <f t="shared" si="61"/>
        <v>320645</v>
      </c>
      <c r="L3653" s="869" t="s">
        <v>167</v>
      </c>
      <c r="M3653" s="869" t="s">
        <v>165</v>
      </c>
      <c r="N3653" s="52" t="str">
        <f>IF(AND('331-CT'!$E$7=TH!H3653,OR(L3653="331",M3653="331")),"331",IF(AND(OR(L3653="131",M3653="131"),H3653='131-CT'!$E$7),"131",""))</f>
        <v/>
      </c>
      <c r="O3653" s="869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799"/>
    </row>
    <row r="3654" spans="1:27" s="210" customFormat="1" ht="15.75" customHeight="1">
      <c r="A3654" s="203" t="str">
        <f>IF(B3654&lt;&gt;"",IF(AND(B3654&gt;=_TM1,B3654&lt;=_TM2,OR(TH!L3654="1111",TH!M3654="1111")),TH!D3654,""),"")</f>
        <v/>
      </c>
      <c r="B3654" s="36">
        <f t="shared" si="63"/>
        <v>11</v>
      </c>
      <c r="C3654" s="899">
        <f t="shared" si="62"/>
        <v>42311</v>
      </c>
      <c r="D3654" s="900" t="s">
        <v>2013</v>
      </c>
      <c r="E3654" s="900">
        <v>42311</v>
      </c>
      <c r="F3654" s="907" t="s">
        <v>1809</v>
      </c>
      <c r="G3654" s="902" t="s">
        <v>1154</v>
      </c>
      <c r="H3654" s="913" t="s">
        <v>2014</v>
      </c>
      <c r="I3654" s="253">
        <v>250</v>
      </c>
      <c r="J3654" s="253">
        <v>6114.6279187019491</v>
      </c>
      <c r="K3654" s="904">
        <f t="shared" si="61"/>
        <v>1528657</v>
      </c>
      <c r="L3654" s="869" t="s">
        <v>167</v>
      </c>
      <c r="M3654" s="869" t="s">
        <v>165</v>
      </c>
      <c r="N3654" s="52" t="str">
        <f>IF(AND('331-CT'!$E$7=TH!H3654,OR(L3654="331",M3654="331")),"331",IF(AND(OR(L3654="131",M3654="131"),H3654='131-CT'!$E$7),"131",""))</f>
        <v/>
      </c>
      <c r="O3654" s="869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799"/>
    </row>
    <row r="3655" spans="1:27" s="210" customFormat="1" ht="15.75" customHeight="1">
      <c r="A3655" s="203" t="str">
        <f>IF(B3655&lt;&gt;"",IF(AND(B3655&gt;=_TM1,B3655&lt;=_TM2,OR(TH!L3655="1111",TH!M3655="1111")),TH!D3655,""),"")</f>
        <v/>
      </c>
      <c r="B3655" s="36">
        <f t="shared" si="63"/>
        <v>11</v>
      </c>
      <c r="C3655" s="899">
        <f t="shared" si="62"/>
        <v>42311</v>
      </c>
      <c r="D3655" s="900" t="s">
        <v>2013</v>
      </c>
      <c r="E3655" s="900">
        <v>42311</v>
      </c>
      <c r="F3655" s="907" t="s">
        <v>1810</v>
      </c>
      <c r="G3655" s="902" t="s">
        <v>1154</v>
      </c>
      <c r="H3655" s="913" t="s">
        <v>2014</v>
      </c>
      <c r="I3655" s="253">
        <v>313</v>
      </c>
      <c r="J3655" s="253">
        <v>6263.7651850117527</v>
      </c>
      <c r="K3655" s="904">
        <f t="shared" si="61"/>
        <v>1960559</v>
      </c>
      <c r="L3655" s="869" t="s">
        <v>167</v>
      </c>
      <c r="M3655" s="869" t="s">
        <v>165</v>
      </c>
      <c r="N3655" s="52" t="str">
        <f>IF(AND('331-CT'!$E$7=TH!H3655,OR(L3655="331",M3655="331")),"331",IF(AND(OR(L3655="131",M3655="131"),H3655='131-CT'!$E$7),"131",""))</f>
        <v/>
      </c>
      <c r="O3655" s="869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799"/>
    </row>
    <row r="3656" spans="1:27" s="210" customFormat="1" ht="15.75" customHeight="1">
      <c r="A3656" s="203" t="str">
        <f>IF(B3656&lt;&gt;"",IF(AND(B3656&gt;=_TM1,B3656&lt;=_TM2,OR(TH!L3656="1111",TH!M3656="1111")),TH!D3656,""),"")</f>
        <v/>
      </c>
      <c r="B3656" s="36">
        <f t="shared" si="63"/>
        <v>11</v>
      </c>
      <c r="C3656" s="899">
        <f t="shared" si="62"/>
        <v>42311</v>
      </c>
      <c r="D3656" s="900" t="s">
        <v>2013</v>
      </c>
      <c r="E3656" s="900">
        <v>42311</v>
      </c>
      <c r="F3656" s="907" t="s">
        <v>1811</v>
      </c>
      <c r="G3656" s="902" t="s">
        <v>1154</v>
      </c>
      <c r="H3656" s="913" t="s">
        <v>2014</v>
      </c>
      <c r="I3656" s="253">
        <v>100</v>
      </c>
      <c r="J3656" s="253">
        <v>10514.177274841155</v>
      </c>
      <c r="K3656" s="904">
        <f t="shared" si="61"/>
        <v>1051418</v>
      </c>
      <c r="L3656" s="869" t="s">
        <v>167</v>
      </c>
      <c r="M3656" s="869" t="s">
        <v>165</v>
      </c>
      <c r="N3656" s="52" t="str">
        <f>IF(AND('331-CT'!$E$7=TH!H3656,OR(L3656="331",M3656="331")),"331",IF(AND(OR(L3656="131",M3656="131"),H3656='131-CT'!$E$7),"131",""))</f>
        <v/>
      </c>
      <c r="O3656" s="869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799"/>
    </row>
    <row r="3657" spans="1:27" s="210" customFormat="1" ht="15.75" customHeight="1">
      <c r="A3657" s="203" t="str">
        <f>IF(B3657&lt;&gt;"",IF(AND(B3657&gt;=_TM1,B3657&lt;=_TM2,OR(TH!L3657="1111",TH!M3657="1111")),TH!D3657,""),"")</f>
        <v/>
      </c>
      <c r="B3657" s="36">
        <f t="shared" si="63"/>
        <v>11</v>
      </c>
      <c r="C3657" s="899">
        <f t="shared" si="62"/>
        <v>42311</v>
      </c>
      <c r="D3657" s="900" t="s">
        <v>2013</v>
      </c>
      <c r="E3657" s="900">
        <v>42311</v>
      </c>
      <c r="F3657" s="907" t="s">
        <v>1728</v>
      </c>
      <c r="G3657" s="902" t="s">
        <v>1154</v>
      </c>
      <c r="H3657" s="913" t="s">
        <v>2014</v>
      </c>
      <c r="I3657" s="253">
        <v>10</v>
      </c>
      <c r="J3657" s="253">
        <v>12825.804902643113</v>
      </c>
      <c r="K3657" s="904">
        <f t="shared" si="61"/>
        <v>128258</v>
      </c>
      <c r="L3657" s="869" t="s">
        <v>167</v>
      </c>
      <c r="M3657" s="869" t="s">
        <v>165</v>
      </c>
      <c r="N3657" s="52" t="str">
        <f>IF(AND('331-CT'!$E$7=TH!H3657,OR(L3657="331",M3657="331")),"331",IF(AND(OR(L3657="131",M3657="131"),H3657='131-CT'!$E$7),"131",""))</f>
        <v/>
      </c>
      <c r="O3657" s="869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799"/>
    </row>
    <row r="3658" spans="1:27" s="210" customFormat="1" ht="15.75" customHeight="1">
      <c r="A3658" s="203" t="str">
        <f>IF(B3658&lt;&gt;"",IF(AND(B3658&gt;=_TM1,B3658&lt;=_TM2,OR(TH!L3658="1111",TH!M3658="1111")),TH!D3658,""),"")</f>
        <v/>
      </c>
      <c r="B3658" s="36">
        <f t="shared" si="63"/>
        <v>11</v>
      </c>
      <c r="C3658" s="899">
        <f t="shared" si="62"/>
        <v>42311</v>
      </c>
      <c r="D3658" s="900" t="s">
        <v>2013</v>
      </c>
      <c r="E3658" s="900">
        <v>42311</v>
      </c>
      <c r="F3658" s="907" t="s">
        <v>1736</v>
      </c>
      <c r="G3658" s="902" t="s">
        <v>1154</v>
      </c>
      <c r="H3658" s="913" t="s">
        <v>2014</v>
      </c>
      <c r="I3658" s="253">
        <v>10</v>
      </c>
      <c r="J3658" s="253">
        <v>13422.353967882327</v>
      </c>
      <c r="K3658" s="904">
        <f t="shared" si="61"/>
        <v>134224</v>
      </c>
      <c r="L3658" s="869" t="s">
        <v>167</v>
      </c>
      <c r="M3658" s="869" t="s">
        <v>165</v>
      </c>
      <c r="N3658" s="52" t="str">
        <f>IF(AND('331-CT'!$E$7=TH!H3658,OR(L3658="331",M3658="331")),"331",IF(AND(OR(L3658="131",M3658="131"),H3658='131-CT'!$E$7),"131",""))</f>
        <v/>
      </c>
      <c r="O3658" s="869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799"/>
    </row>
    <row r="3659" spans="1:27" s="210" customFormat="1" ht="15.75" customHeight="1">
      <c r="A3659" s="203" t="str">
        <f>IF(B3659&lt;&gt;"",IF(AND(B3659&gt;=_TM1,B3659&lt;=_TM2,OR(TH!L3659="1111",TH!M3659="1111")),TH!D3659,""),"")</f>
        <v/>
      </c>
      <c r="B3659" s="36">
        <f t="shared" si="63"/>
        <v>11</v>
      </c>
      <c r="C3659" s="899">
        <f t="shared" si="62"/>
        <v>42311</v>
      </c>
      <c r="D3659" s="900" t="s">
        <v>2013</v>
      </c>
      <c r="E3659" s="900">
        <v>42311</v>
      </c>
      <c r="F3659" s="907" t="s">
        <v>692</v>
      </c>
      <c r="G3659" s="902" t="s">
        <v>1154</v>
      </c>
      <c r="H3659" s="913" t="s">
        <v>2014</v>
      </c>
      <c r="I3659" s="253">
        <v>40</v>
      </c>
      <c r="J3659" s="253">
        <v>13347.785334727425</v>
      </c>
      <c r="K3659" s="904">
        <f t="shared" si="61"/>
        <v>533911</v>
      </c>
      <c r="L3659" s="869" t="s">
        <v>167</v>
      </c>
      <c r="M3659" s="869" t="s">
        <v>165</v>
      </c>
      <c r="N3659" s="52" t="str">
        <f>IF(AND('331-CT'!$E$7=TH!H3659,OR(L3659="331",M3659="331")),"331",IF(AND(OR(L3659="131",M3659="131"),H3659='131-CT'!$E$7),"131",""))</f>
        <v/>
      </c>
      <c r="O3659" s="869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799"/>
    </row>
    <row r="3660" spans="1:27" s="210" customFormat="1" ht="15.75" customHeight="1">
      <c r="A3660" s="203" t="str">
        <f>IF(B3660&lt;&gt;"",IF(AND(B3660&gt;=_TM1,B3660&lt;=_TM2,OR(TH!L3660="1111",TH!M3660="1111")),TH!D3660,""),"")</f>
        <v/>
      </c>
      <c r="B3660" s="36">
        <f t="shared" si="63"/>
        <v>11</v>
      </c>
      <c r="C3660" s="899">
        <f t="shared" si="62"/>
        <v>42311</v>
      </c>
      <c r="D3660" s="900" t="s">
        <v>2013</v>
      </c>
      <c r="E3660" s="900">
        <v>42311</v>
      </c>
      <c r="F3660" s="907" t="s">
        <v>1752</v>
      </c>
      <c r="G3660" s="902" t="s">
        <v>1154</v>
      </c>
      <c r="H3660" s="913" t="s">
        <v>2014</v>
      </c>
      <c r="I3660" s="253">
        <v>25</v>
      </c>
      <c r="J3660" s="253">
        <v>11781.844038474488</v>
      </c>
      <c r="K3660" s="904">
        <f t="shared" si="61"/>
        <v>294546</v>
      </c>
      <c r="L3660" s="869" t="s">
        <v>167</v>
      </c>
      <c r="M3660" s="869" t="s">
        <v>165</v>
      </c>
      <c r="N3660" s="52" t="str">
        <f>IF(AND('331-CT'!$E$7=TH!H3660,OR(L3660="331",M3660="331")),"331",IF(AND(OR(L3660="131",M3660="131"),H3660='131-CT'!$E$7),"131",""))</f>
        <v/>
      </c>
      <c r="O3660" s="869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799"/>
    </row>
    <row r="3661" spans="1:27" s="210" customFormat="1" ht="15.75" customHeight="1">
      <c r="A3661" s="203" t="str">
        <f>IF(B3661&lt;&gt;"",IF(AND(B3661&gt;=_TM1,B3661&lt;=_TM2,OR(TH!L3661="1111",TH!M3661="1111")),TH!D3661,""),"")</f>
        <v/>
      </c>
      <c r="B3661" s="36">
        <f t="shared" si="63"/>
        <v>11</v>
      </c>
      <c r="C3661" s="899">
        <f t="shared" si="62"/>
        <v>42311</v>
      </c>
      <c r="D3661" s="900" t="s">
        <v>2013</v>
      </c>
      <c r="E3661" s="900">
        <v>42311</v>
      </c>
      <c r="F3661" s="907" t="s">
        <v>1769</v>
      </c>
      <c r="G3661" s="902" t="s">
        <v>1154</v>
      </c>
      <c r="H3661" s="913" t="s">
        <v>2014</v>
      </c>
      <c r="I3661" s="253">
        <v>25</v>
      </c>
      <c r="J3661" s="253">
        <v>11632.706772164684</v>
      </c>
      <c r="K3661" s="904">
        <f t="shared" si="61"/>
        <v>290818</v>
      </c>
      <c r="L3661" s="869" t="s">
        <v>167</v>
      </c>
      <c r="M3661" s="869" t="s">
        <v>165</v>
      </c>
      <c r="N3661" s="52" t="str">
        <f>IF(AND('331-CT'!$E$7=TH!H3661,OR(L3661="331",M3661="331")),"331",IF(AND(OR(L3661="131",M3661="131"),H3661='131-CT'!$E$7),"131",""))</f>
        <v/>
      </c>
      <c r="O3661" s="869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799"/>
    </row>
    <row r="3662" spans="1:27" s="210" customFormat="1" ht="15.75" customHeight="1">
      <c r="A3662" s="203" t="str">
        <f>IF(B3662&lt;&gt;"",IF(AND(B3662&gt;=_TM1,B3662&lt;=_TM2,OR(TH!L3662="1111",TH!M3662="1111")),TH!D3662,""),"")</f>
        <v/>
      </c>
      <c r="B3662" s="36">
        <f t="shared" si="63"/>
        <v>11</v>
      </c>
      <c r="C3662" s="899">
        <f t="shared" si="62"/>
        <v>42311</v>
      </c>
      <c r="D3662" s="900" t="s">
        <v>2013</v>
      </c>
      <c r="E3662" s="900">
        <v>42311</v>
      </c>
      <c r="F3662" s="907" t="s">
        <v>1812</v>
      </c>
      <c r="G3662" s="902" t="s">
        <v>1154</v>
      </c>
      <c r="H3662" s="913" t="s">
        <v>2014</v>
      </c>
      <c r="I3662" s="253">
        <v>400</v>
      </c>
      <c r="J3662" s="253">
        <v>7606.0005817999854</v>
      </c>
      <c r="K3662" s="904">
        <f t="shared" si="61"/>
        <v>3042400</v>
      </c>
      <c r="L3662" s="869" t="s">
        <v>167</v>
      </c>
      <c r="M3662" s="869" t="s">
        <v>165</v>
      </c>
      <c r="N3662" s="52" t="str">
        <f>IF(AND('331-CT'!$E$7=TH!H3662,OR(L3662="331",M3662="331")),"331",IF(AND(OR(L3662="131",M3662="131"),H3662='131-CT'!$E$7),"131",""))</f>
        <v/>
      </c>
      <c r="O3662" s="869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799"/>
    </row>
    <row r="3663" spans="1:27" s="210" customFormat="1" ht="15.75" customHeight="1">
      <c r="A3663" s="203" t="str">
        <f>IF(B3663&lt;&gt;"",IF(AND(B3663&gt;=_TM1,B3663&lt;=_TM2,OR(TH!L3663="1111",TH!M3663="1111")),TH!D3663,""),"")</f>
        <v/>
      </c>
      <c r="B3663" s="36">
        <f t="shared" si="63"/>
        <v>11</v>
      </c>
      <c r="C3663" s="899">
        <f t="shared" si="62"/>
        <v>42312</v>
      </c>
      <c r="D3663" s="900" t="s">
        <v>2013</v>
      </c>
      <c r="E3663" s="900">
        <v>42312</v>
      </c>
      <c r="F3663" s="907" t="s">
        <v>1155</v>
      </c>
      <c r="G3663" s="902" t="s">
        <v>1156</v>
      </c>
      <c r="H3663" s="913" t="s">
        <v>2014</v>
      </c>
      <c r="I3663" s="253">
        <v>497</v>
      </c>
      <c r="J3663" s="253">
        <v>820.25496470392</v>
      </c>
      <c r="K3663" s="904">
        <f t="shared" si="61"/>
        <v>407667</v>
      </c>
      <c r="L3663" s="869" t="s">
        <v>167</v>
      </c>
      <c r="M3663" s="869" t="s">
        <v>165</v>
      </c>
      <c r="N3663" s="52" t="str">
        <f>IF(AND('331-CT'!$E$7=TH!H3663,OR(L3663="331",M3663="331")),"331",IF(AND(OR(L3663="131",M3663="131"),H3663='131-CT'!$E$7),"131",""))</f>
        <v/>
      </c>
      <c r="O3663" s="869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799"/>
    </row>
    <row r="3664" spans="1:27" s="210" customFormat="1" ht="15.75" customHeight="1">
      <c r="A3664" s="203" t="str">
        <f>IF(B3664&lt;&gt;"",IF(AND(B3664&gt;=_TM1,B3664&lt;=_TM2,OR(TH!L3664="1111",TH!M3664="1111")),TH!D3664,""),"")</f>
        <v/>
      </c>
      <c r="B3664" s="36">
        <f t="shared" si="63"/>
        <v>11</v>
      </c>
      <c r="C3664" s="899">
        <f t="shared" si="62"/>
        <v>42312</v>
      </c>
      <c r="D3664" s="900" t="s">
        <v>2013</v>
      </c>
      <c r="E3664" s="900">
        <v>42312</v>
      </c>
      <c r="F3664" s="907" t="s">
        <v>1157</v>
      </c>
      <c r="G3664" s="902" t="s">
        <v>1158</v>
      </c>
      <c r="H3664" s="913" t="s">
        <v>2014</v>
      </c>
      <c r="I3664" s="253">
        <v>122</v>
      </c>
      <c r="J3664" s="253">
        <v>12229.255837403898</v>
      </c>
      <c r="K3664" s="904">
        <f t="shared" si="61"/>
        <v>1491969</v>
      </c>
      <c r="L3664" s="869" t="s">
        <v>167</v>
      </c>
      <c r="M3664" s="869" t="s">
        <v>165</v>
      </c>
      <c r="N3664" s="52" t="str">
        <f>IF(AND('331-CT'!$E$7=TH!H3664,OR(L3664="331",M3664="331")),"331",IF(AND(OR(L3664="131",M3664="131"),H3664='131-CT'!$E$7),"131",""))</f>
        <v/>
      </c>
      <c r="O3664" s="869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799"/>
    </row>
    <row r="3665" spans="1:27" s="210" customFormat="1" ht="15.75" customHeight="1">
      <c r="A3665" s="203" t="str">
        <f>IF(B3665&lt;&gt;"",IF(AND(B3665&gt;=_TM1,B3665&lt;=_TM2,OR(TH!L3665="1111",TH!M3665="1111")),TH!D3665,""),"")</f>
        <v/>
      </c>
      <c r="B3665" s="36">
        <f t="shared" si="63"/>
        <v>11</v>
      </c>
      <c r="C3665" s="899">
        <f t="shared" si="62"/>
        <v>42312</v>
      </c>
      <c r="D3665" s="900" t="s">
        <v>2013</v>
      </c>
      <c r="E3665" s="900">
        <v>42312</v>
      </c>
      <c r="F3665" s="907" t="s">
        <v>1159</v>
      </c>
      <c r="G3665" s="902" t="s">
        <v>1158</v>
      </c>
      <c r="H3665" s="913" t="s">
        <v>2014</v>
      </c>
      <c r="I3665" s="253">
        <v>201</v>
      </c>
      <c r="J3665" s="253">
        <v>12602.099003178408</v>
      </c>
      <c r="K3665" s="904">
        <f t="shared" si="61"/>
        <v>2533022</v>
      </c>
      <c r="L3665" s="869" t="s">
        <v>167</v>
      </c>
      <c r="M3665" s="869" t="s">
        <v>165</v>
      </c>
      <c r="N3665" s="52" t="str">
        <f>IF(AND('331-CT'!$E$7=TH!H3665,OR(L3665="331",M3665="331")),"331",IF(AND(OR(L3665="131",M3665="131"),H3665='131-CT'!$E$7),"131",""))</f>
        <v/>
      </c>
      <c r="O3665" s="869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799"/>
    </row>
    <row r="3666" spans="1:27" s="210" customFormat="1" ht="15.75" customHeight="1">
      <c r="A3666" s="203" t="str">
        <f>IF(B3666&lt;&gt;"",IF(AND(B3666&gt;=_TM1,B3666&lt;=_TM2,OR(TH!L3666="1111",TH!M3666="1111")),TH!D3666,""),"")</f>
        <v/>
      </c>
      <c r="B3666" s="36">
        <f t="shared" si="63"/>
        <v>11</v>
      </c>
      <c r="C3666" s="899">
        <f t="shared" si="62"/>
        <v>42312</v>
      </c>
      <c r="D3666" s="900" t="s">
        <v>2013</v>
      </c>
      <c r="E3666" s="900">
        <v>42312</v>
      </c>
      <c r="F3666" s="907" t="s">
        <v>1813</v>
      </c>
      <c r="G3666" s="902" t="s">
        <v>1160</v>
      </c>
      <c r="H3666" s="913" t="s">
        <v>2014</v>
      </c>
      <c r="I3666" s="253">
        <v>510</v>
      </c>
      <c r="J3666" s="253">
        <v>7009.4515165607709</v>
      </c>
      <c r="K3666" s="904">
        <f t="shared" si="61"/>
        <v>3574820</v>
      </c>
      <c r="L3666" s="869" t="s">
        <v>167</v>
      </c>
      <c r="M3666" s="869" t="s">
        <v>165</v>
      </c>
      <c r="N3666" s="52" t="str">
        <f>IF(AND('331-CT'!$E$7=TH!H3666,OR(L3666="331",M3666="331")),"331",IF(AND(OR(L3666="131",M3666="131"),H3666='131-CT'!$E$7),"131",""))</f>
        <v/>
      </c>
      <c r="O3666" s="869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799"/>
    </row>
    <row r="3667" spans="1:27" s="210" customFormat="1" ht="15.75" customHeight="1">
      <c r="A3667" s="203" t="str">
        <f>IF(B3667&lt;&gt;"",IF(AND(B3667&gt;=_TM1,B3667&lt;=_TM2,OR(TH!L3667="1111",TH!M3667="1111")),TH!D3667,""),"")</f>
        <v/>
      </c>
      <c r="B3667" s="36">
        <f t="shared" si="63"/>
        <v>11</v>
      </c>
      <c r="C3667" s="899">
        <f t="shared" si="62"/>
        <v>42312</v>
      </c>
      <c r="D3667" s="900" t="s">
        <v>2013</v>
      </c>
      <c r="E3667" s="900">
        <v>42312</v>
      </c>
      <c r="F3667" s="907" t="s">
        <v>1814</v>
      </c>
      <c r="G3667" s="902" t="s">
        <v>1160</v>
      </c>
      <c r="H3667" s="913" t="s">
        <v>2014</v>
      </c>
      <c r="I3667" s="253">
        <v>350</v>
      </c>
      <c r="J3667" s="253">
        <v>4772.3925219137163</v>
      </c>
      <c r="K3667" s="904">
        <f t="shared" si="61"/>
        <v>1670337</v>
      </c>
      <c r="L3667" s="869" t="s">
        <v>167</v>
      </c>
      <c r="M3667" s="869" t="s">
        <v>165</v>
      </c>
      <c r="N3667" s="52" t="str">
        <f>IF(AND('331-CT'!$E$7=TH!H3667,OR(L3667="331",M3667="331")),"331",IF(AND(OR(L3667="131",M3667="131"),H3667='131-CT'!$E$7),"131",""))</f>
        <v/>
      </c>
      <c r="O3667" s="869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799"/>
    </row>
    <row r="3668" spans="1:27" s="210" customFormat="1" ht="15.75" customHeight="1">
      <c r="A3668" s="203" t="str">
        <f>IF(B3668&lt;&gt;"",IF(AND(B3668&gt;=_TM1,B3668&lt;=_TM2,OR(TH!L3668="1111",TH!M3668="1111")),TH!D3668,""),"")</f>
        <v/>
      </c>
      <c r="B3668" s="36">
        <f t="shared" si="63"/>
        <v>11</v>
      </c>
      <c r="C3668" s="899">
        <f t="shared" si="62"/>
        <v>42312</v>
      </c>
      <c r="D3668" s="900" t="s">
        <v>2013</v>
      </c>
      <c r="E3668" s="900">
        <v>42312</v>
      </c>
      <c r="F3668" s="907" t="s">
        <v>1815</v>
      </c>
      <c r="G3668" s="902" t="s">
        <v>1160</v>
      </c>
      <c r="H3668" s="913" t="s">
        <v>2014</v>
      </c>
      <c r="I3668" s="253">
        <v>340</v>
      </c>
      <c r="J3668" s="253">
        <v>11483.569505854881</v>
      </c>
      <c r="K3668" s="904">
        <f t="shared" si="61"/>
        <v>3904414</v>
      </c>
      <c r="L3668" s="869" t="s">
        <v>167</v>
      </c>
      <c r="M3668" s="869" t="s">
        <v>165</v>
      </c>
      <c r="N3668" s="52" t="str">
        <f>IF(AND('331-CT'!$E$7=TH!H3668,OR(L3668="331",M3668="331")),"331",IF(AND(OR(L3668="131",M3668="131"),H3668='131-CT'!$E$7),"131",""))</f>
        <v/>
      </c>
      <c r="O3668" s="869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799"/>
    </row>
    <row r="3669" spans="1:27" s="210" customFormat="1" ht="15.75" customHeight="1">
      <c r="A3669" s="203" t="str">
        <f>IF(B3669&lt;&gt;"",IF(AND(B3669&gt;=_TM1,B3669&lt;=_TM2,OR(TH!L3669="1111",TH!M3669="1111")),TH!D3669,""),"")</f>
        <v/>
      </c>
      <c r="B3669" s="36">
        <f t="shared" si="63"/>
        <v>11</v>
      </c>
      <c r="C3669" s="899">
        <f t="shared" si="62"/>
        <v>42312</v>
      </c>
      <c r="D3669" s="900" t="s">
        <v>2013</v>
      </c>
      <c r="E3669" s="900">
        <v>42312</v>
      </c>
      <c r="F3669" s="907" t="s">
        <v>1751</v>
      </c>
      <c r="G3669" s="902" t="s">
        <v>1160</v>
      </c>
      <c r="H3669" s="913" t="s">
        <v>2014</v>
      </c>
      <c r="I3669" s="253">
        <v>40</v>
      </c>
      <c r="J3669" s="253">
        <v>12005.549937939193</v>
      </c>
      <c r="K3669" s="904">
        <f t="shared" si="61"/>
        <v>480222</v>
      </c>
      <c r="L3669" s="869" t="s">
        <v>167</v>
      </c>
      <c r="M3669" s="869" t="s">
        <v>165</v>
      </c>
      <c r="N3669" s="52" t="str">
        <f>IF(AND('331-CT'!$E$7=TH!H3669,OR(L3669="331",M3669="331")),"331",IF(AND(OR(L3669="131",M3669="131"),H3669='131-CT'!$E$7),"131",""))</f>
        <v/>
      </c>
      <c r="O3669" s="869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799"/>
    </row>
    <row r="3670" spans="1:27" s="210" customFormat="1" ht="15.75" customHeight="1">
      <c r="A3670" s="203" t="str">
        <f>IF(B3670&lt;&gt;"",IF(AND(B3670&gt;=_TM1,B3670&lt;=_TM2,OR(TH!L3670="1111",TH!M3670="1111")),TH!D3670,""),"")</f>
        <v/>
      </c>
      <c r="B3670" s="36">
        <f t="shared" si="63"/>
        <v>11</v>
      </c>
      <c r="C3670" s="899">
        <f t="shared" si="62"/>
        <v>42312</v>
      </c>
      <c r="D3670" s="900" t="s">
        <v>2013</v>
      </c>
      <c r="E3670" s="900">
        <v>42312</v>
      </c>
      <c r="F3670" s="907" t="s">
        <v>1816</v>
      </c>
      <c r="G3670" s="902" t="s">
        <v>1160</v>
      </c>
      <c r="H3670" s="913" t="s">
        <v>2014</v>
      </c>
      <c r="I3670" s="253">
        <v>2104</v>
      </c>
      <c r="J3670" s="253">
        <v>521.98043208431272</v>
      </c>
      <c r="K3670" s="904">
        <f t="shared" si="61"/>
        <v>1098247</v>
      </c>
      <c r="L3670" s="869" t="s">
        <v>167</v>
      </c>
      <c r="M3670" s="869" t="s">
        <v>165</v>
      </c>
      <c r="N3670" s="52" t="str">
        <f>IF(AND('331-CT'!$E$7=TH!H3670,OR(L3670="331",M3670="331")),"331",IF(AND(OR(L3670="131",M3670="131"),H3670='131-CT'!$E$7),"131",""))</f>
        <v/>
      </c>
      <c r="O3670" s="869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799"/>
    </row>
    <row r="3671" spans="1:27" s="210" customFormat="1" ht="15.75" customHeight="1">
      <c r="A3671" s="203" t="str">
        <f>IF(B3671&lt;&gt;"",IF(AND(B3671&gt;=_TM1,B3671&lt;=_TM2,OR(TH!L3671="1111",TH!M3671="1111")),TH!D3671,""),"")</f>
        <v/>
      </c>
      <c r="B3671" s="36">
        <f t="shared" si="63"/>
        <v>11</v>
      </c>
      <c r="C3671" s="899">
        <f t="shared" si="62"/>
        <v>42312</v>
      </c>
      <c r="D3671" s="900" t="s">
        <v>2013</v>
      </c>
      <c r="E3671" s="900">
        <v>42312</v>
      </c>
      <c r="F3671" s="907" t="s">
        <v>1817</v>
      </c>
      <c r="G3671" s="902" t="s">
        <v>1160</v>
      </c>
      <c r="H3671" s="913" t="s">
        <v>2014</v>
      </c>
      <c r="I3671" s="253">
        <v>34</v>
      </c>
      <c r="J3671" s="253">
        <v>6636.6083507862622</v>
      </c>
      <c r="K3671" s="904">
        <f t="shared" si="61"/>
        <v>225645</v>
      </c>
      <c r="L3671" s="869" t="s">
        <v>167</v>
      </c>
      <c r="M3671" s="869" t="s">
        <v>165</v>
      </c>
      <c r="N3671" s="52" t="str">
        <f>IF(AND('331-CT'!$E$7=TH!H3671,OR(L3671="331",M3671="331")),"331",IF(AND(OR(L3671="131",M3671="131"),H3671='131-CT'!$E$7),"131",""))</f>
        <v/>
      </c>
      <c r="O3671" s="869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799"/>
    </row>
    <row r="3672" spans="1:27" s="210" customFormat="1" ht="15.75" customHeight="1">
      <c r="A3672" s="203" t="str">
        <f>IF(B3672&lt;&gt;"",IF(AND(B3672&gt;=_TM1,B3672&lt;=_TM2,OR(TH!L3672="1111",TH!M3672="1111")),TH!D3672,""),"")</f>
        <v/>
      </c>
      <c r="B3672" s="36">
        <f t="shared" si="63"/>
        <v>11</v>
      </c>
      <c r="C3672" s="899">
        <f t="shared" si="62"/>
        <v>42312</v>
      </c>
      <c r="D3672" s="900" t="s">
        <v>2013</v>
      </c>
      <c r="E3672" s="900">
        <v>42312</v>
      </c>
      <c r="F3672" s="907" t="s">
        <v>1818</v>
      </c>
      <c r="G3672" s="902" t="s">
        <v>1160</v>
      </c>
      <c r="H3672" s="913" t="s">
        <v>2014</v>
      </c>
      <c r="I3672" s="253">
        <v>125</v>
      </c>
      <c r="J3672" s="253">
        <v>14615.452098360756</v>
      </c>
      <c r="K3672" s="904">
        <f t="shared" si="61"/>
        <v>1826932</v>
      </c>
      <c r="L3672" s="869" t="s">
        <v>167</v>
      </c>
      <c r="M3672" s="869" t="s">
        <v>165</v>
      </c>
      <c r="N3672" s="52" t="str">
        <f>IF(AND('331-CT'!$E$7=TH!H3672,OR(L3672="331",M3672="331")),"331",IF(AND(OR(L3672="131",M3672="131"),H3672='131-CT'!$E$7),"131",""))</f>
        <v/>
      </c>
      <c r="O3672" s="869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799"/>
    </row>
    <row r="3673" spans="1:27" s="210" customFormat="1" ht="15.75" customHeight="1">
      <c r="A3673" s="203" t="str">
        <f>IF(B3673&lt;&gt;"",IF(AND(B3673&gt;=_TM1,B3673&lt;=_TM2,OR(TH!L3673="1111",TH!M3673="1111")),TH!D3673,""),"")</f>
        <v/>
      </c>
      <c r="B3673" s="36">
        <f t="shared" si="63"/>
        <v>11</v>
      </c>
      <c r="C3673" s="899">
        <f t="shared" si="62"/>
        <v>42312</v>
      </c>
      <c r="D3673" s="900" t="s">
        <v>2013</v>
      </c>
      <c r="E3673" s="900">
        <v>42312</v>
      </c>
      <c r="F3673" s="907" t="s">
        <v>694</v>
      </c>
      <c r="G3673" s="902" t="s">
        <v>1160</v>
      </c>
      <c r="H3673" s="913" t="s">
        <v>2014</v>
      </c>
      <c r="I3673" s="253">
        <v>35</v>
      </c>
      <c r="J3673" s="253">
        <v>10961.589073770567</v>
      </c>
      <c r="K3673" s="904">
        <f t="shared" si="61"/>
        <v>383656</v>
      </c>
      <c r="L3673" s="869" t="s">
        <v>167</v>
      </c>
      <c r="M3673" s="869" t="s">
        <v>165</v>
      </c>
      <c r="N3673" s="52" t="str">
        <f>IF(AND('331-CT'!$E$7=TH!H3673,OR(L3673="331",M3673="331")),"331",IF(AND(OR(L3673="131",M3673="131"),H3673='131-CT'!$E$7),"131",""))</f>
        <v/>
      </c>
      <c r="O3673" s="869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799"/>
    </row>
    <row r="3674" spans="1:27" s="210" customFormat="1" ht="15.75" customHeight="1">
      <c r="A3674" s="203" t="str">
        <f>IF(B3674&lt;&gt;"",IF(AND(B3674&gt;=_TM1,B3674&lt;=_TM2,OR(TH!L3674="1111",TH!M3674="1111")),TH!D3674,""),"")</f>
        <v/>
      </c>
      <c r="B3674" s="36">
        <f t="shared" si="63"/>
        <v>11</v>
      </c>
      <c r="C3674" s="899">
        <f t="shared" si="62"/>
        <v>42312</v>
      </c>
      <c r="D3674" s="900" t="s">
        <v>2013</v>
      </c>
      <c r="E3674" s="900">
        <v>42312</v>
      </c>
      <c r="F3674" s="907" t="s">
        <v>1741</v>
      </c>
      <c r="G3674" s="902" t="s">
        <v>1160</v>
      </c>
      <c r="H3674" s="913" t="s">
        <v>2014</v>
      </c>
      <c r="I3674" s="253">
        <v>40</v>
      </c>
      <c r="J3674" s="253">
        <v>8277.1182801941031</v>
      </c>
      <c r="K3674" s="904">
        <f t="shared" si="61"/>
        <v>331085</v>
      </c>
      <c r="L3674" s="869" t="s">
        <v>167</v>
      </c>
      <c r="M3674" s="869" t="s">
        <v>165</v>
      </c>
      <c r="N3674" s="52" t="str">
        <f>IF(AND('331-CT'!$E$7=TH!H3674,OR(L3674="331",M3674="331")),"331",IF(AND(OR(L3674="131",M3674="131"),H3674='131-CT'!$E$7),"131",""))</f>
        <v/>
      </c>
      <c r="O3674" s="869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799"/>
    </row>
    <row r="3675" spans="1:27" s="210" customFormat="1" ht="15.75" customHeight="1">
      <c r="A3675" s="203" t="str">
        <f>IF(B3675&lt;&gt;"",IF(AND(B3675&gt;=_TM1,B3675&lt;=_TM2,OR(TH!L3675="1111",TH!M3675="1111")),TH!D3675,""),"")</f>
        <v/>
      </c>
      <c r="B3675" s="36">
        <f t="shared" si="63"/>
        <v>11</v>
      </c>
      <c r="C3675" s="899">
        <f t="shared" si="62"/>
        <v>42313</v>
      </c>
      <c r="D3675" s="900" t="s">
        <v>2013</v>
      </c>
      <c r="E3675" s="900">
        <v>42313</v>
      </c>
      <c r="F3675" s="907" t="s">
        <v>1161</v>
      </c>
      <c r="G3675" s="902" t="s">
        <v>1162</v>
      </c>
      <c r="H3675" s="913" t="s">
        <v>2014</v>
      </c>
      <c r="I3675" s="253">
        <v>650</v>
      </c>
      <c r="J3675" s="253">
        <v>5741.7847529274404</v>
      </c>
      <c r="K3675" s="904">
        <f t="shared" si="61"/>
        <v>3732160</v>
      </c>
      <c r="L3675" s="869" t="s">
        <v>167</v>
      </c>
      <c r="M3675" s="869" t="s">
        <v>165</v>
      </c>
      <c r="N3675" s="52" t="str">
        <f>IF(AND('331-CT'!$E$7=TH!H3675,OR(L3675="331",M3675="331")),"331",IF(AND(OR(L3675="131",M3675="131"),H3675='131-CT'!$E$7),"131",""))</f>
        <v/>
      </c>
      <c r="O3675" s="869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799"/>
    </row>
    <row r="3676" spans="1:27" s="210" customFormat="1" ht="15.75" customHeight="1">
      <c r="A3676" s="203" t="str">
        <f>IF(B3676&lt;&gt;"",IF(AND(B3676&gt;=_TM1,B3676&lt;=_TM2,OR(TH!L3676="1111",TH!M3676="1111")),TH!D3676,""),"")</f>
        <v/>
      </c>
      <c r="B3676" s="36">
        <f t="shared" si="63"/>
        <v>11</v>
      </c>
      <c r="C3676" s="899">
        <f t="shared" si="62"/>
        <v>42313</v>
      </c>
      <c r="D3676" s="900" t="s">
        <v>2013</v>
      </c>
      <c r="E3676" s="900">
        <v>42313</v>
      </c>
      <c r="F3676" s="907" t="s">
        <v>602</v>
      </c>
      <c r="G3676" s="902" t="s">
        <v>1162</v>
      </c>
      <c r="H3676" s="913" t="s">
        <v>2014</v>
      </c>
      <c r="I3676" s="253">
        <v>357</v>
      </c>
      <c r="J3676" s="253">
        <v>9395.6477775176299</v>
      </c>
      <c r="K3676" s="904">
        <f t="shared" si="61"/>
        <v>3354246</v>
      </c>
      <c r="L3676" s="869" t="s">
        <v>167</v>
      </c>
      <c r="M3676" s="869" t="s">
        <v>165</v>
      </c>
      <c r="N3676" s="52" t="str">
        <f>IF(AND('331-CT'!$E$7=TH!H3676,OR(L3676="331",M3676="331")),"331",IF(AND(OR(L3676="131",M3676="131"),H3676='131-CT'!$E$7),"131",""))</f>
        <v/>
      </c>
      <c r="O3676" s="869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799"/>
    </row>
    <row r="3677" spans="1:27" s="210" customFormat="1" ht="15.75" customHeight="1">
      <c r="A3677" s="203" t="str">
        <f>IF(B3677&lt;&gt;"",IF(AND(B3677&gt;=_TM1,B3677&lt;=_TM2,OR(TH!L3677="1111",TH!M3677="1111")),TH!D3677,""),"")</f>
        <v/>
      </c>
      <c r="B3677" s="36">
        <f t="shared" si="63"/>
        <v>11</v>
      </c>
      <c r="C3677" s="899">
        <f t="shared" si="62"/>
        <v>42313</v>
      </c>
      <c r="D3677" s="900" t="s">
        <v>2013</v>
      </c>
      <c r="E3677" s="900">
        <v>42313</v>
      </c>
      <c r="F3677" s="907" t="s">
        <v>658</v>
      </c>
      <c r="G3677" s="902" t="s">
        <v>1162</v>
      </c>
      <c r="H3677" s="913" t="s">
        <v>2014</v>
      </c>
      <c r="I3677" s="253">
        <v>90</v>
      </c>
      <c r="J3677" s="253">
        <v>7382.2946823352795</v>
      </c>
      <c r="K3677" s="904">
        <f t="shared" si="61"/>
        <v>664407</v>
      </c>
      <c r="L3677" s="869" t="s">
        <v>167</v>
      </c>
      <c r="M3677" s="869" t="s">
        <v>165</v>
      </c>
      <c r="N3677" s="52" t="str">
        <f>IF(AND('331-CT'!$E$7=TH!H3677,OR(L3677="331",M3677="331")),"331",IF(AND(OR(L3677="131",M3677="131"),H3677='131-CT'!$E$7),"131",""))</f>
        <v/>
      </c>
      <c r="O3677" s="869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799"/>
    </row>
    <row r="3678" spans="1:27" s="210" customFormat="1" ht="15.75" customHeight="1">
      <c r="A3678" s="203" t="str">
        <f>IF(B3678&lt;&gt;"",IF(AND(B3678&gt;=_TM1,B3678&lt;=_TM2,OR(TH!L3678="1111",TH!M3678="1111")),TH!D3678,""),"")</f>
        <v/>
      </c>
      <c r="B3678" s="36">
        <f t="shared" si="63"/>
        <v>11</v>
      </c>
      <c r="C3678" s="899">
        <f t="shared" si="62"/>
        <v>42313</v>
      </c>
      <c r="D3678" s="900" t="s">
        <v>2013</v>
      </c>
      <c r="E3678" s="900">
        <v>42313</v>
      </c>
      <c r="F3678" s="907" t="s">
        <v>1163</v>
      </c>
      <c r="G3678" s="902" t="s">
        <v>1162</v>
      </c>
      <c r="H3678" s="913" t="s">
        <v>2014</v>
      </c>
      <c r="I3678" s="253">
        <v>23</v>
      </c>
      <c r="J3678" s="253">
        <v>7456.8633154901818</v>
      </c>
      <c r="K3678" s="904">
        <f t="shared" si="61"/>
        <v>171508</v>
      </c>
      <c r="L3678" s="869" t="s">
        <v>167</v>
      </c>
      <c r="M3678" s="869" t="s">
        <v>165</v>
      </c>
      <c r="N3678" s="52" t="str">
        <f>IF(AND('331-CT'!$E$7=TH!H3678,OR(L3678="331",M3678="331")),"331",IF(AND(OR(L3678="131",M3678="131"),H3678='131-CT'!$E$7),"131",""))</f>
        <v/>
      </c>
      <c r="O3678" s="869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799"/>
    </row>
    <row r="3679" spans="1:27" s="210" customFormat="1" ht="15.75" customHeight="1">
      <c r="A3679" s="203" t="str">
        <f>IF(B3679&lt;&gt;"",IF(AND(B3679&gt;=_TM1,B3679&lt;=_TM2,OR(TH!L3679="1111",TH!M3679="1111")),TH!D3679,""),"")</f>
        <v/>
      </c>
      <c r="B3679" s="36">
        <f t="shared" si="63"/>
        <v>11</v>
      </c>
      <c r="C3679" s="899">
        <f t="shared" si="62"/>
        <v>42313</v>
      </c>
      <c r="D3679" s="900" t="s">
        <v>2013</v>
      </c>
      <c r="E3679" s="900">
        <v>42313</v>
      </c>
      <c r="F3679" s="907" t="s">
        <v>1164</v>
      </c>
      <c r="G3679" s="902" t="s">
        <v>1162</v>
      </c>
      <c r="H3679" s="913" t="s">
        <v>2014</v>
      </c>
      <c r="I3679" s="253">
        <v>23</v>
      </c>
      <c r="J3679" s="253">
        <v>6114.6279187019491</v>
      </c>
      <c r="K3679" s="904">
        <f t="shared" si="61"/>
        <v>140636</v>
      </c>
      <c r="L3679" s="869" t="s">
        <v>167</v>
      </c>
      <c r="M3679" s="869" t="s">
        <v>165</v>
      </c>
      <c r="N3679" s="52" t="str">
        <f>IF(AND('331-CT'!$E$7=TH!H3679,OR(L3679="331",M3679="331")),"331",IF(AND(OR(L3679="131",M3679="131"),H3679='131-CT'!$E$7),"131",""))</f>
        <v/>
      </c>
      <c r="O3679" s="869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799"/>
    </row>
    <row r="3680" spans="1:27" s="210" customFormat="1" ht="15.75" customHeight="1">
      <c r="A3680" s="203" t="str">
        <f>IF(B3680&lt;&gt;"",IF(AND(B3680&gt;=_TM1,B3680&lt;=_TM2,OR(TH!L3680="1111",TH!M3680="1111")),TH!D3680,""),"")</f>
        <v/>
      </c>
      <c r="B3680" s="36">
        <f t="shared" si="63"/>
        <v>11</v>
      </c>
      <c r="C3680" s="899">
        <f t="shared" si="62"/>
        <v>42313</v>
      </c>
      <c r="D3680" s="900" t="s">
        <v>2013</v>
      </c>
      <c r="E3680" s="900">
        <v>42313</v>
      </c>
      <c r="F3680" s="907" t="s">
        <v>1165</v>
      </c>
      <c r="G3680" s="902" t="s">
        <v>1166</v>
      </c>
      <c r="H3680" s="913" t="s">
        <v>2014</v>
      </c>
      <c r="I3680" s="253">
        <v>70</v>
      </c>
      <c r="J3680" s="253">
        <v>13198.648068417622</v>
      </c>
      <c r="K3680" s="904">
        <f t="shared" si="61"/>
        <v>923905</v>
      </c>
      <c r="L3680" s="869" t="s">
        <v>167</v>
      </c>
      <c r="M3680" s="869" t="s">
        <v>165</v>
      </c>
      <c r="N3680" s="52" t="str">
        <f>IF(AND('331-CT'!$E$7=TH!H3680,OR(L3680="331",M3680="331")),"331",IF(AND(OR(L3680="131",M3680="131"),H3680='131-CT'!$E$7),"131",""))</f>
        <v/>
      </c>
      <c r="O3680" s="869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799"/>
    </row>
    <row r="3681" spans="1:27" s="210" customFormat="1" ht="15.75" customHeight="1">
      <c r="A3681" s="203" t="str">
        <f>IF(B3681&lt;&gt;"",IF(AND(B3681&gt;=_TM1,B3681&lt;=_TM2,OR(TH!L3681="1111",TH!M3681="1111")),TH!D3681,""),"")</f>
        <v/>
      </c>
      <c r="B3681" s="36">
        <f t="shared" si="63"/>
        <v>11</v>
      </c>
      <c r="C3681" s="899">
        <f t="shared" si="62"/>
        <v>42315</v>
      </c>
      <c r="D3681" s="900" t="s">
        <v>2013</v>
      </c>
      <c r="E3681" s="900">
        <v>42315</v>
      </c>
      <c r="F3681" s="907" t="s">
        <v>2008</v>
      </c>
      <c r="G3681" s="902" t="s">
        <v>1167</v>
      </c>
      <c r="H3681" s="913" t="s">
        <v>2014</v>
      </c>
      <c r="I3681" s="253">
        <v>150</v>
      </c>
      <c r="J3681" s="253">
        <v>3206.4512256607782</v>
      </c>
      <c r="K3681" s="904">
        <f t="shared" si="61"/>
        <v>480968</v>
      </c>
      <c r="L3681" s="869" t="s">
        <v>167</v>
      </c>
      <c r="M3681" s="869" t="s">
        <v>165</v>
      </c>
      <c r="N3681" s="52" t="str">
        <f>IF(AND('331-CT'!$E$7=TH!H3681,OR(L3681="331",M3681="331")),"331",IF(AND(OR(L3681="131",M3681="131"),H3681='131-CT'!$E$7),"131",""))</f>
        <v/>
      </c>
      <c r="O3681" s="869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799"/>
    </row>
    <row r="3682" spans="1:27" s="210" customFormat="1" ht="15.75" customHeight="1">
      <c r="A3682" s="203" t="str">
        <f>IF(B3682&lt;&gt;"",IF(AND(B3682&gt;=_TM1,B3682&lt;=_TM2,OR(TH!L3682="1111",TH!M3682="1111")),TH!D3682,""),"")</f>
        <v/>
      </c>
      <c r="B3682" s="36">
        <f t="shared" si="63"/>
        <v>11</v>
      </c>
      <c r="C3682" s="899">
        <f t="shared" si="62"/>
        <v>42315</v>
      </c>
      <c r="D3682" s="900" t="s">
        <v>2013</v>
      </c>
      <c r="E3682" s="900">
        <v>42315</v>
      </c>
      <c r="F3682" s="907" t="s">
        <v>398</v>
      </c>
      <c r="G3682" s="902" t="s">
        <v>1168</v>
      </c>
      <c r="H3682" s="913" t="s">
        <v>2014</v>
      </c>
      <c r="I3682" s="253">
        <v>1188</v>
      </c>
      <c r="J3682" s="253">
        <v>6114.6279187019491</v>
      </c>
      <c r="K3682" s="904">
        <f t="shared" si="61"/>
        <v>7264178</v>
      </c>
      <c r="L3682" s="869" t="s">
        <v>167</v>
      </c>
      <c r="M3682" s="869" t="s">
        <v>165</v>
      </c>
      <c r="N3682" s="52" t="str">
        <f>IF(AND('331-CT'!$E$7=TH!H3682,OR(L3682="331",M3682="331")),"331",IF(AND(OR(L3682="131",M3682="131"),H3682='131-CT'!$E$7),"131",""))</f>
        <v/>
      </c>
      <c r="O3682" s="869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799"/>
    </row>
    <row r="3683" spans="1:27" s="210" customFormat="1" ht="15.75" customHeight="1">
      <c r="A3683" s="203" t="str">
        <f>IF(B3683&lt;&gt;"",IF(AND(B3683&gt;=_TM1,B3683&lt;=_TM2,OR(TH!L3683="1111",TH!M3683="1111")),TH!D3683,""),"")</f>
        <v/>
      </c>
      <c r="B3683" s="36">
        <f t="shared" si="63"/>
        <v>11</v>
      </c>
      <c r="C3683" s="899">
        <f t="shared" si="62"/>
        <v>42315</v>
      </c>
      <c r="D3683" s="900" t="s">
        <v>2013</v>
      </c>
      <c r="E3683" s="900">
        <v>42315</v>
      </c>
      <c r="F3683" s="907" t="s">
        <v>1169</v>
      </c>
      <c r="G3683" s="902" t="s">
        <v>1168</v>
      </c>
      <c r="H3683" s="913" t="s">
        <v>2014</v>
      </c>
      <c r="I3683" s="253">
        <v>304</v>
      </c>
      <c r="J3683" s="253">
        <v>8500.8241796588063</v>
      </c>
      <c r="K3683" s="904">
        <f t="shared" ref="K3683:K3688" si="64">ROUND(I3683*J3683,0)</f>
        <v>2584251</v>
      </c>
      <c r="L3683" s="869" t="s">
        <v>167</v>
      </c>
      <c r="M3683" s="869" t="s">
        <v>165</v>
      </c>
      <c r="N3683" s="52" t="str">
        <f>IF(AND('331-CT'!$E$7=TH!H3683,OR(L3683="331",M3683="331")),"331",IF(AND(OR(L3683="131",M3683="131"),H3683='131-CT'!$E$7),"131",""))</f>
        <v/>
      </c>
      <c r="O3683" s="869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799"/>
    </row>
    <row r="3684" spans="1:27" s="210" customFormat="1" ht="15.75" customHeight="1">
      <c r="A3684" s="203" t="str">
        <f>IF(B3684&lt;&gt;"",IF(AND(B3684&gt;=_TM1,B3684&lt;=_TM2,OR(TH!L3684="1111",TH!M3684="1111")),TH!D3684,""),"")</f>
        <v/>
      </c>
      <c r="B3684" s="36">
        <f t="shared" si="63"/>
        <v>11</v>
      </c>
      <c r="C3684" s="899">
        <f t="shared" si="62"/>
        <v>42317</v>
      </c>
      <c r="D3684" s="900" t="s">
        <v>2013</v>
      </c>
      <c r="E3684" s="900">
        <v>42317</v>
      </c>
      <c r="F3684" s="907" t="s">
        <v>760</v>
      </c>
      <c r="G3684" s="902" t="s">
        <v>1170</v>
      </c>
      <c r="H3684" s="913" t="s">
        <v>2014</v>
      </c>
      <c r="I3684" s="253">
        <v>519</v>
      </c>
      <c r="J3684" s="253">
        <v>7233.1574160254759</v>
      </c>
      <c r="K3684" s="904">
        <f t="shared" si="64"/>
        <v>3754009</v>
      </c>
      <c r="L3684" s="869" t="s">
        <v>167</v>
      </c>
      <c r="M3684" s="869" t="s">
        <v>165</v>
      </c>
      <c r="N3684" s="52" t="str">
        <f>IF(AND('331-CT'!$E$7=TH!H3684,OR(L3684="331",M3684="331")),"331",IF(AND(OR(L3684="131",M3684="131"),H3684='131-CT'!$E$7),"131",""))</f>
        <v/>
      </c>
      <c r="O3684" s="869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799"/>
    </row>
    <row r="3685" spans="1:27" s="210" customFormat="1" ht="15.75" customHeight="1">
      <c r="A3685" s="203" t="str">
        <f>IF(B3685&lt;&gt;"",IF(AND(B3685&gt;=_TM1,B3685&lt;=_TM2,OR(TH!L3685="1111",TH!M3685="1111")),TH!D3685,""),"")</f>
        <v/>
      </c>
      <c r="B3685" s="36">
        <f t="shared" si="63"/>
        <v>11</v>
      </c>
      <c r="C3685" s="899">
        <f t="shared" si="62"/>
        <v>42317</v>
      </c>
      <c r="D3685" s="900" t="s">
        <v>2013</v>
      </c>
      <c r="E3685" s="900">
        <v>42317</v>
      </c>
      <c r="F3685" s="907" t="s">
        <v>451</v>
      </c>
      <c r="G3685" s="902" t="s">
        <v>1171</v>
      </c>
      <c r="H3685" s="913" t="s">
        <v>2014</v>
      </c>
      <c r="I3685" s="253">
        <v>100</v>
      </c>
      <c r="J3685" s="253">
        <v>9992.1968427568445</v>
      </c>
      <c r="K3685" s="904">
        <f t="shared" si="64"/>
        <v>999220</v>
      </c>
      <c r="L3685" s="869" t="s">
        <v>167</v>
      </c>
      <c r="M3685" s="869" t="s">
        <v>165</v>
      </c>
      <c r="N3685" s="52" t="str">
        <f>IF(AND('331-CT'!$E$7=TH!H3685,OR(L3685="331",M3685="331")),"331",IF(AND(OR(L3685="131",M3685="131"),H3685='131-CT'!$E$7),"131",""))</f>
        <v/>
      </c>
      <c r="O3685" s="869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799"/>
    </row>
    <row r="3686" spans="1:27" s="210" customFormat="1" ht="15.75" customHeight="1">
      <c r="A3686" s="203" t="str">
        <f>IF(B3686&lt;&gt;"",IF(AND(B3686&gt;=_TM1,B3686&lt;=_TM2,OR(TH!L3686="1111",TH!M3686="1111")),TH!D3686,""),"")</f>
        <v/>
      </c>
      <c r="B3686" s="36">
        <f t="shared" si="63"/>
        <v>11</v>
      </c>
      <c r="C3686" s="899">
        <f t="shared" si="62"/>
        <v>42317</v>
      </c>
      <c r="D3686" s="900" t="s">
        <v>2013</v>
      </c>
      <c r="E3686" s="900">
        <v>42317</v>
      </c>
      <c r="F3686" s="907" t="s">
        <v>1173</v>
      </c>
      <c r="G3686" s="902" t="s">
        <v>1174</v>
      </c>
      <c r="H3686" s="913" t="s">
        <v>2014</v>
      </c>
      <c r="I3686" s="253">
        <v>400</v>
      </c>
      <c r="J3686" s="253">
        <v>7755.137848109789</v>
      </c>
      <c r="K3686" s="904">
        <f t="shared" si="64"/>
        <v>3102055</v>
      </c>
      <c r="L3686" s="869" t="s">
        <v>167</v>
      </c>
      <c r="M3686" s="869" t="s">
        <v>165</v>
      </c>
      <c r="N3686" s="52" t="str">
        <f>IF(AND('331-CT'!$E$7=TH!H3686,OR(L3686="331",M3686="331")),"331",IF(AND(OR(L3686="131",M3686="131"),H3686='131-CT'!$E$7),"131",""))</f>
        <v/>
      </c>
      <c r="O3686" s="869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799"/>
    </row>
    <row r="3687" spans="1:27" s="210" customFormat="1" ht="15.75" customHeight="1">
      <c r="A3687" s="203" t="str">
        <f>IF(B3687&lt;&gt;"",IF(AND(B3687&gt;=_TM1,B3687&lt;=_TM2,OR(TH!L3687="1111",TH!M3687="1111")),TH!D3687,""),"")</f>
        <v/>
      </c>
      <c r="B3687" s="36">
        <f t="shared" si="63"/>
        <v>11</v>
      </c>
      <c r="C3687" s="899">
        <f t="shared" si="62"/>
        <v>42317</v>
      </c>
      <c r="D3687" s="900" t="s">
        <v>2013</v>
      </c>
      <c r="E3687" s="900">
        <v>42317</v>
      </c>
      <c r="F3687" s="907" t="s">
        <v>1819</v>
      </c>
      <c r="G3687" s="902" t="s">
        <v>1176</v>
      </c>
      <c r="H3687" s="913" t="s">
        <v>2014</v>
      </c>
      <c r="I3687" s="253">
        <v>500</v>
      </c>
      <c r="J3687" s="253">
        <v>13124.07943526272</v>
      </c>
      <c r="K3687" s="904">
        <f t="shared" si="64"/>
        <v>6562040</v>
      </c>
      <c r="L3687" s="869" t="s">
        <v>167</v>
      </c>
      <c r="M3687" s="869" t="s">
        <v>165</v>
      </c>
      <c r="N3687" s="52" t="str">
        <f>IF(AND('331-CT'!$E$7=TH!H3687,OR(L3687="331",M3687="331")),"331",IF(AND(OR(L3687="131",M3687="131"),H3687='131-CT'!$E$7),"131",""))</f>
        <v/>
      </c>
      <c r="O3687" s="869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799"/>
    </row>
    <row r="3688" spans="1:27" s="210" customFormat="1" ht="15.75" customHeight="1">
      <c r="A3688" s="203" t="str">
        <f>IF(B3688&lt;&gt;"",IF(AND(B3688&gt;=_TM1,B3688&lt;=_TM2,OR(TH!L3688="1111",TH!M3688="1111")),TH!D3688,""),"")</f>
        <v/>
      </c>
      <c r="B3688" s="36">
        <f t="shared" si="63"/>
        <v>11</v>
      </c>
      <c r="C3688" s="899">
        <f t="shared" si="62"/>
        <v>42317</v>
      </c>
      <c r="D3688" s="900" t="s">
        <v>2013</v>
      </c>
      <c r="E3688" s="900">
        <v>42317</v>
      </c>
      <c r="F3688" s="907" t="s">
        <v>1751</v>
      </c>
      <c r="G3688" s="902" t="s">
        <v>1176</v>
      </c>
      <c r="H3688" s="913" t="s">
        <v>2014</v>
      </c>
      <c r="I3688" s="253">
        <v>340</v>
      </c>
      <c r="J3688" s="253">
        <v>12005.549937939193</v>
      </c>
      <c r="K3688" s="904">
        <f t="shared" si="64"/>
        <v>4081887</v>
      </c>
      <c r="L3688" s="869" t="s">
        <v>167</v>
      </c>
      <c r="M3688" s="869" t="s">
        <v>165</v>
      </c>
      <c r="N3688" s="52" t="str">
        <f>IF(AND('331-CT'!$E$7=TH!H3688,OR(L3688="331",M3688="331")),"331",IF(AND(OR(L3688="131",M3688="131"),H3688='131-CT'!$E$7),"131",""))</f>
        <v/>
      </c>
      <c r="O3688" s="869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799"/>
    </row>
    <row r="3689" spans="1:27" s="210" customFormat="1" ht="15.75" customHeight="1">
      <c r="A3689" s="203" t="str">
        <f>IF(B3689&lt;&gt;"",IF(AND(B3689&gt;=_TM1,B3689&lt;=_TM2,OR(TH!L3689="1111",TH!M3689="1111")),TH!D3689,""),"")</f>
        <v/>
      </c>
      <c r="B3689" s="36">
        <f t="shared" ref="B3689:B3856" si="65">IF(C3689&lt;&gt;"",MONTH(C3689),"")</f>
        <v>11</v>
      </c>
      <c r="C3689" s="899">
        <f t="shared" ref="C3689:C3856" si="66">E3689</f>
        <v>42317</v>
      </c>
      <c r="D3689" s="900" t="s">
        <v>2013</v>
      </c>
      <c r="E3689" s="900">
        <v>42317</v>
      </c>
      <c r="F3689" s="907" t="s">
        <v>1820</v>
      </c>
      <c r="G3689" s="902" t="s">
        <v>1176</v>
      </c>
      <c r="H3689" s="913" t="s">
        <v>2014</v>
      </c>
      <c r="I3689" s="253">
        <v>422</v>
      </c>
      <c r="J3689" s="253">
        <v>12378.393103713701</v>
      </c>
      <c r="K3689" s="904">
        <f t="shared" ref="K3689:K3856" si="67">ROUND(I3689*J3689,0)</f>
        <v>5223682</v>
      </c>
      <c r="L3689" s="869" t="s">
        <v>167</v>
      </c>
      <c r="M3689" s="869" t="s">
        <v>165</v>
      </c>
      <c r="N3689" s="52" t="str">
        <f>IF(AND('331-CT'!$E$7=TH!H3689,OR(L3689="331",M3689="331")),"331",IF(AND(OR(L3689="131",M3689="131"),H3689='131-CT'!$E$7),"131",""))</f>
        <v/>
      </c>
      <c r="O3689" s="869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799"/>
    </row>
    <row r="3690" spans="1:27" s="210" customFormat="1" ht="15.75" customHeight="1">
      <c r="A3690" s="203" t="str">
        <f>IF(B3690&lt;&gt;"",IF(AND(B3690&gt;=_TM1,B3690&lt;=_TM2,OR(TH!L3690="1111",TH!M3690="1111")),TH!D3690,""),"")</f>
        <v/>
      </c>
      <c r="B3690" s="36">
        <f t="shared" si="65"/>
        <v>11</v>
      </c>
      <c r="C3690" s="899">
        <f t="shared" si="66"/>
        <v>42319</v>
      </c>
      <c r="D3690" s="900" t="s">
        <v>2013</v>
      </c>
      <c r="E3690" s="900">
        <v>42319</v>
      </c>
      <c r="F3690" s="907" t="s">
        <v>474</v>
      </c>
      <c r="G3690" s="902" t="s">
        <v>1177</v>
      </c>
      <c r="H3690" s="913" t="s">
        <v>2014</v>
      </c>
      <c r="I3690" s="253">
        <v>154</v>
      </c>
      <c r="J3690" s="253">
        <v>9022.8046117431204</v>
      </c>
      <c r="K3690" s="904">
        <f t="shared" si="67"/>
        <v>1389512</v>
      </c>
      <c r="L3690" s="869" t="s">
        <v>167</v>
      </c>
      <c r="M3690" s="869" t="s">
        <v>165</v>
      </c>
      <c r="N3690" s="52" t="str">
        <f>IF(AND('331-CT'!$E$7=TH!H3690,OR(L3690="331",M3690="331")),"331",IF(AND(OR(L3690="131",M3690="131"),H3690='131-CT'!$E$7),"131",""))</f>
        <v/>
      </c>
      <c r="O3690" s="869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799"/>
    </row>
    <row r="3691" spans="1:27" s="210" customFormat="1" ht="15.75" customHeight="1">
      <c r="A3691" s="203" t="str">
        <f>IF(B3691&lt;&gt;"",IF(AND(B3691&gt;=_TM1,B3691&lt;=_TM2,OR(TH!L3691="1111",TH!M3691="1111")),TH!D3691,""),"")</f>
        <v/>
      </c>
      <c r="B3691" s="36">
        <f t="shared" si="65"/>
        <v>11</v>
      </c>
      <c r="C3691" s="899">
        <f t="shared" si="66"/>
        <v>42321</v>
      </c>
      <c r="D3691" s="900" t="s">
        <v>2013</v>
      </c>
      <c r="E3691" s="900">
        <v>42321</v>
      </c>
      <c r="F3691" s="907" t="s">
        <v>1030</v>
      </c>
      <c r="G3691" s="902" t="s">
        <v>1179</v>
      </c>
      <c r="H3691" s="913" t="s">
        <v>2014</v>
      </c>
      <c r="I3691" s="253">
        <v>104</v>
      </c>
      <c r="J3691" s="253">
        <v>12005.549937939193</v>
      </c>
      <c r="K3691" s="904">
        <f t="shared" si="67"/>
        <v>1248577</v>
      </c>
      <c r="L3691" s="869" t="s">
        <v>167</v>
      </c>
      <c r="M3691" s="869" t="s">
        <v>165</v>
      </c>
      <c r="N3691" s="52" t="str">
        <f>IF(AND('331-CT'!$E$7=TH!H3691,OR(L3691="331",M3691="331")),"331",IF(AND(OR(L3691="131",M3691="131"),H3691='131-CT'!$E$7),"131",""))</f>
        <v/>
      </c>
      <c r="O3691" s="869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799"/>
    </row>
    <row r="3692" spans="1:27" s="210" customFormat="1" ht="15.75" customHeight="1">
      <c r="A3692" s="203" t="str">
        <f>IF(B3692&lt;&gt;"",IF(AND(B3692&gt;=_TM1,B3692&lt;=_TM2,OR(TH!L3692="1111",TH!M3692="1111")),TH!D3692,""),"")</f>
        <v/>
      </c>
      <c r="B3692" s="36">
        <f t="shared" si="65"/>
        <v>11</v>
      </c>
      <c r="C3692" s="899">
        <f t="shared" si="66"/>
        <v>42321</v>
      </c>
      <c r="D3692" s="900" t="s">
        <v>2013</v>
      </c>
      <c r="E3692" s="900">
        <v>42321</v>
      </c>
      <c r="F3692" s="907" t="s">
        <v>494</v>
      </c>
      <c r="G3692" s="902" t="s">
        <v>1180</v>
      </c>
      <c r="H3692" s="913" t="s">
        <v>2014</v>
      </c>
      <c r="I3692" s="253">
        <v>736</v>
      </c>
      <c r="J3692" s="253">
        <v>5070.6670545333236</v>
      </c>
      <c r="K3692" s="904">
        <f t="shared" si="67"/>
        <v>3732011</v>
      </c>
      <c r="L3692" s="869" t="s">
        <v>167</v>
      </c>
      <c r="M3692" s="869" t="s">
        <v>165</v>
      </c>
      <c r="N3692" s="52" t="str">
        <f>IF(AND('331-CT'!$E$7=TH!H3692,OR(L3692="331",M3692="331")),"331",IF(AND(OR(L3692="131",M3692="131"),H3692='131-CT'!$E$7),"131",""))</f>
        <v/>
      </c>
      <c r="O3692" s="869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799"/>
    </row>
    <row r="3693" spans="1:27" s="210" customFormat="1" ht="15.75" customHeight="1">
      <c r="A3693" s="203" t="str">
        <f>IF(B3693&lt;&gt;"",IF(AND(B3693&gt;=_TM1,B3693&lt;=_TM2,OR(TH!L3693="1111",TH!M3693="1111")),TH!D3693,""),"")</f>
        <v/>
      </c>
      <c r="B3693" s="36">
        <f t="shared" si="65"/>
        <v>11</v>
      </c>
      <c r="C3693" s="899">
        <f t="shared" si="66"/>
        <v>42321</v>
      </c>
      <c r="D3693" s="900" t="s">
        <v>2013</v>
      </c>
      <c r="E3693" s="900">
        <v>42321</v>
      </c>
      <c r="F3693" s="907" t="s">
        <v>1948</v>
      </c>
      <c r="G3693" s="902" t="s">
        <v>1181</v>
      </c>
      <c r="H3693" s="913" t="s">
        <v>2014</v>
      </c>
      <c r="I3693" s="253">
        <v>2667</v>
      </c>
      <c r="J3693" s="253">
        <v>9246.5105112078254</v>
      </c>
      <c r="K3693" s="904">
        <f t="shared" si="67"/>
        <v>24660444</v>
      </c>
      <c r="L3693" s="869" t="s">
        <v>167</v>
      </c>
      <c r="M3693" s="869" t="s">
        <v>165</v>
      </c>
      <c r="N3693" s="52" t="str">
        <f>IF(AND('331-CT'!$E$7=TH!H3693,OR(L3693="331",M3693="331")),"331",IF(AND(OR(L3693="131",M3693="131"),H3693='131-CT'!$E$7),"131",""))</f>
        <v/>
      </c>
      <c r="O3693" s="869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799"/>
    </row>
    <row r="3694" spans="1:27" s="210" customFormat="1" ht="15.75" customHeight="1">
      <c r="A3694" s="203" t="str">
        <f>IF(B3694&lt;&gt;"",IF(AND(B3694&gt;=_TM1,B3694&lt;=_TM2,OR(TH!L3694="1111",TH!M3694="1111")),TH!D3694,""),"")</f>
        <v/>
      </c>
      <c r="B3694" s="36">
        <f t="shared" si="65"/>
        <v>11</v>
      </c>
      <c r="C3694" s="899">
        <f t="shared" si="66"/>
        <v>42321</v>
      </c>
      <c r="D3694" s="900" t="s">
        <v>2013</v>
      </c>
      <c r="E3694" s="900">
        <v>42321</v>
      </c>
      <c r="F3694" s="907" t="s">
        <v>441</v>
      </c>
      <c r="G3694" s="902" t="s">
        <v>1182</v>
      </c>
      <c r="H3694" s="913" t="s">
        <v>2014</v>
      </c>
      <c r="I3694" s="253">
        <v>1010</v>
      </c>
      <c r="J3694" s="253">
        <v>3803.0002908999927</v>
      </c>
      <c r="K3694" s="904">
        <f t="shared" si="67"/>
        <v>3841030</v>
      </c>
      <c r="L3694" s="869" t="s">
        <v>167</v>
      </c>
      <c r="M3694" s="869" t="s">
        <v>165</v>
      </c>
      <c r="N3694" s="52" t="str">
        <f>IF(AND('331-CT'!$E$7=TH!H3694,OR(L3694="331",M3694="331")),"331",IF(AND(OR(L3694="131",M3694="131"),H3694='131-CT'!$E$7),"131",""))</f>
        <v/>
      </c>
      <c r="O3694" s="869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799"/>
    </row>
    <row r="3695" spans="1:27" s="210" customFormat="1" ht="15.75" customHeight="1">
      <c r="A3695" s="203" t="str">
        <f>IF(B3695&lt;&gt;"",IF(AND(B3695&gt;=_TM1,B3695&lt;=_TM2,OR(TH!L3695="1111",TH!M3695="1111")),TH!D3695,""),"")</f>
        <v/>
      </c>
      <c r="B3695" s="36">
        <f t="shared" si="65"/>
        <v>11</v>
      </c>
      <c r="C3695" s="899">
        <f t="shared" si="66"/>
        <v>42324</v>
      </c>
      <c r="D3695" s="900" t="s">
        <v>2013</v>
      </c>
      <c r="E3695" s="900">
        <v>42324</v>
      </c>
      <c r="F3695" s="907" t="s">
        <v>1183</v>
      </c>
      <c r="G3695" s="902" t="s">
        <v>1184</v>
      </c>
      <c r="H3695" s="913" t="s">
        <v>2014</v>
      </c>
      <c r="I3695" s="253">
        <v>103</v>
      </c>
      <c r="J3695" s="253">
        <v>12154.687204248996</v>
      </c>
      <c r="K3695" s="904">
        <f t="shared" si="67"/>
        <v>1251933</v>
      </c>
      <c r="L3695" s="869" t="s">
        <v>167</v>
      </c>
      <c r="M3695" s="869" t="s">
        <v>165</v>
      </c>
      <c r="N3695" s="52" t="str">
        <f>IF(AND('331-CT'!$E$7=TH!H3695,OR(L3695="331",M3695="331")),"331",IF(AND(OR(L3695="131",M3695="131"),H3695='131-CT'!$E$7),"131",""))</f>
        <v/>
      </c>
      <c r="O3695" s="869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799"/>
    </row>
    <row r="3696" spans="1:27" s="210" customFormat="1" ht="15.75" customHeight="1">
      <c r="A3696" s="203" t="str">
        <f>IF(B3696&lt;&gt;"",IF(AND(B3696&gt;=_TM1,B3696&lt;=_TM2,OR(TH!L3696="1111",TH!M3696="1111")),TH!D3696,""),"")</f>
        <v/>
      </c>
      <c r="B3696" s="36">
        <f t="shared" si="65"/>
        <v>11</v>
      </c>
      <c r="C3696" s="899">
        <f t="shared" si="66"/>
        <v>42324</v>
      </c>
      <c r="D3696" s="900" t="s">
        <v>2013</v>
      </c>
      <c r="E3696" s="900">
        <v>42324</v>
      </c>
      <c r="F3696" s="907" t="s">
        <v>1185</v>
      </c>
      <c r="G3696" s="902" t="s">
        <v>1184</v>
      </c>
      <c r="H3696" s="913" t="s">
        <v>2014</v>
      </c>
      <c r="I3696" s="253">
        <v>104</v>
      </c>
      <c r="J3696" s="253">
        <v>16628.805193543107</v>
      </c>
      <c r="K3696" s="904">
        <f t="shared" si="67"/>
        <v>1729396</v>
      </c>
      <c r="L3696" s="869" t="s">
        <v>167</v>
      </c>
      <c r="M3696" s="869" t="s">
        <v>165</v>
      </c>
      <c r="N3696" s="52" t="str">
        <f>IF(AND('331-CT'!$E$7=TH!H3696,OR(L3696="331",M3696="331")),"331",IF(AND(OR(L3696="131",M3696="131"),H3696='131-CT'!$E$7),"131",""))</f>
        <v/>
      </c>
      <c r="O3696" s="869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799"/>
    </row>
    <row r="3697" spans="1:27" s="210" customFormat="1" ht="15.75" customHeight="1">
      <c r="A3697" s="203" t="str">
        <f>IF(B3697&lt;&gt;"",IF(AND(B3697&gt;=_TM1,B3697&lt;=_TM2,OR(TH!L3697="1111",TH!M3697="1111")),TH!D3697,""),"")</f>
        <v/>
      </c>
      <c r="B3697" s="36">
        <f t="shared" si="65"/>
        <v>11</v>
      </c>
      <c r="C3697" s="899">
        <f t="shared" si="66"/>
        <v>42324</v>
      </c>
      <c r="D3697" s="900" t="s">
        <v>2013</v>
      </c>
      <c r="E3697" s="900">
        <v>42324</v>
      </c>
      <c r="F3697" s="907" t="s">
        <v>1949</v>
      </c>
      <c r="G3697" s="902" t="s">
        <v>1186</v>
      </c>
      <c r="H3697" s="913" t="s">
        <v>2014</v>
      </c>
      <c r="I3697" s="253">
        <v>100</v>
      </c>
      <c r="J3697" s="253">
        <v>11334.432239545076</v>
      </c>
      <c r="K3697" s="904">
        <f t="shared" si="67"/>
        <v>1133443</v>
      </c>
      <c r="L3697" s="869" t="s">
        <v>167</v>
      </c>
      <c r="M3697" s="869" t="s">
        <v>165</v>
      </c>
      <c r="N3697" s="52" t="str">
        <f>IF(AND('331-CT'!$E$7=TH!H3697,OR(L3697="331",M3697="331")),"331",IF(AND(OR(L3697="131",M3697="131"),H3697='131-CT'!$E$7),"131",""))</f>
        <v/>
      </c>
      <c r="O3697" s="869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799"/>
    </row>
    <row r="3698" spans="1:27" s="210" customFormat="1" ht="15.75" customHeight="1">
      <c r="A3698" s="203" t="str">
        <f>IF(B3698&lt;&gt;"",IF(AND(B3698&gt;=_TM1,B3698&lt;=_TM2,OR(TH!L3698="1111",TH!M3698="1111")),TH!D3698,""),"")</f>
        <v/>
      </c>
      <c r="B3698" s="36">
        <f t="shared" si="65"/>
        <v>11</v>
      </c>
      <c r="C3698" s="899">
        <f t="shared" si="66"/>
        <v>42326</v>
      </c>
      <c r="D3698" s="900" t="s">
        <v>2013</v>
      </c>
      <c r="E3698" s="900">
        <v>42326</v>
      </c>
      <c r="F3698" s="907" t="s">
        <v>1957</v>
      </c>
      <c r="G3698" s="902" t="s">
        <v>1187</v>
      </c>
      <c r="H3698" s="913" t="s">
        <v>2014</v>
      </c>
      <c r="I3698" s="253">
        <v>600</v>
      </c>
      <c r="J3698" s="253">
        <v>6114.6279187019491</v>
      </c>
      <c r="K3698" s="904">
        <f t="shared" si="67"/>
        <v>3668777</v>
      </c>
      <c r="L3698" s="869" t="s">
        <v>167</v>
      </c>
      <c r="M3698" s="869" t="s">
        <v>165</v>
      </c>
      <c r="N3698" s="52" t="str">
        <f>IF(AND('331-CT'!$E$7=TH!H3698,OR(L3698="331",M3698="331")),"331",IF(AND(OR(L3698="131",M3698="131"),H3698='131-CT'!$E$7),"131",""))</f>
        <v/>
      </c>
      <c r="O3698" s="869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799"/>
    </row>
    <row r="3699" spans="1:27" s="210" customFormat="1" ht="15.75" customHeight="1">
      <c r="A3699" s="203" t="str">
        <f>IF(B3699&lt;&gt;"",IF(AND(B3699&gt;=_TM1,B3699&lt;=_TM2,OR(TH!L3699="1111",TH!M3699="1111")),TH!D3699,""),"")</f>
        <v/>
      </c>
      <c r="B3699" s="36">
        <f t="shared" si="65"/>
        <v>11</v>
      </c>
      <c r="C3699" s="899">
        <f t="shared" si="66"/>
        <v>42326</v>
      </c>
      <c r="D3699" s="900" t="s">
        <v>2013</v>
      </c>
      <c r="E3699" s="900">
        <v>42326</v>
      </c>
      <c r="F3699" s="907" t="s">
        <v>1956</v>
      </c>
      <c r="G3699" s="902" t="s">
        <v>1187</v>
      </c>
      <c r="H3699" s="913" t="s">
        <v>2014</v>
      </c>
      <c r="I3699" s="253">
        <v>1500</v>
      </c>
      <c r="J3699" s="253">
        <v>2908.1766930411709</v>
      </c>
      <c r="K3699" s="904">
        <f t="shared" si="67"/>
        <v>4362265</v>
      </c>
      <c r="L3699" s="869" t="s">
        <v>167</v>
      </c>
      <c r="M3699" s="869" t="s">
        <v>165</v>
      </c>
      <c r="N3699" s="52" t="str">
        <f>IF(AND('331-CT'!$E$7=TH!H3699,OR(L3699="331",M3699="331")),"331",IF(AND(OR(L3699="131",M3699="131"),H3699='131-CT'!$E$7),"131",""))</f>
        <v/>
      </c>
      <c r="O3699" s="869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799"/>
    </row>
    <row r="3700" spans="1:27" s="210" customFormat="1" ht="15.75" customHeight="1">
      <c r="A3700" s="203" t="str">
        <f>IF(B3700&lt;&gt;"",IF(AND(B3700&gt;=_TM1,B3700&lt;=_TM2,OR(TH!L3700="1111",TH!M3700="1111")),TH!D3700,""),"")</f>
        <v/>
      </c>
      <c r="B3700" s="36">
        <f t="shared" si="65"/>
        <v>11</v>
      </c>
      <c r="C3700" s="899">
        <f t="shared" si="66"/>
        <v>42326</v>
      </c>
      <c r="D3700" s="900" t="s">
        <v>2013</v>
      </c>
      <c r="E3700" s="900">
        <v>42326</v>
      </c>
      <c r="F3700" s="907" t="s">
        <v>1188</v>
      </c>
      <c r="G3700" s="902" t="s">
        <v>1189</v>
      </c>
      <c r="H3700" s="913" t="s">
        <v>2014</v>
      </c>
      <c r="I3700" s="253">
        <v>505</v>
      </c>
      <c r="J3700" s="253">
        <v>6338.3338181666541</v>
      </c>
      <c r="K3700" s="904">
        <f t="shared" si="67"/>
        <v>3200859</v>
      </c>
      <c r="L3700" s="869" t="s">
        <v>167</v>
      </c>
      <c r="M3700" s="869" t="s">
        <v>165</v>
      </c>
      <c r="N3700" s="52" t="str">
        <f>IF(AND('331-CT'!$E$7=TH!H3700,OR(L3700="331",M3700="331")),"331",IF(AND(OR(L3700="131",M3700="131"),H3700='131-CT'!$E$7),"131",""))</f>
        <v/>
      </c>
      <c r="O3700" s="869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799"/>
    </row>
    <row r="3701" spans="1:27" s="210" customFormat="1" ht="15.75" customHeight="1">
      <c r="A3701" s="203" t="str">
        <f>IF(B3701&lt;&gt;"",IF(AND(B3701&gt;=_TM1,B3701&lt;=_TM2,OR(TH!L3701="1111",TH!M3701="1111")),TH!D3701,""),"")</f>
        <v/>
      </c>
      <c r="B3701" s="36">
        <f t="shared" si="65"/>
        <v>11</v>
      </c>
      <c r="C3701" s="899">
        <f t="shared" si="66"/>
        <v>42326</v>
      </c>
      <c r="D3701" s="900" t="s">
        <v>2013</v>
      </c>
      <c r="E3701" s="900">
        <v>42326</v>
      </c>
      <c r="F3701" s="907" t="s">
        <v>1678</v>
      </c>
      <c r="G3701" s="902" t="s">
        <v>1189</v>
      </c>
      <c r="H3701" s="913" t="s">
        <v>2014</v>
      </c>
      <c r="I3701" s="253">
        <v>505</v>
      </c>
      <c r="J3701" s="253">
        <v>820.25496470392</v>
      </c>
      <c r="K3701" s="904">
        <f t="shared" si="67"/>
        <v>414229</v>
      </c>
      <c r="L3701" s="869" t="s">
        <v>167</v>
      </c>
      <c r="M3701" s="869" t="s">
        <v>165</v>
      </c>
      <c r="N3701" s="52" t="str">
        <f>IF(AND('331-CT'!$E$7=TH!H3701,OR(L3701="331",M3701="331")),"331",IF(AND(OR(L3701="131",M3701="131"),H3701='131-CT'!$E$7),"131",""))</f>
        <v/>
      </c>
      <c r="O3701" s="869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799"/>
    </row>
    <row r="3702" spans="1:27" s="210" customFormat="1" ht="15.75" customHeight="1">
      <c r="A3702" s="203" t="str">
        <f>IF(B3702&lt;&gt;"",IF(AND(B3702&gt;=_TM1,B3702&lt;=_TM2,OR(TH!L3702="1111",TH!M3702="1111")),TH!D3702,""),"")</f>
        <v/>
      </c>
      <c r="B3702" s="36">
        <f t="shared" si="65"/>
        <v>11</v>
      </c>
      <c r="C3702" s="899">
        <f t="shared" si="66"/>
        <v>42326</v>
      </c>
      <c r="D3702" s="900" t="s">
        <v>2013</v>
      </c>
      <c r="E3702" s="900">
        <v>42326</v>
      </c>
      <c r="F3702" s="907" t="s">
        <v>518</v>
      </c>
      <c r="G3702" s="902" t="s">
        <v>1189</v>
      </c>
      <c r="H3702" s="913" t="s">
        <v>2014</v>
      </c>
      <c r="I3702" s="253">
        <v>1002</v>
      </c>
      <c r="J3702" s="253">
        <v>7755.137848109789</v>
      </c>
      <c r="K3702" s="904">
        <f t="shared" si="67"/>
        <v>7770648</v>
      </c>
      <c r="L3702" s="869" t="s">
        <v>167</v>
      </c>
      <c r="M3702" s="869" t="s">
        <v>165</v>
      </c>
      <c r="N3702" s="52" t="str">
        <f>IF(AND('331-CT'!$E$7=TH!H3702,OR(L3702="331",M3702="331")),"331",IF(AND(OR(L3702="131",M3702="131"),H3702='131-CT'!$E$7),"131",""))</f>
        <v/>
      </c>
      <c r="O3702" s="869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799"/>
    </row>
    <row r="3703" spans="1:27" s="210" customFormat="1" ht="15.75" customHeight="1">
      <c r="A3703" s="203" t="str">
        <f>IF(B3703&lt;&gt;"",IF(AND(B3703&gt;=_TM1,B3703&lt;=_TM2,OR(TH!L3703="1111",TH!M3703="1111")),TH!D3703,""),"")</f>
        <v/>
      </c>
      <c r="B3703" s="36">
        <f t="shared" si="65"/>
        <v>11</v>
      </c>
      <c r="C3703" s="899">
        <f t="shared" si="66"/>
        <v>42326</v>
      </c>
      <c r="D3703" s="900" t="s">
        <v>2013</v>
      </c>
      <c r="E3703" s="900">
        <v>42326</v>
      </c>
      <c r="F3703" s="907" t="s">
        <v>1676</v>
      </c>
      <c r="G3703" s="902" t="s">
        <v>1189</v>
      </c>
      <c r="H3703" s="913" t="s">
        <v>2014</v>
      </c>
      <c r="I3703" s="253">
        <v>1002</v>
      </c>
      <c r="J3703" s="253">
        <v>1193.0981304784291</v>
      </c>
      <c r="K3703" s="904">
        <f t="shared" si="67"/>
        <v>1195484</v>
      </c>
      <c r="L3703" s="869" t="s">
        <v>167</v>
      </c>
      <c r="M3703" s="869" t="s">
        <v>165</v>
      </c>
      <c r="N3703" s="52" t="str">
        <f>IF(AND('331-CT'!$E$7=TH!H3703,OR(L3703="331",M3703="331")),"331",IF(AND(OR(L3703="131",M3703="131"),H3703='131-CT'!$E$7),"131",""))</f>
        <v/>
      </c>
      <c r="O3703" s="869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799"/>
    </row>
    <row r="3704" spans="1:27" s="210" customFormat="1" ht="15.75" customHeight="1">
      <c r="A3704" s="203" t="str">
        <f>IF(B3704&lt;&gt;"",IF(AND(B3704&gt;=_TM1,B3704&lt;=_TM2,OR(TH!L3704="1111",TH!M3704="1111")),TH!D3704,""),"")</f>
        <v/>
      </c>
      <c r="B3704" s="36">
        <f t="shared" si="65"/>
        <v>11</v>
      </c>
      <c r="C3704" s="899">
        <f t="shared" si="66"/>
        <v>42326</v>
      </c>
      <c r="D3704" s="900" t="s">
        <v>2013</v>
      </c>
      <c r="E3704" s="900">
        <v>42326</v>
      </c>
      <c r="F3704" s="907" t="s">
        <v>1190</v>
      </c>
      <c r="G3704" s="902" t="s">
        <v>1191</v>
      </c>
      <c r="H3704" s="913" t="s">
        <v>2014</v>
      </c>
      <c r="I3704" s="253">
        <v>195</v>
      </c>
      <c r="J3704" s="253">
        <v>7755.137848109789</v>
      </c>
      <c r="K3704" s="904">
        <f t="shared" si="67"/>
        <v>1512252</v>
      </c>
      <c r="L3704" s="869" t="s">
        <v>167</v>
      </c>
      <c r="M3704" s="869" t="s">
        <v>165</v>
      </c>
      <c r="N3704" s="52" t="str">
        <f>IF(AND('331-CT'!$E$7=TH!H3704,OR(L3704="331",M3704="331")),"331",IF(AND(OR(L3704="131",M3704="131"),H3704='131-CT'!$E$7),"131",""))</f>
        <v/>
      </c>
      <c r="O3704" s="869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799"/>
    </row>
    <row r="3705" spans="1:27" s="210" customFormat="1" ht="15.75" customHeight="1">
      <c r="A3705" s="203" t="str">
        <f>IF(B3705&lt;&gt;"",IF(AND(B3705&gt;=_TM1,B3705&lt;=_TM2,OR(TH!L3705="1111",TH!M3705="1111")),TH!D3705,""),"")</f>
        <v/>
      </c>
      <c r="B3705" s="36">
        <f t="shared" si="65"/>
        <v>11</v>
      </c>
      <c r="C3705" s="899">
        <f t="shared" si="66"/>
        <v>42326</v>
      </c>
      <c r="D3705" s="900" t="s">
        <v>2013</v>
      </c>
      <c r="E3705" s="900">
        <v>42326</v>
      </c>
      <c r="F3705" s="907" t="s">
        <v>1192</v>
      </c>
      <c r="G3705" s="902" t="s">
        <v>1191</v>
      </c>
      <c r="H3705" s="913" t="s">
        <v>2014</v>
      </c>
      <c r="I3705" s="253">
        <v>102</v>
      </c>
      <c r="J3705" s="253">
        <v>10439.608641686254</v>
      </c>
      <c r="K3705" s="904">
        <f t="shared" si="67"/>
        <v>1064840</v>
      </c>
      <c r="L3705" s="869" t="s">
        <v>167</v>
      </c>
      <c r="M3705" s="869" t="s">
        <v>165</v>
      </c>
      <c r="N3705" s="52" t="str">
        <f>IF(AND('331-CT'!$E$7=TH!H3705,OR(L3705="331",M3705="331")),"331",IF(AND(OR(L3705="131",M3705="131"),H3705='131-CT'!$E$7),"131",""))</f>
        <v/>
      </c>
      <c r="O3705" s="869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799"/>
    </row>
    <row r="3706" spans="1:27" s="210" customFormat="1" ht="15.75" customHeight="1">
      <c r="A3706" s="203" t="str">
        <f>IF(B3706&lt;&gt;"",IF(AND(B3706&gt;=_TM1,B3706&lt;=_TM2,OR(TH!L3706="1111",TH!M3706="1111")),TH!D3706,""),"")</f>
        <v/>
      </c>
      <c r="B3706" s="36">
        <f t="shared" si="65"/>
        <v>11</v>
      </c>
      <c r="C3706" s="899">
        <f t="shared" si="66"/>
        <v>42327</v>
      </c>
      <c r="D3706" s="900" t="s">
        <v>2013</v>
      </c>
      <c r="E3706" s="900">
        <v>42327</v>
      </c>
      <c r="F3706" s="907" t="s">
        <v>1193</v>
      </c>
      <c r="G3706" s="902" t="s">
        <v>1194</v>
      </c>
      <c r="H3706" s="913" t="s">
        <v>2014</v>
      </c>
      <c r="I3706" s="253">
        <v>305</v>
      </c>
      <c r="J3706" s="253">
        <v>6263.7651850117527</v>
      </c>
      <c r="K3706" s="904">
        <f t="shared" si="67"/>
        <v>1910448</v>
      </c>
      <c r="L3706" s="869" t="s">
        <v>167</v>
      </c>
      <c r="M3706" s="869" t="s">
        <v>165</v>
      </c>
      <c r="N3706" s="52" t="str">
        <f>IF(AND('331-CT'!$E$7=TH!H3706,OR(L3706="331",M3706="331")),"331",IF(AND(OR(L3706="131",M3706="131"),H3706='131-CT'!$E$7),"131",""))</f>
        <v/>
      </c>
      <c r="O3706" s="869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799"/>
    </row>
    <row r="3707" spans="1:27" s="210" customFormat="1" ht="15.75" customHeight="1">
      <c r="A3707" s="203" t="str">
        <f>IF(B3707&lt;&gt;"",IF(AND(B3707&gt;=_TM1,B3707&lt;=_TM2,OR(TH!L3707="1111",TH!M3707="1111")),TH!D3707,""),"")</f>
        <v/>
      </c>
      <c r="B3707" s="36">
        <f t="shared" si="65"/>
        <v>11</v>
      </c>
      <c r="C3707" s="899">
        <f t="shared" si="66"/>
        <v>42327</v>
      </c>
      <c r="D3707" s="900" t="s">
        <v>2013</v>
      </c>
      <c r="E3707" s="900">
        <v>42327</v>
      </c>
      <c r="F3707" s="907" t="s">
        <v>413</v>
      </c>
      <c r="G3707" s="902" t="s">
        <v>1195</v>
      </c>
      <c r="H3707" s="913" t="s">
        <v>2014</v>
      </c>
      <c r="I3707" s="253">
        <v>486</v>
      </c>
      <c r="J3707" s="253">
        <v>7084.0201497156722</v>
      </c>
      <c r="K3707" s="904">
        <f t="shared" si="67"/>
        <v>3442834</v>
      </c>
      <c r="L3707" s="869" t="s">
        <v>167</v>
      </c>
      <c r="M3707" s="869" t="s">
        <v>165</v>
      </c>
      <c r="N3707" s="52" t="str">
        <f>IF(AND('331-CT'!$E$7=TH!H3707,OR(L3707="331",M3707="331")),"331",IF(AND(OR(L3707="131",M3707="131"),H3707='131-CT'!$E$7),"131",""))</f>
        <v/>
      </c>
      <c r="O3707" s="869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799"/>
    </row>
    <row r="3708" spans="1:27" s="210" customFormat="1" ht="15.75" customHeight="1">
      <c r="A3708" s="203" t="str">
        <f>IF(B3708&lt;&gt;"",IF(AND(B3708&gt;=_TM1,B3708&lt;=_TM2,OR(TH!L3708="1111",TH!M3708="1111")),TH!D3708,""),"")</f>
        <v/>
      </c>
      <c r="B3708" s="36">
        <f t="shared" si="65"/>
        <v>11</v>
      </c>
      <c r="C3708" s="899">
        <f t="shared" si="66"/>
        <v>42327</v>
      </c>
      <c r="D3708" s="900" t="s">
        <v>2013</v>
      </c>
      <c r="E3708" s="900">
        <v>42327</v>
      </c>
      <c r="F3708" s="907" t="s">
        <v>413</v>
      </c>
      <c r="G3708" s="902" t="s">
        <v>1195</v>
      </c>
      <c r="H3708" s="913" t="s">
        <v>2014</v>
      </c>
      <c r="I3708" s="253">
        <v>200</v>
      </c>
      <c r="J3708" s="253">
        <v>7084.0201497156722</v>
      </c>
      <c r="K3708" s="904">
        <f t="shared" si="67"/>
        <v>1416804</v>
      </c>
      <c r="L3708" s="869" t="s">
        <v>167</v>
      </c>
      <c r="M3708" s="869" t="s">
        <v>165</v>
      </c>
      <c r="N3708" s="52" t="str">
        <f>IF(AND('331-CT'!$E$7=TH!H3708,OR(L3708="331",M3708="331")),"331",IF(AND(OR(L3708="131",M3708="131"),H3708='131-CT'!$E$7),"131",""))</f>
        <v/>
      </c>
      <c r="O3708" s="869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799"/>
    </row>
    <row r="3709" spans="1:27" s="210" customFormat="1" ht="15.75" customHeight="1">
      <c r="A3709" s="203" t="str">
        <f>IF(B3709&lt;&gt;"",IF(AND(B3709&gt;=_TM1,B3709&lt;=_TM2,OR(TH!L3709="1111",TH!M3709="1111")),TH!D3709,""),"")</f>
        <v/>
      </c>
      <c r="B3709" s="36">
        <f t="shared" si="65"/>
        <v>11</v>
      </c>
      <c r="C3709" s="899">
        <f t="shared" si="66"/>
        <v>42327</v>
      </c>
      <c r="D3709" s="900" t="s">
        <v>2013</v>
      </c>
      <c r="E3709" s="900">
        <v>42327</v>
      </c>
      <c r="F3709" s="907" t="s">
        <v>413</v>
      </c>
      <c r="G3709" s="902" t="s">
        <v>1195</v>
      </c>
      <c r="H3709" s="913" t="s">
        <v>2014</v>
      </c>
      <c r="I3709" s="253">
        <v>100</v>
      </c>
      <c r="J3709" s="253">
        <v>7084.0201497156722</v>
      </c>
      <c r="K3709" s="904">
        <f t="shared" si="67"/>
        <v>708402</v>
      </c>
      <c r="L3709" s="869" t="s">
        <v>167</v>
      </c>
      <c r="M3709" s="869" t="s">
        <v>165</v>
      </c>
      <c r="N3709" s="52" t="str">
        <f>IF(AND('331-CT'!$E$7=TH!H3709,OR(L3709="331",M3709="331")),"331",IF(AND(OR(L3709="131",M3709="131"),H3709='131-CT'!$E$7),"131",""))</f>
        <v/>
      </c>
      <c r="O3709" s="869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799"/>
    </row>
    <row r="3710" spans="1:27" s="210" customFormat="1" ht="15.75" customHeight="1">
      <c r="A3710" s="203" t="str">
        <f>IF(B3710&lt;&gt;"",IF(AND(B3710&gt;=_TM1,B3710&lt;=_TM2,OR(TH!L3710="1111",TH!M3710="1111")),TH!D3710,""),"")</f>
        <v/>
      </c>
      <c r="B3710" s="36">
        <f t="shared" si="65"/>
        <v>11</v>
      </c>
      <c r="C3710" s="899">
        <f t="shared" si="66"/>
        <v>42327</v>
      </c>
      <c r="D3710" s="900" t="s">
        <v>2013</v>
      </c>
      <c r="E3710" s="900">
        <v>42327</v>
      </c>
      <c r="F3710" s="907" t="s">
        <v>413</v>
      </c>
      <c r="G3710" s="902" t="s">
        <v>1195</v>
      </c>
      <c r="H3710" s="913" t="s">
        <v>2014</v>
      </c>
      <c r="I3710" s="253">
        <v>102</v>
      </c>
      <c r="J3710" s="253">
        <v>7084.0201497156722</v>
      </c>
      <c r="K3710" s="904">
        <f t="shared" si="67"/>
        <v>722570</v>
      </c>
      <c r="L3710" s="869" t="s">
        <v>167</v>
      </c>
      <c r="M3710" s="869" t="s">
        <v>165</v>
      </c>
      <c r="N3710" s="52" t="str">
        <f>IF(AND('331-CT'!$E$7=TH!H3710,OR(L3710="331",M3710="331")),"331",IF(AND(OR(L3710="131",M3710="131"),H3710='131-CT'!$E$7),"131",""))</f>
        <v/>
      </c>
      <c r="O3710" s="869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799"/>
    </row>
    <row r="3711" spans="1:27" s="210" customFormat="1" ht="15.75" customHeight="1">
      <c r="A3711" s="203" t="str">
        <f>IF(B3711&lt;&gt;"",IF(AND(B3711&gt;=_TM1,B3711&lt;=_TM2,OR(TH!L3711="1111",TH!M3711="1111")),TH!D3711,""),"")</f>
        <v/>
      </c>
      <c r="B3711" s="36">
        <f t="shared" si="65"/>
        <v>11</v>
      </c>
      <c r="C3711" s="899">
        <f t="shared" si="66"/>
        <v>42329</v>
      </c>
      <c r="D3711" s="900" t="s">
        <v>2013</v>
      </c>
      <c r="E3711" s="900">
        <v>42329</v>
      </c>
      <c r="F3711" s="907" t="s">
        <v>1196</v>
      </c>
      <c r="G3711" s="902" t="s">
        <v>1197</v>
      </c>
      <c r="H3711" s="913" t="s">
        <v>2014</v>
      </c>
      <c r="I3711" s="253">
        <v>1200</v>
      </c>
      <c r="J3711" s="253">
        <v>12602.099003178408</v>
      </c>
      <c r="K3711" s="904">
        <f t="shared" si="67"/>
        <v>15122519</v>
      </c>
      <c r="L3711" s="869" t="s">
        <v>167</v>
      </c>
      <c r="M3711" s="869" t="s">
        <v>165</v>
      </c>
      <c r="N3711" s="52" t="str">
        <f>IF(AND('331-CT'!$E$7=TH!H3711,OR(L3711="331",M3711="331")),"331",IF(AND(OR(L3711="131",M3711="131"),H3711='131-CT'!$E$7),"131",""))</f>
        <v/>
      </c>
      <c r="O3711" s="869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799"/>
    </row>
    <row r="3712" spans="1:27" s="210" customFormat="1" ht="15.75" customHeight="1">
      <c r="A3712" s="203" t="str">
        <f>IF(B3712&lt;&gt;"",IF(AND(B3712&gt;=_TM1,B3712&lt;=_TM2,OR(TH!L3712="1111",TH!M3712="1111")),TH!D3712,""),"")</f>
        <v/>
      </c>
      <c r="B3712" s="36">
        <f t="shared" si="65"/>
        <v>11</v>
      </c>
      <c r="C3712" s="899">
        <f t="shared" si="66"/>
        <v>42329</v>
      </c>
      <c r="D3712" s="900" t="s">
        <v>2013</v>
      </c>
      <c r="E3712" s="900">
        <v>42329</v>
      </c>
      <c r="F3712" s="907" t="s">
        <v>446</v>
      </c>
      <c r="G3712" s="902" t="s">
        <v>1197</v>
      </c>
      <c r="H3712" s="913" t="s">
        <v>2014</v>
      </c>
      <c r="I3712" s="253">
        <v>634</v>
      </c>
      <c r="J3712" s="253">
        <v>6785.7456170960659</v>
      </c>
      <c r="K3712" s="904">
        <f t="shared" si="67"/>
        <v>4302163</v>
      </c>
      <c r="L3712" s="869" t="s">
        <v>167</v>
      </c>
      <c r="M3712" s="869" t="s">
        <v>165</v>
      </c>
      <c r="N3712" s="52" t="str">
        <f>IF(AND('331-CT'!$E$7=TH!H3712,OR(L3712="331",M3712="331")),"331",IF(AND(OR(L3712="131",M3712="131"),H3712='131-CT'!$E$7),"131",""))</f>
        <v/>
      </c>
      <c r="O3712" s="869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799"/>
    </row>
    <row r="3713" spans="1:27" s="210" customFormat="1" ht="15.75" customHeight="1">
      <c r="A3713" s="203" t="str">
        <f>IF(B3713&lt;&gt;"",IF(AND(B3713&gt;=_TM1,B3713&lt;=_TM2,OR(TH!L3713="1111",TH!M3713="1111")),TH!D3713,""),"")</f>
        <v/>
      </c>
      <c r="B3713" s="36">
        <f t="shared" si="65"/>
        <v>11</v>
      </c>
      <c r="C3713" s="899">
        <f t="shared" si="66"/>
        <v>42329</v>
      </c>
      <c r="D3713" s="900" t="s">
        <v>2013</v>
      </c>
      <c r="E3713" s="900">
        <v>42329</v>
      </c>
      <c r="F3713" s="907" t="s">
        <v>595</v>
      </c>
      <c r="G3713" s="902" t="s">
        <v>1198</v>
      </c>
      <c r="H3713" s="913" t="s">
        <v>2014</v>
      </c>
      <c r="I3713" s="253">
        <v>422</v>
      </c>
      <c r="J3713" s="253">
        <v>6934.8828834058695</v>
      </c>
      <c r="K3713" s="904">
        <f t="shared" si="67"/>
        <v>2926521</v>
      </c>
      <c r="L3713" s="869" t="s">
        <v>167</v>
      </c>
      <c r="M3713" s="869" t="s">
        <v>165</v>
      </c>
      <c r="N3713" s="52" t="str">
        <f>IF(AND('331-CT'!$E$7=TH!H3713,OR(L3713="331",M3713="331")),"331",IF(AND(OR(L3713="131",M3713="131"),H3713='131-CT'!$E$7),"131",""))</f>
        <v/>
      </c>
      <c r="O3713" s="869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799"/>
    </row>
    <row r="3714" spans="1:27" s="210" customFormat="1" ht="15.75" customHeight="1">
      <c r="A3714" s="203" t="str">
        <f>IF(B3714&lt;&gt;"",IF(AND(B3714&gt;=_TM1,B3714&lt;=_TM2,OR(TH!L3714="1111",TH!M3714="1111")),TH!D3714,""),"")</f>
        <v/>
      </c>
      <c r="B3714" s="36">
        <f t="shared" si="65"/>
        <v>11</v>
      </c>
      <c r="C3714" s="899">
        <f t="shared" si="66"/>
        <v>42329</v>
      </c>
      <c r="D3714" s="900" t="s">
        <v>2013</v>
      </c>
      <c r="E3714" s="900">
        <v>42329</v>
      </c>
      <c r="F3714" s="907" t="s">
        <v>539</v>
      </c>
      <c r="G3714" s="902" t="s">
        <v>1198</v>
      </c>
      <c r="H3714" s="913" t="s">
        <v>2014</v>
      </c>
      <c r="I3714" s="253">
        <v>204</v>
      </c>
      <c r="J3714" s="253">
        <v>7009.4515165607709</v>
      </c>
      <c r="K3714" s="904">
        <f t="shared" si="67"/>
        <v>1429928</v>
      </c>
      <c r="L3714" s="869" t="s">
        <v>167</v>
      </c>
      <c r="M3714" s="869" t="s">
        <v>165</v>
      </c>
      <c r="N3714" s="52" t="str">
        <f>IF(AND('331-CT'!$E$7=TH!H3714,OR(L3714="331",M3714="331")),"331",IF(AND(OR(L3714="131",M3714="131"),H3714='131-CT'!$E$7),"131",""))</f>
        <v/>
      </c>
      <c r="O3714" s="869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799"/>
    </row>
    <row r="3715" spans="1:27" s="210" customFormat="1" ht="15.75" customHeight="1">
      <c r="A3715" s="203" t="str">
        <f>IF(B3715&lt;&gt;"",IF(AND(B3715&gt;=_TM1,B3715&lt;=_TM2,OR(TH!L3715="1111",TH!M3715="1111")),TH!D3715,""),"")</f>
        <v/>
      </c>
      <c r="B3715" s="36">
        <f t="shared" si="65"/>
        <v>11</v>
      </c>
      <c r="C3715" s="899">
        <f t="shared" si="66"/>
        <v>42329</v>
      </c>
      <c r="D3715" s="900" t="s">
        <v>2013</v>
      </c>
      <c r="E3715" s="900">
        <v>42329</v>
      </c>
      <c r="F3715" s="907" t="s">
        <v>998</v>
      </c>
      <c r="G3715" s="902" t="s">
        <v>1198</v>
      </c>
      <c r="H3715" s="913" t="s">
        <v>2014</v>
      </c>
      <c r="I3715" s="253">
        <v>104</v>
      </c>
      <c r="J3715" s="253">
        <v>8799.0987122784136</v>
      </c>
      <c r="K3715" s="904">
        <f t="shared" si="67"/>
        <v>915106</v>
      </c>
      <c r="L3715" s="869" t="s">
        <v>167</v>
      </c>
      <c r="M3715" s="869" t="s">
        <v>165</v>
      </c>
      <c r="N3715" s="52" t="str">
        <f>IF(AND('331-CT'!$E$7=TH!H3715,OR(L3715="331",M3715="331")),"331",IF(AND(OR(L3715="131",M3715="131"),H3715='131-CT'!$E$7),"131",""))</f>
        <v/>
      </c>
      <c r="O3715" s="869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799"/>
    </row>
    <row r="3716" spans="1:27" s="210" customFormat="1" ht="15.75" customHeight="1">
      <c r="A3716" s="203" t="str">
        <f>IF(B3716&lt;&gt;"",IF(AND(B3716&gt;=_TM1,B3716&lt;=_TM2,OR(TH!L3716="1111",TH!M3716="1111")),TH!D3716,""),"")</f>
        <v/>
      </c>
      <c r="B3716" s="36">
        <f t="shared" si="65"/>
        <v>11</v>
      </c>
      <c r="C3716" s="899">
        <f t="shared" si="66"/>
        <v>42329</v>
      </c>
      <c r="D3716" s="900" t="s">
        <v>2013</v>
      </c>
      <c r="E3716" s="900">
        <v>42329</v>
      </c>
      <c r="F3716" s="907" t="s">
        <v>451</v>
      </c>
      <c r="G3716" s="902" t="s">
        <v>1198</v>
      </c>
      <c r="H3716" s="913" t="s">
        <v>2014</v>
      </c>
      <c r="I3716" s="253">
        <v>316</v>
      </c>
      <c r="J3716" s="253">
        <v>9992.1968427568445</v>
      </c>
      <c r="K3716" s="904">
        <f t="shared" si="67"/>
        <v>3157534</v>
      </c>
      <c r="L3716" s="869" t="s">
        <v>167</v>
      </c>
      <c r="M3716" s="869" t="s">
        <v>165</v>
      </c>
      <c r="N3716" s="52" t="str">
        <f>IF(AND('331-CT'!$E$7=TH!H3716,OR(L3716="331",M3716="331")),"331",IF(AND(OR(L3716="131",M3716="131"),H3716='131-CT'!$E$7),"131",""))</f>
        <v/>
      </c>
      <c r="O3716" s="869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799"/>
    </row>
    <row r="3717" spans="1:27" s="210" customFormat="1" ht="15.75" customHeight="1">
      <c r="A3717" s="203" t="str">
        <f>IF(B3717&lt;&gt;"",IF(AND(B3717&gt;=_TM1,B3717&lt;=_TM2,OR(TH!L3717="1111",TH!M3717="1111")),TH!D3717,""),"")</f>
        <v/>
      </c>
      <c r="B3717" s="36">
        <f t="shared" si="65"/>
        <v>11</v>
      </c>
      <c r="C3717" s="899">
        <f t="shared" si="66"/>
        <v>42331</v>
      </c>
      <c r="D3717" s="900" t="s">
        <v>2013</v>
      </c>
      <c r="E3717" s="900">
        <v>42331</v>
      </c>
      <c r="F3717" s="907" t="s">
        <v>1199</v>
      </c>
      <c r="G3717" s="902" t="s">
        <v>1200</v>
      </c>
      <c r="H3717" s="913" t="s">
        <v>2014</v>
      </c>
      <c r="I3717" s="253">
        <v>212</v>
      </c>
      <c r="J3717" s="253">
        <v>9097.3732448980209</v>
      </c>
      <c r="K3717" s="904">
        <f t="shared" si="67"/>
        <v>1928643</v>
      </c>
      <c r="L3717" s="869" t="s">
        <v>167</v>
      </c>
      <c r="M3717" s="869" t="s">
        <v>165</v>
      </c>
      <c r="N3717" s="52" t="str">
        <f>IF(AND('331-CT'!$E$7=TH!H3717,OR(L3717="331",M3717="331")),"331",IF(AND(OR(L3717="131",M3717="131"),H3717='131-CT'!$E$7),"131",""))</f>
        <v/>
      </c>
      <c r="O3717" s="869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799"/>
    </row>
    <row r="3718" spans="1:27" s="210" customFormat="1" ht="15.75" customHeight="1">
      <c r="A3718" s="203" t="str">
        <f>IF(B3718&lt;&gt;"",IF(AND(B3718&gt;=_TM1,B3718&lt;=_TM2,OR(TH!L3718="1111",TH!M3718="1111")),TH!D3718,""),"")</f>
        <v/>
      </c>
      <c r="B3718" s="36">
        <f t="shared" si="65"/>
        <v>11</v>
      </c>
      <c r="C3718" s="899">
        <f t="shared" si="66"/>
        <v>42332</v>
      </c>
      <c r="D3718" s="900" t="s">
        <v>2013</v>
      </c>
      <c r="E3718" s="900">
        <v>42332</v>
      </c>
      <c r="F3718" s="907" t="s">
        <v>538</v>
      </c>
      <c r="G3718" s="902" t="s">
        <v>1201</v>
      </c>
      <c r="H3718" s="913" t="s">
        <v>2014</v>
      </c>
      <c r="I3718" s="253">
        <v>100</v>
      </c>
      <c r="J3718" s="253">
        <v>6636.6083507862622</v>
      </c>
      <c r="K3718" s="904">
        <f t="shared" si="67"/>
        <v>663661</v>
      </c>
      <c r="L3718" s="869" t="s">
        <v>167</v>
      </c>
      <c r="M3718" s="869" t="s">
        <v>165</v>
      </c>
      <c r="N3718" s="52" t="str">
        <f>IF(AND('331-CT'!$E$7=TH!H3718,OR(L3718="331",M3718="331")),"331",IF(AND(OR(L3718="131",M3718="131"),H3718='131-CT'!$E$7),"131",""))</f>
        <v/>
      </c>
      <c r="O3718" s="869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799"/>
    </row>
    <row r="3719" spans="1:27" s="210" customFormat="1" ht="15.75" customHeight="1">
      <c r="A3719" s="203" t="str">
        <f>IF(B3719&lt;&gt;"",IF(AND(B3719&gt;=_TM1,B3719&lt;=_TM2,OR(TH!L3719="1111",TH!M3719="1111")),TH!D3719,""),"")</f>
        <v/>
      </c>
      <c r="B3719" s="36">
        <f t="shared" si="65"/>
        <v>11</v>
      </c>
      <c r="C3719" s="899">
        <f t="shared" si="66"/>
        <v>42332</v>
      </c>
      <c r="D3719" s="900" t="s">
        <v>2013</v>
      </c>
      <c r="E3719" s="900">
        <v>42332</v>
      </c>
      <c r="F3719" s="907" t="s">
        <v>539</v>
      </c>
      <c r="G3719" s="902" t="s">
        <v>1201</v>
      </c>
      <c r="H3719" s="913" t="s">
        <v>2014</v>
      </c>
      <c r="I3719" s="253">
        <v>181</v>
      </c>
      <c r="J3719" s="253">
        <v>7009.4515165607709</v>
      </c>
      <c r="K3719" s="904">
        <f t="shared" si="67"/>
        <v>1268711</v>
      </c>
      <c r="L3719" s="869" t="s">
        <v>167</v>
      </c>
      <c r="M3719" s="869" t="s">
        <v>165</v>
      </c>
      <c r="N3719" s="52" t="str">
        <f>IF(AND('331-CT'!$E$7=TH!H3719,OR(L3719="331",M3719="331")),"331",IF(AND(OR(L3719="131",M3719="131"),H3719='131-CT'!$E$7),"131",""))</f>
        <v/>
      </c>
      <c r="O3719" s="869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799"/>
    </row>
    <row r="3720" spans="1:27" s="210" customFormat="1" ht="15.75" customHeight="1">
      <c r="A3720" s="203" t="str">
        <f>IF(B3720&lt;&gt;"",IF(AND(B3720&gt;=_TM1,B3720&lt;=_TM2,OR(TH!L3720="1111",TH!M3720="1111")),TH!D3720,""),"")</f>
        <v/>
      </c>
      <c r="B3720" s="36">
        <f t="shared" si="65"/>
        <v>11</v>
      </c>
      <c r="C3720" s="899">
        <f t="shared" si="66"/>
        <v>42332</v>
      </c>
      <c r="D3720" s="900" t="s">
        <v>2013</v>
      </c>
      <c r="E3720" s="900">
        <v>42332</v>
      </c>
      <c r="F3720" s="907" t="s">
        <v>2010</v>
      </c>
      <c r="G3720" s="902" t="s">
        <v>1202</v>
      </c>
      <c r="H3720" s="913" t="s">
        <v>2014</v>
      </c>
      <c r="I3720" s="253">
        <v>2000</v>
      </c>
      <c r="J3720" s="253">
        <v>8724.5300791235113</v>
      </c>
      <c r="K3720" s="904">
        <f t="shared" si="67"/>
        <v>17449060</v>
      </c>
      <c r="L3720" s="869" t="s">
        <v>167</v>
      </c>
      <c r="M3720" s="869" t="s">
        <v>165</v>
      </c>
      <c r="N3720" s="52" t="str">
        <f>IF(AND('331-CT'!$E$7=TH!H3720,OR(L3720="331",M3720="331")),"331",IF(AND(OR(L3720="131",M3720="131"),H3720='131-CT'!$E$7),"131",""))</f>
        <v/>
      </c>
      <c r="O3720" s="869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799"/>
    </row>
    <row r="3721" spans="1:27" s="210" customFormat="1" ht="15.75" customHeight="1">
      <c r="A3721" s="203" t="str">
        <f>IF(B3721&lt;&gt;"",IF(AND(B3721&gt;=_TM1,B3721&lt;=_TM2,OR(TH!L3721="1111",TH!M3721="1111")),TH!D3721,""),"")</f>
        <v/>
      </c>
      <c r="B3721" s="36">
        <f t="shared" si="65"/>
        <v>11</v>
      </c>
      <c r="C3721" s="899">
        <f t="shared" si="66"/>
        <v>42332</v>
      </c>
      <c r="D3721" s="900" t="s">
        <v>2013</v>
      </c>
      <c r="E3721" s="900">
        <v>42332</v>
      </c>
      <c r="F3721" s="907" t="s">
        <v>781</v>
      </c>
      <c r="G3721" s="902" t="s">
        <v>1203</v>
      </c>
      <c r="H3721" s="913" t="s">
        <v>2014</v>
      </c>
      <c r="I3721" s="253">
        <v>800</v>
      </c>
      <c r="J3721" s="253">
        <v>10365.040008531352</v>
      </c>
      <c r="K3721" s="904">
        <f t="shared" si="67"/>
        <v>8292032</v>
      </c>
      <c r="L3721" s="869" t="s">
        <v>167</v>
      </c>
      <c r="M3721" s="869" t="s">
        <v>165</v>
      </c>
      <c r="N3721" s="52" t="str">
        <f>IF(AND('331-CT'!$E$7=TH!H3721,OR(L3721="331",M3721="331")),"331",IF(AND(OR(L3721="131",M3721="131"),H3721='131-CT'!$E$7),"131",""))</f>
        <v/>
      </c>
      <c r="O3721" s="869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799"/>
    </row>
    <row r="3722" spans="1:27" s="210" customFormat="1" ht="15.75" customHeight="1">
      <c r="A3722" s="203" t="str">
        <f>IF(B3722&lt;&gt;"",IF(AND(B3722&gt;=_TM1,B3722&lt;=_TM2,OR(TH!L3722="1111",TH!M3722="1111")),TH!D3722,""),"")</f>
        <v/>
      </c>
      <c r="B3722" s="36">
        <f t="shared" si="65"/>
        <v>11</v>
      </c>
      <c r="C3722" s="899">
        <f t="shared" si="66"/>
        <v>42332</v>
      </c>
      <c r="D3722" s="900" t="s">
        <v>2013</v>
      </c>
      <c r="E3722" s="900">
        <v>42332</v>
      </c>
      <c r="F3722" s="907" t="s">
        <v>1821</v>
      </c>
      <c r="G3722" s="902" t="s">
        <v>1204</v>
      </c>
      <c r="H3722" s="913" t="s">
        <v>2014</v>
      </c>
      <c r="I3722" s="253">
        <v>130</v>
      </c>
      <c r="J3722" s="253">
        <v>20655.511383907804</v>
      </c>
      <c r="K3722" s="904">
        <f t="shared" si="67"/>
        <v>2685216</v>
      </c>
      <c r="L3722" s="869" t="s">
        <v>167</v>
      </c>
      <c r="M3722" s="869" t="s">
        <v>165</v>
      </c>
      <c r="N3722" s="52" t="str">
        <f>IF(AND('331-CT'!$E$7=TH!H3722,OR(L3722="331",M3722="331")),"331",IF(AND(OR(L3722="131",M3722="131"),H3722='131-CT'!$E$7),"131",""))</f>
        <v/>
      </c>
      <c r="O3722" s="869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799"/>
    </row>
    <row r="3723" spans="1:27" s="210" customFormat="1" ht="15.75" customHeight="1">
      <c r="A3723" s="203" t="str">
        <f>IF(B3723&lt;&gt;"",IF(AND(B3723&gt;=_TM1,B3723&lt;=_TM2,OR(TH!L3723="1111",TH!M3723="1111")),TH!D3723,""),"")</f>
        <v/>
      </c>
      <c r="B3723" s="36">
        <f t="shared" si="65"/>
        <v>11</v>
      </c>
      <c r="C3723" s="899">
        <f t="shared" si="66"/>
        <v>42332</v>
      </c>
      <c r="D3723" s="900" t="s">
        <v>2013</v>
      </c>
      <c r="E3723" s="900">
        <v>42332</v>
      </c>
      <c r="F3723" s="907" t="s">
        <v>1822</v>
      </c>
      <c r="G3723" s="902" t="s">
        <v>1204</v>
      </c>
      <c r="H3723" s="913" t="s">
        <v>2014</v>
      </c>
      <c r="I3723" s="253">
        <v>200</v>
      </c>
      <c r="J3723" s="253">
        <v>12602.099003178408</v>
      </c>
      <c r="K3723" s="904">
        <f t="shared" si="67"/>
        <v>2520420</v>
      </c>
      <c r="L3723" s="869" t="s">
        <v>167</v>
      </c>
      <c r="M3723" s="869" t="s">
        <v>165</v>
      </c>
      <c r="N3723" s="52" t="str">
        <f>IF(AND('331-CT'!$E$7=TH!H3723,OR(L3723="331",M3723="331")),"331",IF(AND(OR(L3723="131",M3723="131"),H3723='131-CT'!$E$7),"131",""))</f>
        <v/>
      </c>
      <c r="O3723" s="869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799"/>
    </row>
    <row r="3724" spans="1:27" s="210" customFormat="1" ht="15.75" customHeight="1">
      <c r="A3724" s="203" t="str">
        <f>IF(B3724&lt;&gt;"",IF(AND(B3724&gt;=_TM1,B3724&lt;=_TM2,OR(TH!L3724="1111",TH!M3724="1111")),TH!D3724,""),"")</f>
        <v/>
      </c>
      <c r="B3724" s="36">
        <f t="shared" si="65"/>
        <v>11</v>
      </c>
      <c r="C3724" s="899">
        <f t="shared" si="66"/>
        <v>42332</v>
      </c>
      <c r="D3724" s="900" t="s">
        <v>2013</v>
      </c>
      <c r="E3724" s="900">
        <v>42332</v>
      </c>
      <c r="F3724" s="907" t="s">
        <v>1823</v>
      </c>
      <c r="G3724" s="902" t="s">
        <v>1204</v>
      </c>
      <c r="H3724" s="913" t="s">
        <v>2014</v>
      </c>
      <c r="I3724" s="253">
        <v>510</v>
      </c>
      <c r="J3724" s="253">
        <v>10066.765475911747</v>
      </c>
      <c r="K3724" s="904">
        <f t="shared" si="67"/>
        <v>5134050</v>
      </c>
      <c r="L3724" s="869" t="s">
        <v>167</v>
      </c>
      <c r="M3724" s="869" t="s">
        <v>165</v>
      </c>
      <c r="N3724" s="52" t="str">
        <f>IF(AND('331-CT'!$E$7=TH!H3724,OR(L3724="331",M3724="331")),"331",IF(AND(OR(L3724="131",M3724="131"),H3724='131-CT'!$E$7),"131",""))</f>
        <v/>
      </c>
      <c r="O3724" s="869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799"/>
    </row>
    <row r="3725" spans="1:27" s="210" customFormat="1" ht="15.75" customHeight="1">
      <c r="A3725" s="203" t="str">
        <f>IF(B3725&lt;&gt;"",IF(AND(B3725&gt;=_TM1,B3725&lt;=_TM2,OR(TH!L3725="1111",TH!M3725="1111")),TH!D3725,""),"")</f>
        <v/>
      </c>
      <c r="B3725" s="36">
        <f t="shared" si="65"/>
        <v>11</v>
      </c>
      <c r="C3725" s="899">
        <f t="shared" si="66"/>
        <v>42332</v>
      </c>
      <c r="D3725" s="900" t="s">
        <v>2013</v>
      </c>
      <c r="E3725" s="900">
        <v>42332</v>
      </c>
      <c r="F3725" s="907" t="s">
        <v>1824</v>
      </c>
      <c r="G3725" s="902" t="s">
        <v>1204</v>
      </c>
      <c r="H3725" s="913" t="s">
        <v>2014</v>
      </c>
      <c r="I3725" s="253">
        <v>250</v>
      </c>
      <c r="J3725" s="253">
        <v>9470.2164106725304</v>
      </c>
      <c r="K3725" s="904">
        <f t="shared" si="67"/>
        <v>2367554</v>
      </c>
      <c r="L3725" s="869" t="s">
        <v>167</v>
      </c>
      <c r="M3725" s="869" t="s">
        <v>165</v>
      </c>
      <c r="N3725" s="52" t="str">
        <f>IF(AND('331-CT'!$E$7=TH!H3725,OR(L3725="331",M3725="331")),"331",IF(AND(OR(L3725="131",M3725="131"),H3725='131-CT'!$E$7),"131",""))</f>
        <v/>
      </c>
      <c r="O3725" s="869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799"/>
    </row>
    <row r="3726" spans="1:27" s="210" customFormat="1" ht="15.75" customHeight="1">
      <c r="A3726" s="203" t="str">
        <f>IF(B3726&lt;&gt;"",IF(AND(B3726&gt;=_TM1,B3726&lt;=_TM2,OR(TH!L3726="1111",TH!M3726="1111")),TH!D3726,""),"")</f>
        <v/>
      </c>
      <c r="B3726" s="36">
        <f t="shared" si="65"/>
        <v>11</v>
      </c>
      <c r="C3726" s="899">
        <f t="shared" si="66"/>
        <v>42334</v>
      </c>
      <c r="D3726" s="900" t="s">
        <v>2013</v>
      </c>
      <c r="E3726" s="900">
        <v>42334</v>
      </c>
      <c r="F3726" s="907" t="s">
        <v>781</v>
      </c>
      <c r="G3726" s="902" t="s">
        <v>1205</v>
      </c>
      <c r="H3726" s="913" t="s">
        <v>2014</v>
      </c>
      <c r="I3726" s="253">
        <v>600</v>
      </c>
      <c r="J3726" s="253">
        <v>10365.040008531352</v>
      </c>
      <c r="K3726" s="904">
        <f t="shared" si="67"/>
        <v>6219024</v>
      </c>
      <c r="L3726" s="869" t="s">
        <v>167</v>
      </c>
      <c r="M3726" s="869" t="s">
        <v>165</v>
      </c>
      <c r="N3726" s="52" t="str">
        <f>IF(AND('331-CT'!$E$7=TH!H3726,OR(L3726="331",M3726="331")),"331",IF(AND(OR(L3726="131",M3726="131"),H3726='131-CT'!$E$7),"131",""))</f>
        <v/>
      </c>
      <c r="O3726" s="869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799"/>
    </row>
    <row r="3727" spans="1:27" s="210" customFormat="1" ht="15.75" customHeight="1">
      <c r="A3727" s="203" t="str">
        <f>IF(B3727&lt;&gt;"",IF(AND(B3727&gt;=_TM1,B3727&lt;=_TM2,OR(TH!L3727="1111",TH!M3727="1111")),TH!D3727,""),"")</f>
        <v/>
      </c>
      <c r="B3727" s="36">
        <f t="shared" si="65"/>
        <v>11</v>
      </c>
      <c r="C3727" s="899">
        <f t="shared" si="66"/>
        <v>42335</v>
      </c>
      <c r="D3727" s="900" t="s">
        <v>2013</v>
      </c>
      <c r="E3727" s="900">
        <v>42335</v>
      </c>
      <c r="F3727" s="907" t="s">
        <v>616</v>
      </c>
      <c r="G3727" s="902" t="s">
        <v>1206</v>
      </c>
      <c r="H3727" s="913" t="s">
        <v>2014</v>
      </c>
      <c r="I3727" s="253">
        <v>1031</v>
      </c>
      <c r="J3727" s="253">
        <v>4921.52978822352</v>
      </c>
      <c r="K3727" s="904">
        <f t="shared" si="67"/>
        <v>5074097</v>
      </c>
      <c r="L3727" s="869" t="s">
        <v>167</v>
      </c>
      <c r="M3727" s="869" t="s">
        <v>165</v>
      </c>
      <c r="N3727" s="52" t="str">
        <f>IF(AND('331-CT'!$E$7=TH!H3727,OR(L3727="331",M3727="331")),"331",IF(AND(OR(L3727="131",M3727="131"),H3727='131-CT'!$E$7),"131",""))</f>
        <v/>
      </c>
      <c r="O3727" s="869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799"/>
    </row>
    <row r="3728" spans="1:27" s="210" customFormat="1" ht="15.75" customHeight="1">
      <c r="A3728" s="203" t="str">
        <f>IF(B3728&lt;&gt;"",IF(AND(B3728&gt;=_TM1,B3728&lt;=_TM2,OR(TH!L3728="1111",TH!M3728="1111")),TH!D3728,""),"")</f>
        <v/>
      </c>
      <c r="B3728" s="36">
        <f t="shared" si="65"/>
        <v>11</v>
      </c>
      <c r="C3728" s="899">
        <f t="shared" si="66"/>
        <v>42335</v>
      </c>
      <c r="D3728" s="900" t="s">
        <v>2013</v>
      </c>
      <c r="E3728" s="900">
        <v>42335</v>
      </c>
      <c r="F3728" s="907" t="s">
        <v>616</v>
      </c>
      <c r="G3728" s="902" t="s">
        <v>1206</v>
      </c>
      <c r="H3728" s="913" t="s">
        <v>2014</v>
      </c>
      <c r="I3728" s="253">
        <v>980</v>
      </c>
      <c r="J3728" s="253">
        <v>4921.52978822352</v>
      </c>
      <c r="K3728" s="904">
        <f t="shared" si="67"/>
        <v>4823099</v>
      </c>
      <c r="L3728" s="869" t="s">
        <v>167</v>
      </c>
      <c r="M3728" s="869" t="s">
        <v>165</v>
      </c>
      <c r="N3728" s="52" t="str">
        <f>IF(AND('331-CT'!$E$7=TH!H3728,OR(L3728="331",M3728="331")),"331",IF(AND(OR(L3728="131",M3728="131"),H3728='131-CT'!$E$7),"131",""))</f>
        <v/>
      </c>
      <c r="O3728" s="869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799"/>
    </row>
    <row r="3729" spans="1:27" s="210" customFormat="1" ht="15.75" customHeight="1">
      <c r="A3729" s="203" t="str">
        <f>IF(B3729&lt;&gt;"",IF(AND(B3729&gt;=_TM1,B3729&lt;=_TM2,OR(TH!L3729="1111",TH!M3729="1111")),TH!D3729,""),"")</f>
        <v/>
      </c>
      <c r="B3729" s="36">
        <f t="shared" si="65"/>
        <v>11</v>
      </c>
      <c r="C3729" s="899">
        <f t="shared" si="66"/>
        <v>42335</v>
      </c>
      <c r="D3729" s="900" t="s">
        <v>2013</v>
      </c>
      <c r="E3729" s="900">
        <v>42335</v>
      </c>
      <c r="F3729" s="907" t="s">
        <v>451</v>
      </c>
      <c r="G3729" s="902" t="s">
        <v>1207</v>
      </c>
      <c r="H3729" s="913" t="s">
        <v>2014</v>
      </c>
      <c r="I3729" s="253">
        <v>100</v>
      </c>
      <c r="J3729" s="253">
        <v>9992.1968427568445</v>
      </c>
      <c r="K3729" s="904">
        <f t="shared" si="67"/>
        <v>999220</v>
      </c>
      <c r="L3729" s="869" t="s">
        <v>167</v>
      </c>
      <c r="M3729" s="869" t="s">
        <v>165</v>
      </c>
      <c r="N3729" s="52" t="str">
        <f>IF(AND('331-CT'!$E$7=TH!H3729,OR(L3729="331",M3729="331")),"331",IF(AND(OR(L3729="131",M3729="131"),H3729='131-CT'!$E$7),"131",""))</f>
        <v/>
      </c>
      <c r="O3729" s="869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799"/>
    </row>
    <row r="3730" spans="1:27" s="210" customFormat="1" ht="15.75" customHeight="1">
      <c r="A3730" s="203" t="str">
        <f>IF(B3730&lt;&gt;"",IF(AND(B3730&gt;=_TM1,B3730&lt;=_TM2,OR(TH!L3730="1111",TH!M3730="1111")),TH!D3730,""),"")</f>
        <v/>
      </c>
      <c r="B3730" s="36">
        <f t="shared" si="65"/>
        <v>11</v>
      </c>
      <c r="C3730" s="899">
        <f t="shared" si="66"/>
        <v>42335</v>
      </c>
      <c r="D3730" s="900" t="s">
        <v>2013</v>
      </c>
      <c r="E3730" s="900">
        <v>42335</v>
      </c>
      <c r="F3730" s="907" t="s">
        <v>409</v>
      </c>
      <c r="G3730" s="902" t="s">
        <v>1208</v>
      </c>
      <c r="H3730" s="913" t="s">
        <v>2014</v>
      </c>
      <c r="I3730" s="253">
        <v>1178</v>
      </c>
      <c r="J3730" s="253">
        <v>5518.0788534627345</v>
      </c>
      <c r="K3730" s="904">
        <f t="shared" si="67"/>
        <v>6500297</v>
      </c>
      <c r="L3730" s="869" t="s">
        <v>167</v>
      </c>
      <c r="M3730" s="869" t="s">
        <v>165</v>
      </c>
      <c r="N3730" s="52" t="str">
        <f>IF(AND('331-CT'!$E$7=TH!H3730,OR(L3730="331",M3730="331")),"331",IF(AND(OR(L3730="131",M3730="131"),H3730='131-CT'!$E$7),"131",""))</f>
        <v/>
      </c>
      <c r="O3730" s="869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799"/>
    </row>
    <row r="3731" spans="1:27" s="210" customFormat="1" ht="15.75" customHeight="1">
      <c r="A3731" s="203" t="str">
        <f>IF(B3731&lt;&gt;"",IF(AND(B3731&gt;=_TM1,B3731&lt;=_TM2,OR(TH!L3731="1111",TH!M3731="1111")),TH!D3731,""),"")</f>
        <v/>
      </c>
      <c r="B3731" s="36">
        <f t="shared" si="65"/>
        <v>11</v>
      </c>
      <c r="C3731" s="899">
        <f t="shared" si="66"/>
        <v>42335</v>
      </c>
      <c r="D3731" s="900" t="s">
        <v>2013</v>
      </c>
      <c r="E3731" s="900">
        <v>42335</v>
      </c>
      <c r="F3731" s="907" t="s">
        <v>1766</v>
      </c>
      <c r="G3731" s="902" t="s">
        <v>1209</v>
      </c>
      <c r="H3731" s="913" t="s">
        <v>2014</v>
      </c>
      <c r="I3731" s="253">
        <v>1500</v>
      </c>
      <c r="J3731" s="253">
        <v>9321.0791443627277</v>
      </c>
      <c r="K3731" s="904">
        <f t="shared" si="67"/>
        <v>13981619</v>
      </c>
      <c r="L3731" s="869" t="s">
        <v>167</v>
      </c>
      <c r="M3731" s="869" t="s">
        <v>165</v>
      </c>
      <c r="N3731" s="52" t="str">
        <f>IF(AND('331-CT'!$E$7=TH!H3731,OR(L3731="331",M3731="331")),"331",IF(AND(OR(L3731="131",M3731="131"),H3731='131-CT'!$E$7),"131",""))</f>
        <v/>
      </c>
      <c r="O3731" s="869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799"/>
    </row>
    <row r="3732" spans="1:27" s="210" customFormat="1" ht="15.75" customHeight="1">
      <c r="A3732" s="203" t="str">
        <f>IF(B3732&lt;&gt;"",IF(AND(B3732&gt;=_TM1,B3732&lt;=_TM2,OR(TH!L3732="1111",TH!M3732="1111")),TH!D3732,""),"")</f>
        <v/>
      </c>
      <c r="B3732" s="36">
        <f t="shared" si="65"/>
        <v>11</v>
      </c>
      <c r="C3732" s="899">
        <f t="shared" si="66"/>
        <v>42335</v>
      </c>
      <c r="D3732" s="900" t="s">
        <v>2013</v>
      </c>
      <c r="E3732" s="900">
        <v>42335</v>
      </c>
      <c r="F3732" s="907" t="s">
        <v>728</v>
      </c>
      <c r="G3732" s="902" t="s">
        <v>1209</v>
      </c>
      <c r="H3732" s="913" t="s">
        <v>2014</v>
      </c>
      <c r="I3732" s="253">
        <v>200</v>
      </c>
      <c r="J3732" s="253">
        <v>12676.667636333308</v>
      </c>
      <c r="K3732" s="904">
        <f t="shared" si="67"/>
        <v>2535334</v>
      </c>
      <c r="L3732" s="869" t="s">
        <v>167</v>
      </c>
      <c r="M3732" s="869" t="s">
        <v>165</v>
      </c>
      <c r="N3732" s="52" t="str">
        <f>IF(AND('331-CT'!$E$7=TH!H3732,OR(L3732="331",M3732="331")),"331",IF(AND(OR(L3732="131",M3732="131"),H3732='131-CT'!$E$7),"131",""))</f>
        <v/>
      </c>
      <c r="O3732" s="869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799"/>
    </row>
    <row r="3733" spans="1:27" s="210" customFormat="1" ht="15.75" customHeight="1">
      <c r="A3733" s="203" t="str">
        <f>IF(B3733&lt;&gt;"",IF(AND(B3733&gt;=_TM1,B3733&lt;=_TM2,OR(TH!L3733="1111",TH!M3733="1111")),TH!D3733,""),"")</f>
        <v/>
      </c>
      <c r="B3733" s="36">
        <f t="shared" si="65"/>
        <v>11</v>
      </c>
      <c r="C3733" s="899">
        <f t="shared" si="66"/>
        <v>42335</v>
      </c>
      <c r="D3733" s="900" t="s">
        <v>2013</v>
      </c>
      <c r="E3733" s="900">
        <v>42335</v>
      </c>
      <c r="F3733" s="907" t="s">
        <v>1824</v>
      </c>
      <c r="G3733" s="902" t="s">
        <v>1209</v>
      </c>
      <c r="H3733" s="913" t="s">
        <v>2014</v>
      </c>
      <c r="I3733" s="253">
        <v>260</v>
      </c>
      <c r="J3733" s="253">
        <v>9470.2164106725304</v>
      </c>
      <c r="K3733" s="904">
        <f t="shared" si="67"/>
        <v>2462256</v>
      </c>
      <c r="L3733" s="869" t="s">
        <v>167</v>
      </c>
      <c r="M3733" s="869" t="s">
        <v>165</v>
      </c>
      <c r="N3733" s="52" t="str">
        <f>IF(AND('331-CT'!$E$7=TH!H3733,OR(L3733="331",M3733="331")),"331",IF(AND(OR(L3733="131",M3733="131"),H3733='131-CT'!$E$7),"131",""))</f>
        <v/>
      </c>
      <c r="O3733" s="869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799"/>
    </row>
    <row r="3734" spans="1:27" s="210" customFormat="1" ht="15.75" customHeight="1">
      <c r="A3734" s="203" t="str">
        <f>IF(B3734&lt;&gt;"",IF(AND(B3734&gt;=_TM1,B3734&lt;=_TM2,OR(TH!L3734="1111",TH!M3734="1111")),TH!D3734,""),"")</f>
        <v/>
      </c>
      <c r="B3734" s="36">
        <f t="shared" si="65"/>
        <v>11</v>
      </c>
      <c r="C3734" s="899">
        <f t="shared" si="66"/>
        <v>42338</v>
      </c>
      <c r="D3734" s="900" t="s">
        <v>2013</v>
      </c>
      <c r="E3734" s="900">
        <v>42338</v>
      </c>
      <c r="F3734" s="907" t="s">
        <v>494</v>
      </c>
      <c r="G3734" s="902" t="s">
        <v>1210</v>
      </c>
      <c r="H3734" s="913" t="s">
        <v>2014</v>
      </c>
      <c r="I3734" s="253">
        <v>1066</v>
      </c>
      <c r="J3734" s="253">
        <v>5070.6670545333236</v>
      </c>
      <c r="K3734" s="904">
        <f t="shared" si="67"/>
        <v>5405331</v>
      </c>
      <c r="L3734" s="869" t="s">
        <v>167</v>
      </c>
      <c r="M3734" s="869" t="s">
        <v>165</v>
      </c>
      <c r="N3734" s="52" t="str">
        <f>IF(AND('331-CT'!$E$7=TH!H3734,OR(L3734="331",M3734="331")),"331",IF(AND(OR(L3734="131",M3734="131"),H3734='131-CT'!$E$7),"131",""))</f>
        <v/>
      </c>
      <c r="O3734" s="869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799"/>
    </row>
    <row r="3735" spans="1:27" s="210" customFormat="1" ht="15.75" customHeight="1">
      <c r="A3735" s="203" t="str">
        <f>IF(B3735&lt;&gt;"",IF(AND(B3735&gt;=_TM1,B3735&lt;=_TM2,OR(TH!L3735="1111",TH!M3735="1111")),TH!D3735,""),"")</f>
        <v/>
      </c>
      <c r="B3735" s="36">
        <f t="shared" si="65"/>
        <v>11</v>
      </c>
      <c r="C3735" s="899">
        <f t="shared" si="66"/>
        <v>42338</v>
      </c>
      <c r="D3735" s="900" t="s">
        <v>2013</v>
      </c>
      <c r="E3735" s="900">
        <v>42338</v>
      </c>
      <c r="F3735" s="907" t="s">
        <v>746</v>
      </c>
      <c r="G3735" s="902" t="s">
        <v>1211</v>
      </c>
      <c r="H3735" s="913" t="s">
        <v>2014</v>
      </c>
      <c r="I3735" s="253">
        <v>1000</v>
      </c>
      <c r="J3735" s="253">
        <v>17225.354258782321</v>
      </c>
      <c r="K3735" s="904">
        <f t="shared" si="67"/>
        <v>17225354</v>
      </c>
      <c r="L3735" s="869" t="s">
        <v>167</v>
      </c>
      <c r="M3735" s="869" t="s">
        <v>165</v>
      </c>
      <c r="N3735" s="52" t="str">
        <f>IF(AND('331-CT'!$E$7=TH!H3735,OR(L3735="331",M3735="331")),"331",IF(AND(OR(L3735="131",M3735="131"),H3735='131-CT'!$E$7),"131",""))</f>
        <v/>
      </c>
      <c r="O3735" s="869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799"/>
    </row>
    <row r="3736" spans="1:27" s="210" customFormat="1" ht="15.75" customHeight="1">
      <c r="A3736" s="203" t="str">
        <f>IF(B3736&lt;&gt;"",IF(AND(B3736&gt;=_TM1,B3736&lt;=_TM2,OR(TH!L3736="1111",TH!M3736="1111")),TH!D3736,""),"")</f>
        <v/>
      </c>
      <c r="B3736" s="36">
        <f t="shared" si="65"/>
        <v>11</v>
      </c>
      <c r="C3736" s="899">
        <f t="shared" si="66"/>
        <v>42338</v>
      </c>
      <c r="D3736" s="900" t="s">
        <v>2013</v>
      </c>
      <c r="E3736" s="900">
        <v>42338</v>
      </c>
      <c r="F3736" s="907" t="s">
        <v>748</v>
      </c>
      <c r="G3736" s="902" t="s">
        <v>1211</v>
      </c>
      <c r="H3736" s="913" t="s">
        <v>2014</v>
      </c>
      <c r="I3736" s="253">
        <v>250</v>
      </c>
      <c r="J3736" s="253">
        <v>13944.334399966641</v>
      </c>
      <c r="K3736" s="904">
        <f t="shared" si="67"/>
        <v>3486084</v>
      </c>
      <c r="L3736" s="869" t="s">
        <v>167</v>
      </c>
      <c r="M3736" s="869" t="s">
        <v>165</v>
      </c>
      <c r="N3736" s="52" t="str">
        <f>IF(AND('331-CT'!$E$7=TH!H3736,OR(L3736="331",M3736="331")),"331",IF(AND(OR(L3736="131",M3736="131"),H3736='131-CT'!$E$7),"131",""))</f>
        <v/>
      </c>
      <c r="O3736" s="869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799"/>
    </row>
    <row r="3737" spans="1:27" s="210" customFormat="1" ht="15.75" customHeight="1">
      <c r="A3737" s="203" t="str">
        <f>IF(B3737&lt;&gt;"",IF(AND(B3737&gt;=_TM1,B3737&lt;=_TM2,OR(TH!L3737="1111",TH!M3737="1111")),TH!D3737,""),"")</f>
        <v/>
      </c>
      <c r="B3737" s="36">
        <f t="shared" si="65"/>
        <v>11</v>
      </c>
      <c r="C3737" s="899">
        <f t="shared" si="66"/>
        <v>42338</v>
      </c>
      <c r="D3737" s="900" t="s">
        <v>2013</v>
      </c>
      <c r="E3737" s="900">
        <v>42338</v>
      </c>
      <c r="F3737" s="907" t="s">
        <v>1212</v>
      </c>
      <c r="G3737" s="902" t="s">
        <v>1213</v>
      </c>
      <c r="H3737" s="913" t="s">
        <v>2014</v>
      </c>
      <c r="I3737" s="253">
        <v>63</v>
      </c>
      <c r="J3737" s="253">
        <v>60027.749689695971</v>
      </c>
      <c r="K3737" s="904">
        <f t="shared" si="67"/>
        <v>3781748</v>
      </c>
      <c r="L3737" s="869" t="s">
        <v>167</v>
      </c>
      <c r="M3737" s="869" t="s">
        <v>165</v>
      </c>
      <c r="N3737" s="52" t="str">
        <f>IF(AND('331-CT'!$E$7=TH!H3737,OR(L3737="331",M3737="331")),"331",IF(AND(OR(L3737="131",M3737="131"),H3737='131-CT'!$E$7),"131",""))</f>
        <v/>
      </c>
      <c r="O3737" s="869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799"/>
    </row>
    <row r="3738" spans="1:27" s="210" customFormat="1" ht="15.75" customHeight="1">
      <c r="A3738" s="203" t="str">
        <f>IF(B3738&lt;&gt;"",IF(AND(B3738&gt;=_TM1,B3738&lt;=_TM2,OR(TH!L3738="1111",TH!M3738="1111")),TH!D3738,""),"")</f>
        <v/>
      </c>
      <c r="B3738" s="36">
        <f t="shared" si="65"/>
        <v>11</v>
      </c>
      <c r="C3738" s="899">
        <f t="shared" si="66"/>
        <v>42338</v>
      </c>
      <c r="D3738" s="900" t="s">
        <v>2013</v>
      </c>
      <c r="E3738" s="900">
        <v>42338</v>
      </c>
      <c r="F3738" s="907" t="s">
        <v>841</v>
      </c>
      <c r="G3738" s="902" t="s">
        <v>1213</v>
      </c>
      <c r="H3738" s="913" t="s">
        <v>2014</v>
      </c>
      <c r="I3738" s="253">
        <v>41</v>
      </c>
      <c r="J3738" s="253">
        <v>46157.983922884225</v>
      </c>
      <c r="K3738" s="904">
        <f t="shared" si="67"/>
        <v>1892477</v>
      </c>
      <c r="L3738" s="869" t="s">
        <v>167</v>
      </c>
      <c r="M3738" s="869" t="s">
        <v>165</v>
      </c>
      <c r="N3738" s="52" t="str">
        <f>IF(AND('331-CT'!$E$7=TH!H3738,OR(L3738="331",M3738="331")),"331",IF(AND(OR(L3738="131",M3738="131"),H3738='131-CT'!$E$7),"131",""))</f>
        <v/>
      </c>
      <c r="O3738" s="869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799"/>
    </row>
    <row r="3739" spans="1:27" s="210" customFormat="1" ht="15.75" customHeight="1">
      <c r="A3739" s="203" t="str">
        <f>IF(B3739&lt;&gt;"",IF(AND(B3739&gt;=_TM1,B3739&lt;=_TM2,OR(TH!L3739="1111",TH!M3739="1111")),TH!D3739,""),"")</f>
        <v/>
      </c>
      <c r="B3739" s="36">
        <f t="shared" si="65"/>
        <v>11</v>
      </c>
      <c r="C3739" s="899">
        <f t="shared" si="66"/>
        <v>42338</v>
      </c>
      <c r="D3739" s="900" t="s">
        <v>2013</v>
      </c>
      <c r="E3739" s="900">
        <v>42338</v>
      </c>
      <c r="F3739" s="907" t="s">
        <v>921</v>
      </c>
      <c r="G3739" s="902" t="s">
        <v>1213</v>
      </c>
      <c r="H3739" s="913" t="s">
        <v>2014</v>
      </c>
      <c r="I3739" s="253">
        <v>50</v>
      </c>
      <c r="J3739" s="253">
        <v>14690.020731515659</v>
      </c>
      <c r="K3739" s="904">
        <f t="shared" si="67"/>
        <v>734501</v>
      </c>
      <c r="L3739" s="869" t="s">
        <v>167</v>
      </c>
      <c r="M3739" s="869" t="s">
        <v>165</v>
      </c>
      <c r="N3739" s="52" t="str">
        <f>IF(AND('331-CT'!$E$7=TH!H3739,OR(L3739="331",M3739="331")),"331",IF(AND(OR(L3739="131",M3739="131"),H3739='131-CT'!$E$7),"131",""))</f>
        <v/>
      </c>
      <c r="O3739" s="869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799"/>
    </row>
    <row r="3740" spans="1:27" s="210" customFormat="1" ht="15.75" customHeight="1">
      <c r="A3740" s="203" t="str">
        <f>IF(B3740&lt;&gt;"",IF(AND(B3740&gt;=_TM1,B3740&lt;=_TM2,OR(TH!L3740="1111",TH!M3740="1111")),TH!D3740,""),"")</f>
        <v/>
      </c>
      <c r="B3740" s="36">
        <f t="shared" si="65"/>
        <v>11</v>
      </c>
      <c r="C3740" s="899">
        <f t="shared" si="66"/>
        <v>42338</v>
      </c>
      <c r="D3740" s="900" t="s">
        <v>2013</v>
      </c>
      <c r="E3740" s="900">
        <v>42338</v>
      </c>
      <c r="F3740" s="907" t="s">
        <v>927</v>
      </c>
      <c r="G3740" s="902" t="s">
        <v>1213</v>
      </c>
      <c r="H3740" s="913" t="s">
        <v>2014</v>
      </c>
      <c r="I3740" s="253">
        <v>21</v>
      </c>
      <c r="J3740" s="253">
        <v>63830.74998059596</v>
      </c>
      <c r="K3740" s="904">
        <f t="shared" si="67"/>
        <v>1340446</v>
      </c>
      <c r="L3740" s="869" t="s">
        <v>167</v>
      </c>
      <c r="M3740" s="869" t="s">
        <v>165</v>
      </c>
      <c r="N3740" s="52" t="str">
        <f>IF(AND('331-CT'!$E$7=TH!H3740,OR(L3740="331",M3740="331")),"331",IF(AND(OR(L3740="131",M3740="131"),H3740='131-CT'!$E$7),"131",""))</f>
        <v/>
      </c>
      <c r="O3740" s="869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799"/>
    </row>
    <row r="3741" spans="1:27" s="210" customFormat="1" ht="15.75" customHeight="1">
      <c r="A3741" s="203" t="str">
        <f>IF(B3741&lt;&gt;"",IF(AND(B3741&gt;=_TM1,B3741&lt;=_TM2,OR(TH!L3741="1111",TH!M3741="1111")),TH!D3741,""),"")</f>
        <v/>
      </c>
      <c r="B3741" s="36">
        <f t="shared" si="65"/>
        <v>11</v>
      </c>
      <c r="C3741" s="899">
        <f t="shared" si="66"/>
        <v>42338</v>
      </c>
      <c r="D3741" s="900" t="s">
        <v>2013</v>
      </c>
      <c r="E3741" s="900">
        <v>42338</v>
      </c>
      <c r="F3741" s="907" t="s">
        <v>624</v>
      </c>
      <c r="G3741" s="902" t="s">
        <v>1213</v>
      </c>
      <c r="H3741" s="913" t="s">
        <v>2014</v>
      </c>
      <c r="I3741" s="253">
        <v>50</v>
      </c>
      <c r="J3741" s="253">
        <v>42951.532697223447</v>
      </c>
      <c r="K3741" s="904">
        <f t="shared" si="67"/>
        <v>2147577</v>
      </c>
      <c r="L3741" s="869" t="s">
        <v>167</v>
      </c>
      <c r="M3741" s="869" t="s">
        <v>165</v>
      </c>
      <c r="N3741" s="52" t="str">
        <f>IF(AND('331-CT'!$E$7=TH!H3741,OR(L3741="331",M3741="331")),"331",IF(AND(OR(L3741="131",M3741="131"),H3741='131-CT'!$E$7),"131",""))</f>
        <v/>
      </c>
      <c r="O3741" s="869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799"/>
    </row>
    <row r="3742" spans="1:27" s="210" customFormat="1" ht="15.75" customHeight="1">
      <c r="A3742" s="203" t="str">
        <f>IF(B3742&lt;&gt;"",IF(AND(B3742&gt;=_TM1,B3742&lt;=_TM2,OR(TH!L3742="1111",TH!M3742="1111")),TH!D3742,""),"")</f>
        <v/>
      </c>
      <c r="B3742" s="36">
        <f t="shared" si="65"/>
        <v>12</v>
      </c>
      <c r="C3742" s="899">
        <f t="shared" si="66"/>
        <v>42339</v>
      </c>
      <c r="D3742" s="900" t="s">
        <v>2013</v>
      </c>
      <c r="E3742" s="900">
        <v>42339</v>
      </c>
      <c r="F3742" s="907" t="s">
        <v>439</v>
      </c>
      <c r="G3742" s="902" t="s">
        <v>1214</v>
      </c>
      <c r="H3742" s="913" t="s">
        <v>2014</v>
      </c>
      <c r="I3742" s="253">
        <v>500</v>
      </c>
      <c r="J3742" s="253">
        <v>4772.3925219137163</v>
      </c>
      <c r="K3742" s="904">
        <f t="shared" si="67"/>
        <v>2386196</v>
      </c>
      <c r="L3742" s="869" t="s">
        <v>167</v>
      </c>
      <c r="M3742" s="869" t="s">
        <v>165</v>
      </c>
      <c r="N3742" s="52" t="str">
        <f>IF(AND('331-CT'!$E$7=TH!H3742,OR(L3742="331",M3742="331")),"331",IF(AND(OR(L3742="131",M3742="131"),H3742='131-CT'!$E$7),"131",""))</f>
        <v/>
      </c>
      <c r="O3742" s="869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799"/>
    </row>
    <row r="3743" spans="1:27" s="210" customFormat="1" ht="15.75" customHeight="1">
      <c r="A3743" s="203" t="str">
        <f>IF(B3743&lt;&gt;"",IF(AND(B3743&gt;=_TM1,B3743&lt;=_TM2,OR(TH!L3743="1111",TH!M3743="1111")),TH!D3743,""),"")</f>
        <v/>
      </c>
      <c r="B3743" s="36">
        <f t="shared" si="65"/>
        <v>12</v>
      </c>
      <c r="C3743" s="899">
        <f t="shared" si="66"/>
        <v>42339</v>
      </c>
      <c r="D3743" s="900" t="s">
        <v>2013</v>
      </c>
      <c r="E3743" s="900">
        <v>42339</v>
      </c>
      <c r="F3743" s="907" t="s">
        <v>1215</v>
      </c>
      <c r="G3743" s="902" t="s">
        <v>1214</v>
      </c>
      <c r="H3743" s="913" t="s">
        <v>2014</v>
      </c>
      <c r="I3743" s="253">
        <v>216</v>
      </c>
      <c r="J3743" s="253">
        <v>3057.3139593509745</v>
      </c>
      <c r="K3743" s="904">
        <f t="shared" si="67"/>
        <v>660380</v>
      </c>
      <c r="L3743" s="869" t="s">
        <v>167</v>
      </c>
      <c r="M3743" s="869" t="s">
        <v>165</v>
      </c>
      <c r="N3743" s="52" t="str">
        <f>IF(AND('331-CT'!$E$7=TH!H3743,OR(L3743="331",M3743="331")),"331",IF(AND(OR(L3743="131",M3743="131"),H3743='131-CT'!$E$7),"131",""))</f>
        <v/>
      </c>
      <c r="O3743" s="869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799"/>
    </row>
    <row r="3744" spans="1:27" s="210" customFormat="1" ht="15.75" customHeight="1">
      <c r="A3744" s="203" t="str">
        <f>IF(B3744&lt;&gt;"",IF(AND(B3744&gt;=_TM1,B3744&lt;=_TM2,OR(TH!L3744="1111",TH!M3744="1111")),TH!D3744,""),"")</f>
        <v/>
      </c>
      <c r="B3744" s="36">
        <f t="shared" si="65"/>
        <v>12</v>
      </c>
      <c r="C3744" s="899">
        <f t="shared" si="66"/>
        <v>42339</v>
      </c>
      <c r="D3744" s="900" t="s">
        <v>2013</v>
      </c>
      <c r="E3744" s="900">
        <v>42339</v>
      </c>
      <c r="F3744" s="907" t="s">
        <v>1949</v>
      </c>
      <c r="G3744" s="902" t="s">
        <v>1216</v>
      </c>
      <c r="H3744" s="913" t="s">
        <v>2014</v>
      </c>
      <c r="I3744" s="253">
        <v>30</v>
      </c>
      <c r="J3744" s="253">
        <v>11334.432239545076</v>
      </c>
      <c r="K3744" s="904">
        <f t="shared" si="67"/>
        <v>340033</v>
      </c>
      <c r="L3744" s="869" t="s">
        <v>167</v>
      </c>
      <c r="M3744" s="869" t="s">
        <v>165</v>
      </c>
      <c r="N3744" s="52" t="str">
        <f>IF(AND('331-CT'!$E$7=TH!H3744,OR(L3744="331",M3744="331")),"331",IF(AND(OR(L3744="131",M3744="131"),H3744='131-CT'!$E$7),"131",""))</f>
        <v/>
      </c>
      <c r="O3744" s="869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799"/>
    </row>
    <row r="3745" spans="1:27" s="210" customFormat="1" ht="15.75" customHeight="1">
      <c r="A3745" s="203" t="str">
        <f>IF(B3745&lt;&gt;"",IF(AND(B3745&gt;=_TM1,B3745&lt;=_TM2,OR(TH!L3745="1111",TH!M3745="1111")),TH!D3745,""),"")</f>
        <v/>
      </c>
      <c r="B3745" s="36">
        <f t="shared" si="65"/>
        <v>12</v>
      </c>
      <c r="C3745" s="899">
        <f t="shared" si="66"/>
        <v>42339</v>
      </c>
      <c r="D3745" s="900" t="s">
        <v>2013</v>
      </c>
      <c r="E3745" s="900">
        <v>42339</v>
      </c>
      <c r="F3745" s="907" t="s">
        <v>1950</v>
      </c>
      <c r="G3745" s="902" t="s">
        <v>1216</v>
      </c>
      <c r="H3745" s="913" t="s">
        <v>2014</v>
      </c>
      <c r="I3745" s="253">
        <v>30</v>
      </c>
      <c r="J3745" s="253">
        <v>8127.9810138842986</v>
      </c>
      <c r="K3745" s="904">
        <f t="shared" si="67"/>
        <v>243839</v>
      </c>
      <c r="L3745" s="869" t="s">
        <v>167</v>
      </c>
      <c r="M3745" s="869" t="s">
        <v>165</v>
      </c>
      <c r="N3745" s="52" t="str">
        <f>IF(AND('331-CT'!$E$7=TH!H3745,OR(L3745="331",M3745="331")),"331",IF(AND(OR(L3745="131",M3745="131"),H3745='131-CT'!$E$7),"131",""))</f>
        <v/>
      </c>
      <c r="O3745" s="869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799"/>
    </row>
    <row r="3746" spans="1:27" s="210" customFormat="1" ht="15.75" customHeight="1">
      <c r="A3746" s="203" t="str">
        <f>IF(B3746&lt;&gt;"",IF(AND(B3746&gt;=_TM1,B3746&lt;=_TM2,OR(TH!L3746="1111",TH!M3746="1111")),TH!D3746,""),"")</f>
        <v/>
      </c>
      <c r="B3746" s="36">
        <f t="shared" si="65"/>
        <v>12</v>
      </c>
      <c r="C3746" s="899">
        <f t="shared" si="66"/>
        <v>42339</v>
      </c>
      <c r="D3746" s="900" t="s">
        <v>2013</v>
      </c>
      <c r="E3746" s="900">
        <v>42339</v>
      </c>
      <c r="F3746" s="907" t="s">
        <v>1951</v>
      </c>
      <c r="G3746" s="902" t="s">
        <v>1216</v>
      </c>
      <c r="H3746" s="913" t="s">
        <v>2014</v>
      </c>
      <c r="I3746" s="253">
        <v>60</v>
      </c>
      <c r="J3746" s="253">
        <v>9022.8046117431204</v>
      </c>
      <c r="K3746" s="904">
        <f t="shared" si="67"/>
        <v>541368</v>
      </c>
      <c r="L3746" s="869" t="s">
        <v>167</v>
      </c>
      <c r="M3746" s="869" t="s">
        <v>165</v>
      </c>
      <c r="N3746" s="52" t="str">
        <f>IF(AND('331-CT'!$E$7=TH!H3746,OR(L3746="331",M3746="331")),"331",IF(AND(OR(L3746="131",M3746="131"),H3746='131-CT'!$E$7),"131",""))</f>
        <v/>
      </c>
      <c r="O3746" s="869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799"/>
    </row>
    <row r="3747" spans="1:27" s="210" customFormat="1" ht="15.75" customHeight="1">
      <c r="A3747" s="203" t="str">
        <f>IF(B3747&lt;&gt;"",IF(AND(B3747&gt;=_TM1,B3747&lt;=_TM2,OR(TH!L3747="1111",TH!M3747="1111")),TH!D3747,""),"")</f>
        <v/>
      </c>
      <c r="B3747" s="36">
        <f t="shared" si="65"/>
        <v>12</v>
      </c>
      <c r="C3747" s="899">
        <f t="shared" si="66"/>
        <v>42339</v>
      </c>
      <c r="D3747" s="900" t="s">
        <v>2013</v>
      </c>
      <c r="E3747" s="900">
        <v>42339</v>
      </c>
      <c r="F3747" s="907" t="s">
        <v>1952</v>
      </c>
      <c r="G3747" s="902" t="s">
        <v>1216</v>
      </c>
      <c r="H3747" s="913" t="s">
        <v>2014</v>
      </c>
      <c r="I3747" s="253">
        <v>20</v>
      </c>
      <c r="J3747" s="253">
        <v>9917.6282096019422</v>
      </c>
      <c r="K3747" s="904">
        <f t="shared" si="67"/>
        <v>198353</v>
      </c>
      <c r="L3747" s="869" t="s">
        <v>167</v>
      </c>
      <c r="M3747" s="869" t="s">
        <v>165</v>
      </c>
      <c r="N3747" s="52" t="str">
        <f>IF(AND('331-CT'!$E$7=TH!H3747,OR(L3747="331",M3747="331")),"331",IF(AND(OR(L3747="131",M3747="131"),H3747='131-CT'!$E$7),"131",""))</f>
        <v/>
      </c>
      <c r="O3747" s="869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799"/>
    </row>
    <row r="3748" spans="1:27" s="210" customFormat="1" ht="15.75" customHeight="1">
      <c r="A3748" s="203" t="str">
        <f>IF(B3748&lt;&gt;"",IF(AND(B3748&gt;=_TM1,B3748&lt;=_TM2,OR(TH!L3748="1111",TH!M3748="1111")),TH!D3748,""),"")</f>
        <v/>
      </c>
      <c r="B3748" s="36">
        <f t="shared" si="65"/>
        <v>12</v>
      </c>
      <c r="C3748" s="899">
        <f t="shared" si="66"/>
        <v>42339</v>
      </c>
      <c r="D3748" s="900" t="s">
        <v>2013</v>
      </c>
      <c r="E3748" s="900">
        <v>42339</v>
      </c>
      <c r="F3748" s="907" t="s">
        <v>2011</v>
      </c>
      <c r="G3748" s="902" t="s">
        <v>1216</v>
      </c>
      <c r="H3748" s="913" t="s">
        <v>2014</v>
      </c>
      <c r="I3748" s="253">
        <v>10</v>
      </c>
      <c r="J3748" s="253">
        <v>15584.844329374479</v>
      </c>
      <c r="K3748" s="904">
        <f t="shared" si="67"/>
        <v>155848</v>
      </c>
      <c r="L3748" s="869" t="s">
        <v>167</v>
      </c>
      <c r="M3748" s="869" t="s">
        <v>165</v>
      </c>
      <c r="N3748" s="52" t="str">
        <f>IF(AND('331-CT'!$E$7=TH!H3748,OR(L3748="331",M3748="331")),"331",IF(AND(OR(L3748="131",M3748="131"),H3748='131-CT'!$E$7),"131",""))</f>
        <v/>
      </c>
      <c r="O3748" s="869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799"/>
    </row>
    <row r="3749" spans="1:27" s="210" customFormat="1" ht="15.75" customHeight="1">
      <c r="A3749" s="203" t="str">
        <f>IF(B3749&lt;&gt;"",IF(AND(B3749&gt;=_TM1,B3749&lt;=_TM2,OR(TH!L3749="1111",TH!M3749="1111")),TH!D3749,""),"")</f>
        <v/>
      </c>
      <c r="B3749" s="36">
        <f t="shared" si="65"/>
        <v>12</v>
      </c>
      <c r="C3749" s="899">
        <f t="shared" si="66"/>
        <v>42340</v>
      </c>
      <c r="D3749" s="900" t="s">
        <v>2013</v>
      </c>
      <c r="E3749" s="900">
        <v>42340</v>
      </c>
      <c r="F3749" s="907" t="s">
        <v>451</v>
      </c>
      <c r="G3749" s="902" t="s">
        <v>1217</v>
      </c>
      <c r="H3749" s="913" t="s">
        <v>2014</v>
      </c>
      <c r="I3749" s="253">
        <v>306</v>
      </c>
      <c r="J3749" s="253">
        <v>9992.1968427568445</v>
      </c>
      <c r="K3749" s="904">
        <f t="shared" si="67"/>
        <v>3057612</v>
      </c>
      <c r="L3749" s="869" t="s">
        <v>167</v>
      </c>
      <c r="M3749" s="869" t="s">
        <v>165</v>
      </c>
      <c r="N3749" s="52" t="str">
        <f>IF(AND('331-CT'!$E$7=TH!H3749,OR(L3749="331",M3749="331")),"331",IF(AND(OR(L3749="131",M3749="131"),H3749='131-CT'!$E$7),"131",""))</f>
        <v/>
      </c>
      <c r="O3749" s="869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799"/>
    </row>
    <row r="3750" spans="1:27" s="210" customFormat="1" ht="15.75" customHeight="1">
      <c r="A3750" s="203" t="str">
        <f>IF(B3750&lt;&gt;"",IF(AND(B3750&gt;=_TM1,B3750&lt;=_TM2,OR(TH!L3750="1111",TH!M3750="1111")),TH!D3750,""),"")</f>
        <v/>
      </c>
      <c r="B3750" s="36">
        <f t="shared" si="65"/>
        <v>12</v>
      </c>
      <c r="C3750" s="899">
        <f t="shared" si="66"/>
        <v>42340</v>
      </c>
      <c r="D3750" s="900" t="s">
        <v>2013</v>
      </c>
      <c r="E3750" s="900">
        <v>42340</v>
      </c>
      <c r="F3750" s="907" t="s">
        <v>1155</v>
      </c>
      <c r="G3750" s="902" t="s">
        <v>1218</v>
      </c>
      <c r="H3750" s="913" t="s">
        <v>2014</v>
      </c>
      <c r="I3750" s="253">
        <v>500</v>
      </c>
      <c r="J3750" s="253">
        <v>5890.9220192372441</v>
      </c>
      <c r="K3750" s="904">
        <f t="shared" si="67"/>
        <v>2945461</v>
      </c>
      <c r="L3750" s="869" t="s">
        <v>167</v>
      </c>
      <c r="M3750" s="869" t="s">
        <v>165</v>
      </c>
      <c r="N3750" s="52" t="str">
        <f>IF(AND('331-CT'!$E$7=TH!H3750,OR(L3750="331",M3750="331")),"331",IF(AND(OR(L3750="131",M3750="131"),H3750='131-CT'!$E$7),"131",""))</f>
        <v/>
      </c>
      <c r="O3750" s="869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799"/>
    </row>
    <row r="3751" spans="1:27" s="210" customFormat="1" ht="15.75" customHeight="1">
      <c r="A3751" s="203" t="str">
        <f>IF(B3751&lt;&gt;"",IF(AND(B3751&gt;=_TM1,B3751&lt;=_TM2,OR(TH!L3751="1111",TH!M3751="1111")),TH!D3751,""),"")</f>
        <v/>
      </c>
      <c r="B3751" s="36">
        <f t="shared" si="65"/>
        <v>12</v>
      </c>
      <c r="C3751" s="899">
        <f t="shared" si="66"/>
        <v>42340</v>
      </c>
      <c r="D3751" s="900" t="s">
        <v>2013</v>
      </c>
      <c r="E3751" s="900">
        <v>42340</v>
      </c>
      <c r="F3751" s="907" t="s">
        <v>999</v>
      </c>
      <c r="G3751" s="902" t="s">
        <v>1219</v>
      </c>
      <c r="H3751" s="913" t="s">
        <v>2014</v>
      </c>
      <c r="I3751" s="253">
        <v>306</v>
      </c>
      <c r="J3751" s="253">
        <v>5592.6474866176359</v>
      </c>
      <c r="K3751" s="904">
        <f t="shared" si="67"/>
        <v>1711350</v>
      </c>
      <c r="L3751" s="869" t="s">
        <v>167</v>
      </c>
      <c r="M3751" s="869" t="s">
        <v>165</v>
      </c>
      <c r="N3751" s="52" t="str">
        <f>IF(AND('331-CT'!$E$7=TH!H3751,OR(L3751="331",M3751="331")),"331",IF(AND(OR(L3751="131",M3751="131"),H3751='131-CT'!$E$7),"131",""))</f>
        <v/>
      </c>
      <c r="O3751" s="869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799"/>
    </row>
    <row r="3752" spans="1:27" s="210" customFormat="1" ht="15.75" customHeight="1">
      <c r="A3752" s="203" t="str">
        <f>IF(B3752&lt;&gt;"",IF(AND(B3752&gt;=_TM1,B3752&lt;=_TM2,OR(TH!L3752="1111",TH!M3752="1111")),TH!D3752,""),"")</f>
        <v/>
      </c>
      <c r="B3752" s="36">
        <f t="shared" si="65"/>
        <v>12</v>
      </c>
      <c r="C3752" s="899">
        <f t="shared" si="66"/>
        <v>42340</v>
      </c>
      <c r="D3752" s="900" t="s">
        <v>2013</v>
      </c>
      <c r="E3752" s="900">
        <v>42340</v>
      </c>
      <c r="F3752" s="907" t="s">
        <v>413</v>
      </c>
      <c r="G3752" s="902" t="s">
        <v>1219</v>
      </c>
      <c r="H3752" s="913" t="s">
        <v>2014</v>
      </c>
      <c r="I3752" s="253">
        <v>522</v>
      </c>
      <c r="J3752" s="253">
        <v>7084.0201497156722</v>
      </c>
      <c r="K3752" s="904">
        <f t="shared" si="67"/>
        <v>3697859</v>
      </c>
      <c r="L3752" s="869" t="s">
        <v>167</v>
      </c>
      <c r="M3752" s="869" t="s">
        <v>165</v>
      </c>
      <c r="N3752" s="52" t="str">
        <f>IF(AND('331-CT'!$E$7=TH!H3752,OR(L3752="331",M3752="331")),"331",IF(AND(OR(L3752="131",M3752="131"),H3752='131-CT'!$E$7),"131",""))</f>
        <v/>
      </c>
      <c r="O3752" s="869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799"/>
    </row>
    <row r="3753" spans="1:27" s="210" customFormat="1" ht="15.75" customHeight="1">
      <c r="A3753" s="203" t="str">
        <f>IF(B3753&lt;&gt;"",IF(AND(B3753&gt;=_TM1,B3753&lt;=_TM2,OR(TH!L3753="1111",TH!M3753="1111")),TH!D3753,""),"")</f>
        <v/>
      </c>
      <c r="B3753" s="36">
        <f t="shared" si="65"/>
        <v>12</v>
      </c>
      <c r="C3753" s="899">
        <f t="shared" si="66"/>
        <v>42340</v>
      </c>
      <c r="D3753" s="900" t="s">
        <v>2013</v>
      </c>
      <c r="E3753" s="900">
        <v>42340</v>
      </c>
      <c r="F3753" s="907" t="s">
        <v>1950</v>
      </c>
      <c r="G3753" s="902" t="s">
        <v>1220</v>
      </c>
      <c r="H3753" s="913" t="s">
        <v>2014</v>
      </c>
      <c r="I3753" s="253">
        <v>100</v>
      </c>
      <c r="J3753" s="253">
        <v>8127.9810138842986</v>
      </c>
      <c r="K3753" s="904">
        <f t="shared" si="67"/>
        <v>812798</v>
      </c>
      <c r="L3753" s="869" t="s">
        <v>167</v>
      </c>
      <c r="M3753" s="869" t="s">
        <v>165</v>
      </c>
      <c r="N3753" s="52" t="str">
        <f>IF(AND('331-CT'!$E$7=TH!H3753,OR(L3753="331",M3753="331")),"331",IF(AND(OR(L3753="131",M3753="131"),H3753='131-CT'!$E$7),"131",""))</f>
        <v/>
      </c>
      <c r="O3753" s="869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799"/>
    </row>
    <row r="3754" spans="1:27" s="210" customFormat="1" ht="15.75" customHeight="1">
      <c r="A3754" s="203" t="str">
        <f>IF(B3754&lt;&gt;"",IF(AND(B3754&gt;=_TM1,B3754&lt;=_TM2,OR(TH!L3754="1111",TH!M3754="1111")),TH!D3754,""),"")</f>
        <v/>
      </c>
      <c r="B3754" s="36">
        <f t="shared" si="65"/>
        <v>12</v>
      </c>
      <c r="C3754" s="899">
        <f t="shared" si="66"/>
        <v>42340</v>
      </c>
      <c r="D3754" s="900" t="s">
        <v>2013</v>
      </c>
      <c r="E3754" s="900">
        <v>42340</v>
      </c>
      <c r="F3754" s="907" t="s">
        <v>1952</v>
      </c>
      <c r="G3754" s="902" t="s">
        <v>1220</v>
      </c>
      <c r="H3754" s="913" t="s">
        <v>2014</v>
      </c>
      <c r="I3754" s="253">
        <v>20</v>
      </c>
      <c r="J3754" s="253">
        <v>9917.6282096019422</v>
      </c>
      <c r="K3754" s="904">
        <f t="shared" si="67"/>
        <v>198353</v>
      </c>
      <c r="L3754" s="869" t="s">
        <v>167</v>
      </c>
      <c r="M3754" s="869" t="s">
        <v>165</v>
      </c>
      <c r="N3754" s="52" t="str">
        <f>IF(AND('331-CT'!$E$7=TH!H3754,OR(L3754="331",M3754="331")),"331",IF(AND(OR(L3754="131",M3754="131"),H3754='131-CT'!$E$7),"131",""))</f>
        <v/>
      </c>
      <c r="O3754" s="869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799"/>
    </row>
    <row r="3755" spans="1:27" s="210" customFormat="1" ht="15.75" customHeight="1">
      <c r="A3755" s="203" t="str">
        <f>IF(B3755&lt;&gt;"",IF(AND(B3755&gt;=_TM1,B3755&lt;=_TM2,OR(TH!L3755="1111",TH!M3755="1111")),TH!D3755,""),"")</f>
        <v/>
      </c>
      <c r="B3755" s="36">
        <f t="shared" si="65"/>
        <v>12</v>
      </c>
      <c r="C3755" s="899">
        <f t="shared" si="66"/>
        <v>42340</v>
      </c>
      <c r="D3755" s="900" t="s">
        <v>2013</v>
      </c>
      <c r="E3755" s="900">
        <v>42340</v>
      </c>
      <c r="F3755" s="907" t="s">
        <v>2011</v>
      </c>
      <c r="G3755" s="902" t="s">
        <v>1220</v>
      </c>
      <c r="H3755" s="913" t="s">
        <v>2014</v>
      </c>
      <c r="I3755" s="253">
        <v>20</v>
      </c>
      <c r="J3755" s="253">
        <v>15584.844329374479</v>
      </c>
      <c r="K3755" s="904">
        <f t="shared" si="67"/>
        <v>311697</v>
      </c>
      <c r="L3755" s="869" t="s">
        <v>167</v>
      </c>
      <c r="M3755" s="869" t="s">
        <v>165</v>
      </c>
      <c r="N3755" s="52" t="str">
        <f>IF(AND('331-CT'!$E$7=TH!H3755,OR(L3755="331",M3755="331")),"331",IF(AND(OR(L3755="131",M3755="131"),H3755='131-CT'!$E$7),"131",""))</f>
        <v/>
      </c>
      <c r="O3755" s="869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799"/>
    </row>
    <row r="3756" spans="1:27" s="210" customFormat="1" ht="15.75" customHeight="1">
      <c r="A3756" s="203" t="str">
        <f>IF(B3756&lt;&gt;"",IF(AND(B3756&gt;=_TM1,B3756&lt;=_TM2,OR(TH!L3756="1111",TH!M3756="1111")),TH!D3756,""),"")</f>
        <v/>
      </c>
      <c r="B3756" s="36">
        <f t="shared" si="65"/>
        <v>12</v>
      </c>
      <c r="C3756" s="899">
        <f t="shared" si="66"/>
        <v>42341</v>
      </c>
      <c r="D3756" s="900" t="s">
        <v>2013</v>
      </c>
      <c r="E3756" s="900">
        <v>42341</v>
      </c>
      <c r="F3756" s="907" t="s">
        <v>424</v>
      </c>
      <c r="G3756" s="902" t="s">
        <v>1221</v>
      </c>
      <c r="H3756" s="913" t="s">
        <v>2014</v>
      </c>
      <c r="I3756" s="253">
        <v>2820</v>
      </c>
      <c r="J3756" s="253">
        <v>7829.7064812646913</v>
      </c>
      <c r="K3756" s="904">
        <f t="shared" si="67"/>
        <v>22079772</v>
      </c>
      <c r="L3756" s="869" t="s">
        <v>167</v>
      </c>
      <c r="M3756" s="869" t="s">
        <v>165</v>
      </c>
      <c r="N3756" s="52" t="str">
        <f>IF(AND('331-CT'!$E$7=TH!H3756,OR(L3756="331",M3756="331")),"331",IF(AND(OR(L3756="131",M3756="131"),H3756='131-CT'!$E$7),"131",""))</f>
        <v/>
      </c>
      <c r="O3756" s="869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799"/>
    </row>
    <row r="3757" spans="1:27" s="210" customFormat="1" ht="15.75" customHeight="1">
      <c r="A3757" s="203" t="str">
        <f>IF(B3757&lt;&gt;"",IF(AND(B3757&gt;=_TM1,B3757&lt;=_TM2,OR(TH!L3757="1111",TH!M3757="1111")),TH!D3757,""),"")</f>
        <v/>
      </c>
      <c r="B3757" s="36">
        <f t="shared" si="65"/>
        <v>12</v>
      </c>
      <c r="C3757" s="899">
        <f t="shared" si="66"/>
        <v>42341</v>
      </c>
      <c r="D3757" s="900" t="s">
        <v>2013</v>
      </c>
      <c r="E3757" s="900">
        <v>42341</v>
      </c>
      <c r="F3757" s="907" t="s">
        <v>602</v>
      </c>
      <c r="G3757" s="902" t="s">
        <v>1221</v>
      </c>
      <c r="H3757" s="913" t="s">
        <v>2014</v>
      </c>
      <c r="I3757" s="253">
        <v>406</v>
      </c>
      <c r="J3757" s="253">
        <v>9395.6477775176299</v>
      </c>
      <c r="K3757" s="904">
        <f t="shared" si="67"/>
        <v>3814633</v>
      </c>
      <c r="L3757" s="869" t="s">
        <v>167</v>
      </c>
      <c r="M3757" s="869" t="s">
        <v>165</v>
      </c>
      <c r="N3757" s="52" t="str">
        <f>IF(AND('331-CT'!$E$7=TH!H3757,OR(L3757="331",M3757="331")),"331",IF(AND(OR(L3757="131",M3757="131"),H3757='131-CT'!$E$7),"131",""))</f>
        <v/>
      </c>
      <c r="O3757" s="869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799"/>
    </row>
    <row r="3758" spans="1:27" s="210" customFormat="1" ht="15.75" customHeight="1">
      <c r="A3758" s="203" t="str">
        <f>IF(B3758&lt;&gt;"",IF(AND(B3758&gt;=_TM1,B3758&lt;=_TM2,OR(TH!L3758="1111",TH!M3758="1111")),TH!D3758,""),"")</f>
        <v/>
      </c>
      <c r="B3758" s="36">
        <f t="shared" si="65"/>
        <v>12</v>
      </c>
      <c r="C3758" s="899">
        <f t="shared" si="66"/>
        <v>42341</v>
      </c>
      <c r="D3758" s="900" t="s">
        <v>2013</v>
      </c>
      <c r="E3758" s="900">
        <v>42341</v>
      </c>
      <c r="F3758" s="907" t="s">
        <v>1948</v>
      </c>
      <c r="G3758" s="902" t="s">
        <v>1222</v>
      </c>
      <c r="H3758" s="913" t="s">
        <v>2014</v>
      </c>
      <c r="I3758" s="253">
        <v>3000</v>
      </c>
      <c r="J3758" s="253">
        <v>9246.5105112078254</v>
      </c>
      <c r="K3758" s="904">
        <f t="shared" si="67"/>
        <v>27739532</v>
      </c>
      <c r="L3758" s="869" t="s">
        <v>167</v>
      </c>
      <c r="M3758" s="869" t="s">
        <v>165</v>
      </c>
      <c r="N3758" s="52" t="str">
        <f>IF(AND('331-CT'!$E$7=TH!H3758,OR(L3758="331",M3758="331")),"331",IF(AND(OR(L3758="131",M3758="131"),H3758='131-CT'!$E$7),"131",""))</f>
        <v/>
      </c>
      <c r="O3758" s="869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799"/>
    </row>
    <row r="3759" spans="1:27" s="210" customFormat="1" ht="15.75" customHeight="1">
      <c r="A3759" s="203" t="str">
        <f>IF(B3759&lt;&gt;"",IF(AND(B3759&gt;=_TM1,B3759&lt;=_TM2,OR(TH!L3759="1111",TH!M3759="1111")),TH!D3759,""),"")</f>
        <v/>
      </c>
      <c r="B3759" s="36">
        <f t="shared" si="65"/>
        <v>12</v>
      </c>
      <c r="C3759" s="899">
        <f t="shared" si="66"/>
        <v>42341</v>
      </c>
      <c r="D3759" s="900" t="s">
        <v>2013</v>
      </c>
      <c r="E3759" s="900">
        <v>42341</v>
      </c>
      <c r="F3759" s="907" t="s">
        <v>1948</v>
      </c>
      <c r="G3759" s="902" t="s">
        <v>1223</v>
      </c>
      <c r="H3759" s="913" t="s">
        <v>2014</v>
      </c>
      <c r="I3759" s="253">
        <v>400</v>
      </c>
      <c r="J3759" s="253">
        <v>9246.5105112078254</v>
      </c>
      <c r="K3759" s="904">
        <f t="shared" si="67"/>
        <v>3698604</v>
      </c>
      <c r="L3759" s="869" t="s">
        <v>167</v>
      </c>
      <c r="M3759" s="869" t="s">
        <v>165</v>
      </c>
      <c r="N3759" s="52" t="str">
        <f>IF(AND('331-CT'!$E$7=TH!H3759,OR(L3759="331",M3759="331")),"331",IF(AND(OR(L3759="131",M3759="131"),H3759='131-CT'!$E$7),"131",""))</f>
        <v/>
      </c>
      <c r="O3759" s="869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799"/>
    </row>
    <row r="3760" spans="1:27" s="210" customFormat="1" ht="15.75" customHeight="1">
      <c r="A3760" s="203" t="str">
        <f>IF(B3760&lt;&gt;"",IF(AND(B3760&gt;=_TM1,B3760&lt;=_TM2,OR(TH!L3760="1111",TH!M3760="1111")),TH!D3760,""),"")</f>
        <v/>
      </c>
      <c r="B3760" s="36">
        <f t="shared" si="65"/>
        <v>12</v>
      </c>
      <c r="C3760" s="899">
        <f t="shared" si="66"/>
        <v>42341</v>
      </c>
      <c r="D3760" s="900" t="s">
        <v>2013</v>
      </c>
      <c r="E3760" s="900">
        <v>42341</v>
      </c>
      <c r="F3760" s="907" t="s">
        <v>1224</v>
      </c>
      <c r="G3760" s="902" t="s">
        <v>1225</v>
      </c>
      <c r="H3760" s="913" t="s">
        <v>2014</v>
      </c>
      <c r="I3760" s="253">
        <v>87</v>
      </c>
      <c r="J3760" s="253">
        <v>20655.511383907804</v>
      </c>
      <c r="K3760" s="904">
        <f t="shared" si="67"/>
        <v>1797029</v>
      </c>
      <c r="L3760" s="869" t="s">
        <v>167</v>
      </c>
      <c r="M3760" s="869" t="s">
        <v>165</v>
      </c>
      <c r="N3760" s="52" t="str">
        <f>IF(AND('331-CT'!$E$7=TH!H3760,OR(L3760="331",M3760="331")),"331",IF(AND(OR(L3760="131",M3760="131"),H3760='131-CT'!$E$7),"131",""))</f>
        <v/>
      </c>
      <c r="O3760" s="869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799"/>
    </row>
    <row r="3761" spans="1:27" s="210" customFormat="1" ht="15.75" customHeight="1">
      <c r="A3761" s="203" t="str">
        <f>IF(B3761&lt;&gt;"",IF(AND(B3761&gt;=_TM1,B3761&lt;=_TM2,OR(TH!L3761="1111",TH!M3761="1111")),TH!D3761,""),"")</f>
        <v/>
      </c>
      <c r="B3761" s="36">
        <f t="shared" si="65"/>
        <v>12</v>
      </c>
      <c r="C3761" s="899">
        <f t="shared" si="66"/>
        <v>42341</v>
      </c>
      <c r="D3761" s="900" t="s">
        <v>2013</v>
      </c>
      <c r="E3761" s="900">
        <v>42341</v>
      </c>
      <c r="F3761" s="907" t="s">
        <v>1227</v>
      </c>
      <c r="G3761" s="902" t="s">
        <v>1225</v>
      </c>
      <c r="H3761" s="913" t="s">
        <v>2014</v>
      </c>
      <c r="I3761" s="253">
        <v>78</v>
      </c>
      <c r="J3761" s="253">
        <v>20730.080017062704</v>
      </c>
      <c r="K3761" s="904">
        <f t="shared" si="67"/>
        <v>1616946</v>
      </c>
      <c r="L3761" s="869" t="s">
        <v>167</v>
      </c>
      <c r="M3761" s="869" t="s">
        <v>165</v>
      </c>
      <c r="N3761" s="52" t="str">
        <f>IF(AND('331-CT'!$E$7=TH!H3761,OR(L3761="331",M3761="331")),"331",IF(AND(OR(L3761="131",M3761="131"),H3761='131-CT'!$E$7),"131",""))</f>
        <v/>
      </c>
      <c r="O3761" s="869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799"/>
    </row>
    <row r="3762" spans="1:27" s="210" customFormat="1" ht="15.75" customHeight="1">
      <c r="A3762" s="203" t="str">
        <f>IF(B3762&lt;&gt;"",IF(AND(B3762&gt;=_TM1,B3762&lt;=_TM2,OR(TH!L3762="1111",TH!M3762="1111")),TH!D3762,""),"")</f>
        <v/>
      </c>
      <c r="B3762" s="36">
        <f t="shared" si="65"/>
        <v>12</v>
      </c>
      <c r="C3762" s="899">
        <f t="shared" si="66"/>
        <v>42341</v>
      </c>
      <c r="D3762" s="900" t="s">
        <v>2013</v>
      </c>
      <c r="E3762" s="900">
        <v>42341</v>
      </c>
      <c r="F3762" s="907" t="s">
        <v>1228</v>
      </c>
      <c r="G3762" s="902" t="s">
        <v>1225</v>
      </c>
      <c r="H3762" s="913" t="s">
        <v>2014</v>
      </c>
      <c r="I3762" s="253">
        <v>104</v>
      </c>
      <c r="J3762" s="253">
        <v>16852.511093007808</v>
      </c>
      <c r="K3762" s="904">
        <f t="shared" si="67"/>
        <v>1752661</v>
      </c>
      <c r="L3762" s="869" t="s">
        <v>167</v>
      </c>
      <c r="M3762" s="869" t="s">
        <v>165</v>
      </c>
      <c r="N3762" s="52" t="str">
        <f>IF(AND('331-CT'!$E$7=TH!H3762,OR(L3762="331",M3762="331")),"331",IF(AND(OR(L3762="131",M3762="131"),H3762='131-CT'!$E$7),"131",""))</f>
        <v/>
      </c>
      <c r="O3762" s="869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799"/>
    </row>
    <row r="3763" spans="1:27" s="210" customFormat="1" ht="15.75" customHeight="1">
      <c r="A3763" s="203" t="str">
        <f>IF(B3763&lt;&gt;"",IF(AND(B3763&gt;=_TM1,B3763&lt;=_TM2,OR(TH!L3763="1111",TH!M3763="1111")),TH!D3763,""),"")</f>
        <v/>
      </c>
      <c r="B3763" s="36">
        <f t="shared" si="65"/>
        <v>12</v>
      </c>
      <c r="C3763" s="899">
        <f t="shared" si="66"/>
        <v>42341</v>
      </c>
      <c r="D3763" s="900" t="s">
        <v>2013</v>
      </c>
      <c r="E3763" s="900">
        <v>42341</v>
      </c>
      <c r="F3763" s="907" t="s">
        <v>1679</v>
      </c>
      <c r="G3763" s="902" t="s">
        <v>1225</v>
      </c>
      <c r="H3763" s="913" t="s">
        <v>2014</v>
      </c>
      <c r="I3763" s="253">
        <v>274</v>
      </c>
      <c r="J3763" s="253">
        <v>3281.01985881568</v>
      </c>
      <c r="K3763" s="904">
        <f t="shared" si="67"/>
        <v>898999</v>
      </c>
      <c r="L3763" s="869" t="s">
        <v>167</v>
      </c>
      <c r="M3763" s="869" t="s">
        <v>165</v>
      </c>
      <c r="N3763" s="52" t="str">
        <f>IF(AND('331-CT'!$E$7=TH!H3763,OR(L3763="331",M3763="331")),"331",IF(AND(OR(L3763="131",M3763="131"),H3763='131-CT'!$E$7),"131",""))</f>
        <v/>
      </c>
      <c r="O3763" s="869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799"/>
    </row>
    <row r="3764" spans="1:27" s="210" customFormat="1" ht="15.75" customHeight="1">
      <c r="A3764" s="203" t="str">
        <f>IF(B3764&lt;&gt;"",IF(AND(B3764&gt;=_TM1,B3764&lt;=_TM2,OR(TH!L3764="1111",TH!M3764="1111")),TH!D3764,""),"")</f>
        <v/>
      </c>
      <c r="B3764" s="36">
        <f t="shared" si="65"/>
        <v>12</v>
      </c>
      <c r="C3764" s="899">
        <f t="shared" si="66"/>
        <v>42341</v>
      </c>
      <c r="D3764" s="900" t="s">
        <v>2013</v>
      </c>
      <c r="E3764" s="900">
        <v>42341</v>
      </c>
      <c r="F3764" s="907" t="s">
        <v>1680</v>
      </c>
      <c r="G3764" s="902" t="s">
        <v>1225</v>
      </c>
      <c r="H3764" s="913" t="s">
        <v>2014</v>
      </c>
      <c r="I3764" s="253">
        <v>156</v>
      </c>
      <c r="J3764" s="253">
        <v>3430.1571251254836</v>
      </c>
      <c r="K3764" s="904">
        <f t="shared" si="67"/>
        <v>535105</v>
      </c>
      <c r="L3764" s="869" t="s">
        <v>167</v>
      </c>
      <c r="M3764" s="869" t="s">
        <v>165</v>
      </c>
      <c r="N3764" s="52" t="str">
        <f>IF(AND('331-CT'!$E$7=TH!H3764,OR(L3764="331",M3764="331")),"331",IF(AND(OR(L3764="131",M3764="131"),H3764='131-CT'!$E$7),"131",""))</f>
        <v/>
      </c>
      <c r="O3764" s="869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799"/>
    </row>
    <row r="3765" spans="1:27" s="210" customFormat="1" ht="15.75" customHeight="1">
      <c r="A3765" s="203" t="str">
        <f>IF(B3765&lt;&gt;"",IF(AND(B3765&gt;=_TM1,B3765&lt;=_TM2,OR(TH!L3765="1111",TH!M3765="1111")),TH!D3765,""),"")</f>
        <v/>
      </c>
      <c r="B3765" s="36">
        <f t="shared" si="65"/>
        <v>12</v>
      </c>
      <c r="C3765" s="899">
        <f t="shared" si="66"/>
        <v>42341</v>
      </c>
      <c r="D3765" s="900" t="s">
        <v>2013</v>
      </c>
      <c r="E3765" s="900">
        <v>42341</v>
      </c>
      <c r="F3765" s="907" t="s">
        <v>1681</v>
      </c>
      <c r="G3765" s="902" t="s">
        <v>1225</v>
      </c>
      <c r="H3765" s="913" t="s">
        <v>2014</v>
      </c>
      <c r="I3765" s="253">
        <v>312</v>
      </c>
      <c r="J3765" s="253">
        <v>1640.50992940784</v>
      </c>
      <c r="K3765" s="904">
        <f t="shared" si="67"/>
        <v>511839</v>
      </c>
      <c r="L3765" s="869" t="s">
        <v>167</v>
      </c>
      <c r="M3765" s="869" t="s">
        <v>165</v>
      </c>
      <c r="N3765" s="52" t="str">
        <f>IF(AND('331-CT'!$E$7=TH!H3765,OR(L3765="331",M3765="331")),"331",IF(AND(OR(L3765="131",M3765="131"),H3765='131-CT'!$E$7),"131",""))</f>
        <v/>
      </c>
      <c r="O3765" s="869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799"/>
    </row>
    <row r="3766" spans="1:27" s="210" customFormat="1" ht="15.75" customHeight="1">
      <c r="A3766" s="203" t="str">
        <f>IF(B3766&lt;&gt;"",IF(AND(B3766&gt;=_TM1,B3766&lt;=_TM2,OR(TH!L3766="1111",TH!M3766="1111")),TH!D3766,""),"")</f>
        <v/>
      </c>
      <c r="B3766" s="36">
        <f t="shared" si="65"/>
        <v>12</v>
      </c>
      <c r="C3766" s="899">
        <f t="shared" si="66"/>
        <v>42341</v>
      </c>
      <c r="D3766" s="900" t="s">
        <v>2013</v>
      </c>
      <c r="E3766" s="900">
        <v>42341</v>
      </c>
      <c r="F3766" s="907" t="s">
        <v>1682</v>
      </c>
      <c r="G3766" s="902" t="s">
        <v>1225</v>
      </c>
      <c r="H3766" s="913" t="s">
        <v>2014</v>
      </c>
      <c r="I3766" s="253">
        <v>435</v>
      </c>
      <c r="J3766" s="253">
        <v>1342.2353967882327</v>
      </c>
      <c r="K3766" s="904">
        <f t="shared" si="67"/>
        <v>583872</v>
      </c>
      <c r="L3766" s="869" t="s">
        <v>167</v>
      </c>
      <c r="M3766" s="869" t="s">
        <v>165</v>
      </c>
      <c r="N3766" s="52" t="str">
        <f>IF(AND('331-CT'!$E$7=TH!H3766,OR(L3766="331",M3766="331")),"331",IF(AND(OR(L3766="131",M3766="131"),H3766='131-CT'!$E$7),"131",""))</f>
        <v/>
      </c>
      <c r="O3766" s="869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799"/>
    </row>
    <row r="3767" spans="1:27" s="210" customFormat="1" ht="15.75" customHeight="1">
      <c r="A3767" s="203" t="str">
        <f>IF(B3767&lt;&gt;"",IF(AND(B3767&gt;=_TM1,B3767&lt;=_TM2,OR(TH!L3767="1111",TH!M3767="1111")),TH!D3767,""),"")</f>
        <v/>
      </c>
      <c r="B3767" s="36">
        <f t="shared" si="65"/>
        <v>12</v>
      </c>
      <c r="C3767" s="899">
        <f t="shared" si="66"/>
        <v>42341</v>
      </c>
      <c r="D3767" s="900" t="s">
        <v>2013</v>
      </c>
      <c r="E3767" s="900">
        <v>42341</v>
      </c>
      <c r="F3767" s="907" t="s">
        <v>1683</v>
      </c>
      <c r="G3767" s="902" t="s">
        <v>1225</v>
      </c>
      <c r="H3767" s="913" t="s">
        <v>2014</v>
      </c>
      <c r="I3767" s="253">
        <v>508</v>
      </c>
      <c r="J3767" s="253">
        <v>2460.76489411176</v>
      </c>
      <c r="K3767" s="904">
        <f t="shared" si="67"/>
        <v>1250069</v>
      </c>
      <c r="L3767" s="869" t="s">
        <v>167</v>
      </c>
      <c r="M3767" s="869" t="s">
        <v>165</v>
      </c>
      <c r="N3767" s="52" t="str">
        <f>IF(AND('331-CT'!$E$7=TH!H3767,OR(L3767="331",M3767="331")),"331",IF(AND(OR(L3767="131",M3767="131"),H3767='131-CT'!$E$7),"131",""))</f>
        <v/>
      </c>
      <c r="O3767" s="869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799"/>
    </row>
    <row r="3768" spans="1:27" s="210" customFormat="1" ht="15.75" customHeight="1">
      <c r="A3768" s="203" t="str">
        <f>IF(B3768&lt;&gt;"",IF(AND(B3768&gt;=_TM1,B3768&lt;=_TM2,OR(TH!L3768="1111",TH!M3768="1111")),TH!D3768,""),"")</f>
        <v/>
      </c>
      <c r="B3768" s="36">
        <f t="shared" si="65"/>
        <v>12</v>
      </c>
      <c r="C3768" s="899">
        <f t="shared" si="66"/>
        <v>42341</v>
      </c>
      <c r="D3768" s="900" t="s">
        <v>2013</v>
      </c>
      <c r="E3768" s="900">
        <v>42341</v>
      </c>
      <c r="F3768" s="907" t="s">
        <v>1315</v>
      </c>
      <c r="G3768" s="902" t="s">
        <v>1225</v>
      </c>
      <c r="H3768" s="913" t="s">
        <v>2014</v>
      </c>
      <c r="I3768" s="253">
        <v>100</v>
      </c>
      <c r="J3768" s="253">
        <v>2162.4903614921527</v>
      </c>
      <c r="K3768" s="904">
        <f t="shared" si="67"/>
        <v>216249</v>
      </c>
      <c r="L3768" s="869" t="s">
        <v>167</v>
      </c>
      <c r="M3768" s="869" t="s">
        <v>165</v>
      </c>
      <c r="N3768" s="52" t="str">
        <f>IF(AND('331-CT'!$E$7=TH!H3768,OR(L3768="331",M3768="331")),"331",IF(AND(OR(L3768="131",M3768="131"),H3768='131-CT'!$E$7),"131",""))</f>
        <v/>
      </c>
      <c r="O3768" s="869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799"/>
    </row>
    <row r="3769" spans="1:27" s="210" customFormat="1" ht="15.75" customHeight="1">
      <c r="A3769" s="203" t="str">
        <f>IF(B3769&lt;&gt;"",IF(AND(B3769&gt;=_TM1,B3769&lt;=_TM2,OR(TH!L3769="1111",TH!M3769="1111")),TH!D3769,""),"")</f>
        <v/>
      </c>
      <c r="B3769" s="36">
        <f t="shared" si="65"/>
        <v>12</v>
      </c>
      <c r="C3769" s="899">
        <f t="shared" si="66"/>
        <v>42341</v>
      </c>
      <c r="D3769" s="900" t="s">
        <v>2013</v>
      </c>
      <c r="E3769" s="900">
        <v>42341</v>
      </c>
      <c r="F3769" s="907" t="s">
        <v>1684</v>
      </c>
      <c r="G3769" s="902" t="s">
        <v>1229</v>
      </c>
      <c r="H3769" s="913" t="s">
        <v>2014</v>
      </c>
      <c r="I3769" s="253">
        <v>78</v>
      </c>
      <c r="J3769" s="253">
        <v>1342.2353967882327</v>
      </c>
      <c r="K3769" s="904">
        <f t="shared" si="67"/>
        <v>104694</v>
      </c>
      <c r="L3769" s="869" t="s">
        <v>167</v>
      </c>
      <c r="M3769" s="869" t="s">
        <v>165</v>
      </c>
      <c r="N3769" s="52" t="str">
        <f>IF(AND('331-CT'!$E$7=TH!H3769,OR(L3769="331",M3769="331")),"331",IF(AND(OR(L3769="131",M3769="131"),H3769='131-CT'!$E$7),"131",""))</f>
        <v/>
      </c>
      <c r="O3769" s="869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799"/>
    </row>
    <row r="3770" spans="1:27" s="210" customFormat="1" ht="15.75" customHeight="1">
      <c r="A3770" s="203" t="str">
        <f>IF(B3770&lt;&gt;"",IF(AND(B3770&gt;=_TM1,B3770&lt;=_TM2,OR(TH!L3770="1111",TH!M3770="1111")),TH!D3770,""),"")</f>
        <v/>
      </c>
      <c r="B3770" s="36">
        <f t="shared" si="65"/>
        <v>12</v>
      </c>
      <c r="C3770" s="899">
        <f t="shared" si="66"/>
        <v>42341</v>
      </c>
      <c r="D3770" s="900" t="s">
        <v>2013</v>
      </c>
      <c r="E3770" s="900">
        <v>42341</v>
      </c>
      <c r="F3770" s="907" t="s">
        <v>1685</v>
      </c>
      <c r="G3770" s="902" t="s">
        <v>1229</v>
      </c>
      <c r="H3770" s="913" t="s">
        <v>2014</v>
      </c>
      <c r="I3770" s="253">
        <v>1360</v>
      </c>
      <c r="J3770" s="253">
        <v>1267.6667636333309</v>
      </c>
      <c r="K3770" s="904">
        <f t="shared" si="67"/>
        <v>1724027</v>
      </c>
      <c r="L3770" s="869" t="s">
        <v>167</v>
      </c>
      <c r="M3770" s="869" t="s">
        <v>165</v>
      </c>
      <c r="N3770" s="52" t="str">
        <f>IF(AND('331-CT'!$E$7=TH!H3770,OR(L3770="331",M3770="331")),"331",IF(AND(OR(L3770="131",M3770="131"),H3770='131-CT'!$E$7),"131",""))</f>
        <v/>
      </c>
      <c r="O3770" s="869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799"/>
    </row>
    <row r="3771" spans="1:27" s="210" customFormat="1" ht="15.75" customHeight="1">
      <c r="A3771" s="203" t="str">
        <f>IF(B3771&lt;&gt;"",IF(AND(B3771&gt;=_TM1,B3771&lt;=_TM2,OR(TH!L3771="1111",TH!M3771="1111")),TH!D3771,""),"")</f>
        <v/>
      </c>
      <c r="B3771" s="36">
        <f t="shared" si="65"/>
        <v>12</v>
      </c>
      <c r="C3771" s="899">
        <f t="shared" si="66"/>
        <v>42341</v>
      </c>
      <c r="D3771" s="900" t="s">
        <v>2013</v>
      </c>
      <c r="E3771" s="900">
        <v>42341</v>
      </c>
      <c r="F3771" s="907" t="s">
        <v>1318</v>
      </c>
      <c r="G3771" s="902" t="s">
        <v>1229</v>
      </c>
      <c r="H3771" s="913" t="s">
        <v>2014</v>
      </c>
      <c r="I3771" s="253">
        <v>100</v>
      </c>
      <c r="J3771" s="253">
        <v>3430.1571251254836</v>
      </c>
      <c r="K3771" s="904">
        <f t="shared" si="67"/>
        <v>343016</v>
      </c>
      <c r="L3771" s="869" t="s">
        <v>167</v>
      </c>
      <c r="M3771" s="869" t="s">
        <v>165</v>
      </c>
      <c r="N3771" s="52" t="str">
        <f>IF(AND('331-CT'!$E$7=TH!H3771,OR(L3771="331",M3771="331")),"331",IF(AND(OR(L3771="131",M3771="131"),H3771='131-CT'!$E$7),"131",""))</f>
        <v/>
      </c>
      <c r="O3771" s="869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799"/>
    </row>
    <row r="3772" spans="1:27" s="210" customFormat="1" ht="15.75" customHeight="1">
      <c r="A3772" s="203" t="str">
        <f>IF(B3772&lt;&gt;"",IF(AND(B3772&gt;=_TM1,B3772&lt;=_TM2,OR(TH!L3772="1111",TH!M3772="1111")),TH!D3772,""),"")</f>
        <v/>
      </c>
      <c r="B3772" s="36">
        <f t="shared" si="65"/>
        <v>12</v>
      </c>
      <c r="C3772" s="899">
        <f t="shared" si="66"/>
        <v>42345</v>
      </c>
      <c r="D3772" s="900" t="s">
        <v>2013</v>
      </c>
      <c r="E3772" s="900">
        <v>42345</v>
      </c>
      <c r="F3772" s="907" t="s">
        <v>1231</v>
      </c>
      <c r="G3772" s="902" t="s">
        <v>1232</v>
      </c>
      <c r="H3772" s="913" t="s">
        <v>2014</v>
      </c>
      <c r="I3772" s="253">
        <v>444</v>
      </c>
      <c r="J3772" s="253">
        <v>2460.76489411176</v>
      </c>
      <c r="K3772" s="904">
        <f t="shared" si="67"/>
        <v>1092580</v>
      </c>
      <c r="L3772" s="869" t="s">
        <v>167</v>
      </c>
      <c r="M3772" s="869" t="s">
        <v>165</v>
      </c>
      <c r="N3772" s="52" t="str">
        <f>IF(AND('331-CT'!$E$7=TH!H3772,OR(L3772="331",M3772="331")),"331",IF(AND(OR(L3772="131",M3772="131"),H3772='131-CT'!$E$7),"131",""))</f>
        <v/>
      </c>
      <c r="O3772" s="869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799"/>
    </row>
    <row r="3773" spans="1:27" s="210" customFormat="1" ht="15.75" customHeight="1">
      <c r="A3773" s="203" t="str">
        <f>IF(B3773&lt;&gt;"",IF(AND(B3773&gt;=_TM1,B3773&lt;=_TM2,OR(TH!L3773="1111",TH!M3773="1111")),TH!D3773,""),"")</f>
        <v/>
      </c>
      <c r="B3773" s="36">
        <f t="shared" si="65"/>
        <v>12</v>
      </c>
      <c r="C3773" s="899">
        <f t="shared" si="66"/>
        <v>42345</v>
      </c>
      <c r="D3773" s="900" t="s">
        <v>2013</v>
      </c>
      <c r="E3773" s="900">
        <v>42345</v>
      </c>
      <c r="F3773" s="907" t="s">
        <v>1777</v>
      </c>
      <c r="G3773" s="902" t="s">
        <v>1233</v>
      </c>
      <c r="H3773" s="913" t="s">
        <v>2014</v>
      </c>
      <c r="I3773" s="253">
        <v>300</v>
      </c>
      <c r="J3773" s="253">
        <v>11781.844038474488</v>
      </c>
      <c r="K3773" s="904">
        <f t="shared" si="67"/>
        <v>3534553</v>
      </c>
      <c r="L3773" s="869" t="s">
        <v>167</v>
      </c>
      <c r="M3773" s="869" t="s">
        <v>165</v>
      </c>
      <c r="N3773" s="52" t="str">
        <f>IF(AND('331-CT'!$E$7=TH!H3773,OR(L3773="331",M3773="331")),"331",IF(AND(OR(L3773="131",M3773="131"),H3773='131-CT'!$E$7),"131",""))</f>
        <v/>
      </c>
      <c r="O3773" s="869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799"/>
    </row>
    <row r="3774" spans="1:27" s="210" customFormat="1" ht="15.75" customHeight="1">
      <c r="A3774" s="203" t="str">
        <f>IF(B3774&lt;&gt;"",IF(AND(B3774&gt;=_TM1,B3774&lt;=_TM2,OR(TH!L3774="1111",TH!M3774="1111")),TH!D3774,""),"")</f>
        <v/>
      </c>
      <c r="B3774" s="36">
        <f t="shared" si="65"/>
        <v>12</v>
      </c>
      <c r="C3774" s="899">
        <f t="shared" si="66"/>
        <v>42345</v>
      </c>
      <c r="D3774" s="900" t="s">
        <v>2013</v>
      </c>
      <c r="E3774" s="900">
        <v>42345</v>
      </c>
      <c r="F3774" s="907" t="s">
        <v>1825</v>
      </c>
      <c r="G3774" s="902" t="s">
        <v>1233</v>
      </c>
      <c r="H3774" s="913" t="s">
        <v>2014</v>
      </c>
      <c r="I3774" s="253">
        <v>30</v>
      </c>
      <c r="J3774" s="253">
        <v>8873.6673454333159</v>
      </c>
      <c r="K3774" s="904">
        <f t="shared" si="67"/>
        <v>266210</v>
      </c>
      <c r="L3774" s="869" t="s">
        <v>167</v>
      </c>
      <c r="M3774" s="869" t="s">
        <v>165</v>
      </c>
      <c r="N3774" s="52" t="str">
        <f>IF(AND('331-CT'!$E$7=TH!H3774,OR(L3774="331",M3774="331")),"331",IF(AND(OR(L3774="131",M3774="131"),H3774='131-CT'!$E$7),"131",""))</f>
        <v/>
      </c>
      <c r="O3774" s="869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799"/>
    </row>
    <row r="3775" spans="1:27" s="210" customFormat="1" ht="15.75" customHeight="1">
      <c r="A3775" s="203" t="str">
        <f>IF(B3775&lt;&gt;"",IF(AND(B3775&gt;=_TM1,B3775&lt;=_TM2,OR(TH!L3775="1111",TH!M3775="1111")),TH!D3775,""),"")</f>
        <v/>
      </c>
      <c r="B3775" s="36">
        <f t="shared" si="65"/>
        <v>12</v>
      </c>
      <c r="C3775" s="899">
        <f t="shared" si="66"/>
        <v>42345</v>
      </c>
      <c r="D3775" s="900" t="s">
        <v>2013</v>
      </c>
      <c r="E3775" s="900">
        <v>42345</v>
      </c>
      <c r="F3775" s="907" t="s">
        <v>692</v>
      </c>
      <c r="G3775" s="902" t="s">
        <v>1233</v>
      </c>
      <c r="H3775" s="913" t="s">
        <v>2014</v>
      </c>
      <c r="I3775" s="253">
        <v>15</v>
      </c>
      <c r="J3775" s="253">
        <v>13347.785334727425</v>
      </c>
      <c r="K3775" s="904">
        <f t="shared" si="67"/>
        <v>200217</v>
      </c>
      <c r="L3775" s="869" t="s">
        <v>167</v>
      </c>
      <c r="M3775" s="869" t="s">
        <v>165</v>
      </c>
      <c r="N3775" s="52" t="str">
        <f>IF(AND('331-CT'!$E$7=TH!H3775,OR(L3775="331",M3775="331")),"331",IF(AND(OR(L3775="131",M3775="131"),H3775='131-CT'!$E$7),"131",""))</f>
        <v/>
      </c>
      <c r="O3775" s="869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799"/>
    </row>
    <row r="3776" spans="1:27" s="210" customFormat="1" ht="15.75" customHeight="1">
      <c r="A3776" s="203" t="str">
        <f>IF(B3776&lt;&gt;"",IF(AND(B3776&gt;=_TM1,B3776&lt;=_TM2,OR(TH!L3776="1111",TH!M3776="1111")),TH!D3776,""),"")</f>
        <v/>
      </c>
      <c r="B3776" s="36">
        <f t="shared" si="65"/>
        <v>12</v>
      </c>
      <c r="C3776" s="899">
        <f t="shared" si="66"/>
        <v>42345</v>
      </c>
      <c r="D3776" s="900" t="s">
        <v>2013</v>
      </c>
      <c r="E3776" s="900">
        <v>42345</v>
      </c>
      <c r="F3776" s="907" t="s">
        <v>1753</v>
      </c>
      <c r="G3776" s="902" t="s">
        <v>1233</v>
      </c>
      <c r="H3776" s="913" t="s">
        <v>2014</v>
      </c>
      <c r="I3776" s="253">
        <v>100</v>
      </c>
      <c r="J3776" s="253">
        <v>13646.059867347034</v>
      </c>
      <c r="K3776" s="904">
        <f t="shared" si="67"/>
        <v>1364606</v>
      </c>
      <c r="L3776" s="869" t="s">
        <v>167</v>
      </c>
      <c r="M3776" s="869" t="s">
        <v>165</v>
      </c>
      <c r="N3776" s="52" t="str">
        <f>IF(AND('331-CT'!$E$7=TH!H3776,OR(L3776="331",M3776="331")),"331",IF(AND(OR(L3776="131",M3776="131"),H3776='131-CT'!$E$7),"131",""))</f>
        <v/>
      </c>
      <c r="O3776" s="869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799"/>
    </row>
    <row r="3777" spans="1:27" s="210" customFormat="1" ht="15.75" customHeight="1">
      <c r="A3777" s="203" t="str">
        <f>IF(B3777&lt;&gt;"",IF(AND(B3777&gt;=_TM1,B3777&lt;=_TM2,OR(TH!L3777="1111",TH!M3777="1111")),TH!D3777,""),"")</f>
        <v/>
      </c>
      <c r="B3777" s="36">
        <f t="shared" si="65"/>
        <v>12</v>
      </c>
      <c r="C3777" s="899">
        <f t="shared" si="66"/>
        <v>42345</v>
      </c>
      <c r="D3777" s="900" t="s">
        <v>2013</v>
      </c>
      <c r="E3777" s="900">
        <v>42345</v>
      </c>
      <c r="F3777" s="907" t="s">
        <v>1747</v>
      </c>
      <c r="G3777" s="902" t="s">
        <v>1233</v>
      </c>
      <c r="H3777" s="913" t="s">
        <v>2014</v>
      </c>
      <c r="I3777" s="253">
        <v>130</v>
      </c>
      <c r="J3777" s="253">
        <v>5294.3729539980286</v>
      </c>
      <c r="K3777" s="904">
        <f t="shared" si="67"/>
        <v>688268</v>
      </c>
      <c r="L3777" s="869" t="s">
        <v>167</v>
      </c>
      <c r="M3777" s="869" t="s">
        <v>165</v>
      </c>
      <c r="N3777" s="52" t="str">
        <f>IF(AND('331-CT'!$E$7=TH!H3777,OR(L3777="331",M3777="331")),"331",IF(AND(OR(L3777="131",M3777="131"),H3777='131-CT'!$E$7),"131",""))</f>
        <v/>
      </c>
      <c r="O3777" s="869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799"/>
    </row>
    <row r="3778" spans="1:27" s="210" customFormat="1" ht="15.75" customHeight="1">
      <c r="A3778" s="203" t="str">
        <f>IF(B3778&lt;&gt;"",IF(AND(B3778&gt;=_TM1,B3778&lt;=_TM2,OR(TH!L3778="1111",TH!M3778="1111")),TH!D3778,""),"")</f>
        <v/>
      </c>
      <c r="B3778" s="36">
        <f t="shared" si="65"/>
        <v>12</v>
      </c>
      <c r="C3778" s="899">
        <f t="shared" si="66"/>
        <v>42345</v>
      </c>
      <c r="D3778" s="900" t="s">
        <v>2013</v>
      </c>
      <c r="E3778" s="900">
        <v>42345</v>
      </c>
      <c r="F3778" s="907" t="s">
        <v>1826</v>
      </c>
      <c r="G3778" s="902" t="s">
        <v>1233</v>
      </c>
      <c r="H3778" s="913" t="s">
        <v>2014</v>
      </c>
      <c r="I3778" s="253">
        <v>70</v>
      </c>
      <c r="J3778" s="253">
        <v>14690.020731515659</v>
      </c>
      <c r="K3778" s="904">
        <f t="shared" si="67"/>
        <v>1028301</v>
      </c>
      <c r="L3778" s="869" t="s">
        <v>167</v>
      </c>
      <c r="M3778" s="869" t="s">
        <v>165</v>
      </c>
      <c r="N3778" s="52" t="str">
        <f>IF(AND('331-CT'!$E$7=TH!H3778,OR(L3778="331",M3778="331")),"331",IF(AND(OR(L3778="131",M3778="131"),H3778='131-CT'!$E$7),"131",""))</f>
        <v/>
      </c>
      <c r="O3778" s="869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799"/>
    </row>
    <row r="3779" spans="1:27" s="210" customFormat="1" ht="15.75" customHeight="1">
      <c r="A3779" s="203" t="str">
        <f>IF(B3779&lt;&gt;"",IF(AND(B3779&gt;=_TM1,B3779&lt;=_TM2,OR(TH!L3779="1111",TH!M3779="1111")),TH!D3779,""),"")</f>
        <v/>
      </c>
      <c r="B3779" s="36">
        <f t="shared" si="65"/>
        <v>12</v>
      </c>
      <c r="C3779" s="899">
        <f t="shared" si="66"/>
        <v>42345</v>
      </c>
      <c r="D3779" s="900" t="s">
        <v>2013</v>
      </c>
      <c r="E3779" s="900">
        <v>42345</v>
      </c>
      <c r="F3779" s="907" t="s">
        <v>1827</v>
      </c>
      <c r="G3779" s="902" t="s">
        <v>1233</v>
      </c>
      <c r="H3779" s="913" t="s">
        <v>2014</v>
      </c>
      <c r="I3779" s="253">
        <v>55</v>
      </c>
      <c r="J3779" s="253">
        <v>9395.6477775176299</v>
      </c>
      <c r="K3779" s="904">
        <f t="shared" si="67"/>
        <v>516761</v>
      </c>
      <c r="L3779" s="869" t="s">
        <v>167</v>
      </c>
      <c r="M3779" s="869" t="s">
        <v>165</v>
      </c>
      <c r="N3779" s="52" t="str">
        <f>IF(AND('331-CT'!$E$7=TH!H3779,OR(L3779="331",M3779="331")),"331",IF(AND(OR(L3779="131",M3779="131"),H3779='131-CT'!$E$7),"131",""))</f>
        <v/>
      </c>
      <c r="O3779" s="869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799"/>
    </row>
    <row r="3780" spans="1:27" s="210" customFormat="1" ht="15.75" customHeight="1">
      <c r="A3780" s="203" t="str">
        <f>IF(B3780&lt;&gt;"",IF(AND(B3780&gt;=_TM1,B3780&lt;=_TM2,OR(TH!L3780="1111",TH!M3780="1111")),TH!D3780,""),"")</f>
        <v/>
      </c>
      <c r="B3780" s="36">
        <f t="shared" si="65"/>
        <v>12</v>
      </c>
      <c r="C3780" s="899">
        <f t="shared" si="66"/>
        <v>42345</v>
      </c>
      <c r="D3780" s="900" t="s">
        <v>2013</v>
      </c>
      <c r="E3780" s="900">
        <v>42345</v>
      </c>
      <c r="F3780" s="907" t="s">
        <v>1828</v>
      </c>
      <c r="G3780" s="902" t="s">
        <v>1233</v>
      </c>
      <c r="H3780" s="913" t="s">
        <v>2014</v>
      </c>
      <c r="I3780" s="253">
        <v>55</v>
      </c>
      <c r="J3780" s="253">
        <v>12378.393103713701</v>
      </c>
      <c r="K3780" s="904">
        <f t="shared" si="67"/>
        <v>680812</v>
      </c>
      <c r="L3780" s="869" t="s">
        <v>167</v>
      </c>
      <c r="M3780" s="869" t="s">
        <v>165</v>
      </c>
      <c r="N3780" s="52" t="str">
        <f>IF(AND('331-CT'!$E$7=TH!H3780,OR(L3780="331",M3780="331")),"331",IF(AND(OR(L3780="131",M3780="131"),H3780='131-CT'!$E$7),"131",""))</f>
        <v/>
      </c>
      <c r="O3780" s="869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799"/>
    </row>
    <row r="3781" spans="1:27" s="210" customFormat="1" ht="15.75" customHeight="1">
      <c r="A3781" s="203" t="str">
        <f>IF(B3781&lt;&gt;"",IF(AND(B3781&gt;=_TM1,B3781&lt;=_TM2,OR(TH!L3781="1111",TH!M3781="1111")),TH!D3781,""),"")</f>
        <v/>
      </c>
      <c r="B3781" s="36">
        <f t="shared" si="65"/>
        <v>12</v>
      </c>
      <c r="C3781" s="899">
        <f t="shared" si="66"/>
        <v>42345</v>
      </c>
      <c r="D3781" s="900" t="s">
        <v>2013</v>
      </c>
      <c r="E3781" s="900">
        <v>42345</v>
      </c>
      <c r="F3781" s="907" t="s">
        <v>1829</v>
      </c>
      <c r="G3781" s="902" t="s">
        <v>1233</v>
      </c>
      <c r="H3781" s="913" t="s">
        <v>2014</v>
      </c>
      <c r="I3781" s="253">
        <v>155</v>
      </c>
      <c r="J3781" s="253">
        <v>8575.3928128137086</v>
      </c>
      <c r="K3781" s="904">
        <f t="shared" si="67"/>
        <v>1329186</v>
      </c>
      <c r="L3781" s="869" t="s">
        <v>167</v>
      </c>
      <c r="M3781" s="869" t="s">
        <v>165</v>
      </c>
      <c r="N3781" s="52" t="str">
        <f>IF(AND('331-CT'!$E$7=TH!H3781,OR(L3781="331",M3781="331")),"331",IF(AND(OR(L3781="131",M3781="131"),H3781='131-CT'!$E$7),"131",""))</f>
        <v/>
      </c>
      <c r="O3781" s="869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799"/>
    </row>
    <row r="3782" spans="1:27" s="210" customFormat="1" ht="15.75" customHeight="1">
      <c r="A3782" s="203" t="str">
        <f>IF(B3782&lt;&gt;"",IF(AND(B3782&gt;=_TM1,B3782&lt;=_TM2,OR(TH!L3782="1111",TH!M3782="1111")),TH!D3782,""),"")</f>
        <v/>
      </c>
      <c r="B3782" s="36">
        <f t="shared" si="65"/>
        <v>12</v>
      </c>
      <c r="C3782" s="899">
        <f t="shared" si="66"/>
        <v>42345</v>
      </c>
      <c r="D3782" s="900" t="s">
        <v>2013</v>
      </c>
      <c r="E3782" s="900">
        <v>42345</v>
      </c>
      <c r="F3782" s="907" t="s">
        <v>747</v>
      </c>
      <c r="G3782" s="902" t="s">
        <v>1233</v>
      </c>
      <c r="H3782" s="913" t="s">
        <v>2014</v>
      </c>
      <c r="I3782" s="253">
        <v>1000</v>
      </c>
      <c r="J3782" s="253">
        <v>3952.1375572097963</v>
      </c>
      <c r="K3782" s="904">
        <f t="shared" si="67"/>
        <v>3952138</v>
      </c>
      <c r="L3782" s="869" t="s">
        <v>167</v>
      </c>
      <c r="M3782" s="869" t="s">
        <v>165</v>
      </c>
      <c r="N3782" s="52" t="str">
        <f>IF(AND('331-CT'!$E$7=TH!H3782,OR(L3782="331",M3782="331")),"331",IF(AND(OR(L3782="131",M3782="131"),H3782='131-CT'!$E$7),"131",""))</f>
        <v/>
      </c>
      <c r="O3782" s="869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799"/>
    </row>
    <row r="3783" spans="1:27" s="210" customFormat="1" ht="15.75" customHeight="1">
      <c r="A3783" s="203" t="str">
        <f>IF(B3783&lt;&gt;"",IF(AND(B3783&gt;=_TM1,B3783&lt;=_TM2,OR(TH!L3783="1111",TH!M3783="1111")),TH!D3783,""),"")</f>
        <v/>
      </c>
      <c r="B3783" s="36">
        <f t="shared" si="65"/>
        <v>12</v>
      </c>
      <c r="C3783" s="899">
        <f t="shared" si="66"/>
        <v>42346</v>
      </c>
      <c r="D3783" s="900" t="s">
        <v>2013</v>
      </c>
      <c r="E3783" s="900">
        <v>42346</v>
      </c>
      <c r="F3783" s="907" t="s">
        <v>398</v>
      </c>
      <c r="G3783" s="902" t="s">
        <v>1234</v>
      </c>
      <c r="H3783" s="913" t="s">
        <v>2014</v>
      </c>
      <c r="I3783" s="253">
        <v>944</v>
      </c>
      <c r="J3783" s="253">
        <v>6114.6279187019491</v>
      </c>
      <c r="K3783" s="904">
        <f t="shared" si="67"/>
        <v>5772209</v>
      </c>
      <c r="L3783" s="869" t="s">
        <v>167</v>
      </c>
      <c r="M3783" s="869" t="s">
        <v>165</v>
      </c>
      <c r="N3783" s="52" t="str">
        <f>IF(AND('331-CT'!$E$7=TH!H3783,OR(L3783="331",M3783="331")),"331",IF(AND(OR(L3783="131",M3783="131"),H3783='131-CT'!$E$7),"131",""))</f>
        <v/>
      </c>
      <c r="O3783" s="869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799"/>
    </row>
    <row r="3784" spans="1:27" s="210" customFormat="1" ht="15.75" customHeight="1">
      <c r="A3784" s="203" t="str">
        <f>IF(B3784&lt;&gt;"",IF(AND(B3784&gt;=_TM1,B3784&lt;=_TM2,OR(TH!L3784="1111",TH!M3784="1111")),TH!D3784,""),"")</f>
        <v/>
      </c>
      <c r="B3784" s="36">
        <f t="shared" si="65"/>
        <v>12</v>
      </c>
      <c r="C3784" s="899">
        <f t="shared" si="66"/>
        <v>42346</v>
      </c>
      <c r="D3784" s="900" t="s">
        <v>2013</v>
      </c>
      <c r="E3784" s="900">
        <v>42346</v>
      </c>
      <c r="F3784" s="907" t="s">
        <v>446</v>
      </c>
      <c r="G3784" s="902" t="s">
        <v>1234</v>
      </c>
      <c r="H3784" s="913" t="s">
        <v>2014</v>
      </c>
      <c r="I3784" s="253">
        <v>640</v>
      </c>
      <c r="J3784" s="253">
        <v>6785.7456170960659</v>
      </c>
      <c r="K3784" s="904">
        <f t="shared" si="67"/>
        <v>4342877</v>
      </c>
      <c r="L3784" s="869" t="s">
        <v>167</v>
      </c>
      <c r="M3784" s="869" t="s">
        <v>165</v>
      </c>
      <c r="N3784" s="52" t="str">
        <f>IF(AND('331-CT'!$E$7=TH!H3784,OR(L3784="331",M3784="331")),"331",IF(AND(OR(L3784="131",M3784="131"),H3784='131-CT'!$E$7),"131",""))</f>
        <v/>
      </c>
      <c r="O3784" s="869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799"/>
    </row>
    <row r="3785" spans="1:27" s="210" customFormat="1" ht="15.75" customHeight="1">
      <c r="A3785" s="203" t="str">
        <f>IF(B3785&lt;&gt;"",IF(AND(B3785&gt;=_TM1,B3785&lt;=_TM2,OR(TH!L3785="1111",TH!M3785="1111")),TH!D3785,""),"")</f>
        <v/>
      </c>
      <c r="B3785" s="36">
        <f t="shared" si="65"/>
        <v>12</v>
      </c>
      <c r="C3785" s="899">
        <f t="shared" si="66"/>
        <v>42346</v>
      </c>
      <c r="D3785" s="900" t="s">
        <v>2013</v>
      </c>
      <c r="E3785" s="900">
        <v>42346</v>
      </c>
      <c r="F3785" s="907" t="s">
        <v>501</v>
      </c>
      <c r="G3785" s="902" t="s">
        <v>1234</v>
      </c>
      <c r="H3785" s="913" t="s">
        <v>2014</v>
      </c>
      <c r="I3785" s="253">
        <v>519</v>
      </c>
      <c r="J3785" s="253">
        <v>11781.844038474488</v>
      </c>
      <c r="K3785" s="904">
        <f t="shared" si="67"/>
        <v>6114777</v>
      </c>
      <c r="L3785" s="869" t="s">
        <v>167</v>
      </c>
      <c r="M3785" s="869" t="s">
        <v>165</v>
      </c>
      <c r="N3785" s="52" t="str">
        <f>IF(AND('331-CT'!$E$7=TH!H3785,OR(L3785="331",M3785="331")),"331",IF(AND(OR(L3785="131",M3785="131"),H3785='131-CT'!$E$7),"131",""))</f>
        <v/>
      </c>
      <c r="O3785" s="869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799"/>
    </row>
    <row r="3786" spans="1:27" s="210" customFormat="1" ht="15.75" customHeight="1">
      <c r="A3786" s="203" t="str">
        <f>IF(B3786&lt;&gt;"",IF(AND(B3786&gt;=_TM1,B3786&lt;=_TM2,OR(TH!L3786="1111",TH!M3786="1111")),TH!D3786,""),"")</f>
        <v/>
      </c>
      <c r="B3786" s="36">
        <f t="shared" si="65"/>
        <v>12</v>
      </c>
      <c r="C3786" s="899">
        <f t="shared" si="66"/>
        <v>42346</v>
      </c>
      <c r="D3786" s="900" t="s">
        <v>2013</v>
      </c>
      <c r="E3786" s="900">
        <v>42346</v>
      </c>
      <c r="F3786" s="907" t="s">
        <v>1235</v>
      </c>
      <c r="G3786" s="902" t="s">
        <v>1236</v>
      </c>
      <c r="H3786" s="913" t="s">
        <v>2014</v>
      </c>
      <c r="I3786" s="253">
        <v>626</v>
      </c>
      <c r="J3786" s="253">
        <v>5741.7847529274404</v>
      </c>
      <c r="K3786" s="904">
        <f t="shared" si="67"/>
        <v>3594357</v>
      </c>
      <c r="L3786" s="869" t="s">
        <v>167</v>
      </c>
      <c r="M3786" s="869" t="s">
        <v>165</v>
      </c>
      <c r="N3786" s="52" t="str">
        <f>IF(AND('331-CT'!$E$7=TH!H3786,OR(L3786="331",M3786="331")),"331",IF(AND(OR(L3786="131",M3786="131"),H3786='131-CT'!$E$7),"131",""))</f>
        <v/>
      </c>
      <c r="O3786" s="869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799"/>
    </row>
    <row r="3787" spans="1:27" s="210" customFormat="1" ht="15.75" customHeight="1">
      <c r="A3787" s="203" t="str">
        <f>IF(B3787&lt;&gt;"",IF(AND(B3787&gt;=_TM1,B3787&lt;=_TM2,OR(TH!L3787="1111",TH!M3787="1111")),TH!D3787,""),"")</f>
        <v/>
      </c>
      <c r="B3787" s="36">
        <f t="shared" si="65"/>
        <v>12</v>
      </c>
      <c r="C3787" s="899">
        <f t="shared" si="66"/>
        <v>42346</v>
      </c>
      <c r="D3787" s="900" t="s">
        <v>2013</v>
      </c>
      <c r="E3787" s="900">
        <v>42346</v>
      </c>
      <c r="F3787" s="907" t="s">
        <v>1238</v>
      </c>
      <c r="G3787" s="902" t="s">
        <v>1236</v>
      </c>
      <c r="H3787" s="913" t="s">
        <v>2014</v>
      </c>
      <c r="I3787" s="253">
        <v>302</v>
      </c>
      <c r="J3787" s="253">
        <v>10737.883174305862</v>
      </c>
      <c r="K3787" s="904">
        <f t="shared" si="67"/>
        <v>3242841</v>
      </c>
      <c r="L3787" s="869" t="s">
        <v>167</v>
      </c>
      <c r="M3787" s="869" t="s">
        <v>165</v>
      </c>
      <c r="N3787" s="52" t="str">
        <f>IF(AND('331-CT'!$E$7=TH!H3787,OR(L3787="331",M3787="331")),"331",IF(AND(OR(L3787="131",M3787="131"),H3787='131-CT'!$E$7),"131",""))</f>
        <v/>
      </c>
      <c r="O3787" s="869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799"/>
    </row>
    <row r="3788" spans="1:27" s="210" customFormat="1" ht="15.75" customHeight="1">
      <c r="A3788" s="203" t="str">
        <f>IF(B3788&lt;&gt;"",IF(AND(B3788&gt;=_TM1,B3788&lt;=_TM2,OR(TH!L3788="1111",TH!M3788="1111")),TH!D3788,""),"")</f>
        <v/>
      </c>
      <c r="B3788" s="36">
        <f t="shared" si="65"/>
        <v>12</v>
      </c>
      <c r="C3788" s="899">
        <f t="shared" si="66"/>
        <v>42346</v>
      </c>
      <c r="D3788" s="900" t="s">
        <v>2013</v>
      </c>
      <c r="E3788" s="900">
        <v>42346</v>
      </c>
      <c r="F3788" s="907" t="s">
        <v>1830</v>
      </c>
      <c r="G3788" s="902" t="s">
        <v>1239</v>
      </c>
      <c r="H3788" s="913" t="s">
        <v>2014</v>
      </c>
      <c r="I3788" s="253">
        <v>200</v>
      </c>
      <c r="J3788" s="253">
        <v>10215.902742221549</v>
      </c>
      <c r="K3788" s="904">
        <f t="shared" si="67"/>
        <v>2043181</v>
      </c>
      <c r="L3788" s="869" t="s">
        <v>167</v>
      </c>
      <c r="M3788" s="869" t="s">
        <v>165</v>
      </c>
      <c r="N3788" s="52" t="str">
        <f>IF(AND('331-CT'!$E$7=TH!H3788,OR(L3788="331",M3788="331")),"331",IF(AND(OR(L3788="131",M3788="131"),H3788='131-CT'!$E$7),"131",""))</f>
        <v/>
      </c>
      <c r="O3788" s="869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799"/>
    </row>
    <row r="3789" spans="1:27" s="210" customFormat="1" ht="15.75" customHeight="1">
      <c r="A3789" s="203" t="str">
        <f>IF(B3789&lt;&gt;"",IF(AND(B3789&gt;=_TM1,B3789&lt;=_TM2,OR(TH!L3789="1111",TH!M3789="1111")),TH!D3789,""),"")</f>
        <v/>
      </c>
      <c r="B3789" s="36">
        <f t="shared" si="65"/>
        <v>12</v>
      </c>
      <c r="C3789" s="899">
        <f t="shared" si="66"/>
        <v>42346</v>
      </c>
      <c r="D3789" s="900" t="s">
        <v>2013</v>
      </c>
      <c r="E3789" s="900">
        <v>42346</v>
      </c>
      <c r="F3789" s="907" t="s">
        <v>1831</v>
      </c>
      <c r="G3789" s="902" t="s">
        <v>1239</v>
      </c>
      <c r="H3789" s="913" t="s">
        <v>2014</v>
      </c>
      <c r="I3789" s="253">
        <v>230</v>
      </c>
      <c r="J3789" s="253">
        <v>10141.334109066647</v>
      </c>
      <c r="K3789" s="904">
        <f t="shared" si="67"/>
        <v>2332507</v>
      </c>
      <c r="L3789" s="869" t="s">
        <v>167</v>
      </c>
      <c r="M3789" s="869" t="s">
        <v>165</v>
      </c>
      <c r="N3789" s="52" t="str">
        <f>IF(AND('331-CT'!$E$7=TH!H3789,OR(L3789="331",M3789="331")),"331",IF(AND(OR(L3789="131",M3789="131"),H3789='131-CT'!$E$7),"131",""))</f>
        <v/>
      </c>
      <c r="O3789" s="869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799"/>
    </row>
    <row r="3790" spans="1:27" s="210" customFormat="1" ht="15.75" customHeight="1">
      <c r="A3790" s="203" t="str">
        <f>IF(B3790&lt;&gt;"",IF(AND(B3790&gt;=_TM1,B3790&lt;=_TM2,OR(TH!L3790="1111",TH!M3790="1111")),TH!D3790,""),"")</f>
        <v/>
      </c>
      <c r="B3790" s="36">
        <f t="shared" si="65"/>
        <v>12</v>
      </c>
      <c r="C3790" s="899">
        <f t="shared" si="66"/>
        <v>42346</v>
      </c>
      <c r="D3790" s="900" t="s">
        <v>2013</v>
      </c>
      <c r="E3790" s="900">
        <v>42346</v>
      </c>
      <c r="F3790" s="907" t="s">
        <v>1832</v>
      </c>
      <c r="G3790" s="902" t="s">
        <v>1239</v>
      </c>
      <c r="H3790" s="913" t="s">
        <v>2014</v>
      </c>
      <c r="I3790" s="253">
        <v>140</v>
      </c>
      <c r="J3790" s="253">
        <v>9768.4909432921377</v>
      </c>
      <c r="K3790" s="904">
        <f t="shared" si="67"/>
        <v>1367589</v>
      </c>
      <c r="L3790" s="869" t="s">
        <v>167</v>
      </c>
      <c r="M3790" s="869" t="s">
        <v>165</v>
      </c>
      <c r="N3790" s="52" t="str">
        <f>IF(AND('331-CT'!$E$7=TH!H3790,OR(L3790="331",M3790="331")),"331",IF(AND(OR(L3790="131",M3790="131"),H3790='131-CT'!$E$7),"131",""))</f>
        <v/>
      </c>
      <c r="O3790" s="869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799"/>
    </row>
    <row r="3791" spans="1:27" s="210" customFormat="1" ht="15.75" customHeight="1">
      <c r="A3791" s="203" t="str">
        <f>IF(B3791&lt;&gt;"",IF(AND(B3791&gt;=_TM1,B3791&lt;=_TM2,OR(TH!L3791="1111",TH!M3791="1111")),TH!D3791,""),"")</f>
        <v/>
      </c>
      <c r="B3791" s="36">
        <f t="shared" si="65"/>
        <v>12</v>
      </c>
      <c r="C3791" s="899">
        <f t="shared" si="66"/>
        <v>42346</v>
      </c>
      <c r="D3791" s="900" t="s">
        <v>2013</v>
      </c>
      <c r="E3791" s="900">
        <v>42346</v>
      </c>
      <c r="F3791" s="907" t="s">
        <v>1833</v>
      </c>
      <c r="G3791" s="902" t="s">
        <v>1239</v>
      </c>
      <c r="H3791" s="913" t="s">
        <v>2014</v>
      </c>
      <c r="I3791" s="253">
        <v>125</v>
      </c>
      <c r="J3791" s="253">
        <v>7307.7260491803781</v>
      </c>
      <c r="K3791" s="904">
        <f t="shared" si="67"/>
        <v>913466</v>
      </c>
      <c r="L3791" s="869" t="s">
        <v>167</v>
      </c>
      <c r="M3791" s="869" t="s">
        <v>165</v>
      </c>
      <c r="N3791" s="52" t="str">
        <f>IF(AND('331-CT'!$E$7=TH!H3791,OR(L3791="331",M3791="331")),"331",IF(AND(OR(L3791="131",M3791="131"),H3791='131-CT'!$E$7),"131",""))</f>
        <v/>
      </c>
      <c r="O3791" s="869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799"/>
    </row>
    <row r="3792" spans="1:27" s="210" customFormat="1" ht="15.75" customHeight="1">
      <c r="A3792" s="203" t="str">
        <f>IF(B3792&lt;&gt;"",IF(AND(B3792&gt;=_TM1,B3792&lt;=_TM2,OR(TH!L3792="1111",TH!M3792="1111")),TH!D3792,""),"")</f>
        <v/>
      </c>
      <c r="B3792" s="36">
        <f t="shared" si="65"/>
        <v>12</v>
      </c>
      <c r="C3792" s="899">
        <f t="shared" si="66"/>
        <v>42346</v>
      </c>
      <c r="D3792" s="900" t="s">
        <v>2013</v>
      </c>
      <c r="E3792" s="900">
        <v>42346</v>
      </c>
      <c r="F3792" s="907" t="s">
        <v>1834</v>
      </c>
      <c r="G3792" s="902" t="s">
        <v>1239</v>
      </c>
      <c r="H3792" s="913" t="s">
        <v>2014</v>
      </c>
      <c r="I3792" s="253">
        <v>55</v>
      </c>
      <c r="J3792" s="253">
        <v>14913.726630980364</v>
      </c>
      <c r="K3792" s="904">
        <f t="shared" si="67"/>
        <v>820255</v>
      </c>
      <c r="L3792" s="869" t="s">
        <v>167</v>
      </c>
      <c r="M3792" s="869" t="s">
        <v>165</v>
      </c>
      <c r="N3792" s="52" t="str">
        <f>IF(AND('331-CT'!$E$7=TH!H3792,OR(L3792="331",M3792="331")),"331",IF(AND(OR(L3792="131",M3792="131"),H3792='131-CT'!$E$7),"131",""))</f>
        <v/>
      </c>
      <c r="O3792" s="869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799"/>
    </row>
    <row r="3793" spans="1:27" s="210" customFormat="1" ht="15.75" customHeight="1">
      <c r="A3793" s="203" t="str">
        <f>IF(B3793&lt;&gt;"",IF(AND(B3793&gt;=_TM1,B3793&lt;=_TM2,OR(TH!L3793="1111",TH!M3793="1111")),TH!D3793,""),"")</f>
        <v/>
      </c>
      <c r="B3793" s="36">
        <f t="shared" si="65"/>
        <v>12</v>
      </c>
      <c r="C3793" s="899">
        <f t="shared" si="66"/>
        <v>42346</v>
      </c>
      <c r="D3793" s="900" t="s">
        <v>2013</v>
      </c>
      <c r="E3793" s="900">
        <v>42346</v>
      </c>
      <c r="F3793" s="907" t="s">
        <v>1741</v>
      </c>
      <c r="G3793" s="902" t="s">
        <v>1239</v>
      </c>
      <c r="H3793" s="913" t="s">
        <v>2014</v>
      </c>
      <c r="I3793" s="253">
        <v>20</v>
      </c>
      <c r="J3793" s="253">
        <v>8277.1182801941031</v>
      </c>
      <c r="K3793" s="904">
        <f t="shared" si="67"/>
        <v>165542</v>
      </c>
      <c r="L3793" s="869" t="s">
        <v>167</v>
      </c>
      <c r="M3793" s="869" t="s">
        <v>165</v>
      </c>
      <c r="N3793" s="52" t="str">
        <f>IF(AND('331-CT'!$E$7=TH!H3793,OR(L3793="331",M3793="331")),"331",IF(AND(OR(L3793="131",M3793="131"),H3793='131-CT'!$E$7),"131",""))</f>
        <v/>
      </c>
      <c r="O3793" s="869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799"/>
    </row>
    <row r="3794" spans="1:27" s="210" customFormat="1" ht="15.75" customHeight="1">
      <c r="A3794" s="203" t="str">
        <f>IF(B3794&lt;&gt;"",IF(AND(B3794&gt;=_TM1,B3794&lt;=_TM2,OR(TH!L3794="1111",TH!M3794="1111")),TH!D3794,""),"")</f>
        <v/>
      </c>
      <c r="B3794" s="36">
        <f t="shared" si="65"/>
        <v>12</v>
      </c>
      <c r="C3794" s="899">
        <f t="shared" si="66"/>
        <v>42346</v>
      </c>
      <c r="D3794" s="900" t="s">
        <v>2013</v>
      </c>
      <c r="E3794" s="900">
        <v>42346</v>
      </c>
      <c r="F3794" s="907" t="s">
        <v>1835</v>
      </c>
      <c r="G3794" s="902" t="s">
        <v>1239</v>
      </c>
      <c r="H3794" s="913" t="s">
        <v>2014</v>
      </c>
      <c r="I3794" s="253">
        <v>234</v>
      </c>
      <c r="J3794" s="253">
        <v>11483.569505854881</v>
      </c>
      <c r="K3794" s="904">
        <f t="shared" si="67"/>
        <v>2687155</v>
      </c>
      <c r="L3794" s="869" t="s">
        <v>167</v>
      </c>
      <c r="M3794" s="869" t="s">
        <v>165</v>
      </c>
      <c r="N3794" s="52" t="str">
        <f>IF(AND('331-CT'!$E$7=TH!H3794,OR(L3794="331",M3794="331")),"331",IF(AND(OR(L3794="131",M3794="131"),H3794='131-CT'!$E$7),"131",""))</f>
        <v/>
      </c>
      <c r="O3794" s="869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799"/>
    </row>
    <row r="3795" spans="1:27" s="210" customFormat="1" ht="15.75" customHeight="1">
      <c r="A3795" s="203" t="str">
        <f>IF(B3795&lt;&gt;"",IF(AND(B3795&gt;=_TM1,B3795&lt;=_TM2,OR(TH!L3795="1111",TH!M3795="1111")),TH!D3795,""),"")</f>
        <v/>
      </c>
      <c r="B3795" s="36">
        <f t="shared" si="65"/>
        <v>12</v>
      </c>
      <c r="C3795" s="899">
        <f t="shared" si="66"/>
        <v>42346</v>
      </c>
      <c r="D3795" s="900" t="s">
        <v>2013</v>
      </c>
      <c r="E3795" s="900">
        <v>42346</v>
      </c>
      <c r="F3795" s="907" t="s">
        <v>1836</v>
      </c>
      <c r="G3795" s="902" t="s">
        <v>1239</v>
      </c>
      <c r="H3795" s="913" t="s">
        <v>2014</v>
      </c>
      <c r="I3795" s="253">
        <v>75</v>
      </c>
      <c r="J3795" s="253">
        <v>15137.432530445067</v>
      </c>
      <c r="K3795" s="904">
        <f t="shared" si="67"/>
        <v>1135307</v>
      </c>
      <c r="L3795" s="869" t="s">
        <v>167</v>
      </c>
      <c r="M3795" s="869" t="s">
        <v>165</v>
      </c>
      <c r="N3795" s="52" t="str">
        <f>IF(AND('331-CT'!$E$7=TH!H3795,OR(L3795="331",M3795="331")),"331",IF(AND(OR(L3795="131",M3795="131"),H3795='131-CT'!$E$7),"131",""))</f>
        <v/>
      </c>
      <c r="O3795" s="869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799"/>
    </row>
    <row r="3796" spans="1:27" s="210" customFormat="1" ht="15.75" customHeight="1">
      <c r="A3796" s="203" t="str">
        <f>IF(B3796&lt;&gt;"",IF(AND(B3796&gt;=_TM1,B3796&lt;=_TM2,OR(TH!L3796="1111",TH!M3796="1111")),TH!D3796,""),"")</f>
        <v/>
      </c>
      <c r="B3796" s="36">
        <f t="shared" si="65"/>
        <v>12</v>
      </c>
      <c r="C3796" s="899">
        <f t="shared" si="66"/>
        <v>42347</v>
      </c>
      <c r="D3796" s="900" t="s">
        <v>2013</v>
      </c>
      <c r="E3796" s="900">
        <v>42347</v>
      </c>
      <c r="F3796" s="907" t="s">
        <v>1240</v>
      </c>
      <c r="G3796" s="902" t="s">
        <v>1241</v>
      </c>
      <c r="H3796" s="913" t="s">
        <v>2014</v>
      </c>
      <c r="I3796" s="253">
        <v>344</v>
      </c>
      <c r="J3796" s="253">
        <v>63383.338181666542</v>
      </c>
      <c r="K3796" s="904">
        <f t="shared" si="67"/>
        <v>21803868</v>
      </c>
      <c r="L3796" s="869" t="s">
        <v>167</v>
      </c>
      <c r="M3796" s="869" t="s">
        <v>165</v>
      </c>
      <c r="N3796" s="52" t="str">
        <f>IF(AND('331-CT'!$E$7=TH!H3796,OR(L3796="331",M3796="331")),"331",IF(AND(OR(L3796="131",M3796="131"),H3796='131-CT'!$E$7),"131",""))</f>
        <v/>
      </c>
      <c r="O3796" s="869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799"/>
    </row>
    <row r="3797" spans="1:27" s="210" customFormat="1" ht="15.75" customHeight="1">
      <c r="A3797" s="203" t="str">
        <f>IF(B3797&lt;&gt;"",IF(AND(B3797&gt;=_TM1,B3797&lt;=_TM2,OR(TH!L3797="1111",TH!M3797="1111")),TH!D3797,""),"")</f>
        <v/>
      </c>
      <c r="B3797" s="36">
        <f t="shared" si="65"/>
        <v>12</v>
      </c>
      <c r="C3797" s="899">
        <f t="shared" si="66"/>
        <v>42347</v>
      </c>
      <c r="D3797" s="900" t="s">
        <v>2013</v>
      </c>
      <c r="E3797" s="900">
        <v>42347</v>
      </c>
      <c r="F3797" s="907" t="s">
        <v>1837</v>
      </c>
      <c r="G3797" s="902" t="s">
        <v>1242</v>
      </c>
      <c r="H3797" s="913" t="s">
        <v>2014</v>
      </c>
      <c r="I3797" s="253">
        <v>1500</v>
      </c>
      <c r="J3797" s="253">
        <v>12974.942168952915</v>
      </c>
      <c r="K3797" s="904">
        <f t="shared" si="67"/>
        <v>19462413</v>
      </c>
      <c r="L3797" s="869" t="s">
        <v>167</v>
      </c>
      <c r="M3797" s="869" t="s">
        <v>165</v>
      </c>
      <c r="N3797" s="52" t="str">
        <f>IF(AND('331-CT'!$E$7=TH!H3797,OR(L3797="331",M3797="331")),"331",IF(AND(OR(L3797="131",M3797="131"),H3797='131-CT'!$E$7),"131",""))</f>
        <v/>
      </c>
      <c r="O3797" s="869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799"/>
    </row>
    <row r="3798" spans="1:27" s="210" customFormat="1" ht="15.75" customHeight="1">
      <c r="A3798" s="203" t="str">
        <f>IF(B3798&lt;&gt;"",IF(AND(B3798&gt;=_TM1,B3798&lt;=_TM2,OR(TH!L3798="1111",TH!M3798="1111")),TH!D3798,""),"")</f>
        <v/>
      </c>
      <c r="B3798" s="36">
        <f t="shared" si="65"/>
        <v>12</v>
      </c>
      <c r="C3798" s="899">
        <f t="shared" si="66"/>
        <v>42347</v>
      </c>
      <c r="D3798" s="900" t="s">
        <v>2013</v>
      </c>
      <c r="E3798" s="900">
        <v>42347</v>
      </c>
      <c r="F3798" s="907" t="s">
        <v>1838</v>
      </c>
      <c r="G3798" s="902" t="s">
        <v>1242</v>
      </c>
      <c r="H3798" s="913" t="s">
        <v>2014</v>
      </c>
      <c r="I3798" s="253">
        <v>100</v>
      </c>
      <c r="J3798" s="253">
        <v>7755.137848109789</v>
      </c>
      <c r="K3798" s="904">
        <f t="shared" si="67"/>
        <v>775514</v>
      </c>
      <c r="L3798" s="869" t="s">
        <v>167</v>
      </c>
      <c r="M3798" s="869" t="s">
        <v>165</v>
      </c>
      <c r="N3798" s="52" t="str">
        <f>IF(AND('331-CT'!$E$7=TH!H3798,OR(L3798="331",M3798="331")),"331",IF(AND(OR(L3798="131",M3798="131"),H3798='131-CT'!$E$7),"131",""))</f>
        <v/>
      </c>
      <c r="O3798" s="869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799"/>
    </row>
    <row r="3799" spans="1:27" s="210" customFormat="1" ht="15.75" customHeight="1">
      <c r="A3799" s="203" t="str">
        <f>IF(B3799&lt;&gt;"",IF(AND(B3799&gt;=_TM1,B3799&lt;=_TM2,OR(TH!L3799="1111",TH!M3799="1111")),TH!D3799,""),"")</f>
        <v/>
      </c>
      <c r="B3799" s="36">
        <f t="shared" si="65"/>
        <v>12</v>
      </c>
      <c r="C3799" s="899">
        <f t="shared" si="66"/>
        <v>42348</v>
      </c>
      <c r="D3799" s="900" t="s">
        <v>2013</v>
      </c>
      <c r="E3799" s="900">
        <v>42348</v>
      </c>
      <c r="F3799" s="907" t="s">
        <v>1243</v>
      </c>
      <c r="G3799" s="902" t="s">
        <v>1244</v>
      </c>
      <c r="H3799" s="913" t="s">
        <v>2014</v>
      </c>
      <c r="I3799" s="253">
        <v>201</v>
      </c>
      <c r="J3799" s="253">
        <v>7531.431948645084</v>
      </c>
      <c r="K3799" s="904">
        <f t="shared" si="67"/>
        <v>1513818</v>
      </c>
      <c r="L3799" s="869" t="s">
        <v>167</v>
      </c>
      <c r="M3799" s="869" t="s">
        <v>165</v>
      </c>
      <c r="N3799" s="52" t="str">
        <f>IF(AND('331-CT'!$E$7=TH!H3799,OR(L3799="331",M3799="331")),"331",IF(AND(OR(L3799="131",M3799="131"),H3799='131-CT'!$E$7),"131",""))</f>
        <v/>
      </c>
      <c r="O3799" s="869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799"/>
    </row>
    <row r="3800" spans="1:27" s="210" customFormat="1" ht="15.75" customHeight="1">
      <c r="A3800" s="203" t="str">
        <f>IF(B3800&lt;&gt;"",IF(AND(B3800&gt;=_TM1,B3800&lt;=_TM2,OR(TH!L3800="1111",TH!M3800="1111")),TH!D3800,""),"")</f>
        <v/>
      </c>
      <c r="B3800" s="36">
        <f t="shared" si="65"/>
        <v>12</v>
      </c>
      <c r="C3800" s="899">
        <f t="shared" si="66"/>
        <v>42348</v>
      </c>
      <c r="D3800" s="900" t="s">
        <v>2013</v>
      </c>
      <c r="E3800" s="900">
        <v>42348</v>
      </c>
      <c r="F3800" s="907" t="s">
        <v>1246</v>
      </c>
      <c r="G3800" s="902" t="s">
        <v>1244</v>
      </c>
      <c r="H3800" s="913" t="s">
        <v>2014</v>
      </c>
      <c r="I3800" s="253">
        <v>200</v>
      </c>
      <c r="J3800" s="253">
        <v>7755.137848109789</v>
      </c>
      <c r="K3800" s="904">
        <f t="shared" si="67"/>
        <v>1551028</v>
      </c>
      <c r="L3800" s="869" t="s">
        <v>167</v>
      </c>
      <c r="M3800" s="869" t="s">
        <v>165</v>
      </c>
      <c r="N3800" s="52" t="str">
        <f>IF(AND('331-CT'!$E$7=TH!H3800,OR(L3800="331",M3800="331")),"331",IF(AND(OR(L3800="131",M3800="131"),H3800='131-CT'!$E$7),"131",""))</f>
        <v/>
      </c>
      <c r="O3800" s="869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799"/>
    </row>
    <row r="3801" spans="1:27" s="210" customFormat="1" ht="15.75" customHeight="1">
      <c r="A3801" s="203" t="str">
        <f>IF(B3801&lt;&gt;"",IF(AND(B3801&gt;=_TM1,B3801&lt;=_TM2,OR(TH!L3801="1111",TH!M3801="1111")),TH!D3801,""),"")</f>
        <v/>
      </c>
      <c r="B3801" s="36">
        <f t="shared" si="65"/>
        <v>12</v>
      </c>
      <c r="C3801" s="899">
        <f t="shared" si="66"/>
        <v>42348</v>
      </c>
      <c r="D3801" s="900" t="s">
        <v>2013</v>
      </c>
      <c r="E3801" s="900">
        <v>42348</v>
      </c>
      <c r="F3801" s="907" t="s">
        <v>1247</v>
      </c>
      <c r="G3801" s="902" t="s">
        <v>1244</v>
      </c>
      <c r="H3801" s="913" t="s">
        <v>2014</v>
      </c>
      <c r="I3801" s="253">
        <v>216</v>
      </c>
      <c r="J3801" s="253">
        <v>9097.3732448980209</v>
      </c>
      <c r="K3801" s="904">
        <f t="shared" si="67"/>
        <v>1965033</v>
      </c>
      <c r="L3801" s="869" t="s">
        <v>167</v>
      </c>
      <c r="M3801" s="869" t="s">
        <v>165</v>
      </c>
      <c r="N3801" s="52" t="str">
        <f>IF(AND('331-CT'!$E$7=TH!H3801,OR(L3801="331",M3801="331")),"331",IF(AND(OR(L3801="131",M3801="131"),H3801='131-CT'!$E$7),"131",""))</f>
        <v/>
      </c>
      <c r="O3801" s="869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799"/>
    </row>
    <row r="3802" spans="1:27" s="210" customFormat="1" ht="15.75" customHeight="1">
      <c r="A3802" s="203" t="str">
        <f>IF(B3802&lt;&gt;"",IF(AND(B3802&gt;=_TM1,B3802&lt;=_TM2,OR(TH!L3802="1111",TH!M3802="1111")),TH!D3802,""),"")</f>
        <v/>
      </c>
      <c r="B3802" s="36">
        <f t="shared" si="65"/>
        <v>12</v>
      </c>
      <c r="C3802" s="899">
        <f t="shared" si="66"/>
        <v>42348</v>
      </c>
      <c r="D3802" s="900" t="s">
        <v>2013</v>
      </c>
      <c r="E3802" s="900">
        <v>42348</v>
      </c>
      <c r="F3802" s="907" t="s">
        <v>1248</v>
      </c>
      <c r="G3802" s="902" t="s">
        <v>1244</v>
      </c>
      <c r="H3802" s="913" t="s">
        <v>2014</v>
      </c>
      <c r="I3802" s="253">
        <v>200</v>
      </c>
      <c r="J3802" s="253">
        <v>7978.843747574495</v>
      </c>
      <c r="K3802" s="904">
        <f t="shared" si="67"/>
        <v>1595769</v>
      </c>
      <c r="L3802" s="869" t="s">
        <v>167</v>
      </c>
      <c r="M3802" s="869" t="s">
        <v>165</v>
      </c>
      <c r="N3802" s="52" t="str">
        <f>IF(AND('331-CT'!$E$7=TH!H3802,OR(L3802="331",M3802="331")),"331",IF(AND(OR(L3802="131",M3802="131"),H3802='131-CT'!$E$7),"131",""))</f>
        <v/>
      </c>
      <c r="O3802" s="869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799"/>
    </row>
    <row r="3803" spans="1:27" s="210" customFormat="1" ht="15.75" customHeight="1">
      <c r="A3803" s="203" t="str">
        <f>IF(B3803&lt;&gt;"",IF(AND(B3803&gt;=_TM1,B3803&lt;=_TM2,OR(TH!L3803="1111",TH!M3803="1111")),TH!D3803,""),"")</f>
        <v/>
      </c>
      <c r="B3803" s="36">
        <f t="shared" si="65"/>
        <v>12</v>
      </c>
      <c r="C3803" s="899">
        <f t="shared" si="66"/>
        <v>42348</v>
      </c>
      <c r="D3803" s="900" t="s">
        <v>2013</v>
      </c>
      <c r="E3803" s="900">
        <v>42348</v>
      </c>
      <c r="F3803" s="907" t="s">
        <v>1249</v>
      </c>
      <c r="G3803" s="902" t="s">
        <v>1244</v>
      </c>
      <c r="H3803" s="913" t="s">
        <v>2014</v>
      </c>
      <c r="I3803" s="253">
        <v>206</v>
      </c>
      <c r="J3803" s="253">
        <v>14391.746198896049</v>
      </c>
      <c r="K3803" s="904">
        <f t="shared" si="67"/>
        <v>2964700</v>
      </c>
      <c r="L3803" s="869" t="s">
        <v>167</v>
      </c>
      <c r="M3803" s="869" t="s">
        <v>165</v>
      </c>
      <c r="N3803" s="52" t="str">
        <f>IF(AND('331-CT'!$E$7=TH!H3803,OR(L3803="331",M3803="331")),"331",IF(AND(OR(L3803="131",M3803="131"),H3803='131-CT'!$E$7),"131",""))</f>
        <v/>
      </c>
      <c r="O3803" s="869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799"/>
    </row>
    <row r="3804" spans="1:27" s="210" customFormat="1" ht="15.75" customHeight="1">
      <c r="A3804" s="203" t="str">
        <f>IF(B3804&lt;&gt;"",IF(AND(B3804&gt;=_TM1,B3804&lt;=_TM2,OR(TH!L3804="1111",TH!M3804="1111")),TH!D3804,""),"")</f>
        <v/>
      </c>
      <c r="B3804" s="36">
        <f t="shared" si="65"/>
        <v>12</v>
      </c>
      <c r="C3804" s="899">
        <f t="shared" si="66"/>
        <v>42348</v>
      </c>
      <c r="D3804" s="900" t="s">
        <v>2013</v>
      </c>
      <c r="E3804" s="900">
        <v>42348</v>
      </c>
      <c r="F3804" s="907" t="s">
        <v>1250</v>
      </c>
      <c r="G3804" s="902" t="s">
        <v>1244</v>
      </c>
      <c r="H3804" s="913" t="s">
        <v>2014</v>
      </c>
      <c r="I3804" s="253">
        <v>197</v>
      </c>
      <c r="J3804" s="253">
        <v>10365.040008531352</v>
      </c>
      <c r="K3804" s="904">
        <f t="shared" si="67"/>
        <v>2041913</v>
      </c>
      <c r="L3804" s="869" t="s">
        <v>167</v>
      </c>
      <c r="M3804" s="869" t="s">
        <v>165</v>
      </c>
      <c r="N3804" s="52" t="str">
        <f>IF(AND('331-CT'!$E$7=TH!H3804,OR(L3804="331",M3804="331")),"331",IF(AND(OR(L3804="131",M3804="131"),H3804='131-CT'!$E$7),"131",""))</f>
        <v/>
      </c>
      <c r="O3804" s="869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799"/>
    </row>
    <row r="3805" spans="1:27" s="210" customFormat="1" ht="15.75" customHeight="1">
      <c r="A3805" s="203" t="str">
        <f>IF(B3805&lt;&gt;"",IF(AND(B3805&gt;=_TM1,B3805&lt;=_TM2,OR(TH!L3805="1111",TH!M3805="1111")),TH!D3805,""),"")</f>
        <v/>
      </c>
      <c r="B3805" s="36">
        <f t="shared" si="65"/>
        <v>12</v>
      </c>
      <c r="C3805" s="899">
        <f t="shared" si="66"/>
        <v>42348</v>
      </c>
      <c r="D3805" s="900" t="s">
        <v>2013</v>
      </c>
      <c r="E3805" s="900">
        <v>42348</v>
      </c>
      <c r="F3805" s="907" t="s">
        <v>1251</v>
      </c>
      <c r="G3805" s="902" t="s">
        <v>1252</v>
      </c>
      <c r="H3805" s="913" t="s">
        <v>2014</v>
      </c>
      <c r="I3805" s="253">
        <v>444</v>
      </c>
      <c r="J3805" s="253">
        <v>7755.137848109789</v>
      </c>
      <c r="K3805" s="904">
        <f t="shared" si="67"/>
        <v>3443281</v>
      </c>
      <c r="L3805" s="869" t="s">
        <v>167</v>
      </c>
      <c r="M3805" s="869" t="s">
        <v>165</v>
      </c>
      <c r="N3805" s="52" t="str">
        <f>IF(AND('331-CT'!$E$7=TH!H3805,OR(L3805="331",M3805="331")),"331",IF(AND(OR(L3805="131",M3805="131"),H3805='131-CT'!$E$7),"131",""))</f>
        <v/>
      </c>
      <c r="O3805" s="869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799"/>
    </row>
    <row r="3806" spans="1:27" s="210" customFormat="1" ht="15.75" customHeight="1">
      <c r="A3806" s="203" t="str">
        <f>IF(B3806&lt;&gt;"",IF(AND(B3806&gt;=_TM1,B3806&lt;=_TM2,OR(TH!L3806="1111",TH!M3806="1111")),TH!D3806,""),"")</f>
        <v/>
      </c>
      <c r="B3806" s="36">
        <f t="shared" si="65"/>
        <v>12</v>
      </c>
      <c r="C3806" s="899">
        <f t="shared" si="66"/>
        <v>42348</v>
      </c>
      <c r="D3806" s="900" t="s">
        <v>2013</v>
      </c>
      <c r="E3806" s="900">
        <v>42348</v>
      </c>
      <c r="F3806" s="907" t="s">
        <v>1254</v>
      </c>
      <c r="G3806" s="902" t="s">
        <v>1252</v>
      </c>
      <c r="H3806" s="913" t="s">
        <v>2014</v>
      </c>
      <c r="I3806" s="253">
        <v>504</v>
      </c>
      <c r="J3806" s="253">
        <v>9843.0595764470399</v>
      </c>
      <c r="K3806" s="904">
        <f t="shared" si="67"/>
        <v>4960902</v>
      </c>
      <c r="L3806" s="869" t="s">
        <v>167</v>
      </c>
      <c r="M3806" s="869" t="s">
        <v>165</v>
      </c>
      <c r="N3806" s="52" t="str">
        <f>IF(AND('331-CT'!$E$7=TH!H3806,OR(L3806="331",M3806="331")),"331",IF(AND(OR(L3806="131",M3806="131"),H3806='131-CT'!$E$7),"131",""))</f>
        <v/>
      </c>
      <c r="O3806" s="869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799"/>
    </row>
    <row r="3807" spans="1:27" s="210" customFormat="1" ht="15.75" customHeight="1">
      <c r="A3807" s="203" t="str">
        <f>IF(B3807&lt;&gt;"",IF(AND(B3807&gt;=_TM1,B3807&lt;=_TM2,OR(TH!L3807="1111",TH!M3807="1111")),TH!D3807,""),"")</f>
        <v/>
      </c>
      <c r="B3807" s="36">
        <f t="shared" si="65"/>
        <v>12</v>
      </c>
      <c r="C3807" s="899">
        <f t="shared" si="66"/>
        <v>42348</v>
      </c>
      <c r="D3807" s="900" t="s">
        <v>2013</v>
      </c>
      <c r="E3807" s="900">
        <v>42348</v>
      </c>
      <c r="F3807" s="907" t="s">
        <v>1255</v>
      </c>
      <c r="G3807" s="902" t="s">
        <v>1252</v>
      </c>
      <c r="H3807" s="913" t="s">
        <v>2014</v>
      </c>
      <c r="I3807" s="253">
        <v>203</v>
      </c>
      <c r="J3807" s="253">
        <v>8575.3928128137086</v>
      </c>
      <c r="K3807" s="904">
        <f t="shared" si="67"/>
        <v>1740805</v>
      </c>
      <c r="L3807" s="869" t="s">
        <v>167</v>
      </c>
      <c r="M3807" s="869" t="s">
        <v>165</v>
      </c>
      <c r="N3807" s="52" t="str">
        <f>IF(AND('331-CT'!$E$7=TH!H3807,OR(L3807="331",M3807="331")),"331",IF(AND(OR(L3807="131",M3807="131"),H3807='131-CT'!$E$7),"131",""))</f>
        <v/>
      </c>
      <c r="O3807" s="869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799"/>
    </row>
    <row r="3808" spans="1:27" s="210" customFormat="1" ht="15.75" customHeight="1">
      <c r="A3808" s="203" t="str">
        <f>IF(B3808&lt;&gt;"",IF(AND(B3808&gt;=_TM1,B3808&lt;=_TM2,OR(TH!L3808="1111",TH!M3808="1111")),TH!D3808,""),"")</f>
        <v/>
      </c>
      <c r="B3808" s="36">
        <f t="shared" si="65"/>
        <v>12</v>
      </c>
      <c r="C3808" s="899">
        <f t="shared" si="66"/>
        <v>42348</v>
      </c>
      <c r="D3808" s="900" t="s">
        <v>2013</v>
      </c>
      <c r="E3808" s="900">
        <v>42348</v>
      </c>
      <c r="F3808" s="907" t="s">
        <v>1256</v>
      </c>
      <c r="G3808" s="902" t="s">
        <v>1252</v>
      </c>
      <c r="H3808" s="913" t="s">
        <v>2014</v>
      </c>
      <c r="I3808" s="253">
        <v>410</v>
      </c>
      <c r="J3808" s="253">
        <v>5294.3729539980286</v>
      </c>
      <c r="K3808" s="904">
        <f t="shared" si="67"/>
        <v>2170693</v>
      </c>
      <c r="L3808" s="869" t="s">
        <v>167</v>
      </c>
      <c r="M3808" s="869" t="s">
        <v>165</v>
      </c>
      <c r="N3808" s="52" t="str">
        <f>IF(AND('331-CT'!$E$7=TH!H3808,OR(L3808="331",M3808="331")),"331",IF(AND(OR(L3808="131",M3808="131"),H3808='131-CT'!$E$7),"131",""))</f>
        <v/>
      </c>
      <c r="O3808" s="869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799"/>
    </row>
    <row r="3809" spans="1:27" s="210" customFormat="1" ht="15.75" customHeight="1">
      <c r="A3809" s="203" t="str">
        <f>IF(B3809&lt;&gt;"",IF(AND(B3809&gt;=_TM1,B3809&lt;=_TM2,OR(TH!L3809="1111",TH!M3809="1111")),TH!D3809,""),"")</f>
        <v/>
      </c>
      <c r="B3809" s="36">
        <f t="shared" si="65"/>
        <v>12</v>
      </c>
      <c r="C3809" s="899">
        <f t="shared" si="66"/>
        <v>42348</v>
      </c>
      <c r="D3809" s="900" t="s">
        <v>2013</v>
      </c>
      <c r="E3809" s="900">
        <v>42348</v>
      </c>
      <c r="F3809" s="907" t="s">
        <v>1257</v>
      </c>
      <c r="G3809" s="902" t="s">
        <v>1252</v>
      </c>
      <c r="H3809" s="913" t="s">
        <v>2014</v>
      </c>
      <c r="I3809" s="253">
        <v>300</v>
      </c>
      <c r="J3809" s="253">
        <v>13273.216701572524</v>
      </c>
      <c r="K3809" s="904">
        <f t="shared" si="67"/>
        <v>3981965</v>
      </c>
      <c r="L3809" s="869" t="s">
        <v>167</v>
      </c>
      <c r="M3809" s="869" t="s">
        <v>165</v>
      </c>
      <c r="N3809" s="52" t="str">
        <f>IF(AND('331-CT'!$E$7=TH!H3809,OR(L3809="331",M3809="331")),"331",IF(AND(OR(L3809="131",M3809="131"),H3809='131-CT'!$E$7),"131",""))</f>
        <v/>
      </c>
      <c r="O3809" s="869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799"/>
    </row>
    <row r="3810" spans="1:27" s="210" customFormat="1" ht="15.75" customHeight="1">
      <c r="A3810" s="203" t="str">
        <f>IF(B3810&lt;&gt;"",IF(AND(B3810&gt;=_TM1,B3810&lt;=_TM2,OR(TH!L3810="1111",TH!M3810="1111")),TH!D3810,""),"")</f>
        <v/>
      </c>
      <c r="B3810" s="36">
        <f t="shared" si="65"/>
        <v>12</v>
      </c>
      <c r="C3810" s="899">
        <f t="shared" si="66"/>
        <v>42348</v>
      </c>
      <c r="D3810" s="900" t="s">
        <v>2013</v>
      </c>
      <c r="E3810" s="900">
        <v>42348</v>
      </c>
      <c r="F3810" s="907" t="s">
        <v>1839</v>
      </c>
      <c r="G3810" s="902" t="s">
        <v>1258</v>
      </c>
      <c r="H3810" s="913" t="s">
        <v>2014</v>
      </c>
      <c r="I3810" s="253">
        <v>107</v>
      </c>
      <c r="J3810" s="253">
        <v>12676.667636333308</v>
      </c>
      <c r="K3810" s="904">
        <f t="shared" si="67"/>
        <v>1356403</v>
      </c>
      <c r="L3810" s="869" t="s">
        <v>167</v>
      </c>
      <c r="M3810" s="869" t="s">
        <v>165</v>
      </c>
      <c r="N3810" s="52" t="str">
        <f>IF(AND('331-CT'!$E$7=TH!H3810,OR(L3810="331",M3810="331")),"331",IF(AND(OR(L3810="131",M3810="131"),H3810='131-CT'!$E$7),"131",""))</f>
        <v/>
      </c>
      <c r="O3810" s="869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799"/>
    </row>
    <row r="3811" spans="1:27" s="210" customFormat="1" ht="15.75" customHeight="1">
      <c r="A3811" s="203" t="str">
        <f>IF(B3811&lt;&gt;"",IF(AND(B3811&gt;=_TM1,B3811&lt;=_TM2,OR(TH!L3811="1111",TH!M3811="1111")),TH!D3811,""),"")</f>
        <v/>
      </c>
      <c r="B3811" s="36">
        <f t="shared" si="65"/>
        <v>12</v>
      </c>
      <c r="C3811" s="899">
        <f t="shared" si="66"/>
        <v>42348</v>
      </c>
      <c r="D3811" s="900" t="s">
        <v>2013</v>
      </c>
      <c r="E3811" s="900">
        <v>42348</v>
      </c>
      <c r="F3811" s="907" t="s">
        <v>1840</v>
      </c>
      <c r="G3811" s="902" t="s">
        <v>1258</v>
      </c>
      <c r="H3811" s="913" t="s">
        <v>2014</v>
      </c>
      <c r="I3811" s="253">
        <v>205</v>
      </c>
      <c r="J3811" s="253">
        <v>12378.393103713701</v>
      </c>
      <c r="K3811" s="904">
        <f t="shared" si="67"/>
        <v>2537571</v>
      </c>
      <c r="L3811" s="869" t="s">
        <v>167</v>
      </c>
      <c r="M3811" s="869" t="s">
        <v>165</v>
      </c>
      <c r="N3811" s="52" t="str">
        <f>IF(AND('331-CT'!$E$7=TH!H3811,OR(L3811="331",M3811="331")),"331",IF(AND(OR(L3811="131",M3811="131"),H3811='131-CT'!$E$7),"131",""))</f>
        <v/>
      </c>
      <c r="O3811" s="869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799"/>
    </row>
    <row r="3812" spans="1:27" s="210" customFormat="1" ht="15.75" customHeight="1">
      <c r="A3812" s="203" t="str">
        <f>IF(B3812&lt;&gt;"",IF(AND(B3812&gt;=_TM1,B3812&lt;=_TM2,OR(TH!L3812="1111",TH!M3812="1111")),TH!D3812,""),"")</f>
        <v/>
      </c>
      <c r="B3812" s="36">
        <f t="shared" si="65"/>
        <v>12</v>
      </c>
      <c r="C3812" s="899">
        <f t="shared" si="66"/>
        <v>42348</v>
      </c>
      <c r="D3812" s="900" t="s">
        <v>2013</v>
      </c>
      <c r="E3812" s="900">
        <v>42348</v>
      </c>
      <c r="F3812" s="907" t="s">
        <v>692</v>
      </c>
      <c r="G3812" s="902" t="s">
        <v>1258</v>
      </c>
      <c r="H3812" s="913" t="s">
        <v>2014</v>
      </c>
      <c r="I3812" s="253">
        <v>30</v>
      </c>
      <c r="J3812" s="253">
        <v>13347.785334727425</v>
      </c>
      <c r="K3812" s="904">
        <f t="shared" si="67"/>
        <v>400434</v>
      </c>
      <c r="L3812" s="869" t="s">
        <v>167</v>
      </c>
      <c r="M3812" s="869" t="s">
        <v>165</v>
      </c>
      <c r="N3812" s="52" t="str">
        <f>IF(AND('331-CT'!$E$7=TH!H3812,OR(L3812="331",M3812="331")),"331",IF(AND(OR(L3812="131",M3812="131"),H3812='131-CT'!$E$7),"131",""))</f>
        <v/>
      </c>
      <c r="O3812" s="869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799"/>
    </row>
    <row r="3813" spans="1:27" s="210" customFormat="1" ht="15.75" customHeight="1">
      <c r="A3813" s="203" t="str">
        <f>IF(B3813&lt;&gt;"",IF(AND(B3813&gt;=_TM1,B3813&lt;=_TM2,OR(TH!L3813="1111",TH!M3813="1111")),TH!D3813,""),"")</f>
        <v/>
      </c>
      <c r="B3813" s="36">
        <f t="shared" si="65"/>
        <v>12</v>
      </c>
      <c r="C3813" s="899">
        <f t="shared" si="66"/>
        <v>42348</v>
      </c>
      <c r="D3813" s="900" t="s">
        <v>2013</v>
      </c>
      <c r="E3813" s="900">
        <v>42348</v>
      </c>
      <c r="F3813" s="907" t="s">
        <v>1841</v>
      </c>
      <c r="G3813" s="902" t="s">
        <v>1258</v>
      </c>
      <c r="H3813" s="913" t="s">
        <v>2014</v>
      </c>
      <c r="I3813" s="253">
        <v>125</v>
      </c>
      <c r="J3813" s="253">
        <v>7755.137848109789</v>
      </c>
      <c r="K3813" s="904">
        <f t="shared" si="67"/>
        <v>969392</v>
      </c>
      <c r="L3813" s="869" t="s">
        <v>167</v>
      </c>
      <c r="M3813" s="869" t="s">
        <v>165</v>
      </c>
      <c r="N3813" s="52" t="str">
        <f>IF(AND('331-CT'!$E$7=TH!H3813,OR(L3813="331",M3813="331")),"331",IF(AND(OR(L3813="131",M3813="131"),H3813='131-CT'!$E$7),"131",""))</f>
        <v/>
      </c>
      <c r="O3813" s="869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799"/>
    </row>
    <row r="3814" spans="1:27" s="210" customFormat="1" ht="15.75" customHeight="1">
      <c r="A3814" s="203" t="str">
        <f>IF(B3814&lt;&gt;"",IF(AND(B3814&gt;=_TM1,B3814&lt;=_TM2,OR(TH!L3814="1111",TH!M3814="1111")),TH!D3814,""),"")</f>
        <v/>
      </c>
      <c r="B3814" s="36">
        <f t="shared" si="65"/>
        <v>12</v>
      </c>
      <c r="C3814" s="899">
        <f t="shared" si="66"/>
        <v>42348</v>
      </c>
      <c r="D3814" s="900" t="s">
        <v>2013</v>
      </c>
      <c r="E3814" s="900">
        <v>42348</v>
      </c>
      <c r="F3814" s="907" t="s">
        <v>694</v>
      </c>
      <c r="G3814" s="902" t="s">
        <v>1258</v>
      </c>
      <c r="H3814" s="913" t="s">
        <v>2014</v>
      </c>
      <c r="I3814" s="253">
        <v>100</v>
      </c>
      <c r="J3814" s="253">
        <v>10961.589073770567</v>
      </c>
      <c r="K3814" s="904">
        <f t="shared" si="67"/>
        <v>1096159</v>
      </c>
      <c r="L3814" s="869" t="s">
        <v>167</v>
      </c>
      <c r="M3814" s="869" t="s">
        <v>165</v>
      </c>
      <c r="N3814" s="52" t="str">
        <f>IF(AND('331-CT'!$E$7=TH!H3814,OR(L3814="331",M3814="331")),"331",IF(AND(OR(L3814="131",M3814="131"),H3814='131-CT'!$E$7),"131",""))</f>
        <v/>
      </c>
      <c r="O3814" s="869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799"/>
    </row>
    <row r="3815" spans="1:27" s="210" customFormat="1" ht="15.75" customHeight="1">
      <c r="A3815" s="203" t="str">
        <f>IF(B3815&lt;&gt;"",IF(AND(B3815&gt;=_TM1,B3815&lt;=_TM2,OR(TH!L3815="1111",TH!M3815="1111")),TH!D3815,""),"")</f>
        <v/>
      </c>
      <c r="B3815" s="36">
        <f t="shared" si="65"/>
        <v>12</v>
      </c>
      <c r="C3815" s="899">
        <f t="shared" si="66"/>
        <v>42348</v>
      </c>
      <c r="D3815" s="900" t="s">
        <v>2013</v>
      </c>
      <c r="E3815" s="900">
        <v>42348</v>
      </c>
      <c r="F3815" s="907" t="s">
        <v>694</v>
      </c>
      <c r="G3815" s="902" t="s">
        <v>1258</v>
      </c>
      <c r="H3815" s="913" t="s">
        <v>2014</v>
      </c>
      <c r="I3815" s="253">
        <v>20</v>
      </c>
      <c r="J3815" s="253">
        <v>10961.589073770567</v>
      </c>
      <c r="K3815" s="904">
        <f t="shared" si="67"/>
        <v>219232</v>
      </c>
      <c r="L3815" s="869" t="s">
        <v>167</v>
      </c>
      <c r="M3815" s="869" t="s">
        <v>165</v>
      </c>
      <c r="N3815" s="52" t="str">
        <f>IF(AND('331-CT'!$E$7=TH!H3815,OR(L3815="331",M3815="331")),"331",IF(AND(OR(L3815="131",M3815="131"),H3815='131-CT'!$E$7),"131",""))</f>
        <v/>
      </c>
      <c r="O3815" s="869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799"/>
    </row>
    <row r="3816" spans="1:27" s="210" customFormat="1" ht="15.75" customHeight="1">
      <c r="A3816" s="203" t="str">
        <f>IF(B3816&lt;&gt;"",IF(AND(B3816&gt;=_TM1,B3816&lt;=_TM2,OR(TH!L3816="1111",TH!M3816="1111")),TH!D3816,""),"")</f>
        <v/>
      </c>
      <c r="B3816" s="36">
        <f t="shared" si="65"/>
        <v>12</v>
      </c>
      <c r="C3816" s="899">
        <f t="shared" si="66"/>
        <v>42348</v>
      </c>
      <c r="D3816" s="900" t="s">
        <v>2013</v>
      </c>
      <c r="E3816" s="900">
        <v>42348</v>
      </c>
      <c r="F3816" s="907" t="s">
        <v>1842</v>
      </c>
      <c r="G3816" s="902" t="s">
        <v>1258</v>
      </c>
      <c r="H3816" s="913" t="s">
        <v>2014</v>
      </c>
      <c r="I3816" s="253">
        <v>24</v>
      </c>
      <c r="J3816" s="253">
        <v>12527.530370023505</v>
      </c>
      <c r="K3816" s="904">
        <f t="shared" si="67"/>
        <v>300661</v>
      </c>
      <c r="L3816" s="869" t="s">
        <v>167</v>
      </c>
      <c r="M3816" s="869" t="s">
        <v>165</v>
      </c>
      <c r="N3816" s="52" t="str">
        <f>IF(AND('331-CT'!$E$7=TH!H3816,OR(L3816="331",M3816="331")),"331",IF(AND(OR(L3816="131",M3816="131"),H3816='131-CT'!$E$7),"131",""))</f>
        <v/>
      </c>
      <c r="O3816" s="869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799"/>
    </row>
    <row r="3817" spans="1:27" s="210" customFormat="1" ht="15.75" customHeight="1">
      <c r="A3817" s="203" t="str">
        <f>IF(B3817&lt;&gt;"",IF(AND(B3817&gt;=_TM1,B3817&lt;=_TM2,OR(TH!L3817="1111",TH!M3817="1111")),TH!D3817,""),"")</f>
        <v/>
      </c>
      <c r="B3817" s="36">
        <f t="shared" si="65"/>
        <v>12</v>
      </c>
      <c r="C3817" s="899">
        <f t="shared" si="66"/>
        <v>42348</v>
      </c>
      <c r="D3817" s="900" t="s">
        <v>2013</v>
      </c>
      <c r="E3817" s="900">
        <v>42348</v>
      </c>
      <c r="F3817" s="907" t="s">
        <v>742</v>
      </c>
      <c r="G3817" s="902" t="s">
        <v>1258</v>
      </c>
      <c r="H3817" s="913" t="s">
        <v>2014</v>
      </c>
      <c r="I3817" s="253">
        <v>400</v>
      </c>
      <c r="J3817" s="253">
        <v>14615.452098360756</v>
      </c>
      <c r="K3817" s="904">
        <f t="shared" si="67"/>
        <v>5846181</v>
      </c>
      <c r="L3817" s="869" t="s">
        <v>167</v>
      </c>
      <c r="M3817" s="869" t="s">
        <v>165</v>
      </c>
      <c r="N3817" s="52" t="str">
        <f>IF(AND('331-CT'!$E$7=TH!H3817,OR(L3817="331",M3817="331")),"331",IF(AND(OR(L3817="131",M3817="131"),H3817='131-CT'!$E$7),"131",""))</f>
        <v/>
      </c>
      <c r="O3817" s="869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799"/>
    </row>
    <row r="3818" spans="1:27" s="210" customFormat="1" ht="15.75" customHeight="1">
      <c r="A3818" s="203" t="str">
        <f>IF(B3818&lt;&gt;"",IF(AND(B3818&gt;=_TM1,B3818&lt;=_TM2,OR(TH!L3818="1111",TH!M3818="1111")),TH!D3818,""),"")</f>
        <v/>
      </c>
      <c r="B3818" s="36">
        <f t="shared" si="65"/>
        <v>12</v>
      </c>
      <c r="C3818" s="899">
        <f t="shared" si="66"/>
        <v>42350</v>
      </c>
      <c r="D3818" s="900" t="s">
        <v>2013</v>
      </c>
      <c r="E3818" s="900">
        <v>42350</v>
      </c>
      <c r="F3818" s="907" t="s">
        <v>999</v>
      </c>
      <c r="G3818" s="902" t="s">
        <v>1259</v>
      </c>
      <c r="H3818" s="913" t="s">
        <v>2014</v>
      </c>
      <c r="I3818" s="253">
        <v>201</v>
      </c>
      <c r="J3818" s="253">
        <v>5592.6474866176359</v>
      </c>
      <c r="K3818" s="904">
        <f t="shared" si="67"/>
        <v>1124122</v>
      </c>
      <c r="L3818" s="869" t="s">
        <v>167</v>
      </c>
      <c r="M3818" s="869" t="s">
        <v>165</v>
      </c>
      <c r="N3818" s="52" t="str">
        <f>IF(AND('331-CT'!$E$7=TH!H3818,OR(L3818="331",M3818="331")),"331",IF(AND(OR(L3818="131",M3818="131"),H3818='131-CT'!$E$7),"131",""))</f>
        <v/>
      </c>
      <c r="O3818" s="869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799"/>
    </row>
    <row r="3819" spans="1:27" s="210" customFormat="1" ht="15.75" customHeight="1">
      <c r="A3819" s="203" t="str">
        <f>IF(B3819&lt;&gt;"",IF(AND(B3819&gt;=_TM1,B3819&lt;=_TM2,OR(TH!L3819="1111",TH!M3819="1111")),TH!D3819,""),"")</f>
        <v/>
      </c>
      <c r="B3819" s="36">
        <f t="shared" si="65"/>
        <v>12</v>
      </c>
      <c r="C3819" s="899">
        <f t="shared" si="66"/>
        <v>42350</v>
      </c>
      <c r="D3819" s="900" t="s">
        <v>2013</v>
      </c>
      <c r="E3819" s="900">
        <v>42350</v>
      </c>
      <c r="F3819" s="907" t="s">
        <v>1260</v>
      </c>
      <c r="G3819" s="902" t="s">
        <v>1261</v>
      </c>
      <c r="H3819" s="913" t="s">
        <v>2014</v>
      </c>
      <c r="I3819" s="253">
        <v>403</v>
      </c>
      <c r="J3819" s="253">
        <v>4250.4120898294032</v>
      </c>
      <c r="K3819" s="904">
        <f t="shared" si="67"/>
        <v>1712916</v>
      </c>
      <c r="L3819" s="869" t="s">
        <v>167</v>
      </c>
      <c r="M3819" s="869" t="s">
        <v>165</v>
      </c>
      <c r="N3819" s="52" t="str">
        <f>IF(AND('331-CT'!$E$7=TH!H3819,OR(L3819="331",M3819="331")),"331",IF(AND(OR(L3819="131",M3819="131"),H3819='131-CT'!$E$7),"131",""))</f>
        <v/>
      </c>
      <c r="O3819" s="869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799"/>
    </row>
    <row r="3820" spans="1:27" s="210" customFormat="1" ht="15.75" customHeight="1">
      <c r="A3820" s="203" t="str">
        <f>IF(B3820&lt;&gt;"",IF(AND(B3820&gt;=_TM1,B3820&lt;=_TM2,OR(TH!L3820="1111",TH!M3820="1111")),TH!D3820,""),"")</f>
        <v/>
      </c>
      <c r="B3820" s="36">
        <f t="shared" si="65"/>
        <v>12</v>
      </c>
      <c r="C3820" s="899">
        <f t="shared" si="66"/>
        <v>42350</v>
      </c>
      <c r="D3820" s="900" t="s">
        <v>2013</v>
      </c>
      <c r="E3820" s="900">
        <v>42350</v>
      </c>
      <c r="F3820" s="907" t="s">
        <v>1262</v>
      </c>
      <c r="G3820" s="902" t="s">
        <v>1261</v>
      </c>
      <c r="H3820" s="913" t="s">
        <v>2014</v>
      </c>
      <c r="I3820" s="253">
        <v>101</v>
      </c>
      <c r="J3820" s="253">
        <v>4623.2552556039127</v>
      </c>
      <c r="K3820" s="904">
        <f t="shared" si="67"/>
        <v>466949</v>
      </c>
      <c r="L3820" s="869" t="s">
        <v>167</v>
      </c>
      <c r="M3820" s="869" t="s">
        <v>165</v>
      </c>
      <c r="N3820" s="52" t="str">
        <f>IF(AND('331-CT'!$E$7=TH!H3820,OR(L3820="331",M3820="331")),"331",IF(AND(OR(L3820="131",M3820="131"),H3820='131-CT'!$E$7),"131",""))</f>
        <v/>
      </c>
      <c r="O3820" s="869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799"/>
    </row>
    <row r="3821" spans="1:27" s="210" customFormat="1" ht="15.75" customHeight="1">
      <c r="A3821" s="203" t="str">
        <f>IF(B3821&lt;&gt;"",IF(AND(B3821&gt;=_TM1,B3821&lt;=_TM2,OR(TH!L3821="1111",TH!M3821="1111")),TH!D3821,""),"")</f>
        <v/>
      </c>
      <c r="B3821" s="36">
        <f t="shared" si="65"/>
        <v>12</v>
      </c>
      <c r="C3821" s="899">
        <f t="shared" si="66"/>
        <v>42350</v>
      </c>
      <c r="D3821" s="900" t="s">
        <v>2013</v>
      </c>
      <c r="E3821" s="900">
        <v>42350</v>
      </c>
      <c r="F3821" s="907" t="s">
        <v>1263</v>
      </c>
      <c r="G3821" s="902" t="s">
        <v>1261</v>
      </c>
      <c r="H3821" s="913" t="s">
        <v>2014</v>
      </c>
      <c r="I3821" s="253">
        <v>106</v>
      </c>
      <c r="J3821" s="253">
        <v>5443.5102203078322</v>
      </c>
      <c r="K3821" s="904">
        <f t="shared" si="67"/>
        <v>577012</v>
      </c>
      <c r="L3821" s="869" t="s">
        <v>167</v>
      </c>
      <c r="M3821" s="869" t="s">
        <v>165</v>
      </c>
      <c r="N3821" s="52" t="str">
        <f>IF(AND('331-CT'!$E$7=TH!H3821,OR(L3821="331",M3821="331")),"331",IF(AND(OR(L3821="131",M3821="131"),H3821='131-CT'!$E$7),"131",""))</f>
        <v/>
      </c>
      <c r="O3821" s="869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799"/>
    </row>
    <row r="3822" spans="1:27" s="210" customFormat="1" ht="15.75" customHeight="1">
      <c r="A3822" s="203" t="str">
        <f>IF(B3822&lt;&gt;"",IF(AND(B3822&gt;=_TM1,B3822&lt;=_TM2,OR(TH!L3822="1111",TH!M3822="1111")),TH!D3822,""),"")</f>
        <v/>
      </c>
      <c r="B3822" s="36">
        <f t="shared" si="65"/>
        <v>12</v>
      </c>
      <c r="C3822" s="899">
        <f t="shared" si="66"/>
        <v>42350</v>
      </c>
      <c r="D3822" s="900" t="s">
        <v>2013</v>
      </c>
      <c r="E3822" s="900">
        <v>42350</v>
      </c>
      <c r="F3822" s="907" t="s">
        <v>439</v>
      </c>
      <c r="G3822" s="902" t="s">
        <v>1261</v>
      </c>
      <c r="H3822" s="913" t="s">
        <v>2014</v>
      </c>
      <c r="I3822" s="253">
        <v>500</v>
      </c>
      <c r="J3822" s="253">
        <v>4772.3925219137163</v>
      </c>
      <c r="K3822" s="904">
        <f t="shared" si="67"/>
        <v>2386196</v>
      </c>
      <c r="L3822" s="869" t="s">
        <v>167</v>
      </c>
      <c r="M3822" s="869" t="s">
        <v>165</v>
      </c>
      <c r="N3822" s="52" t="str">
        <f>IF(AND('331-CT'!$E$7=TH!H3822,OR(L3822="331",M3822="331")),"331",IF(AND(OR(L3822="131",M3822="131"),H3822='131-CT'!$E$7),"131",""))</f>
        <v/>
      </c>
      <c r="O3822" s="869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799"/>
    </row>
    <row r="3823" spans="1:27" s="210" customFormat="1" ht="15.75" customHeight="1">
      <c r="A3823" s="203" t="str">
        <f>IF(B3823&lt;&gt;"",IF(AND(B3823&gt;=_TM1,B3823&lt;=_TM2,OR(TH!L3823="1111",TH!M3823="1111")),TH!D3823,""),"")</f>
        <v/>
      </c>
      <c r="B3823" s="36">
        <f t="shared" si="65"/>
        <v>12</v>
      </c>
      <c r="C3823" s="899">
        <f t="shared" si="66"/>
        <v>42353</v>
      </c>
      <c r="D3823" s="900" t="s">
        <v>2013</v>
      </c>
      <c r="E3823" s="900">
        <v>42353</v>
      </c>
      <c r="F3823" s="907" t="s">
        <v>1264</v>
      </c>
      <c r="G3823" s="902" t="s">
        <v>1265</v>
      </c>
      <c r="H3823" s="913" t="s">
        <v>2014</v>
      </c>
      <c r="I3823" s="253">
        <v>244</v>
      </c>
      <c r="J3823" s="253">
        <v>6711.1769839411636</v>
      </c>
      <c r="K3823" s="904">
        <f t="shared" si="67"/>
        <v>1637527</v>
      </c>
      <c r="L3823" s="869" t="s">
        <v>167</v>
      </c>
      <c r="M3823" s="869" t="s">
        <v>165</v>
      </c>
      <c r="N3823" s="52" t="str">
        <f>IF(AND('331-CT'!$E$7=TH!H3823,OR(L3823="331",M3823="331")),"331",IF(AND(OR(L3823="131",M3823="131"),H3823='131-CT'!$E$7),"131",""))</f>
        <v/>
      </c>
      <c r="O3823" s="869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799"/>
    </row>
    <row r="3824" spans="1:27" s="210" customFormat="1" ht="15.75" customHeight="1">
      <c r="A3824" s="203" t="str">
        <f>IF(B3824&lt;&gt;"",IF(AND(B3824&gt;=_TM1,B3824&lt;=_TM2,OR(TH!L3824="1111",TH!M3824="1111")),TH!D3824,""),"")</f>
        <v/>
      </c>
      <c r="B3824" s="36">
        <f t="shared" si="65"/>
        <v>12</v>
      </c>
      <c r="C3824" s="899">
        <f t="shared" si="66"/>
        <v>42353</v>
      </c>
      <c r="D3824" s="900" t="s">
        <v>2013</v>
      </c>
      <c r="E3824" s="900">
        <v>42353</v>
      </c>
      <c r="F3824" s="907" t="s">
        <v>1686</v>
      </c>
      <c r="G3824" s="902" t="s">
        <v>1265</v>
      </c>
      <c r="H3824" s="913" t="s">
        <v>2014</v>
      </c>
      <c r="I3824" s="253">
        <v>488</v>
      </c>
      <c r="J3824" s="253">
        <v>820.25496470392</v>
      </c>
      <c r="K3824" s="904">
        <f t="shared" si="67"/>
        <v>400284</v>
      </c>
      <c r="L3824" s="869" t="s">
        <v>167</v>
      </c>
      <c r="M3824" s="869" t="s">
        <v>165</v>
      </c>
      <c r="N3824" s="52" t="str">
        <f>IF(AND('331-CT'!$E$7=TH!H3824,OR(L3824="331",M3824="331")),"331",IF(AND(OR(L3824="131",M3824="131"),H3824='131-CT'!$E$7),"131",""))</f>
        <v/>
      </c>
      <c r="O3824" s="869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799"/>
    </row>
    <row r="3825" spans="1:27" s="210" customFormat="1" ht="15.75" customHeight="1">
      <c r="A3825" s="203" t="str">
        <f>IF(B3825&lt;&gt;"",IF(AND(B3825&gt;=_TM1,B3825&lt;=_TM2,OR(TH!L3825="1111",TH!M3825="1111")),TH!D3825,""),"")</f>
        <v/>
      </c>
      <c r="B3825" s="36">
        <f t="shared" si="65"/>
        <v>12</v>
      </c>
      <c r="C3825" s="899">
        <f t="shared" si="66"/>
        <v>42353</v>
      </c>
      <c r="D3825" s="900" t="s">
        <v>2013</v>
      </c>
      <c r="E3825" s="900">
        <v>42353</v>
      </c>
      <c r="F3825" s="907" t="s">
        <v>1030</v>
      </c>
      <c r="G3825" s="902" t="s">
        <v>1266</v>
      </c>
      <c r="H3825" s="913" t="s">
        <v>2014</v>
      </c>
      <c r="I3825" s="253">
        <v>508</v>
      </c>
      <c r="J3825" s="253">
        <v>12005.549937939193</v>
      </c>
      <c r="K3825" s="904">
        <f t="shared" si="67"/>
        <v>6098819</v>
      </c>
      <c r="L3825" s="869" t="s">
        <v>167</v>
      </c>
      <c r="M3825" s="869" t="s">
        <v>165</v>
      </c>
      <c r="N3825" s="52" t="str">
        <f>IF(AND('331-CT'!$E$7=TH!H3825,OR(L3825="331",M3825="331")),"331",IF(AND(OR(L3825="131",M3825="131"),H3825='131-CT'!$E$7),"131",""))</f>
        <v/>
      </c>
      <c r="O3825" s="869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799"/>
    </row>
    <row r="3826" spans="1:27" s="210" customFormat="1" ht="15.75" customHeight="1">
      <c r="A3826" s="203" t="str">
        <f>IF(B3826&lt;&gt;"",IF(AND(B3826&gt;=_TM1,B3826&lt;=_TM2,OR(TH!L3826="1111",TH!M3826="1111")),TH!D3826,""),"")</f>
        <v/>
      </c>
      <c r="B3826" s="36">
        <f t="shared" si="65"/>
        <v>12</v>
      </c>
      <c r="C3826" s="899">
        <f t="shared" si="66"/>
        <v>42353</v>
      </c>
      <c r="D3826" s="900" t="s">
        <v>2013</v>
      </c>
      <c r="E3826" s="900">
        <v>42353</v>
      </c>
      <c r="F3826" s="907" t="s">
        <v>1267</v>
      </c>
      <c r="G3826" s="902" t="s">
        <v>1268</v>
      </c>
      <c r="H3826" s="913" t="s">
        <v>2014</v>
      </c>
      <c r="I3826" s="253">
        <v>130</v>
      </c>
      <c r="J3826" s="253">
        <v>5965.4906523921454</v>
      </c>
      <c r="K3826" s="904">
        <f t="shared" si="67"/>
        <v>775514</v>
      </c>
      <c r="L3826" s="869" t="s">
        <v>167</v>
      </c>
      <c r="M3826" s="869" t="s">
        <v>165</v>
      </c>
      <c r="N3826" s="52" t="str">
        <f>IF(AND('331-CT'!$E$7=TH!H3826,OR(L3826="331",M3826="331")),"331",IF(AND(OR(L3826="131",M3826="131"),H3826='131-CT'!$E$7),"131",""))</f>
        <v/>
      </c>
      <c r="O3826" s="869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799"/>
    </row>
    <row r="3827" spans="1:27" s="210" customFormat="1" ht="15.75" customHeight="1">
      <c r="A3827" s="203" t="str">
        <f>IF(B3827&lt;&gt;"",IF(AND(B3827&gt;=_TM1,B3827&lt;=_TM2,OR(TH!L3827="1111",TH!M3827="1111")),TH!D3827,""),"")</f>
        <v/>
      </c>
      <c r="B3827" s="36">
        <f t="shared" si="65"/>
        <v>12</v>
      </c>
      <c r="C3827" s="899">
        <f t="shared" si="66"/>
        <v>42355</v>
      </c>
      <c r="D3827" s="900" t="s">
        <v>2013</v>
      </c>
      <c r="E3827" s="900">
        <v>42355</v>
      </c>
      <c r="F3827" s="907" t="s">
        <v>906</v>
      </c>
      <c r="G3827" s="902" t="s">
        <v>1269</v>
      </c>
      <c r="H3827" s="913" t="s">
        <v>2014</v>
      </c>
      <c r="I3827" s="253">
        <v>302</v>
      </c>
      <c r="J3827" s="253">
        <v>6785.7456170960659</v>
      </c>
      <c r="K3827" s="904">
        <f t="shared" si="67"/>
        <v>2049295</v>
      </c>
      <c r="L3827" s="869" t="s">
        <v>167</v>
      </c>
      <c r="M3827" s="869" t="s">
        <v>165</v>
      </c>
      <c r="N3827" s="52" t="str">
        <f>IF(AND('331-CT'!$E$7=TH!H3827,OR(L3827="331",M3827="331")),"331",IF(AND(OR(L3827="131",M3827="131"),H3827='131-CT'!$E$7),"131",""))</f>
        <v/>
      </c>
      <c r="O3827" s="869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799"/>
    </row>
    <row r="3828" spans="1:27" s="210" customFormat="1" ht="15.75" customHeight="1">
      <c r="A3828" s="203" t="str">
        <f>IF(B3828&lt;&gt;"",IF(AND(B3828&gt;=_TM1,B3828&lt;=_TM2,OR(TH!L3828="1111",TH!M3828="1111")),TH!D3828,""),"")</f>
        <v/>
      </c>
      <c r="B3828" s="36">
        <f t="shared" si="65"/>
        <v>12</v>
      </c>
      <c r="C3828" s="899">
        <f t="shared" si="66"/>
        <v>42355</v>
      </c>
      <c r="D3828" s="900" t="s">
        <v>2013</v>
      </c>
      <c r="E3828" s="900">
        <v>42355</v>
      </c>
      <c r="F3828" s="907" t="s">
        <v>906</v>
      </c>
      <c r="G3828" s="902" t="s">
        <v>1269</v>
      </c>
      <c r="H3828" s="913" t="s">
        <v>2014</v>
      </c>
      <c r="I3828" s="253">
        <v>300</v>
      </c>
      <c r="J3828" s="253">
        <v>6785.7456170960659</v>
      </c>
      <c r="K3828" s="904">
        <f t="shared" si="67"/>
        <v>2035724</v>
      </c>
      <c r="L3828" s="869" t="s">
        <v>167</v>
      </c>
      <c r="M3828" s="869" t="s">
        <v>165</v>
      </c>
      <c r="N3828" s="52" t="str">
        <f>IF(AND('331-CT'!$E$7=TH!H3828,OR(L3828="331",M3828="331")),"331",IF(AND(OR(L3828="131",M3828="131"),H3828='131-CT'!$E$7),"131",""))</f>
        <v/>
      </c>
      <c r="O3828" s="869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799"/>
    </row>
    <row r="3829" spans="1:27" s="210" customFormat="1" ht="15.75" customHeight="1">
      <c r="A3829" s="203" t="str">
        <f>IF(B3829&lt;&gt;"",IF(AND(B3829&gt;=_TM1,B3829&lt;=_TM2,OR(TH!L3829="1111",TH!M3829="1111")),TH!D3829,""),"")</f>
        <v/>
      </c>
      <c r="B3829" s="36">
        <f t="shared" si="65"/>
        <v>12</v>
      </c>
      <c r="C3829" s="899">
        <f t="shared" si="66"/>
        <v>42355</v>
      </c>
      <c r="D3829" s="900" t="s">
        <v>2013</v>
      </c>
      <c r="E3829" s="900">
        <v>42355</v>
      </c>
      <c r="F3829" s="907" t="s">
        <v>614</v>
      </c>
      <c r="G3829" s="902" t="s">
        <v>1269</v>
      </c>
      <c r="H3829" s="913" t="s">
        <v>2014</v>
      </c>
      <c r="I3829" s="253">
        <v>300</v>
      </c>
      <c r="J3829" s="253">
        <v>4921.52978822352</v>
      </c>
      <c r="K3829" s="904">
        <f t="shared" si="67"/>
        <v>1476459</v>
      </c>
      <c r="L3829" s="869" t="s">
        <v>167</v>
      </c>
      <c r="M3829" s="869" t="s">
        <v>165</v>
      </c>
      <c r="N3829" s="52" t="str">
        <f>IF(AND('331-CT'!$E$7=TH!H3829,OR(L3829="331",M3829="331")),"331",IF(AND(OR(L3829="131",M3829="131"),H3829='131-CT'!$E$7),"131",""))</f>
        <v/>
      </c>
      <c r="O3829" s="869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799"/>
    </row>
    <row r="3830" spans="1:27" s="210" customFormat="1" ht="15.75" customHeight="1">
      <c r="A3830" s="203" t="str">
        <f>IF(B3830&lt;&gt;"",IF(AND(B3830&gt;=_TM1,B3830&lt;=_TM2,OR(TH!L3830="1111",TH!M3830="1111")),TH!D3830,""),"")</f>
        <v/>
      </c>
      <c r="B3830" s="36">
        <f t="shared" si="65"/>
        <v>12</v>
      </c>
      <c r="C3830" s="899">
        <f t="shared" si="66"/>
        <v>42355</v>
      </c>
      <c r="D3830" s="900" t="s">
        <v>2013</v>
      </c>
      <c r="E3830" s="900">
        <v>42355</v>
      </c>
      <c r="F3830" s="907" t="s">
        <v>614</v>
      </c>
      <c r="G3830" s="902" t="s">
        <v>1269</v>
      </c>
      <c r="H3830" s="913" t="s">
        <v>2014</v>
      </c>
      <c r="I3830" s="253">
        <v>298</v>
      </c>
      <c r="J3830" s="253">
        <v>4921.52978822352</v>
      </c>
      <c r="K3830" s="904">
        <f t="shared" si="67"/>
        <v>1466616</v>
      </c>
      <c r="L3830" s="869" t="s">
        <v>167</v>
      </c>
      <c r="M3830" s="869" t="s">
        <v>165</v>
      </c>
      <c r="N3830" s="52" t="str">
        <f>IF(AND('331-CT'!$E$7=TH!H3830,OR(L3830="331",M3830="331")),"331",IF(AND(OR(L3830="131",M3830="131"),H3830='131-CT'!$E$7),"131",""))</f>
        <v/>
      </c>
      <c r="O3830" s="869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799"/>
    </row>
    <row r="3831" spans="1:27" s="210" customFormat="1" ht="15.75" customHeight="1">
      <c r="A3831" s="203" t="str">
        <f>IF(B3831&lt;&gt;"",IF(AND(B3831&gt;=_TM1,B3831&lt;=_TM2,OR(TH!L3831="1111",TH!M3831="1111")),TH!D3831,""),"")</f>
        <v/>
      </c>
      <c r="B3831" s="36">
        <f t="shared" si="65"/>
        <v>12</v>
      </c>
      <c r="C3831" s="899">
        <f t="shared" si="66"/>
        <v>42355</v>
      </c>
      <c r="D3831" s="900" t="s">
        <v>2013</v>
      </c>
      <c r="E3831" s="900">
        <v>42355</v>
      </c>
      <c r="F3831" s="907" t="s">
        <v>614</v>
      </c>
      <c r="G3831" s="902" t="s">
        <v>1269</v>
      </c>
      <c r="H3831" s="913" t="s">
        <v>2014</v>
      </c>
      <c r="I3831" s="253">
        <v>300</v>
      </c>
      <c r="J3831" s="253">
        <v>4921.52978822352</v>
      </c>
      <c r="K3831" s="904">
        <f t="shared" si="67"/>
        <v>1476459</v>
      </c>
      <c r="L3831" s="869" t="s">
        <v>167</v>
      </c>
      <c r="M3831" s="869" t="s">
        <v>165</v>
      </c>
      <c r="N3831" s="52" t="str">
        <f>IF(AND('331-CT'!$E$7=TH!H3831,OR(L3831="331",M3831="331")),"331",IF(AND(OR(L3831="131",M3831="131"),H3831='131-CT'!$E$7),"131",""))</f>
        <v/>
      </c>
      <c r="O3831" s="869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799"/>
    </row>
    <row r="3832" spans="1:27" s="210" customFormat="1" ht="15.75" customHeight="1">
      <c r="A3832" s="203" t="str">
        <f>IF(B3832&lt;&gt;"",IF(AND(B3832&gt;=_TM1,B3832&lt;=_TM2,OR(TH!L3832="1111",TH!M3832="1111")),TH!D3832,""),"")</f>
        <v/>
      </c>
      <c r="B3832" s="36">
        <f t="shared" si="65"/>
        <v>12</v>
      </c>
      <c r="C3832" s="899">
        <f t="shared" si="66"/>
        <v>42355</v>
      </c>
      <c r="D3832" s="900" t="s">
        <v>2013</v>
      </c>
      <c r="E3832" s="900">
        <v>42355</v>
      </c>
      <c r="F3832" s="907" t="s">
        <v>614</v>
      </c>
      <c r="G3832" s="902" t="s">
        <v>1269</v>
      </c>
      <c r="H3832" s="913" t="s">
        <v>2014</v>
      </c>
      <c r="I3832" s="253">
        <v>300</v>
      </c>
      <c r="J3832" s="253">
        <v>4921.52978822352</v>
      </c>
      <c r="K3832" s="904">
        <f t="shared" si="67"/>
        <v>1476459</v>
      </c>
      <c r="L3832" s="869" t="s">
        <v>167</v>
      </c>
      <c r="M3832" s="869" t="s">
        <v>165</v>
      </c>
      <c r="N3832" s="52" t="str">
        <f>IF(AND('331-CT'!$E$7=TH!H3832,OR(L3832="331",M3832="331")),"331",IF(AND(OR(L3832="131",M3832="131"),H3832='131-CT'!$E$7),"131",""))</f>
        <v/>
      </c>
      <c r="O3832" s="869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799"/>
    </row>
    <row r="3833" spans="1:27" s="210" customFormat="1" ht="15.75" customHeight="1">
      <c r="A3833" s="203" t="str">
        <f>IF(B3833&lt;&gt;"",IF(AND(B3833&gt;=_TM1,B3833&lt;=_TM2,OR(TH!L3833="1111",TH!M3833="1111")),TH!D3833,""),"")</f>
        <v/>
      </c>
      <c r="B3833" s="36">
        <f t="shared" si="65"/>
        <v>12</v>
      </c>
      <c r="C3833" s="899">
        <f t="shared" si="66"/>
        <v>42355</v>
      </c>
      <c r="D3833" s="900" t="s">
        <v>2013</v>
      </c>
      <c r="E3833" s="900">
        <v>42355</v>
      </c>
      <c r="F3833" s="907" t="s">
        <v>614</v>
      </c>
      <c r="G3833" s="902" t="s">
        <v>1269</v>
      </c>
      <c r="H3833" s="913" t="s">
        <v>2014</v>
      </c>
      <c r="I3833" s="253">
        <v>300</v>
      </c>
      <c r="J3833" s="253">
        <v>4921.52978822352</v>
      </c>
      <c r="K3833" s="904">
        <f t="shared" si="67"/>
        <v>1476459</v>
      </c>
      <c r="L3833" s="869" t="s">
        <v>167</v>
      </c>
      <c r="M3833" s="869" t="s">
        <v>165</v>
      </c>
      <c r="N3833" s="52" t="str">
        <f>IF(AND('331-CT'!$E$7=TH!H3833,OR(L3833="331",M3833="331")),"331",IF(AND(OR(L3833="131",M3833="131"),H3833='131-CT'!$E$7),"131",""))</f>
        <v/>
      </c>
      <c r="O3833" s="869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799"/>
    </row>
    <row r="3834" spans="1:27" s="210" customFormat="1" ht="15.75" customHeight="1">
      <c r="A3834" s="203" t="str">
        <f>IF(B3834&lt;&gt;"",IF(AND(B3834&gt;=_TM1,B3834&lt;=_TM2,OR(TH!L3834="1111",TH!M3834="1111")),TH!D3834,""),"")</f>
        <v/>
      </c>
      <c r="B3834" s="36">
        <f t="shared" si="65"/>
        <v>12</v>
      </c>
      <c r="C3834" s="899">
        <f t="shared" si="66"/>
        <v>42355</v>
      </c>
      <c r="D3834" s="900" t="s">
        <v>2013</v>
      </c>
      <c r="E3834" s="900">
        <v>42355</v>
      </c>
      <c r="F3834" s="907" t="s">
        <v>1270</v>
      </c>
      <c r="G3834" s="902" t="s">
        <v>1271</v>
      </c>
      <c r="H3834" s="913" t="s">
        <v>2014</v>
      </c>
      <c r="I3834" s="253">
        <v>100</v>
      </c>
      <c r="J3834" s="253">
        <v>11409.000872699979</v>
      </c>
      <c r="K3834" s="904">
        <f t="shared" si="67"/>
        <v>1140900</v>
      </c>
      <c r="L3834" s="869" t="s">
        <v>167</v>
      </c>
      <c r="M3834" s="869" t="s">
        <v>165</v>
      </c>
      <c r="N3834" s="52" t="str">
        <f>IF(AND('331-CT'!$E$7=TH!H3834,OR(L3834="331",M3834="331")),"331",IF(AND(OR(L3834="131",M3834="131"),H3834='131-CT'!$E$7),"131",""))</f>
        <v/>
      </c>
      <c r="O3834" s="869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799"/>
    </row>
    <row r="3835" spans="1:27" s="210" customFormat="1" ht="15.75" customHeight="1">
      <c r="A3835" s="203" t="str">
        <f>IF(B3835&lt;&gt;"",IF(AND(B3835&gt;=_TM1,B3835&lt;=_TM2,OR(TH!L3835="1111",TH!M3835="1111")),TH!D3835,""),"")</f>
        <v/>
      </c>
      <c r="B3835" s="36">
        <f t="shared" si="65"/>
        <v>12</v>
      </c>
      <c r="C3835" s="899">
        <f t="shared" si="66"/>
        <v>42356</v>
      </c>
      <c r="D3835" s="900" t="s">
        <v>2013</v>
      </c>
      <c r="E3835" s="900">
        <v>42356</v>
      </c>
      <c r="F3835" s="907" t="s">
        <v>1273</v>
      </c>
      <c r="G3835" s="902" t="s">
        <v>1274</v>
      </c>
      <c r="H3835" s="913" t="s">
        <v>2014</v>
      </c>
      <c r="I3835" s="253">
        <v>241</v>
      </c>
      <c r="J3835" s="253">
        <v>5294.3729539980286</v>
      </c>
      <c r="K3835" s="904">
        <f t="shared" si="67"/>
        <v>1275944</v>
      </c>
      <c r="L3835" s="869" t="s">
        <v>167</v>
      </c>
      <c r="M3835" s="869" t="s">
        <v>165</v>
      </c>
      <c r="N3835" s="52" t="str">
        <f>IF(AND('331-CT'!$E$7=TH!H3835,OR(L3835="331",M3835="331")),"331",IF(AND(OR(L3835="131",M3835="131"),H3835='131-CT'!$E$7),"131",""))</f>
        <v/>
      </c>
      <c r="O3835" s="869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799"/>
    </row>
    <row r="3836" spans="1:27" s="210" customFormat="1" ht="15.75" customHeight="1">
      <c r="A3836" s="203" t="str">
        <f>IF(B3836&lt;&gt;"",IF(AND(B3836&gt;=_TM1,B3836&lt;=_TM2,OR(TH!L3836="1111",TH!M3836="1111")),TH!D3836,""),"")</f>
        <v/>
      </c>
      <c r="B3836" s="36">
        <f t="shared" si="65"/>
        <v>12</v>
      </c>
      <c r="C3836" s="899">
        <f t="shared" si="66"/>
        <v>42356</v>
      </c>
      <c r="D3836" s="900" t="s">
        <v>2013</v>
      </c>
      <c r="E3836" s="900">
        <v>42356</v>
      </c>
      <c r="F3836" s="907" t="s">
        <v>1687</v>
      </c>
      <c r="G3836" s="902" t="s">
        <v>1274</v>
      </c>
      <c r="H3836" s="913" t="s">
        <v>2014</v>
      </c>
      <c r="I3836" s="253">
        <v>241</v>
      </c>
      <c r="J3836" s="253">
        <v>671.11769839411636</v>
      </c>
      <c r="K3836" s="904">
        <f t="shared" si="67"/>
        <v>161739</v>
      </c>
      <c r="L3836" s="869" t="s">
        <v>167</v>
      </c>
      <c r="M3836" s="869" t="s">
        <v>165</v>
      </c>
      <c r="N3836" s="52" t="str">
        <f>IF(AND('331-CT'!$E$7=TH!H3836,OR(L3836="331",M3836="331")),"331",IF(AND(OR(L3836="131",M3836="131"),H3836='131-CT'!$E$7),"131",""))</f>
        <v/>
      </c>
      <c r="O3836" s="869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799"/>
    </row>
    <row r="3837" spans="1:27" s="210" customFormat="1" ht="15.75" customHeight="1">
      <c r="A3837" s="203" t="str">
        <f>IF(B3837&lt;&gt;"",IF(AND(B3837&gt;=_TM1,B3837&lt;=_TM2,OR(TH!L3837="1111",TH!M3837="1111")),TH!D3837,""),"")</f>
        <v/>
      </c>
      <c r="B3837" s="36">
        <f t="shared" si="65"/>
        <v>12</v>
      </c>
      <c r="C3837" s="899">
        <f t="shared" si="66"/>
        <v>42356</v>
      </c>
      <c r="D3837" s="900" t="s">
        <v>2013</v>
      </c>
      <c r="E3837" s="900">
        <v>42356</v>
      </c>
      <c r="F3837" s="907" t="s">
        <v>1777</v>
      </c>
      <c r="G3837" s="902" t="s">
        <v>1275</v>
      </c>
      <c r="H3837" s="913" t="s">
        <v>2014</v>
      </c>
      <c r="I3837" s="253">
        <v>480</v>
      </c>
      <c r="J3837" s="253">
        <v>11781.844038474488</v>
      </c>
      <c r="K3837" s="904">
        <f t="shared" si="67"/>
        <v>5655285</v>
      </c>
      <c r="L3837" s="869" t="s">
        <v>167</v>
      </c>
      <c r="M3837" s="869" t="s">
        <v>165</v>
      </c>
      <c r="N3837" s="52" t="str">
        <f>IF(AND('331-CT'!$E$7=TH!H3837,OR(L3837="331",M3837="331")),"331",IF(AND(OR(L3837="131",M3837="131"),H3837='131-CT'!$E$7),"131",""))</f>
        <v/>
      </c>
      <c r="O3837" s="869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799"/>
    </row>
    <row r="3838" spans="1:27" s="210" customFormat="1" ht="15.75" customHeight="1">
      <c r="A3838" s="203" t="str">
        <f>IF(B3838&lt;&gt;"",IF(AND(B3838&gt;=_TM1,B3838&lt;=_TM2,OR(TH!L3838="1111",TH!M3838="1111")),TH!D3838,""),"")</f>
        <v/>
      </c>
      <c r="B3838" s="36">
        <f t="shared" si="65"/>
        <v>12</v>
      </c>
      <c r="C3838" s="899">
        <f t="shared" si="66"/>
        <v>42356</v>
      </c>
      <c r="D3838" s="900" t="s">
        <v>2013</v>
      </c>
      <c r="E3838" s="900">
        <v>42356</v>
      </c>
      <c r="F3838" s="907" t="s">
        <v>728</v>
      </c>
      <c r="G3838" s="902" t="s">
        <v>1275</v>
      </c>
      <c r="H3838" s="913" t="s">
        <v>2014</v>
      </c>
      <c r="I3838" s="253">
        <v>500</v>
      </c>
      <c r="J3838" s="253">
        <v>12676.667636333308</v>
      </c>
      <c r="K3838" s="904">
        <f t="shared" si="67"/>
        <v>6338334</v>
      </c>
      <c r="L3838" s="869" t="s">
        <v>167</v>
      </c>
      <c r="M3838" s="869" t="s">
        <v>165</v>
      </c>
      <c r="N3838" s="52" t="str">
        <f>IF(AND('331-CT'!$E$7=TH!H3838,OR(L3838="331",M3838="331")),"331",IF(AND(OR(L3838="131",M3838="131"),H3838='131-CT'!$E$7),"131",""))</f>
        <v/>
      </c>
      <c r="O3838" s="869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799"/>
    </row>
    <row r="3839" spans="1:27" s="210" customFormat="1" ht="15.75" customHeight="1">
      <c r="A3839" s="203" t="str">
        <f>IF(B3839&lt;&gt;"",IF(AND(B3839&gt;=_TM1,B3839&lt;=_TM2,OR(TH!L3839="1111",TH!M3839="1111")),TH!D3839,""),"")</f>
        <v/>
      </c>
      <c r="B3839" s="36">
        <f t="shared" si="65"/>
        <v>12</v>
      </c>
      <c r="C3839" s="899">
        <f t="shared" si="66"/>
        <v>42356</v>
      </c>
      <c r="D3839" s="900" t="s">
        <v>2013</v>
      </c>
      <c r="E3839" s="900">
        <v>42356</v>
      </c>
      <c r="F3839" s="907" t="s">
        <v>745</v>
      </c>
      <c r="G3839" s="902" t="s">
        <v>1275</v>
      </c>
      <c r="H3839" s="913" t="s">
        <v>2014</v>
      </c>
      <c r="I3839" s="253">
        <v>500</v>
      </c>
      <c r="J3839" s="253">
        <v>7904.2751144195927</v>
      </c>
      <c r="K3839" s="904">
        <f t="shared" si="67"/>
        <v>3952138</v>
      </c>
      <c r="L3839" s="869" t="s">
        <v>167</v>
      </c>
      <c r="M3839" s="869" t="s">
        <v>165</v>
      </c>
      <c r="N3839" s="52" t="str">
        <f>IF(AND('331-CT'!$E$7=TH!H3839,OR(L3839="331",M3839="331")),"331",IF(AND(OR(L3839="131",M3839="131"),H3839='131-CT'!$E$7),"131",""))</f>
        <v/>
      </c>
      <c r="O3839" s="869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799"/>
    </row>
    <row r="3840" spans="1:27" s="210" customFormat="1" ht="15.75" customHeight="1">
      <c r="A3840" s="203" t="str">
        <f>IF(B3840&lt;&gt;"",IF(AND(B3840&gt;=_TM1,B3840&lt;=_TM2,OR(TH!L3840="1111",TH!M3840="1111")),TH!D3840,""),"")</f>
        <v/>
      </c>
      <c r="B3840" s="36">
        <f t="shared" si="65"/>
        <v>12</v>
      </c>
      <c r="C3840" s="899">
        <f t="shared" si="66"/>
        <v>42356</v>
      </c>
      <c r="D3840" s="900" t="s">
        <v>2013</v>
      </c>
      <c r="E3840" s="900">
        <v>42356</v>
      </c>
      <c r="F3840" s="907" t="s">
        <v>1749</v>
      </c>
      <c r="G3840" s="902" t="s">
        <v>1275</v>
      </c>
      <c r="H3840" s="913" t="s">
        <v>2014</v>
      </c>
      <c r="I3840" s="253">
        <v>50</v>
      </c>
      <c r="J3840" s="253">
        <v>13795.197133656837</v>
      </c>
      <c r="K3840" s="904">
        <f t="shared" si="67"/>
        <v>689760</v>
      </c>
      <c r="L3840" s="869" t="s">
        <v>167</v>
      </c>
      <c r="M3840" s="869" t="s">
        <v>165</v>
      </c>
      <c r="N3840" s="52" t="str">
        <f>IF(AND('331-CT'!$E$7=TH!H3840,OR(L3840="331",M3840="331")),"331",IF(AND(OR(L3840="131",M3840="131"),H3840='131-CT'!$E$7),"131",""))</f>
        <v/>
      </c>
      <c r="O3840" s="869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799"/>
    </row>
    <row r="3841" spans="1:27" s="210" customFormat="1" ht="15.75" customHeight="1">
      <c r="A3841" s="203" t="str">
        <f>IF(B3841&lt;&gt;"",IF(AND(B3841&gt;=_TM1,B3841&lt;=_TM2,OR(TH!L3841="1111",TH!M3841="1111")),TH!D3841,""),"")</f>
        <v/>
      </c>
      <c r="B3841" s="36">
        <f t="shared" si="65"/>
        <v>12</v>
      </c>
      <c r="C3841" s="899">
        <f t="shared" si="66"/>
        <v>42357</v>
      </c>
      <c r="D3841" s="900" t="s">
        <v>2013</v>
      </c>
      <c r="E3841" s="900">
        <v>42357</v>
      </c>
      <c r="F3841" s="907" t="s">
        <v>424</v>
      </c>
      <c r="G3841" s="902" t="s">
        <v>1276</v>
      </c>
      <c r="H3841" s="913" t="s">
        <v>2014</v>
      </c>
      <c r="I3841" s="253">
        <v>5800</v>
      </c>
      <c r="J3841" s="253">
        <v>7829.7064812646913</v>
      </c>
      <c r="K3841" s="904">
        <f t="shared" si="67"/>
        <v>45412298</v>
      </c>
      <c r="L3841" s="869" t="s">
        <v>167</v>
      </c>
      <c r="M3841" s="869" t="s">
        <v>165</v>
      </c>
      <c r="N3841" s="52" t="str">
        <f>IF(AND('331-CT'!$E$7=TH!H3841,OR(L3841="331",M3841="331")),"331",IF(AND(OR(L3841="131",M3841="131"),H3841='131-CT'!$E$7),"131",""))</f>
        <v/>
      </c>
      <c r="O3841" s="869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799"/>
    </row>
    <row r="3842" spans="1:27" s="210" customFormat="1" ht="15.75" customHeight="1">
      <c r="A3842" s="203" t="str">
        <f>IF(B3842&lt;&gt;"",IF(AND(B3842&gt;=_TM1,B3842&lt;=_TM2,OR(TH!L3842="1111",TH!M3842="1111")),TH!D3842,""),"")</f>
        <v/>
      </c>
      <c r="B3842" s="36">
        <f t="shared" si="65"/>
        <v>12</v>
      </c>
      <c r="C3842" s="899">
        <f t="shared" si="66"/>
        <v>42357</v>
      </c>
      <c r="D3842" s="900" t="s">
        <v>2013</v>
      </c>
      <c r="E3842" s="900">
        <v>42357</v>
      </c>
      <c r="F3842" s="907" t="s">
        <v>1277</v>
      </c>
      <c r="G3842" s="902" t="s">
        <v>1276</v>
      </c>
      <c r="H3842" s="913" t="s">
        <v>2014</v>
      </c>
      <c r="I3842" s="253">
        <v>55</v>
      </c>
      <c r="J3842" s="253">
        <v>8575.3928128137086</v>
      </c>
      <c r="K3842" s="904">
        <f t="shared" si="67"/>
        <v>471647</v>
      </c>
      <c r="L3842" s="869" t="s">
        <v>167</v>
      </c>
      <c r="M3842" s="869" t="s">
        <v>165</v>
      </c>
      <c r="N3842" s="52" t="str">
        <f>IF(AND('331-CT'!$E$7=TH!H3842,OR(L3842="331",M3842="331")),"331",IF(AND(OR(L3842="131",M3842="131"),H3842='131-CT'!$E$7),"131",""))</f>
        <v/>
      </c>
      <c r="O3842" s="869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799"/>
    </row>
    <row r="3843" spans="1:27" s="210" customFormat="1" ht="15.75" customHeight="1">
      <c r="A3843" s="203" t="str">
        <f>IF(B3843&lt;&gt;"",IF(AND(B3843&gt;=_TM1,B3843&lt;=_TM2,OR(TH!L3843="1111",TH!M3843="1111")),TH!D3843,""),"")</f>
        <v/>
      </c>
      <c r="B3843" s="36">
        <f t="shared" si="65"/>
        <v>12</v>
      </c>
      <c r="C3843" s="899">
        <f t="shared" si="66"/>
        <v>42357</v>
      </c>
      <c r="D3843" s="900" t="s">
        <v>2013</v>
      </c>
      <c r="E3843" s="900">
        <v>42357</v>
      </c>
      <c r="F3843" s="907" t="s">
        <v>602</v>
      </c>
      <c r="G3843" s="902" t="s">
        <v>1276</v>
      </c>
      <c r="H3843" s="913" t="s">
        <v>2014</v>
      </c>
      <c r="I3843" s="253">
        <v>161</v>
      </c>
      <c r="J3843" s="253">
        <v>9395.6477775176299</v>
      </c>
      <c r="K3843" s="904">
        <f t="shared" si="67"/>
        <v>1512699</v>
      </c>
      <c r="L3843" s="869" t="s">
        <v>167</v>
      </c>
      <c r="M3843" s="869" t="s">
        <v>165</v>
      </c>
      <c r="N3843" s="52" t="str">
        <f>IF(AND('331-CT'!$E$7=TH!H3843,OR(L3843="331",M3843="331")),"331",IF(AND(OR(L3843="131",M3843="131"),H3843='131-CT'!$E$7),"131",""))</f>
        <v/>
      </c>
      <c r="O3843" s="869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799"/>
    </row>
    <row r="3844" spans="1:27" s="210" customFormat="1" ht="15.75" customHeight="1">
      <c r="A3844" s="203" t="str">
        <f>IF(B3844&lt;&gt;"",IF(AND(B3844&gt;=_TM1,B3844&lt;=_TM2,OR(TH!L3844="1111",TH!M3844="1111")),TH!D3844,""),"")</f>
        <v/>
      </c>
      <c r="B3844" s="36">
        <f t="shared" si="65"/>
        <v>12</v>
      </c>
      <c r="C3844" s="899">
        <f t="shared" si="66"/>
        <v>42357</v>
      </c>
      <c r="D3844" s="900" t="s">
        <v>2013</v>
      </c>
      <c r="E3844" s="900">
        <v>42357</v>
      </c>
      <c r="F3844" s="907" t="s">
        <v>1240</v>
      </c>
      <c r="G3844" s="902" t="s">
        <v>1278</v>
      </c>
      <c r="H3844" s="913" t="s">
        <v>2014</v>
      </c>
      <c r="I3844" s="253">
        <v>251</v>
      </c>
      <c r="J3844" s="253">
        <v>63383.338181666542</v>
      </c>
      <c r="K3844" s="904">
        <f t="shared" si="67"/>
        <v>15909218</v>
      </c>
      <c r="L3844" s="869" t="s">
        <v>167</v>
      </c>
      <c r="M3844" s="869" t="s">
        <v>165</v>
      </c>
      <c r="N3844" s="52" t="str">
        <f>IF(AND('331-CT'!$E$7=TH!H3844,OR(L3844="331",M3844="331")),"331",IF(AND(OR(L3844="131",M3844="131"),H3844='131-CT'!$E$7),"131",""))</f>
        <v/>
      </c>
      <c r="O3844" s="869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799"/>
    </row>
    <row r="3845" spans="1:27" s="210" customFormat="1" ht="15.75" customHeight="1">
      <c r="A3845" s="203" t="str">
        <f>IF(B3845&lt;&gt;"",IF(AND(B3845&gt;=_TM1,B3845&lt;=_TM2,OR(TH!L3845="1111",TH!M3845="1111")),TH!D3845,""),"")</f>
        <v/>
      </c>
      <c r="B3845" s="36">
        <f t="shared" si="65"/>
        <v>12</v>
      </c>
      <c r="C3845" s="899">
        <f t="shared" si="66"/>
        <v>42359</v>
      </c>
      <c r="D3845" s="900" t="s">
        <v>2013</v>
      </c>
      <c r="E3845" s="900">
        <v>42359</v>
      </c>
      <c r="F3845" s="907" t="s">
        <v>1948</v>
      </c>
      <c r="G3845" s="902" t="s">
        <v>1279</v>
      </c>
      <c r="H3845" s="913" t="s">
        <v>2014</v>
      </c>
      <c r="I3845" s="253">
        <v>3935</v>
      </c>
      <c r="J3845" s="253">
        <v>9246.5105112078254</v>
      </c>
      <c r="K3845" s="904">
        <f t="shared" si="67"/>
        <v>36385019</v>
      </c>
      <c r="L3845" s="869" t="s">
        <v>167</v>
      </c>
      <c r="M3845" s="869" t="s">
        <v>165</v>
      </c>
      <c r="N3845" s="52" t="str">
        <f>IF(AND('331-CT'!$E$7=TH!H3845,OR(L3845="331",M3845="331")),"331",IF(AND(OR(L3845="131",M3845="131"),H3845='131-CT'!$E$7),"131",""))</f>
        <v/>
      </c>
      <c r="O3845" s="869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799"/>
    </row>
    <row r="3846" spans="1:27" s="210" customFormat="1" ht="15.75" customHeight="1">
      <c r="A3846" s="203" t="str">
        <f>IF(B3846&lt;&gt;"",IF(AND(B3846&gt;=_TM1,B3846&lt;=_TM2,OR(TH!L3846="1111",TH!M3846="1111")),TH!D3846,""),"")</f>
        <v/>
      </c>
      <c r="B3846" s="36">
        <f t="shared" si="65"/>
        <v>12</v>
      </c>
      <c r="C3846" s="899">
        <f t="shared" si="66"/>
        <v>42359</v>
      </c>
      <c r="D3846" s="900" t="s">
        <v>2013</v>
      </c>
      <c r="E3846" s="900">
        <v>42359</v>
      </c>
      <c r="F3846" s="907" t="s">
        <v>1953</v>
      </c>
      <c r="G3846" s="902" t="s">
        <v>1280</v>
      </c>
      <c r="H3846" s="913" t="s">
        <v>2014</v>
      </c>
      <c r="I3846" s="253">
        <v>400</v>
      </c>
      <c r="J3846" s="253">
        <v>5965.4906523921454</v>
      </c>
      <c r="K3846" s="904">
        <f t="shared" si="67"/>
        <v>2386196</v>
      </c>
      <c r="L3846" s="869" t="s">
        <v>167</v>
      </c>
      <c r="M3846" s="869" t="s">
        <v>165</v>
      </c>
      <c r="N3846" s="52" t="str">
        <f>IF(AND('331-CT'!$E$7=TH!H3846,OR(L3846="331",M3846="331")),"331",IF(AND(OR(L3846="131",M3846="131"),H3846='131-CT'!$E$7),"131",""))</f>
        <v/>
      </c>
      <c r="O3846" s="869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799"/>
    </row>
    <row r="3847" spans="1:27" s="210" customFormat="1" ht="15.75" customHeight="1">
      <c r="A3847" s="203" t="str">
        <f>IF(B3847&lt;&gt;"",IF(AND(B3847&gt;=_TM1,B3847&lt;=_TM2,OR(TH!L3847="1111",TH!M3847="1111")),TH!D3847,""),"")</f>
        <v/>
      </c>
      <c r="B3847" s="36">
        <f t="shared" si="65"/>
        <v>12</v>
      </c>
      <c r="C3847" s="899">
        <f t="shared" si="66"/>
        <v>42359</v>
      </c>
      <c r="D3847" s="900" t="s">
        <v>2013</v>
      </c>
      <c r="E3847" s="900">
        <v>42359</v>
      </c>
      <c r="F3847" s="907" t="s">
        <v>1956</v>
      </c>
      <c r="G3847" s="902" t="s">
        <v>1280</v>
      </c>
      <c r="H3847" s="913" t="s">
        <v>2014</v>
      </c>
      <c r="I3847" s="253">
        <v>2000</v>
      </c>
      <c r="J3847" s="253">
        <v>2908.1766930411709</v>
      </c>
      <c r="K3847" s="904">
        <f t="shared" si="67"/>
        <v>5816353</v>
      </c>
      <c r="L3847" s="869" t="s">
        <v>167</v>
      </c>
      <c r="M3847" s="869" t="s">
        <v>165</v>
      </c>
      <c r="N3847" s="52" t="str">
        <f>IF(AND('331-CT'!$E$7=TH!H3847,OR(L3847="331",M3847="331")),"331",IF(AND(OR(L3847="131",M3847="131"),H3847='131-CT'!$E$7),"131",""))</f>
        <v/>
      </c>
      <c r="O3847" s="869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799"/>
    </row>
    <row r="3848" spans="1:27" s="210" customFormat="1" ht="15.75" customHeight="1">
      <c r="A3848" s="203" t="str">
        <f>IF(B3848&lt;&gt;"",IF(AND(B3848&gt;=_TM1,B3848&lt;=_TM2,OR(TH!L3848="1111",TH!M3848="1111")),TH!D3848,""),"")</f>
        <v/>
      </c>
      <c r="B3848" s="36">
        <f t="shared" si="65"/>
        <v>12</v>
      </c>
      <c r="C3848" s="899">
        <f t="shared" si="66"/>
        <v>42359</v>
      </c>
      <c r="D3848" s="900" t="s">
        <v>2013</v>
      </c>
      <c r="E3848" s="900">
        <v>42359</v>
      </c>
      <c r="F3848" s="907" t="s">
        <v>1954</v>
      </c>
      <c r="G3848" s="902" t="s">
        <v>1280</v>
      </c>
      <c r="H3848" s="913" t="s">
        <v>2014</v>
      </c>
      <c r="I3848" s="253">
        <v>200</v>
      </c>
      <c r="J3848" s="253">
        <v>6114.6279187019491</v>
      </c>
      <c r="K3848" s="904">
        <f t="shared" si="67"/>
        <v>1222926</v>
      </c>
      <c r="L3848" s="869" t="s">
        <v>167</v>
      </c>
      <c r="M3848" s="869" t="s">
        <v>165</v>
      </c>
      <c r="N3848" s="52" t="str">
        <f>IF(AND('331-CT'!$E$7=TH!H3848,OR(L3848="331",M3848="331")),"331",IF(AND(OR(L3848="131",M3848="131"),H3848='131-CT'!$E$7),"131",""))</f>
        <v/>
      </c>
      <c r="O3848" s="869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799"/>
    </row>
    <row r="3849" spans="1:27" s="210" customFormat="1" ht="15.75" customHeight="1">
      <c r="A3849" s="203" t="str">
        <f>IF(B3849&lt;&gt;"",IF(AND(B3849&gt;=_TM1,B3849&lt;=_TM2,OR(TH!L3849="1111",TH!M3849="1111")),TH!D3849,""),"")</f>
        <v/>
      </c>
      <c r="B3849" s="36">
        <f t="shared" si="65"/>
        <v>12</v>
      </c>
      <c r="C3849" s="899">
        <f t="shared" si="66"/>
        <v>42361</v>
      </c>
      <c r="D3849" s="900" t="s">
        <v>2013</v>
      </c>
      <c r="E3849" s="900">
        <v>42361</v>
      </c>
      <c r="F3849" s="907" t="s">
        <v>1140</v>
      </c>
      <c r="G3849" s="902" t="s">
        <v>1281</v>
      </c>
      <c r="H3849" s="913" t="s">
        <v>2014</v>
      </c>
      <c r="I3849" s="253">
        <v>1453</v>
      </c>
      <c r="J3849" s="253">
        <v>8500.8241796588063</v>
      </c>
      <c r="K3849" s="904">
        <f t="shared" si="67"/>
        <v>12351698</v>
      </c>
      <c r="L3849" s="869" t="s">
        <v>167</v>
      </c>
      <c r="M3849" s="869" t="s">
        <v>165</v>
      </c>
      <c r="N3849" s="52" t="str">
        <f>IF(AND('331-CT'!$E$7=TH!H3849,OR(L3849="331",M3849="331")),"331",IF(AND(OR(L3849="131",M3849="131"),H3849='131-CT'!$E$7),"131",""))</f>
        <v/>
      </c>
      <c r="O3849" s="869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799"/>
    </row>
    <row r="3850" spans="1:27" s="210" customFormat="1" ht="15.75" customHeight="1">
      <c r="A3850" s="203" t="str">
        <f>IF(B3850&lt;&gt;"",IF(AND(B3850&gt;=_TM1,B3850&lt;=_TM2,OR(TH!L3850="1111",TH!M3850="1111")),TH!D3850,""),"")</f>
        <v/>
      </c>
      <c r="B3850" s="36">
        <f t="shared" si="65"/>
        <v>12</v>
      </c>
      <c r="C3850" s="899">
        <f t="shared" si="66"/>
        <v>42361</v>
      </c>
      <c r="D3850" s="900" t="s">
        <v>2013</v>
      </c>
      <c r="E3850" s="900">
        <v>42361</v>
      </c>
      <c r="F3850" s="907" t="s">
        <v>1140</v>
      </c>
      <c r="G3850" s="902" t="s">
        <v>1281</v>
      </c>
      <c r="H3850" s="913" t="s">
        <v>2014</v>
      </c>
      <c r="I3850" s="253">
        <v>100</v>
      </c>
      <c r="J3850" s="253">
        <v>8500.8241796588063</v>
      </c>
      <c r="K3850" s="904">
        <f t="shared" si="67"/>
        <v>850082</v>
      </c>
      <c r="L3850" s="869" t="s">
        <v>167</v>
      </c>
      <c r="M3850" s="869" t="s">
        <v>165</v>
      </c>
      <c r="N3850" s="52" t="str">
        <f>IF(AND('331-CT'!$E$7=TH!H3850,OR(L3850="331",M3850="331")),"331",IF(AND(OR(L3850="131",M3850="131"),H3850='131-CT'!$E$7),"131",""))</f>
        <v/>
      </c>
      <c r="O3850" s="869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799"/>
    </row>
    <row r="3851" spans="1:27" s="210" customFormat="1" ht="15.75" customHeight="1">
      <c r="A3851" s="203" t="str">
        <f>IF(B3851&lt;&gt;"",IF(AND(B3851&gt;=_TM1,B3851&lt;=_TM2,OR(TH!L3851="1111",TH!M3851="1111")),TH!D3851,""),"")</f>
        <v/>
      </c>
      <c r="B3851" s="36">
        <f t="shared" si="65"/>
        <v>12</v>
      </c>
      <c r="C3851" s="899">
        <f t="shared" si="66"/>
        <v>42361</v>
      </c>
      <c r="D3851" s="900" t="s">
        <v>2013</v>
      </c>
      <c r="E3851" s="900">
        <v>42361</v>
      </c>
      <c r="F3851" s="907" t="s">
        <v>1654</v>
      </c>
      <c r="G3851" s="902" t="s">
        <v>1281</v>
      </c>
      <c r="H3851" s="913" t="s">
        <v>2014</v>
      </c>
      <c r="I3851" s="253">
        <v>3106</v>
      </c>
      <c r="J3851" s="253">
        <v>745.68633154901818</v>
      </c>
      <c r="K3851" s="904">
        <f t="shared" si="67"/>
        <v>2316102</v>
      </c>
      <c r="L3851" s="869" t="s">
        <v>167</v>
      </c>
      <c r="M3851" s="869" t="s">
        <v>165</v>
      </c>
      <c r="N3851" s="52" t="str">
        <f>IF(AND('331-CT'!$E$7=TH!H3851,OR(L3851="331",M3851="331")),"331",IF(AND(OR(L3851="131",M3851="131"),H3851='131-CT'!$E$7),"131",""))</f>
        <v/>
      </c>
      <c r="O3851" s="869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799"/>
    </row>
    <row r="3852" spans="1:27" s="210" customFormat="1" ht="15.75" customHeight="1">
      <c r="A3852" s="203" t="str">
        <f>IF(B3852&lt;&gt;"",IF(AND(B3852&gt;=_TM1,B3852&lt;=_TM2,OR(TH!L3852="1111",TH!M3852="1111")),TH!D3852,""),"")</f>
        <v/>
      </c>
      <c r="B3852" s="36">
        <f t="shared" si="65"/>
        <v>12</v>
      </c>
      <c r="C3852" s="899">
        <f t="shared" si="66"/>
        <v>42361</v>
      </c>
      <c r="D3852" s="900" t="s">
        <v>2013</v>
      </c>
      <c r="E3852" s="900">
        <v>42361</v>
      </c>
      <c r="F3852" s="907" t="s">
        <v>1952</v>
      </c>
      <c r="G3852" s="902" t="s">
        <v>1282</v>
      </c>
      <c r="H3852" s="913" t="s">
        <v>2014</v>
      </c>
      <c r="I3852" s="253">
        <v>100</v>
      </c>
      <c r="J3852" s="253">
        <v>9917.6282096019422</v>
      </c>
      <c r="K3852" s="904">
        <f t="shared" si="67"/>
        <v>991763</v>
      </c>
      <c r="L3852" s="869" t="s">
        <v>167</v>
      </c>
      <c r="M3852" s="869" t="s">
        <v>165</v>
      </c>
      <c r="N3852" s="52" t="str">
        <f>IF(AND('331-CT'!$E$7=TH!H3852,OR(L3852="331",M3852="331")),"331",IF(AND(OR(L3852="131",M3852="131"),H3852='131-CT'!$E$7),"131",""))</f>
        <v/>
      </c>
      <c r="O3852" s="869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799"/>
    </row>
    <row r="3853" spans="1:27" s="210" customFormat="1" ht="15.75" customHeight="1">
      <c r="A3853" s="203" t="str">
        <f>IF(B3853&lt;&gt;"",IF(AND(B3853&gt;=_TM1,B3853&lt;=_TM2,OR(TH!L3853="1111",TH!M3853="1111")),TH!D3853,""),"")</f>
        <v/>
      </c>
      <c r="B3853" s="36">
        <f t="shared" si="65"/>
        <v>12</v>
      </c>
      <c r="C3853" s="899">
        <f t="shared" si="66"/>
        <v>42363</v>
      </c>
      <c r="D3853" s="900" t="s">
        <v>2013</v>
      </c>
      <c r="E3853" s="900">
        <v>42363</v>
      </c>
      <c r="F3853" s="907" t="s">
        <v>844</v>
      </c>
      <c r="G3853" s="902" t="s">
        <v>1283</v>
      </c>
      <c r="H3853" s="913" t="s">
        <v>2014</v>
      </c>
      <c r="I3853" s="253">
        <v>300</v>
      </c>
      <c r="J3853" s="253">
        <v>8500.8241796588063</v>
      </c>
      <c r="K3853" s="904">
        <f t="shared" si="67"/>
        <v>2550247</v>
      </c>
      <c r="L3853" s="869" t="s">
        <v>167</v>
      </c>
      <c r="M3853" s="869" t="s">
        <v>165</v>
      </c>
      <c r="N3853" s="52" t="str">
        <f>IF(AND('331-CT'!$E$7=TH!H3853,OR(L3853="331",M3853="331")),"331",IF(AND(OR(L3853="131",M3853="131"),H3853='131-CT'!$E$7),"131",""))</f>
        <v/>
      </c>
      <c r="O3853" s="869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799"/>
    </row>
    <row r="3854" spans="1:27" s="210" customFormat="1" ht="15.75" customHeight="1">
      <c r="A3854" s="203" t="str">
        <f>IF(B3854&lt;&gt;"",IF(AND(B3854&gt;=_TM1,B3854&lt;=_TM2,OR(TH!L3854="1111",TH!M3854="1111")),TH!D3854,""),"")</f>
        <v/>
      </c>
      <c r="B3854" s="36">
        <f t="shared" si="65"/>
        <v>12</v>
      </c>
      <c r="C3854" s="899">
        <f t="shared" si="66"/>
        <v>42363</v>
      </c>
      <c r="D3854" s="900" t="s">
        <v>2013</v>
      </c>
      <c r="E3854" s="900">
        <v>42363</v>
      </c>
      <c r="F3854" s="907" t="s">
        <v>624</v>
      </c>
      <c r="G3854" s="902" t="s">
        <v>1283</v>
      </c>
      <c r="H3854" s="913" t="s">
        <v>2014</v>
      </c>
      <c r="I3854" s="253">
        <v>102</v>
      </c>
      <c r="J3854" s="253">
        <v>42951.532697223447</v>
      </c>
      <c r="K3854" s="904">
        <f t="shared" si="67"/>
        <v>4381056</v>
      </c>
      <c r="L3854" s="869" t="s">
        <v>167</v>
      </c>
      <c r="M3854" s="869" t="s">
        <v>165</v>
      </c>
      <c r="N3854" s="52" t="str">
        <f>IF(AND('331-CT'!$E$7=TH!H3854,OR(L3854="331",M3854="331")),"331",IF(AND(OR(L3854="131",M3854="131"),H3854='131-CT'!$E$7),"131",""))</f>
        <v/>
      </c>
      <c r="O3854" s="869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799"/>
    </row>
    <row r="3855" spans="1:27" s="210" customFormat="1" ht="15.75" customHeight="1">
      <c r="A3855" s="203" t="str">
        <f>IF(B3855&lt;&gt;"",IF(AND(B3855&gt;=_TM1,B3855&lt;=_TM2,OR(TH!L3855="1111",TH!M3855="1111")),TH!D3855,""),"")</f>
        <v/>
      </c>
      <c r="B3855" s="36">
        <f t="shared" si="65"/>
        <v>12</v>
      </c>
      <c r="C3855" s="899">
        <f t="shared" si="66"/>
        <v>42363</v>
      </c>
      <c r="D3855" s="900" t="s">
        <v>2013</v>
      </c>
      <c r="E3855" s="900">
        <v>42363</v>
      </c>
      <c r="F3855" s="907" t="s">
        <v>1284</v>
      </c>
      <c r="G3855" s="902" t="s">
        <v>1283</v>
      </c>
      <c r="H3855" s="913" t="s">
        <v>2014</v>
      </c>
      <c r="I3855" s="253">
        <v>17</v>
      </c>
      <c r="J3855" s="253">
        <v>37880.865642690122</v>
      </c>
      <c r="K3855" s="904">
        <f t="shared" si="67"/>
        <v>643975</v>
      </c>
      <c r="L3855" s="869" t="s">
        <v>167</v>
      </c>
      <c r="M3855" s="869" t="s">
        <v>165</v>
      </c>
      <c r="N3855" s="52" t="str">
        <f>IF(AND('331-CT'!$E$7=TH!H3855,OR(L3855="331",M3855="331")),"331",IF(AND(OR(L3855="131",M3855="131"),H3855='131-CT'!$E$7),"131",""))</f>
        <v/>
      </c>
      <c r="O3855" s="869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799"/>
    </row>
    <row r="3856" spans="1:27" s="210" customFormat="1" ht="15.75" customHeight="1">
      <c r="A3856" s="203" t="str">
        <f>IF(B3856&lt;&gt;"",IF(AND(B3856&gt;=_TM1,B3856&lt;=_TM2,OR(TH!L3856="1111",TH!M3856="1111")),TH!D3856,""),"")</f>
        <v/>
      </c>
      <c r="B3856" s="36">
        <f t="shared" si="65"/>
        <v>12</v>
      </c>
      <c r="C3856" s="899">
        <f t="shared" si="66"/>
        <v>42363</v>
      </c>
      <c r="D3856" s="900" t="s">
        <v>2013</v>
      </c>
      <c r="E3856" s="900">
        <v>42363</v>
      </c>
      <c r="F3856" s="907" t="s">
        <v>1285</v>
      </c>
      <c r="G3856" s="902" t="s">
        <v>1286</v>
      </c>
      <c r="H3856" s="913" t="s">
        <v>2014</v>
      </c>
      <c r="I3856" s="253">
        <v>380</v>
      </c>
      <c r="J3856" s="253">
        <v>7755.137848109789</v>
      </c>
      <c r="K3856" s="904">
        <f t="shared" si="67"/>
        <v>2946952</v>
      </c>
      <c r="L3856" s="869" t="s">
        <v>167</v>
      </c>
      <c r="M3856" s="869" t="s">
        <v>165</v>
      </c>
      <c r="N3856" s="52" t="str">
        <f>IF(AND('331-CT'!$E$7=TH!H3856,OR(L3856="331",M3856="331")),"331",IF(AND(OR(L3856="131",M3856="131"),H3856='131-CT'!$E$7),"131",""))</f>
        <v/>
      </c>
      <c r="O3856" s="869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799"/>
    </row>
    <row r="3857" spans="1:27" s="210" customFormat="1" ht="15.75" customHeight="1">
      <c r="A3857" s="203" t="str">
        <f>IF(B3857&lt;&gt;"",IF(AND(B3857&gt;=_TM1,B3857&lt;=_TM2,OR(TH!L3857="1111",TH!M3857="1111")),TH!D3857,""),"")</f>
        <v/>
      </c>
      <c r="B3857" s="36">
        <f t="shared" si="60"/>
        <v>12</v>
      </c>
      <c r="C3857" s="899">
        <f t="shared" si="47"/>
        <v>42363</v>
      </c>
      <c r="D3857" s="900" t="s">
        <v>2013</v>
      </c>
      <c r="E3857" s="900">
        <v>42363</v>
      </c>
      <c r="F3857" s="907" t="s">
        <v>1103</v>
      </c>
      <c r="G3857" s="902" t="s">
        <v>1287</v>
      </c>
      <c r="H3857" s="913" t="s">
        <v>2014</v>
      </c>
      <c r="I3857" s="253">
        <v>218</v>
      </c>
      <c r="J3857" s="253">
        <v>5965.4906523921454</v>
      </c>
      <c r="K3857" s="904">
        <f t="shared" si="61"/>
        <v>1300477</v>
      </c>
      <c r="L3857" s="869" t="s">
        <v>167</v>
      </c>
      <c r="M3857" s="869" t="s">
        <v>165</v>
      </c>
      <c r="N3857" s="52" t="str">
        <f>IF(AND('331-CT'!$E$7=TH!H3857,OR(L3857="331",M3857="331")),"331",IF(AND(OR(L3857="131",M3857="131"),H3857='131-CT'!$E$7),"131",""))</f>
        <v/>
      </c>
      <c r="O3857" s="869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799"/>
    </row>
    <row r="3858" spans="1:27" s="210" customFormat="1" ht="15.75" customHeight="1">
      <c r="A3858" s="203" t="str">
        <f>IF(B3858&lt;&gt;"",IF(AND(B3858&gt;=_TM1,B3858&lt;=_TM2,OR(TH!L3858="1111",TH!M3858="1111")),TH!D3858,""),"")</f>
        <v/>
      </c>
      <c r="B3858" s="36">
        <f t="shared" si="60"/>
        <v>12</v>
      </c>
      <c r="C3858" s="899">
        <f t="shared" si="47"/>
        <v>42363</v>
      </c>
      <c r="D3858" s="900" t="s">
        <v>2013</v>
      </c>
      <c r="E3858" s="900">
        <v>42363</v>
      </c>
      <c r="F3858" s="907" t="s">
        <v>1106</v>
      </c>
      <c r="G3858" s="902" t="s">
        <v>1287</v>
      </c>
      <c r="H3858" s="913" t="s">
        <v>2014</v>
      </c>
      <c r="I3858" s="253">
        <v>300</v>
      </c>
      <c r="J3858" s="253">
        <v>6934.8828834058695</v>
      </c>
      <c r="K3858" s="904">
        <f t="shared" si="61"/>
        <v>2080465</v>
      </c>
      <c r="L3858" s="869" t="s">
        <v>167</v>
      </c>
      <c r="M3858" s="869" t="s">
        <v>165</v>
      </c>
      <c r="N3858" s="52" t="str">
        <f>IF(AND('331-CT'!$E$7=TH!H3858,OR(L3858="331",M3858="331")),"331",IF(AND(OR(L3858="131",M3858="131"),H3858='131-CT'!$E$7),"131",""))</f>
        <v/>
      </c>
      <c r="O3858" s="869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799"/>
    </row>
    <row r="3859" spans="1:27" s="210" customFormat="1" ht="15.75" customHeight="1">
      <c r="A3859" s="203" t="str">
        <f>IF(B3859&lt;&gt;"",IF(AND(B3859&gt;=_TM1,B3859&lt;=_TM2,OR(TH!L3859="1111",TH!M3859="1111")),TH!D3859,""),"")</f>
        <v/>
      </c>
      <c r="B3859" s="36">
        <f t="shared" si="60"/>
        <v>12</v>
      </c>
      <c r="C3859" s="899">
        <f t="shared" si="47"/>
        <v>42363</v>
      </c>
      <c r="D3859" s="900" t="s">
        <v>2013</v>
      </c>
      <c r="E3859" s="900">
        <v>42363</v>
      </c>
      <c r="F3859" s="907" t="s">
        <v>1107</v>
      </c>
      <c r="G3859" s="902" t="s">
        <v>1287</v>
      </c>
      <c r="H3859" s="913" t="s">
        <v>2014</v>
      </c>
      <c r="I3859" s="253">
        <v>513</v>
      </c>
      <c r="J3859" s="253">
        <v>12452.961736868603</v>
      </c>
      <c r="K3859" s="904">
        <f t="shared" si="61"/>
        <v>6388369</v>
      </c>
      <c r="L3859" s="869" t="s">
        <v>167</v>
      </c>
      <c r="M3859" s="869" t="s">
        <v>165</v>
      </c>
      <c r="N3859" s="52" t="str">
        <f>IF(AND('331-CT'!$E$7=TH!H3859,OR(L3859="331",M3859="331")),"331",IF(AND(OR(L3859="131",M3859="131"),H3859='131-CT'!$E$7),"131",""))</f>
        <v/>
      </c>
      <c r="O3859" s="869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799"/>
    </row>
    <row r="3860" spans="1:27" s="210" customFormat="1" ht="15.75" customHeight="1">
      <c r="A3860" s="203" t="str">
        <f>IF(B3860&lt;&gt;"",IF(AND(B3860&gt;=_TM1,B3860&lt;=_TM2,OR(TH!L3860="1111",TH!M3860="1111")),TH!D3860,""),"")</f>
        <v/>
      </c>
      <c r="B3860" s="36">
        <f t="shared" si="60"/>
        <v>12</v>
      </c>
      <c r="C3860" s="899">
        <f t="shared" si="47"/>
        <v>42364</v>
      </c>
      <c r="D3860" s="900" t="s">
        <v>2013</v>
      </c>
      <c r="E3860" s="900">
        <v>42364</v>
      </c>
      <c r="F3860" s="907" t="s">
        <v>441</v>
      </c>
      <c r="G3860" s="902" t="s">
        <v>1288</v>
      </c>
      <c r="H3860" s="913" t="s">
        <v>2014</v>
      </c>
      <c r="I3860" s="253">
        <v>992</v>
      </c>
      <c r="J3860" s="253">
        <v>3803.0002908999927</v>
      </c>
      <c r="K3860" s="904">
        <f t="shared" si="61"/>
        <v>3772576</v>
      </c>
      <c r="L3860" s="869" t="s">
        <v>167</v>
      </c>
      <c r="M3860" s="869" t="s">
        <v>165</v>
      </c>
      <c r="N3860" s="52" t="str">
        <f>IF(AND('331-CT'!$E$7=TH!H3860,OR(L3860="331",M3860="331")),"331",IF(AND(OR(L3860="131",M3860="131"),H3860='131-CT'!$E$7),"131",""))</f>
        <v/>
      </c>
      <c r="O3860" s="869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799"/>
    </row>
    <row r="3861" spans="1:27" s="210" customFormat="1" ht="15.75" customHeight="1">
      <c r="A3861" s="203" t="str">
        <f>IF(B3861&lt;&gt;"",IF(AND(B3861&gt;=_TM1,B3861&lt;=_TM2,OR(TH!L3861="1111",TH!M3861="1111")),TH!D3861,""),"")</f>
        <v/>
      </c>
      <c r="B3861" s="36">
        <f t="shared" si="60"/>
        <v>12</v>
      </c>
      <c r="C3861" s="899">
        <f t="shared" si="47"/>
        <v>42364</v>
      </c>
      <c r="D3861" s="900" t="s">
        <v>2013</v>
      </c>
      <c r="E3861" s="900">
        <v>42364</v>
      </c>
      <c r="F3861" s="907" t="s">
        <v>1289</v>
      </c>
      <c r="G3861" s="902" t="s">
        <v>1288</v>
      </c>
      <c r="H3861" s="913" t="s">
        <v>2014</v>
      </c>
      <c r="I3861" s="253">
        <v>305</v>
      </c>
      <c r="J3861" s="253">
        <v>4697.823888758815</v>
      </c>
      <c r="K3861" s="904">
        <f t="shared" si="61"/>
        <v>1432836</v>
      </c>
      <c r="L3861" s="869" t="s">
        <v>167</v>
      </c>
      <c r="M3861" s="869" t="s">
        <v>165</v>
      </c>
      <c r="N3861" s="52" t="str">
        <f>IF(AND('331-CT'!$E$7=TH!H3861,OR(L3861="331",M3861="331")),"331",IF(AND(OR(L3861="131",M3861="131"),H3861='131-CT'!$E$7),"131",""))</f>
        <v/>
      </c>
      <c r="O3861" s="869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799"/>
    </row>
    <row r="3862" spans="1:27" s="210" customFormat="1" ht="15.75" customHeight="1">
      <c r="A3862" s="203" t="str">
        <f>IF(B3862&lt;&gt;"",IF(AND(B3862&gt;=_TM1,B3862&lt;=_TM2,OR(TH!L3862="1111",TH!M3862="1111")),TH!D3862,""),"")</f>
        <v/>
      </c>
      <c r="B3862" s="36">
        <f t="shared" si="60"/>
        <v>12</v>
      </c>
      <c r="C3862" s="899">
        <f t="shared" si="47"/>
        <v>42366</v>
      </c>
      <c r="D3862" s="900" t="s">
        <v>2013</v>
      </c>
      <c r="E3862" s="900">
        <v>42366</v>
      </c>
      <c r="F3862" s="907" t="s">
        <v>413</v>
      </c>
      <c r="G3862" s="902" t="s">
        <v>1290</v>
      </c>
      <c r="H3862" s="913" t="s">
        <v>2014</v>
      </c>
      <c r="I3862" s="253">
        <v>298</v>
      </c>
      <c r="J3862" s="253">
        <v>7084.0201497156722</v>
      </c>
      <c r="K3862" s="904">
        <f t="shared" si="61"/>
        <v>2111038</v>
      </c>
      <c r="L3862" s="869" t="s">
        <v>167</v>
      </c>
      <c r="M3862" s="869" t="s">
        <v>165</v>
      </c>
      <c r="N3862" s="52" t="str">
        <f>IF(AND('331-CT'!$E$7=TH!H3862,OR(L3862="331",M3862="331")),"331",IF(AND(OR(L3862="131",M3862="131"),H3862='131-CT'!$E$7),"131",""))</f>
        <v/>
      </c>
      <c r="O3862" s="869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99"/>
    </row>
    <row r="3863" spans="1:27" s="210" customFormat="1" ht="15.75" customHeight="1">
      <c r="A3863" s="203" t="str">
        <f>IF(B3863&lt;&gt;"",IF(AND(B3863&gt;=_TM1,B3863&lt;=_TM2,OR(TH!L3863="1111",TH!M3863="1111")),TH!D3863,""),"")</f>
        <v/>
      </c>
      <c r="B3863" s="36">
        <f t="shared" si="60"/>
        <v>12</v>
      </c>
      <c r="C3863" s="899">
        <f t="shared" si="47"/>
        <v>42366</v>
      </c>
      <c r="D3863" s="900" t="s">
        <v>2013</v>
      </c>
      <c r="E3863" s="900">
        <v>42366</v>
      </c>
      <c r="F3863" s="907" t="s">
        <v>413</v>
      </c>
      <c r="G3863" s="902" t="s">
        <v>1290</v>
      </c>
      <c r="H3863" s="913" t="s">
        <v>2014</v>
      </c>
      <c r="I3863" s="253">
        <v>202</v>
      </c>
      <c r="J3863" s="253">
        <v>7084.0201497156722</v>
      </c>
      <c r="K3863" s="904">
        <f t="shared" si="61"/>
        <v>1430972</v>
      </c>
      <c r="L3863" s="869" t="s">
        <v>167</v>
      </c>
      <c r="M3863" s="869" t="s">
        <v>165</v>
      </c>
      <c r="N3863" s="52" t="str">
        <f>IF(AND('331-CT'!$E$7=TH!H3863,OR(L3863="331",M3863="331")),"331",IF(AND(OR(L3863="131",M3863="131"),H3863='131-CT'!$E$7),"131",""))</f>
        <v/>
      </c>
      <c r="O3863" s="869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799"/>
    </row>
    <row r="3864" spans="1:27" s="210" customFormat="1" ht="15.75" customHeight="1">
      <c r="A3864" s="203" t="str">
        <f>IF(B3864&lt;&gt;"",IF(AND(B3864&gt;=_TM1,B3864&lt;=_TM2,OR(TH!L3864="1111",TH!M3864="1111")),TH!D3864,""),"")</f>
        <v/>
      </c>
      <c r="B3864" s="36">
        <f t="shared" si="60"/>
        <v>12</v>
      </c>
      <c r="C3864" s="899">
        <f t="shared" si="47"/>
        <v>42366</v>
      </c>
      <c r="D3864" s="900" t="s">
        <v>2013</v>
      </c>
      <c r="E3864" s="900">
        <v>42366</v>
      </c>
      <c r="F3864" s="907" t="s">
        <v>413</v>
      </c>
      <c r="G3864" s="902" t="s">
        <v>1290</v>
      </c>
      <c r="H3864" s="913" t="s">
        <v>2014</v>
      </c>
      <c r="I3864" s="253">
        <v>509</v>
      </c>
      <c r="J3864" s="253">
        <v>7084.0201497156722</v>
      </c>
      <c r="K3864" s="904">
        <f t="shared" si="61"/>
        <v>3605766</v>
      </c>
      <c r="L3864" s="869" t="s">
        <v>167</v>
      </c>
      <c r="M3864" s="869" t="s">
        <v>165</v>
      </c>
      <c r="N3864" s="52" t="str">
        <f>IF(AND('331-CT'!$E$7=TH!H3864,OR(L3864="331",M3864="331")),"331",IF(AND(OR(L3864="131",M3864="131"),H3864='131-CT'!$E$7),"131",""))</f>
        <v/>
      </c>
      <c r="O3864" s="869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799"/>
    </row>
    <row r="3865" spans="1:27" s="210" customFormat="1" ht="15.75" customHeight="1">
      <c r="A3865" s="203" t="str">
        <f>IF(B3865&lt;&gt;"",IF(AND(B3865&gt;=_TM1,B3865&lt;=_TM2,OR(TH!L3865="1111",TH!M3865="1111")),TH!D3865,""),"")</f>
        <v/>
      </c>
      <c r="B3865" s="36">
        <f t="shared" si="60"/>
        <v>12</v>
      </c>
      <c r="C3865" s="899">
        <f t="shared" si="47"/>
        <v>42366</v>
      </c>
      <c r="D3865" s="900" t="s">
        <v>2013</v>
      </c>
      <c r="E3865" s="900">
        <v>42366</v>
      </c>
      <c r="F3865" s="907" t="s">
        <v>413</v>
      </c>
      <c r="G3865" s="902" t="s">
        <v>1290</v>
      </c>
      <c r="H3865" s="913" t="s">
        <v>2014</v>
      </c>
      <c r="I3865" s="253">
        <v>401</v>
      </c>
      <c r="J3865" s="253">
        <v>7084.0201497156722</v>
      </c>
      <c r="K3865" s="904">
        <f t="shared" si="61"/>
        <v>2840692</v>
      </c>
      <c r="L3865" s="869" t="s">
        <v>167</v>
      </c>
      <c r="M3865" s="869" t="s">
        <v>165</v>
      </c>
      <c r="N3865" s="52" t="str">
        <f>IF(AND('331-CT'!$E$7=TH!H3865,OR(L3865="331",M3865="331")),"331",IF(AND(OR(L3865="131",M3865="131"),H3865='131-CT'!$E$7),"131",""))</f>
        <v/>
      </c>
      <c r="O3865" s="869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799"/>
    </row>
    <row r="3866" spans="1:27" s="210" customFormat="1" ht="15.75" customHeight="1">
      <c r="A3866" s="203" t="str">
        <f>IF(B3866&lt;&gt;"",IF(AND(B3866&gt;=_TM1,B3866&lt;=_TM2,OR(TH!L3866="1111",TH!M3866="1111")),TH!D3866,""),"")</f>
        <v/>
      </c>
      <c r="B3866" s="36">
        <f t="shared" si="60"/>
        <v>12</v>
      </c>
      <c r="C3866" s="899">
        <f t="shared" si="47"/>
        <v>42366</v>
      </c>
      <c r="D3866" s="900" t="s">
        <v>2013</v>
      </c>
      <c r="E3866" s="900">
        <v>42366</v>
      </c>
      <c r="F3866" s="907" t="s">
        <v>2010</v>
      </c>
      <c r="G3866" s="902" t="s">
        <v>1291</v>
      </c>
      <c r="H3866" s="913" t="s">
        <v>2014</v>
      </c>
      <c r="I3866" s="253">
        <v>2200</v>
      </c>
      <c r="J3866" s="253">
        <v>8724.5300791235113</v>
      </c>
      <c r="K3866" s="904">
        <f t="shared" si="61"/>
        <v>19193966</v>
      </c>
      <c r="L3866" s="869" t="s">
        <v>167</v>
      </c>
      <c r="M3866" s="869" t="s">
        <v>165</v>
      </c>
      <c r="N3866" s="52" t="str">
        <f>IF(AND('331-CT'!$E$7=TH!H3866,OR(L3866="331",M3866="331")),"331",IF(AND(OR(L3866="131",M3866="131"),H3866='131-CT'!$E$7),"131",""))</f>
        <v/>
      </c>
      <c r="O3866" s="869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799"/>
    </row>
    <row r="3867" spans="1:27" s="210" customFormat="1" ht="15.75" customHeight="1">
      <c r="A3867" s="203" t="str">
        <f>IF(B3867&lt;&gt;"",IF(AND(B3867&gt;=_TM1,B3867&lt;=_TM2,OR(TH!L3867="1111",TH!M3867="1111")),TH!D3867,""),"")</f>
        <v/>
      </c>
      <c r="B3867" s="36">
        <f t="shared" si="60"/>
        <v>12</v>
      </c>
      <c r="C3867" s="899">
        <f t="shared" si="47"/>
        <v>42367</v>
      </c>
      <c r="D3867" s="900" t="s">
        <v>2013</v>
      </c>
      <c r="E3867" s="900">
        <v>42367</v>
      </c>
      <c r="F3867" s="907" t="s">
        <v>413</v>
      </c>
      <c r="G3867" s="902" t="s">
        <v>1292</v>
      </c>
      <c r="H3867" s="913" t="s">
        <v>2014</v>
      </c>
      <c r="I3867" s="253">
        <v>310</v>
      </c>
      <c r="J3867" s="253">
        <v>7084.0201497156722</v>
      </c>
      <c r="K3867" s="904">
        <f t="shared" si="61"/>
        <v>2196046</v>
      </c>
      <c r="L3867" s="869" t="s">
        <v>167</v>
      </c>
      <c r="M3867" s="869" t="s">
        <v>165</v>
      </c>
      <c r="N3867" s="52" t="str">
        <f>IF(AND('331-CT'!$E$7=TH!H3867,OR(L3867="331",M3867="331")),"331",IF(AND(OR(L3867="131",M3867="131"),H3867='131-CT'!$E$7),"131",""))</f>
        <v/>
      </c>
      <c r="O3867" s="869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799"/>
    </row>
    <row r="3868" spans="1:27" s="210" customFormat="1" ht="15.75" customHeight="1">
      <c r="A3868" s="203" t="str">
        <f>IF(B3868&lt;&gt;"",IF(AND(B3868&gt;=_TM1,B3868&lt;=_TM2,OR(TH!L3868="1111",TH!M3868="1111")),TH!D3868,""),"")</f>
        <v/>
      </c>
      <c r="B3868" s="36">
        <f t="shared" si="60"/>
        <v>12</v>
      </c>
      <c r="C3868" s="899">
        <f t="shared" si="47"/>
        <v>42367</v>
      </c>
      <c r="D3868" s="900" t="s">
        <v>2013</v>
      </c>
      <c r="E3868" s="900">
        <v>42367</v>
      </c>
      <c r="F3868" s="907" t="s">
        <v>999</v>
      </c>
      <c r="G3868" s="902" t="s">
        <v>1292</v>
      </c>
      <c r="H3868" s="913" t="s">
        <v>2014</v>
      </c>
      <c r="I3868" s="253">
        <v>408</v>
      </c>
      <c r="J3868" s="253">
        <v>5592.6474866176359</v>
      </c>
      <c r="K3868" s="904">
        <f t="shared" si="61"/>
        <v>2281800</v>
      </c>
      <c r="L3868" s="869" t="s">
        <v>167</v>
      </c>
      <c r="M3868" s="869" t="s">
        <v>165</v>
      </c>
      <c r="N3868" s="52" t="str">
        <f>IF(AND('331-CT'!$E$7=TH!H3868,OR(L3868="331",M3868="331")),"331",IF(AND(OR(L3868="131",M3868="131"),H3868='131-CT'!$E$7),"131",""))</f>
        <v/>
      </c>
      <c r="O3868" s="869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799"/>
    </row>
    <row r="3869" spans="1:27" s="210" customFormat="1" ht="15.75" customHeight="1">
      <c r="A3869" s="203" t="str">
        <f>IF(B3869&lt;&gt;"",IF(AND(B3869&gt;=_TM1,B3869&lt;=_TM2,OR(TH!L3869="1111",TH!M3869="1111")),TH!D3869,""),"")</f>
        <v/>
      </c>
      <c r="B3869" s="36">
        <f t="shared" si="60"/>
        <v>12</v>
      </c>
      <c r="C3869" s="899">
        <f t="shared" si="47"/>
        <v>42367</v>
      </c>
      <c r="D3869" s="900" t="s">
        <v>2013</v>
      </c>
      <c r="E3869" s="900">
        <v>42367</v>
      </c>
      <c r="F3869" s="907" t="s">
        <v>1088</v>
      </c>
      <c r="G3869" s="902" t="s">
        <v>1293</v>
      </c>
      <c r="H3869" s="913" t="s">
        <v>2014</v>
      </c>
      <c r="I3869" s="253">
        <v>250</v>
      </c>
      <c r="J3869" s="253">
        <v>8202.5496470392009</v>
      </c>
      <c r="K3869" s="904">
        <f t="shared" si="61"/>
        <v>2050637</v>
      </c>
      <c r="L3869" s="869" t="s">
        <v>167</v>
      </c>
      <c r="M3869" s="869" t="s">
        <v>165</v>
      </c>
      <c r="N3869" s="52" t="str">
        <f>IF(AND('331-CT'!$E$7=TH!H3869,OR(L3869="331",M3869="331")),"331",IF(AND(OR(L3869="131",M3869="131"),H3869='131-CT'!$E$7),"131",""))</f>
        <v/>
      </c>
      <c r="O3869" s="869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799"/>
    </row>
    <row r="3870" spans="1:27" s="210" customFormat="1" ht="15.75" customHeight="1">
      <c r="A3870" s="203" t="str">
        <f>IF(B3870&lt;&gt;"",IF(AND(B3870&gt;=_TM1,B3870&lt;=_TM2,OR(TH!L3870="1111",TH!M3870="1111")),TH!D3870,""),"")</f>
        <v/>
      </c>
      <c r="B3870" s="36">
        <f t="shared" si="60"/>
        <v>12</v>
      </c>
      <c r="C3870" s="899">
        <f t="shared" si="47"/>
        <v>42367</v>
      </c>
      <c r="D3870" s="900" t="s">
        <v>2013</v>
      </c>
      <c r="E3870" s="900">
        <v>42367</v>
      </c>
      <c r="F3870" s="907" t="s">
        <v>1294</v>
      </c>
      <c r="G3870" s="902" t="s">
        <v>1295</v>
      </c>
      <c r="H3870" s="913" t="s">
        <v>2014</v>
      </c>
      <c r="I3870" s="253">
        <v>1000</v>
      </c>
      <c r="J3870" s="253">
        <v>3803.0002908999927</v>
      </c>
      <c r="K3870" s="904">
        <f t="shared" si="61"/>
        <v>3803000</v>
      </c>
      <c r="L3870" s="869" t="s">
        <v>167</v>
      </c>
      <c r="M3870" s="869" t="s">
        <v>165</v>
      </c>
      <c r="N3870" s="52" t="str">
        <f>IF(AND('331-CT'!$E$7=TH!H3870,OR(L3870="331",M3870="331")),"331",IF(AND(OR(L3870="131",M3870="131"),H3870='131-CT'!$E$7),"131",""))</f>
        <v/>
      </c>
      <c r="O3870" s="869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799"/>
    </row>
    <row r="3871" spans="1:27" s="210" customFormat="1" ht="15.75" customHeight="1">
      <c r="A3871" s="203" t="str">
        <f>IF(B3871&lt;&gt;"",IF(AND(B3871&gt;=_TM1,B3871&lt;=_TM2,OR(TH!L3871="1111",TH!M3871="1111")),TH!D3871,""),"")</f>
        <v/>
      </c>
      <c r="B3871" s="36">
        <f t="shared" si="60"/>
        <v>12</v>
      </c>
      <c r="C3871" s="899">
        <f t="shared" si="47"/>
        <v>42368</v>
      </c>
      <c r="D3871" s="900" t="s">
        <v>2013</v>
      </c>
      <c r="E3871" s="900">
        <v>42368</v>
      </c>
      <c r="F3871" s="907" t="s">
        <v>1296</v>
      </c>
      <c r="G3871" s="902" t="s">
        <v>1297</v>
      </c>
      <c r="H3871" s="913" t="s">
        <v>2014</v>
      </c>
      <c r="I3871" s="253">
        <v>114</v>
      </c>
      <c r="J3871" s="253">
        <v>62935.926382737132</v>
      </c>
      <c r="K3871" s="904">
        <f t="shared" si="61"/>
        <v>7174696</v>
      </c>
      <c r="L3871" s="869" t="s">
        <v>167</v>
      </c>
      <c r="M3871" s="869" t="s">
        <v>165</v>
      </c>
      <c r="N3871" s="52" t="str">
        <f>IF(AND('331-CT'!$E$7=TH!H3871,OR(L3871="331",M3871="331")),"331",IF(AND(OR(L3871="131",M3871="131"),H3871='131-CT'!$E$7),"131",""))</f>
        <v/>
      </c>
      <c r="O3871" s="869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799"/>
    </row>
    <row r="3872" spans="1:27" s="210" customFormat="1" ht="15.75" customHeight="1">
      <c r="A3872" s="203" t="str">
        <f>IF(B3872&lt;&gt;"",IF(AND(B3872&gt;=_TM1,B3872&lt;=_TM2,OR(TH!L3872="1111",TH!M3872="1111")),TH!D3872,""),"")</f>
        <v/>
      </c>
      <c r="B3872" s="36">
        <f t="shared" si="60"/>
        <v>12</v>
      </c>
      <c r="C3872" s="899">
        <f t="shared" ref="C3872:C3884" si="68">E3872</f>
        <v>42368</v>
      </c>
      <c r="D3872" s="900" t="s">
        <v>2013</v>
      </c>
      <c r="E3872" s="900">
        <v>42368</v>
      </c>
      <c r="F3872" s="907" t="s">
        <v>1298</v>
      </c>
      <c r="G3872" s="902" t="s">
        <v>1297</v>
      </c>
      <c r="H3872" s="913" t="s">
        <v>2014</v>
      </c>
      <c r="I3872" s="253">
        <v>56</v>
      </c>
      <c r="J3872" s="253">
        <v>57119.572996654795</v>
      </c>
      <c r="K3872" s="904">
        <f t="shared" si="61"/>
        <v>3198696</v>
      </c>
      <c r="L3872" s="869" t="s">
        <v>167</v>
      </c>
      <c r="M3872" s="869" t="s">
        <v>165</v>
      </c>
      <c r="N3872" s="52" t="str">
        <f>IF(AND('331-CT'!$E$7=TH!H3872,OR(L3872="331",M3872="331")),"331",IF(AND(OR(L3872="131",M3872="131"),H3872='131-CT'!$E$7),"131",""))</f>
        <v/>
      </c>
      <c r="O3872" s="869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799"/>
    </row>
    <row r="3873" spans="1:27" s="210" customFormat="1" ht="15.75" customHeight="1">
      <c r="A3873" s="203" t="str">
        <f>IF(B3873&lt;&gt;"",IF(AND(B3873&gt;=_TM1,B3873&lt;=_TM2,OR(TH!L3873="1111",TH!M3873="1111")),TH!D3873,""),"")</f>
        <v/>
      </c>
      <c r="B3873" s="36">
        <f t="shared" si="60"/>
        <v>12</v>
      </c>
      <c r="C3873" s="899">
        <f t="shared" si="68"/>
        <v>42368</v>
      </c>
      <c r="D3873" s="900" t="s">
        <v>2013</v>
      </c>
      <c r="E3873" s="900">
        <v>42368</v>
      </c>
      <c r="F3873" s="907" t="s">
        <v>927</v>
      </c>
      <c r="G3873" s="902" t="s">
        <v>1297</v>
      </c>
      <c r="H3873" s="913" t="s">
        <v>2014</v>
      </c>
      <c r="I3873" s="253">
        <v>14</v>
      </c>
      <c r="J3873" s="253">
        <v>63830.74998059596</v>
      </c>
      <c r="K3873" s="904">
        <f t="shared" si="61"/>
        <v>893630</v>
      </c>
      <c r="L3873" s="869" t="s">
        <v>167</v>
      </c>
      <c r="M3873" s="869" t="s">
        <v>165</v>
      </c>
      <c r="N3873" s="52" t="str">
        <f>IF(AND('331-CT'!$E$7=TH!H3873,OR(L3873="331",M3873="331")),"331",IF(AND(OR(L3873="131",M3873="131"),H3873='131-CT'!$E$7),"131",""))</f>
        <v/>
      </c>
      <c r="O3873" s="869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799"/>
    </row>
    <row r="3874" spans="1:27" s="210" customFormat="1" ht="15.75" customHeight="1">
      <c r="A3874" s="203" t="str">
        <f>IF(B3874&lt;&gt;"",IF(AND(B3874&gt;=_TM1,B3874&lt;=_TM2,OR(TH!L3874="1111",TH!M3874="1111")),TH!D3874,""),"")</f>
        <v/>
      </c>
      <c r="B3874" s="36">
        <f t="shared" si="60"/>
        <v>12</v>
      </c>
      <c r="C3874" s="899">
        <f t="shared" si="68"/>
        <v>42368</v>
      </c>
      <c r="D3874" s="900" t="s">
        <v>2013</v>
      </c>
      <c r="E3874" s="900">
        <v>42368</v>
      </c>
      <c r="F3874" s="907" t="s">
        <v>737</v>
      </c>
      <c r="G3874" s="902" t="s">
        <v>1297</v>
      </c>
      <c r="H3874" s="913" t="s">
        <v>2014</v>
      </c>
      <c r="I3874" s="253">
        <v>30</v>
      </c>
      <c r="J3874" s="253">
        <v>11110.726340080371</v>
      </c>
      <c r="K3874" s="904">
        <f t="shared" si="61"/>
        <v>333322</v>
      </c>
      <c r="L3874" s="869" t="s">
        <v>167</v>
      </c>
      <c r="M3874" s="869" t="s">
        <v>165</v>
      </c>
      <c r="N3874" s="52" t="str">
        <f>IF(AND('331-CT'!$E$7=TH!H3874,OR(L3874="331",M3874="331")),"331",IF(AND(OR(L3874="131",M3874="131"),H3874='131-CT'!$E$7),"131",""))</f>
        <v/>
      </c>
      <c r="O3874" s="869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799"/>
    </row>
    <row r="3875" spans="1:27" s="210" customFormat="1" ht="15.75" customHeight="1">
      <c r="A3875" s="203" t="str">
        <f>IF(B3875&lt;&gt;"",IF(AND(B3875&gt;=_TM1,B3875&lt;=_TM2,OR(TH!L3875="1111",TH!M3875="1111")),TH!D3875,""),"")</f>
        <v/>
      </c>
      <c r="B3875" s="36">
        <f t="shared" si="60"/>
        <v>12</v>
      </c>
      <c r="C3875" s="899">
        <f t="shared" si="68"/>
        <v>42368</v>
      </c>
      <c r="D3875" s="900" t="s">
        <v>2013</v>
      </c>
      <c r="E3875" s="900">
        <v>42368</v>
      </c>
      <c r="F3875" s="907" t="s">
        <v>1299</v>
      </c>
      <c r="G3875" s="902" t="s">
        <v>1297</v>
      </c>
      <c r="H3875" s="913" t="s">
        <v>2014</v>
      </c>
      <c r="I3875" s="253">
        <v>56</v>
      </c>
      <c r="J3875" s="253">
        <v>14540.883465205854</v>
      </c>
      <c r="K3875" s="904">
        <f t="shared" si="61"/>
        <v>814289</v>
      </c>
      <c r="L3875" s="869" t="s">
        <v>167</v>
      </c>
      <c r="M3875" s="869" t="s">
        <v>165</v>
      </c>
      <c r="N3875" s="52" t="str">
        <f>IF(AND('331-CT'!$E$7=TH!H3875,OR(L3875="331",M3875="331")),"331",IF(AND(OR(L3875="131",M3875="131"),H3875='131-CT'!$E$7),"131",""))</f>
        <v/>
      </c>
      <c r="O3875" s="869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799"/>
    </row>
    <row r="3876" spans="1:27" s="210" customFormat="1" ht="15.75" customHeight="1">
      <c r="A3876" s="203" t="str">
        <f>IF(B3876&lt;&gt;"",IF(AND(B3876&gt;=_TM1,B3876&lt;=_TM2,OR(TH!L3876="1111",TH!M3876="1111")),TH!D3876,""),"")</f>
        <v/>
      </c>
      <c r="B3876" s="36">
        <f t="shared" si="60"/>
        <v>12</v>
      </c>
      <c r="C3876" s="899">
        <f t="shared" si="68"/>
        <v>42368</v>
      </c>
      <c r="D3876" s="900" t="s">
        <v>2013</v>
      </c>
      <c r="E3876" s="900">
        <v>42368</v>
      </c>
      <c r="F3876" s="907" t="s">
        <v>1300</v>
      </c>
      <c r="G3876" s="902" t="s">
        <v>1297</v>
      </c>
      <c r="H3876" s="913" t="s">
        <v>2014</v>
      </c>
      <c r="I3876" s="253">
        <v>30</v>
      </c>
      <c r="J3876" s="253">
        <v>11110.726340080371</v>
      </c>
      <c r="K3876" s="904">
        <f t="shared" si="61"/>
        <v>333322</v>
      </c>
      <c r="L3876" s="869" t="s">
        <v>167</v>
      </c>
      <c r="M3876" s="869" t="s">
        <v>165</v>
      </c>
      <c r="N3876" s="52" t="str">
        <f>IF(AND('331-CT'!$E$7=TH!H3876,OR(L3876="331",M3876="331")),"331",IF(AND(OR(L3876="131",M3876="131"),H3876='131-CT'!$E$7),"131",""))</f>
        <v/>
      </c>
      <c r="O3876" s="869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799"/>
    </row>
    <row r="3877" spans="1:27" s="210" customFormat="1" ht="15.75" customHeight="1">
      <c r="A3877" s="203" t="str">
        <f>IF(B3877&lt;&gt;"",IF(AND(B3877&gt;=_TM1,B3877&lt;=_TM2,OR(TH!L3877="1111",TH!M3877="1111")),TH!D3877,""),"")</f>
        <v/>
      </c>
      <c r="B3877" s="36">
        <f t="shared" si="60"/>
        <v>12</v>
      </c>
      <c r="C3877" s="899">
        <f t="shared" si="68"/>
        <v>42368</v>
      </c>
      <c r="D3877" s="900" t="s">
        <v>2013</v>
      </c>
      <c r="E3877" s="900">
        <v>42368</v>
      </c>
      <c r="F3877" s="907" t="s">
        <v>1301</v>
      </c>
      <c r="G3877" s="902" t="s">
        <v>1297</v>
      </c>
      <c r="H3877" s="913" t="s">
        <v>2014</v>
      </c>
      <c r="I3877" s="253">
        <v>130</v>
      </c>
      <c r="J3877" s="253">
        <v>32437.355422382287</v>
      </c>
      <c r="K3877" s="904">
        <f t="shared" si="61"/>
        <v>4216856</v>
      </c>
      <c r="L3877" s="869" t="s">
        <v>167</v>
      </c>
      <c r="M3877" s="869" t="s">
        <v>165</v>
      </c>
      <c r="N3877" s="52" t="str">
        <f>IF(AND('331-CT'!$E$7=TH!H3877,OR(L3877="331",M3877="331")),"331",IF(AND(OR(L3877="131",M3877="131"),H3877='131-CT'!$E$7),"131",""))</f>
        <v/>
      </c>
      <c r="O3877" s="869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799"/>
    </row>
    <row r="3878" spans="1:27" s="210" customFormat="1" ht="15.75" customHeight="1">
      <c r="A3878" s="203" t="str">
        <f>IF(B3878&lt;&gt;"",IF(AND(B3878&gt;=_TM1,B3878&lt;=_TM2,OR(TH!L3878="1111",TH!M3878="1111")),TH!D3878,""),"")</f>
        <v/>
      </c>
      <c r="B3878" s="36">
        <f t="shared" si="60"/>
        <v>12</v>
      </c>
      <c r="C3878" s="899">
        <f t="shared" si="68"/>
        <v>42368</v>
      </c>
      <c r="D3878" s="900" t="s">
        <v>2013</v>
      </c>
      <c r="E3878" s="900">
        <v>42368</v>
      </c>
      <c r="F3878" s="907" t="s">
        <v>1302</v>
      </c>
      <c r="G3878" s="902" t="s">
        <v>1297</v>
      </c>
      <c r="H3878" s="913" t="s">
        <v>2014</v>
      </c>
      <c r="I3878" s="253">
        <v>7</v>
      </c>
      <c r="J3878" s="253">
        <v>20879.217283372509</v>
      </c>
      <c r="K3878" s="904">
        <f t="shared" si="61"/>
        <v>146155</v>
      </c>
      <c r="L3878" s="869" t="s">
        <v>167</v>
      </c>
      <c r="M3878" s="869" t="s">
        <v>165</v>
      </c>
      <c r="N3878" s="52" t="str">
        <f>IF(AND('331-CT'!$E$7=TH!H3878,OR(L3878="331",M3878="331")),"331",IF(AND(OR(L3878="131",M3878="131"),H3878='131-CT'!$E$7),"131",""))</f>
        <v/>
      </c>
      <c r="O3878" s="869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799"/>
    </row>
    <row r="3879" spans="1:27" s="210" customFormat="1" ht="15.75" customHeight="1">
      <c r="A3879" s="203" t="str">
        <f>IF(B3879&lt;&gt;"",IF(AND(B3879&gt;=_TM1,B3879&lt;=_TM2,OR(TH!L3879="1111",TH!M3879="1111")),TH!D3879,""),"")</f>
        <v/>
      </c>
      <c r="B3879" s="36">
        <f t="shared" si="60"/>
        <v>12</v>
      </c>
      <c r="C3879" s="899">
        <f t="shared" si="68"/>
        <v>42368</v>
      </c>
      <c r="D3879" s="900" t="s">
        <v>2013</v>
      </c>
      <c r="E3879" s="900">
        <v>42368</v>
      </c>
      <c r="F3879" s="907" t="s">
        <v>454</v>
      </c>
      <c r="G3879" s="902" t="s">
        <v>1303</v>
      </c>
      <c r="H3879" s="913" t="s">
        <v>2014</v>
      </c>
      <c r="I3879" s="253">
        <v>221</v>
      </c>
      <c r="J3879" s="253">
        <v>54062.259037303818</v>
      </c>
      <c r="K3879" s="904">
        <f t="shared" si="61"/>
        <v>11947759</v>
      </c>
      <c r="L3879" s="869" t="s">
        <v>167</v>
      </c>
      <c r="M3879" s="869" t="s">
        <v>165</v>
      </c>
      <c r="N3879" s="52" t="str">
        <f>IF(AND('331-CT'!$E$7=TH!H3879,OR(L3879="331",M3879="331")),"331",IF(AND(OR(L3879="131",M3879="131"),H3879='131-CT'!$E$7),"131",""))</f>
        <v/>
      </c>
      <c r="O3879" s="869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799"/>
    </row>
    <row r="3880" spans="1:27" s="210" customFormat="1" ht="15.75" customHeight="1">
      <c r="A3880" s="203" t="str">
        <f>IF(B3880&lt;&gt;"",IF(AND(B3880&gt;=_TM1,B3880&lt;=_TM2,OR(TH!L3880="1111",TH!M3880="1111")),TH!D3880,""),"")</f>
        <v/>
      </c>
      <c r="B3880" s="36">
        <f t="shared" si="60"/>
        <v>12</v>
      </c>
      <c r="C3880" s="899">
        <f t="shared" si="68"/>
        <v>42368</v>
      </c>
      <c r="D3880" s="900" t="s">
        <v>2013</v>
      </c>
      <c r="E3880" s="900">
        <v>42368</v>
      </c>
      <c r="F3880" s="907" t="s">
        <v>1304</v>
      </c>
      <c r="G3880" s="902" t="s">
        <v>1303</v>
      </c>
      <c r="H3880" s="913" t="s">
        <v>2014</v>
      </c>
      <c r="I3880" s="253">
        <v>103</v>
      </c>
      <c r="J3880" s="253">
        <v>30125.727794580336</v>
      </c>
      <c r="K3880" s="904">
        <f t="shared" si="61"/>
        <v>3102950</v>
      </c>
      <c r="L3880" s="869" t="s">
        <v>167</v>
      </c>
      <c r="M3880" s="869" t="s">
        <v>165</v>
      </c>
      <c r="N3880" s="52" t="str">
        <f>IF(AND('331-CT'!$E$7=TH!H3880,OR(L3880="331",M3880="331")),"331",IF(AND(OR(L3880="131",M3880="131"),H3880='131-CT'!$E$7),"131",""))</f>
        <v/>
      </c>
      <c r="O3880" s="869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799"/>
    </row>
    <row r="3881" spans="1:27" s="210" customFormat="1" ht="15.75" customHeight="1">
      <c r="A3881" s="203" t="str">
        <f>IF(B3881&lt;&gt;"",IF(AND(B3881&gt;=_TM1,B3881&lt;=_TM2,OR(TH!L3881="1111",TH!M3881="1111")),TH!D3881,""),"")</f>
        <v/>
      </c>
      <c r="B3881" s="36">
        <f t="shared" si="60"/>
        <v>12</v>
      </c>
      <c r="C3881" s="899">
        <f t="shared" si="68"/>
        <v>42368</v>
      </c>
      <c r="D3881" s="900" t="s">
        <v>2013</v>
      </c>
      <c r="E3881" s="900">
        <v>42368</v>
      </c>
      <c r="F3881" s="907" t="s">
        <v>1302</v>
      </c>
      <c r="G3881" s="902" t="s">
        <v>1303</v>
      </c>
      <c r="H3881" s="913" t="s">
        <v>2014</v>
      </c>
      <c r="I3881" s="253">
        <v>143</v>
      </c>
      <c r="J3881" s="253">
        <v>20879.217283372509</v>
      </c>
      <c r="K3881" s="904">
        <f t="shared" si="61"/>
        <v>2985728</v>
      </c>
      <c r="L3881" s="869" t="s">
        <v>167</v>
      </c>
      <c r="M3881" s="869" t="s">
        <v>165</v>
      </c>
      <c r="N3881" s="52" t="str">
        <f>IF(AND('331-CT'!$E$7=TH!H3881,OR(L3881="331",M3881="331")),"331",IF(AND(OR(L3881="131",M3881="131"),H3881='131-CT'!$E$7),"131",""))</f>
        <v/>
      </c>
      <c r="O3881" s="869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799"/>
    </row>
    <row r="3882" spans="1:27" s="210" customFormat="1" ht="15.75" customHeight="1">
      <c r="A3882" s="203" t="str">
        <f>IF(B3882&lt;&gt;"",IF(AND(B3882&gt;=_TM1,B3882&lt;=_TM2,OR(TH!L3882="1111",TH!M3882="1111")),TH!D3882,""),"")</f>
        <v/>
      </c>
      <c r="B3882" s="36">
        <f t="shared" si="60"/>
        <v>12</v>
      </c>
      <c r="C3882" s="899">
        <f t="shared" si="68"/>
        <v>42369</v>
      </c>
      <c r="D3882" s="900" t="s">
        <v>2013</v>
      </c>
      <c r="E3882" s="900">
        <v>42369</v>
      </c>
      <c r="F3882" s="907" t="s">
        <v>1305</v>
      </c>
      <c r="G3882" s="902" t="s">
        <v>1306</v>
      </c>
      <c r="H3882" s="913" t="s">
        <v>2014</v>
      </c>
      <c r="I3882" s="253">
        <v>340</v>
      </c>
      <c r="J3882" s="253">
        <v>20282.668218133294</v>
      </c>
      <c r="K3882" s="904">
        <f t="shared" si="61"/>
        <v>6896107</v>
      </c>
      <c r="L3882" s="869" t="s">
        <v>167</v>
      </c>
      <c r="M3882" s="869" t="s">
        <v>165</v>
      </c>
      <c r="N3882" s="52" t="str">
        <f>IF(AND('331-CT'!$E$7=TH!H3882,OR(L3882="331",M3882="331")),"331",IF(AND(OR(L3882="131",M3882="131"),H3882='131-CT'!$E$7),"131",""))</f>
        <v/>
      </c>
      <c r="O3882" s="869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799"/>
    </row>
    <row r="3883" spans="1:27" s="210" customFormat="1" ht="15.75" customHeight="1">
      <c r="A3883" s="203" t="str">
        <f>IF(B3883&lt;&gt;"",IF(AND(B3883&gt;=_TM1,B3883&lt;=_TM2,OR(TH!L3883="1111",TH!M3883="1111")),TH!D3883,""),"")</f>
        <v/>
      </c>
      <c r="B3883" s="36">
        <f t="shared" si="60"/>
        <v>12</v>
      </c>
      <c r="C3883" s="899">
        <f t="shared" si="68"/>
        <v>42369</v>
      </c>
      <c r="D3883" s="900" t="s">
        <v>2013</v>
      </c>
      <c r="E3883" s="900">
        <v>42369</v>
      </c>
      <c r="F3883" s="907" t="s">
        <v>1308</v>
      </c>
      <c r="G3883" s="902" t="s">
        <v>1306</v>
      </c>
      <c r="H3883" s="913" t="s">
        <v>2014</v>
      </c>
      <c r="I3883" s="253">
        <v>208</v>
      </c>
      <c r="J3883" s="253">
        <v>21848.609514386233</v>
      </c>
      <c r="K3883" s="904">
        <f t="shared" si="61"/>
        <v>4544511</v>
      </c>
      <c r="L3883" s="869" t="s">
        <v>167</v>
      </c>
      <c r="M3883" s="869" t="s">
        <v>165</v>
      </c>
      <c r="N3883" s="52" t="str">
        <f>IF(AND('331-CT'!$E$7=TH!H3883,OR(L3883="331",M3883="331")),"331",IF(AND(OR(L3883="131",M3883="131"),H3883='131-CT'!$E$7),"131",""))</f>
        <v/>
      </c>
      <c r="O3883" s="869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799"/>
    </row>
    <row r="3884" spans="1:27" s="210" customFormat="1" ht="15.75" customHeight="1">
      <c r="A3884" s="203" t="str">
        <f>IF(B3884&lt;&gt;"",IF(AND(B3884&gt;=_TM1,B3884&lt;=_TM2,OR(TH!L3884="1111",TH!M3884="1111")),TH!D3884,""),"")</f>
        <v/>
      </c>
      <c r="B3884" s="36">
        <f t="shared" si="60"/>
        <v>12</v>
      </c>
      <c r="C3884" s="899">
        <f t="shared" si="68"/>
        <v>42369</v>
      </c>
      <c r="D3884" s="900" t="s">
        <v>2013</v>
      </c>
      <c r="E3884" s="900">
        <v>42369</v>
      </c>
      <c r="F3884" s="907" t="s">
        <v>1309</v>
      </c>
      <c r="G3884" s="902" t="s">
        <v>1306</v>
      </c>
      <c r="H3884" s="913" t="s">
        <v>2014</v>
      </c>
      <c r="I3884" s="253">
        <v>249</v>
      </c>
      <c r="J3884" s="253">
        <v>19238.70735396467</v>
      </c>
      <c r="K3884" s="904">
        <f t="shared" si="61"/>
        <v>4790438</v>
      </c>
      <c r="L3884" s="869" t="s">
        <v>167</v>
      </c>
      <c r="M3884" s="869" t="s">
        <v>165</v>
      </c>
      <c r="N3884" s="52" t="str">
        <f>IF(AND('331-CT'!$E$7=TH!H3884,OR(L3884="331",M3884="331")),"331",IF(AND(OR(L3884="131",M3884="131"),H3884='131-CT'!$E$7),"131",""))</f>
        <v/>
      </c>
      <c r="O3884" s="869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799"/>
    </row>
    <row r="3885" spans="1:27" s="210" customFormat="1" ht="15.75" customHeight="1">
      <c r="A3885" s="203" t="str">
        <f>IF(B3885&lt;&gt;"",IF(AND(B3885&gt;=_TM1,B3885&lt;=_TM2,OR(TH!L3885="1111",TH!M3885="1111")),TH!D3885,""),"")</f>
        <v/>
      </c>
      <c r="B3885" s="36">
        <f t="shared" ref="B3885:B3892" si="69">IF(C3885&lt;&gt;"",MONTH(C3885),"")</f>
        <v>12</v>
      </c>
      <c r="C3885" s="899">
        <f t="shared" ref="C3885:C3892" si="70">E3885</f>
        <v>42369</v>
      </c>
      <c r="D3885" s="900" t="s">
        <v>2013</v>
      </c>
      <c r="E3885" s="900">
        <v>42369</v>
      </c>
      <c r="F3885" s="907" t="s">
        <v>1310</v>
      </c>
      <c r="G3885" s="902" t="s">
        <v>1311</v>
      </c>
      <c r="H3885" s="913" t="s">
        <v>2014</v>
      </c>
      <c r="I3885" s="253">
        <v>250</v>
      </c>
      <c r="J3885" s="253">
        <v>19760.68778604898</v>
      </c>
      <c r="K3885" s="904">
        <f t="shared" ref="K3885:K3892" si="71">ROUND(I3885*J3885,0)</f>
        <v>4940172</v>
      </c>
      <c r="L3885" s="869" t="s">
        <v>167</v>
      </c>
      <c r="M3885" s="869" t="s">
        <v>165</v>
      </c>
      <c r="N3885" s="52" t="str">
        <f>IF(AND('331-CT'!$E$7=TH!H3885,OR(L3885="331",M3885="331")),"331",IF(AND(OR(L3885="131",M3885="131"),H3885='131-CT'!$E$7),"131",""))</f>
        <v/>
      </c>
      <c r="O3885" s="869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799"/>
    </row>
    <row r="3886" spans="1:27" s="210" customFormat="1" ht="15.75" customHeight="1">
      <c r="A3886" s="203" t="str">
        <f>IF(B3886&lt;&gt;"",IF(AND(B3886&gt;=_TM1,B3886&lt;=_TM2,OR(TH!L3886="1111",TH!M3886="1111")),TH!D3886,""),"")</f>
        <v/>
      </c>
      <c r="B3886" s="36">
        <f t="shared" si="69"/>
        <v>12</v>
      </c>
      <c r="C3886" s="899">
        <f t="shared" si="70"/>
        <v>42369</v>
      </c>
      <c r="D3886" s="900" t="s">
        <v>2013</v>
      </c>
      <c r="E3886" s="900">
        <v>42369</v>
      </c>
      <c r="F3886" s="907" t="s">
        <v>1312</v>
      </c>
      <c r="G3886" s="902" t="s">
        <v>1311</v>
      </c>
      <c r="H3886" s="913" t="s">
        <v>2014</v>
      </c>
      <c r="I3886" s="253">
        <v>81</v>
      </c>
      <c r="J3886" s="253">
        <v>16479.667927233302</v>
      </c>
      <c r="K3886" s="904">
        <f t="shared" si="71"/>
        <v>1334853</v>
      </c>
      <c r="L3886" s="869" t="s">
        <v>167</v>
      </c>
      <c r="M3886" s="869" t="s">
        <v>165</v>
      </c>
      <c r="N3886" s="52" t="str">
        <f>IF(AND('331-CT'!$E$7=TH!H3886,OR(L3886="331",M3886="331")),"331",IF(AND(OR(L3886="131",M3886="131"),H3886='131-CT'!$E$7),"131",""))</f>
        <v/>
      </c>
      <c r="O3886" s="869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799"/>
    </row>
    <row r="3887" spans="1:27" s="210" customFormat="1" ht="15.75" customHeight="1">
      <c r="A3887" s="203" t="str">
        <f>IF(B3887&lt;&gt;"",IF(AND(B3887&gt;=_TM1,B3887&lt;=_TM2,OR(TH!L3887="1111",TH!M3887="1111")),TH!D3887,""),"")</f>
        <v/>
      </c>
      <c r="B3887" s="36">
        <f t="shared" si="69"/>
        <v>12</v>
      </c>
      <c r="C3887" s="899">
        <f t="shared" si="70"/>
        <v>42369</v>
      </c>
      <c r="D3887" s="900" t="s">
        <v>2013</v>
      </c>
      <c r="E3887" s="900">
        <v>42369</v>
      </c>
      <c r="F3887" s="907" t="s">
        <v>1313</v>
      </c>
      <c r="G3887" s="902" t="s">
        <v>1311</v>
      </c>
      <c r="H3887" s="913" t="s">
        <v>2014</v>
      </c>
      <c r="I3887" s="253">
        <v>250</v>
      </c>
      <c r="J3887" s="253">
        <v>1193.0981304784291</v>
      </c>
      <c r="K3887" s="904">
        <f t="shared" si="71"/>
        <v>298275</v>
      </c>
      <c r="L3887" s="869" t="s">
        <v>167</v>
      </c>
      <c r="M3887" s="869" t="s">
        <v>165</v>
      </c>
      <c r="N3887" s="52" t="str">
        <f>IF(AND('331-CT'!$E$7=TH!H3887,OR(L3887="331",M3887="331")),"331",IF(AND(OR(L3887="131",M3887="131"),H3887='131-CT'!$E$7),"131",""))</f>
        <v/>
      </c>
      <c r="O3887" s="869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799"/>
    </row>
    <row r="3888" spans="1:27" s="210" customFormat="1" ht="15.75" customHeight="1">
      <c r="A3888" s="203" t="str">
        <f>IF(B3888&lt;&gt;"",IF(AND(B3888&gt;=_TM1,B3888&lt;=_TM2,OR(TH!L3888="1111",TH!M3888="1111")),TH!D3888,""),"")</f>
        <v/>
      </c>
      <c r="B3888" s="36">
        <f t="shared" si="69"/>
        <v>12</v>
      </c>
      <c r="C3888" s="899">
        <f t="shared" si="70"/>
        <v>42369</v>
      </c>
      <c r="D3888" s="900" t="s">
        <v>2013</v>
      </c>
      <c r="E3888" s="900">
        <v>42369</v>
      </c>
      <c r="F3888" s="907" t="s">
        <v>1314</v>
      </c>
      <c r="G3888" s="902" t="s">
        <v>1311</v>
      </c>
      <c r="H3888" s="913" t="s">
        <v>2014</v>
      </c>
      <c r="I3888" s="253">
        <v>1000</v>
      </c>
      <c r="J3888" s="253">
        <v>894.82359785882181</v>
      </c>
      <c r="K3888" s="904">
        <f t="shared" si="71"/>
        <v>894824</v>
      </c>
      <c r="L3888" s="869" t="s">
        <v>167</v>
      </c>
      <c r="M3888" s="869" t="s">
        <v>165</v>
      </c>
      <c r="N3888" s="52" t="str">
        <f>IF(AND('331-CT'!$E$7=TH!H3888,OR(L3888="331",M3888="331")),"331",IF(AND(OR(L3888="131",M3888="131"),H3888='131-CT'!$E$7),"131",""))</f>
        <v/>
      </c>
      <c r="O3888" s="869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799"/>
    </row>
    <row r="3889" spans="1:27" s="210" customFormat="1" ht="15.75" customHeight="1">
      <c r="A3889" s="203" t="str">
        <f>IF(B3889&lt;&gt;"",IF(AND(B3889&gt;=_TM1,B3889&lt;=_TM2,OR(TH!L3889="1111",TH!M3889="1111")),TH!D3889,""),"")</f>
        <v/>
      </c>
      <c r="B3889" s="36">
        <f t="shared" si="69"/>
        <v>12</v>
      </c>
      <c r="C3889" s="899">
        <f t="shared" si="70"/>
        <v>42369</v>
      </c>
      <c r="D3889" s="900" t="s">
        <v>2013</v>
      </c>
      <c r="E3889" s="900">
        <v>42369</v>
      </c>
      <c r="F3889" s="907" t="s">
        <v>1315</v>
      </c>
      <c r="G3889" s="902" t="s">
        <v>1311</v>
      </c>
      <c r="H3889" s="913" t="s">
        <v>2014</v>
      </c>
      <c r="I3889" s="253">
        <v>243</v>
      </c>
      <c r="J3889" s="253">
        <v>2162.4903614921527</v>
      </c>
      <c r="K3889" s="904">
        <f t="shared" si="71"/>
        <v>525485</v>
      </c>
      <c r="L3889" s="869" t="s">
        <v>167</v>
      </c>
      <c r="M3889" s="869" t="s">
        <v>165</v>
      </c>
      <c r="N3889" s="52" t="str">
        <f>IF(AND('331-CT'!$E$7=TH!H3889,OR(L3889="331",M3889="331")),"331",IF(AND(OR(L3889="131",M3889="131"),H3889='131-CT'!$E$7),"131",""))</f>
        <v/>
      </c>
      <c r="O3889" s="869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799"/>
    </row>
    <row r="3890" spans="1:27" s="210" customFormat="1" ht="15.75" customHeight="1">
      <c r="A3890" s="203" t="str">
        <f>IF(B3890&lt;&gt;"",IF(AND(B3890&gt;=_TM1,B3890&lt;=_TM2,OR(TH!L3890="1111",TH!M3890="1111")),TH!D3890,""),"")</f>
        <v/>
      </c>
      <c r="B3890" s="36">
        <f t="shared" si="69"/>
        <v>12</v>
      </c>
      <c r="C3890" s="899">
        <f t="shared" si="70"/>
        <v>42369</v>
      </c>
      <c r="D3890" s="900" t="s">
        <v>2013</v>
      </c>
      <c r="E3890" s="900">
        <v>42369</v>
      </c>
      <c r="F3890" s="907" t="s">
        <v>1316</v>
      </c>
      <c r="G3890" s="902" t="s">
        <v>1311</v>
      </c>
      <c r="H3890" s="913" t="s">
        <v>2014</v>
      </c>
      <c r="I3890" s="253">
        <v>162</v>
      </c>
      <c r="J3890" s="253">
        <v>671.11769839411636</v>
      </c>
      <c r="K3890" s="904">
        <f t="shared" si="71"/>
        <v>108721</v>
      </c>
      <c r="L3890" s="869" t="s">
        <v>167</v>
      </c>
      <c r="M3890" s="869" t="s">
        <v>165</v>
      </c>
      <c r="N3890" s="52" t="str">
        <f>IF(AND('331-CT'!$E$7=TH!H3890,OR(L3890="331",M3890="331")),"331",IF(AND(OR(L3890="131",M3890="131"),H3890='131-CT'!$E$7),"131",""))</f>
        <v/>
      </c>
      <c r="O3890" s="869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799"/>
    </row>
    <row r="3891" spans="1:27" s="210" customFormat="1" ht="15.75" customHeight="1">
      <c r="A3891" s="203" t="str">
        <f>IF(B3891&lt;&gt;"",IF(AND(B3891&gt;=_TM1,B3891&lt;=_TM2,OR(TH!L3891="1111",TH!M3891="1111")),TH!D3891,""),"")</f>
        <v/>
      </c>
      <c r="B3891" s="36">
        <f t="shared" si="69"/>
        <v>12</v>
      </c>
      <c r="C3891" s="899">
        <f t="shared" si="70"/>
        <v>42369</v>
      </c>
      <c r="D3891" s="900" t="s">
        <v>2013</v>
      </c>
      <c r="E3891" s="900">
        <v>42369</v>
      </c>
      <c r="F3891" s="907" t="s">
        <v>1317</v>
      </c>
      <c r="G3891" s="902" t="s">
        <v>1311</v>
      </c>
      <c r="H3891" s="913" t="s">
        <v>2014</v>
      </c>
      <c r="I3891" s="253">
        <v>648</v>
      </c>
      <c r="J3891" s="253">
        <v>521.98043208431272</v>
      </c>
      <c r="K3891" s="904">
        <f t="shared" si="71"/>
        <v>338243</v>
      </c>
      <c r="L3891" s="869" t="s">
        <v>167</v>
      </c>
      <c r="M3891" s="869" t="s">
        <v>165</v>
      </c>
      <c r="N3891" s="52" t="str">
        <f>IF(AND('331-CT'!$E$7=TH!H3891,OR(L3891="331",M3891="331")),"331",IF(AND(OR(L3891="131",M3891="131"),H3891='131-CT'!$E$7),"131",""))</f>
        <v/>
      </c>
      <c r="O3891" s="869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799"/>
    </row>
    <row r="3892" spans="1:27" s="210" customFormat="1" ht="15.75" customHeight="1">
      <c r="A3892" s="203" t="str">
        <f>IF(B3892&lt;&gt;"",IF(AND(B3892&gt;=_TM1,B3892&lt;=_TM2,OR(TH!L3892="1111",TH!M3892="1111")),TH!D3892,""),"")</f>
        <v/>
      </c>
      <c r="B3892" s="36">
        <f t="shared" si="69"/>
        <v>12</v>
      </c>
      <c r="C3892" s="899">
        <f t="shared" si="70"/>
        <v>42369</v>
      </c>
      <c r="D3892" s="900" t="s">
        <v>2013</v>
      </c>
      <c r="E3892" s="900">
        <v>42369</v>
      </c>
      <c r="F3892" s="907" t="s">
        <v>1318</v>
      </c>
      <c r="G3892" s="902" t="s">
        <v>1311</v>
      </c>
      <c r="H3892" s="913" t="s">
        <v>2014</v>
      </c>
      <c r="I3892" s="253">
        <v>500</v>
      </c>
      <c r="J3892" s="253">
        <v>3430.1571251254836</v>
      </c>
      <c r="K3892" s="904">
        <f t="shared" si="71"/>
        <v>1715079</v>
      </c>
      <c r="L3892" s="869" t="s">
        <v>167</v>
      </c>
      <c r="M3892" s="869" t="s">
        <v>165</v>
      </c>
      <c r="N3892" s="52" t="str">
        <f>IF(AND('331-CT'!$E$7=TH!H3892,OR(L3892="331",M3892="331")),"331",IF(AND(OR(L3892="131",M3892="131"),H3892='131-CT'!$E$7),"131",""))</f>
        <v/>
      </c>
      <c r="O3892" s="869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799"/>
    </row>
    <row r="3893" spans="1:27" s="836" customFormat="1" ht="15.75" customHeight="1">
      <c r="A3893" s="884" t="str">
        <f>IF(B3893&lt;&gt;"",IF(AND(B3893&gt;=_TM1,B3893&lt;=_TM2,OR(TH!L3893="1111",TH!M3893="1111")),TH!D3893,""),"")</f>
        <v/>
      </c>
      <c r="B3893" s="826">
        <f t="shared" ref="B3893:B5120" si="72">IF(C3893&lt;&gt;"",MONTH(C3893),"")</f>
        <v>1</v>
      </c>
      <c r="C3893" s="827">
        <f t="shared" ref="C3893:C5120" si="73">E3893</f>
        <v>42010</v>
      </c>
      <c r="D3893" s="828" t="s">
        <v>2015</v>
      </c>
      <c r="E3893" s="828">
        <v>42010</v>
      </c>
      <c r="F3893" s="829" t="s">
        <v>398</v>
      </c>
      <c r="G3893" s="830" t="s">
        <v>399</v>
      </c>
      <c r="H3893" s="838" t="s">
        <v>2016</v>
      </c>
      <c r="I3893" s="832">
        <v>936</v>
      </c>
      <c r="J3893" s="832">
        <v>6786.2992119664887</v>
      </c>
      <c r="K3893" s="833">
        <f t="shared" ref="K3893:K5120" si="74">ROUND(I3893*J3893,0)</f>
        <v>6351976</v>
      </c>
      <c r="L3893" s="886" t="s">
        <v>172</v>
      </c>
      <c r="M3893" s="886" t="s">
        <v>167</v>
      </c>
      <c r="N3893" s="52" t="str">
        <f>IF(AND('331-CT'!$E$7=TH!H3893,OR(L3893="331",M3893="331")),"331",IF(AND(OR(L3893="131",M3893="131"),H3893='131-CT'!$E$7),"131",""))</f>
        <v/>
      </c>
      <c r="O3893" s="869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35"/>
    </row>
    <row r="3894" spans="1:27" s="210" customFormat="1" ht="15.75" customHeight="1">
      <c r="A3894" s="203" t="str">
        <f>IF(B3894&lt;&gt;"",IF(AND(B3894&gt;=_TM1,B3894&lt;=_TM2,OR(TH!L3894="1111",TH!M3894="1111")),TH!D3894,""),"")</f>
        <v/>
      </c>
      <c r="B3894" s="36">
        <f t="shared" si="72"/>
        <v>1</v>
      </c>
      <c r="C3894" s="183">
        <f t="shared" si="73"/>
        <v>42010</v>
      </c>
      <c r="D3894" s="190" t="s">
        <v>2015</v>
      </c>
      <c r="E3894" s="190">
        <v>42010</v>
      </c>
      <c r="F3894" s="191" t="s">
        <v>401</v>
      </c>
      <c r="G3894" s="482" t="s">
        <v>399</v>
      </c>
      <c r="H3894" s="192" t="s">
        <v>2016</v>
      </c>
      <c r="I3894" s="255">
        <v>316</v>
      </c>
      <c r="J3894" s="255">
        <v>8027.6962025316452</v>
      </c>
      <c r="K3894" s="593">
        <f t="shared" si="74"/>
        <v>2536752</v>
      </c>
      <c r="L3894" s="193" t="s">
        <v>172</v>
      </c>
      <c r="M3894" s="193" t="s">
        <v>167</v>
      </c>
      <c r="N3894" s="52" t="str">
        <f>IF(AND('331-CT'!$E$7=TH!H3894,OR(L3894="331",M3894="331")),"331",IF(AND(OR(L3894="131",M3894="131"),H3894='131-CT'!$E$7),"131",""))</f>
        <v/>
      </c>
      <c r="O3894" s="869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799"/>
    </row>
    <row r="3895" spans="1:27" s="210" customFormat="1" ht="15.75" customHeight="1">
      <c r="A3895" s="203" t="str">
        <f>IF(B3895&lt;&gt;"",IF(AND(B3895&gt;=_TM1,B3895&lt;=_TM2,OR(TH!L3895="1111",TH!M3895="1111")),TH!D3895,""),"")</f>
        <v/>
      </c>
      <c r="B3895" s="36">
        <f t="shared" si="72"/>
        <v>1</v>
      </c>
      <c r="C3895" s="183">
        <f t="shared" si="73"/>
        <v>42011</v>
      </c>
      <c r="D3895" s="190" t="s">
        <v>2015</v>
      </c>
      <c r="E3895" s="190">
        <v>42011</v>
      </c>
      <c r="F3895" s="191" t="s">
        <v>403</v>
      </c>
      <c r="G3895" s="482" t="s">
        <v>404</v>
      </c>
      <c r="H3895" s="192" t="s">
        <v>2016</v>
      </c>
      <c r="I3895" s="255">
        <v>500</v>
      </c>
      <c r="J3895" s="255">
        <v>7448.3779999999997</v>
      </c>
      <c r="K3895" s="593">
        <f t="shared" si="74"/>
        <v>3724189</v>
      </c>
      <c r="L3895" s="193" t="s">
        <v>172</v>
      </c>
      <c r="M3895" s="193" t="s">
        <v>167</v>
      </c>
      <c r="N3895" s="52" t="str">
        <f>IF(AND('331-CT'!$E$7=TH!H3895,OR(L3895="331",M3895="331")),"331",IF(AND(OR(L3895="131",M3895="131"),H3895='131-CT'!$E$7),"131",""))</f>
        <v/>
      </c>
      <c r="O3895" s="869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799"/>
    </row>
    <row r="3896" spans="1:27" s="210" customFormat="1" ht="15.75" customHeight="1">
      <c r="A3896" s="203" t="str">
        <f>IF(B3896&lt;&gt;"",IF(AND(B3896&gt;=_TM1,B3896&lt;=_TM2,OR(TH!L3896="1111",TH!M3896="1111")),TH!D3896,""),"")</f>
        <v/>
      </c>
      <c r="B3896" s="36">
        <f t="shared" si="72"/>
        <v>1</v>
      </c>
      <c r="C3896" s="183">
        <f t="shared" si="73"/>
        <v>42011</v>
      </c>
      <c r="D3896" s="190" t="s">
        <v>2015</v>
      </c>
      <c r="E3896" s="190">
        <v>42011</v>
      </c>
      <c r="F3896" s="191" t="s">
        <v>405</v>
      </c>
      <c r="G3896" s="482" t="s">
        <v>406</v>
      </c>
      <c r="H3896" s="192" t="s">
        <v>2016</v>
      </c>
      <c r="I3896" s="255">
        <v>660</v>
      </c>
      <c r="J3896" s="255">
        <v>10344.968181818182</v>
      </c>
      <c r="K3896" s="593">
        <f t="shared" si="74"/>
        <v>6827679</v>
      </c>
      <c r="L3896" s="193" t="s">
        <v>172</v>
      </c>
      <c r="M3896" s="193" t="s">
        <v>167</v>
      </c>
      <c r="N3896" s="52" t="str">
        <f>IF(AND('331-CT'!$E$7=TH!H3896,OR(L3896="331",M3896="331")),"331",IF(AND(OR(L3896="131",M3896="131"),H3896='131-CT'!$E$7),"131",""))</f>
        <v/>
      </c>
      <c r="O3896" s="869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799"/>
    </row>
    <row r="3897" spans="1:27" s="210" customFormat="1" ht="15.75" customHeight="1">
      <c r="A3897" s="203" t="str">
        <f>IF(B3897&lt;&gt;"",IF(AND(B3897&gt;=_TM1,B3897&lt;=_TM2,OR(TH!L3897="1111",TH!M3897="1111")),TH!D3897,""),"")</f>
        <v/>
      </c>
      <c r="B3897" s="36">
        <f t="shared" si="72"/>
        <v>1</v>
      </c>
      <c r="C3897" s="183">
        <f t="shared" si="73"/>
        <v>42011</v>
      </c>
      <c r="D3897" s="190" t="s">
        <v>2015</v>
      </c>
      <c r="E3897" s="190">
        <v>42011</v>
      </c>
      <c r="F3897" s="191" t="s">
        <v>408</v>
      </c>
      <c r="G3897" s="482" t="s">
        <v>406</v>
      </c>
      <c r="H3897" s="192" t="s">
        <v>2016</v>
      </c>
      <c r="I3897" s="255">
        <v>661</v>
      </c>
      <c r="J3897" s="255">
        <v>9434.61119515885</v>
      </c>
      <c r="K3897" s="593">
        <f t="shared" si="74"/>
        <v>6236278</v>
      </c>
      <c r="L3897" s="193" t="s">
        <v>172</v>
      </c>
      <c r="M3897" s="193" t="s">
        <v>167</v>
      </c>
      <c r="N3897" s="52" t="str">
        <f>IF(AND('331-CT'!$E$7=TH!H3897,OR(L3897="331",M3897="331")),"331",IF(AND(OR(L3897="131",M3897="131"),H3897='131-CT'!$E$7),"131",""))</f>
        <v/>
      </c>
      <c r="O3897" s="869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799"/>
    </row>
    <row r="3898" spans="1:27" s="210" customFormat="1" ht="15.75" customHeight="1">
      <c r="A3898" s="203" t="str">
        <f>IF(B3898&lt;&gt;"",IF(AND(B3898&gt;=_TM1,B3898&lt;=_TM2,OR(TH!L3898="1111",TH!M3898="1111")),TH!D3898,""),"")</f>
        <v/>
      </c>
      <c r="B3898" s="36">
        <f t="shared" si="72"/>
        <v>1</v>
      </c>
      <c r="C3898" s="183">
        <f t="shared" si="73"/>
        <v>42012</v>
      </c>
      <c r="D3898" s="190" t="s">
        <v>2015</v>
      </c>
      <c r="E3898" s="190">
        <v>42012</v>
      </c>
      <c r="F3898" s="191" t="s">
        <v>409</v>
      </c>
      <c r="G3898" s="482" t="s">
        <v>410</v>
      </c>
      <c r="H3898" s="192" t="s">
        <v>2016</v>
      </c>
      <c r="I3898" s="255">
        <v>7200</v>
      </c>
      <c r="J3898" s="255">
        <v>6124.2212499999996</v>
      </c>
      <c r="K3898" s="593">
        <f t="shared" si="74"/>
        <v>44094393</v>
      </c>
      <c r="L3898" s="193" t="s">
        <v>172</v>
      </c>
      <c r="M3898" s="193" t="s">
        <v>167</v>
      </c>
      <c r="N3898" s="52" t="str">
        <f>IF(AND('331-CT'!$E$7=TH!H3898,OR(L3898="331",M3898="331")),"331",IF(AND(OR(L3898="131",M3898="131"),H3898='131-CT'!$E$7),"131",""))</f>
        <v/>
      </c>
      <c r="O3898" s="869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799"/>
    </row>
    <row r="3899" spans="1:27" s="210" customFormat="1" ht="15.75" customHeight="1">
      <c r="A3899" s="203" t="str">
        <f>IF(B3899&lt;&gt;"",IF(AND(B3899&gt;=_TM1,B3899&lt;=_TM2,OR(TH!L3899="1111",TH!M3899="1111")),TH!D3899,""),"")</f>
        <v/>
      </c>
      <c r="B3899" s="36">
        <f t="shared" si="72"/>
        <v>1</v>
      </c>
      <c r="C3899" s="183">
        <f t="shared" si="73"/>
        <v>42017</v>
      </c>
      <c r="D3899" s="190" t="s">
        <v>2015</v>
      </c>
      <c r="E3899" s="190">
        <v>42017</v>
      </c>
      <c r="F3899" s="191" t="s">
        <v>413</v>
      </c>
      <c r="G3899" s="482" t="s">
        <v>411</v>
      </c>
      <c r="H3899" s="192" t="s">
        <v>2016</v>
      </c>
      <c r="I3899" s="255">
        <v>503</v>
      </c>
      <c r="J3899" s="255">
        <v>7862.1749502982111</v>
      </c>
      <c r="K3899" s="593">
        <f t="shared" si="74"/>
        <v>3954674</v>
      </c>
      <c r="L3899" s="193" t="s">
        <v>172</v>
      </c>
      <c r="M3899" s="193" t="s">
        <v>167</v>
      </c>
      <c r="N3899" s="52" t="str">
        <f>IF(AND('331-CT'!$E$7=TH!H3899,OR(L3899="331",M3899="331")),"331",IF(AND(OR(L3899="131",M3899="131"),H3899='131-CT'!$E$7),"131",""))</f>
        <v/>
      </c>
      <c r="O3899" s="869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799"/>
    </row>
    <row r="3900" spans="1:27" s="210" customFormat="1" ht="15.75" customHeight="1">
      <c r="A3900" s="203" t="str">
        <f>IF(B3900&lt;&gt;"",IF(AND(B3900&gt;=_TM1,B3900&lt;=_TM2,OR(TH!L3900="1111",TH!M3900="1111")),TH!D3900,""),"")</f>
        <v/>
      </c>
      <c r="B3900" s="36">
        <f t="shared" si="72"/>
        <v>1</v>
      </c>
      <c r="C3900" s="183">
        <f t="shared" si="73"/>
        <v>42017</v>
      </c>
      <c r="D3900" s="190" t="s">
        <v>2015</v>
      </c>
      <c r="E3900" s="190">
        <v>42017</v>
      </c>
      <c r="F3900" s="191" t="s">
        <v>413</v>
      </c>
      <c r="G3900" s="482" t="s">
        <v>411</v>
      </c>
      <c r="H3900" s="192" t="s">
        <v>2016</v>
      </c>
      <c r="I3900" s="255">
        <v>499</v>
      </c>
      <c r="J3900" s="255">
        <v>7862.1743486973946</v>
      </c>
      <c r="K3900" s="593">
        <f t="shared" si="74"/>
        <v>3923225</v>
      </c>
      <c r="L3900" s="193" t="s">
        <v>172</v>
      </c>
      <c r="M3900" s="193" t="s">
        <v>167</v>
      </c>
      <c r="N3900" s="52" t="str">
        <f>IF(AND('331-CT'!$E$7=TH!H3900,OR(L3900="331",M3900="331")),"331",IF(AND(OR(L3900="131",M3900="131"),H3900='131-CT'!$E$7),"131",""))</f>
        <v/>
      </c>
      <c r="O3900" s="869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799"/>
    </row>
    <row r="3901" spans="1:27" s="210" customFormat="1" ht="15.75" customHeight="1">
      <c r="A3901" s="203" t="str">
        <f>IF(B3901&lt;&gt;"",IF(AND(B3901&gt;=_TM1,B3901&lt;=_TM2,OR(TH!L3901="1111",TH!M3901="1111")),TH!D3901,""),"")</f>
        <v/>
      </c>
      <c r="B3901" s="36">
        <f t="shared" si="72"/>
        <v>1</v>
      </c>
      <c r="C3901" s="183">
        <f t="shared" si="73"/>
        <v>42018</v>
      </c>
      <c r="D3901" s="190" t="s">
        <v>2015</v>
      </c>
      <c r="E3901" s="190">
        <v>42018</v>
      </c>
      <c r="F3901" s="191" t="s">
        <v>414</v>
      </c>
      <c r="G3901" s="482" t="s">
        <v>415</v>
      </c>
      <c r="H3901" s="192" t="s">
        <v>2016</v>
      </c>
      <c r="I3901" s="255">
        <v>27</v>
      </c>
      <c r="J3901" s="255">
        <v>24496.85185185185</v>
      </c>
      <c r="K3901" s="593">
        <f t="shared" si="74"/>
        <v>661415</v>
      </c>
      <c r="L3901" s="193" t="s">
        <v>172</v>
      </c>
      <c r="M3901" s="193" t="s">
        <v>167</v>
      </c>
      <c r="N3901" s="52" t="str">
        <f>IF(AND('331-CT'!$E$7=TH!H3901,OR(L3901="331",M3901="331")),"331",IF(AND(OR(L3901="131",M3901="131"),H3901='131-CT'!$E$7),"131",""))</f>
        <v/>
      </c>
      <c r="O3901" s="869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799"/>
    </row>
    <row r="3902" spans="1:27" s="210" customFormat="1" ht="15.75" customHeight="1">
      <c r="A3902" s="203" t="str">
        <f>IF(B3902&lt;&gt;"",IF(AND(B3902&gt;=_TM1,B3902&lt;=_TM2,OR(TH!L3902="1111",TH!M3902="1111")),TH!D3902,""),"")</f>
        <v/>
      </c>
      <c r="B3902" s="36">
        <f t="shared" si="72"/>
        <v>1</v>
      </c>
      <c r="C3902" s="183">
        <f t="shared" si="73"/>
        <v>42018</v>
      </c>
      <c r="D3902" s="190" t="s">
        <v>2015</v>
      </c>
      <c r="E3902" s="190">
        <v>42018</v>
      </c>
      <c r="F3902" s="191" t="s">
        <v>417</v>
      </c>
      <c r="G3902" s="482" t="s">
        <v>415</v>
      </c>
      <c r="H3902" s="192" t="s">
        <v>2016</v>
      </c>
      <c r="I3902" s="255">
        <v>67</v>
      </c>
      <c r="J3902" s="255">
        <v>20193.358208955226</v>
      </c>
      <c r="K3902" s="593">
        <f t="shared" si="74"/>
        <v>1352955</v>
      </c>
      <c r="L3902" s="193" t="s">
        <v>172</v>
      </c>
      <c r="M3902" s="193" t="s">
        <v>167</v>
      </c>
      <c r="N3902" s="52" t="str">
        <f>IF(AND('331-CT'!$E$7=TH!H3902,OR(L3902="331",M3902="331")),"331",IF(AND(OR(L3902="131",M3902="131"),H3902='131-CT'!$E$7),"131",""))</f>
        <v/>
      </c>
      <c r="O3902" s="869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799"/>
    </row>
    <row r="3903" spans="1:27" s="210" customFormat="1" ht="15.75" customHeight="1">
      <c r="A3903" s="203" t="str">
        <f>IF(B3903&lt;&gt;"",IF(AND(B3903&gt;=_TM1,B3903&lt;=_TM2,OR(TH!L3903="1111",TH!M3903="1111")),TH!D3903,""),"")</f>
        <v/>
      </c>
      <c r="B3903" s="36">
        <f t="shared" si="72"/>
        <v>1</v>
      </c>
      <c r="C3903" s="183">
        <f t="shared" si="73"/>
        <v>42018</v>
      </c>
      <c r="D3903" s="190" t="s">
        <v>2015</v>
      </c>
      <c r="E3903" s="190">
        <v>42018</v>
      </c>
      <c r="F3903" s="191" t="s">
        <v>418</v>
      </c>
      <c r="G3903" s="482" t="s">
        <v>415</v>
      </c>
      <c r="H3903" s="192" t="s">
        <v>2016</v>
      </c>
      <c r="I3903" s="255">
        <v>85</v>
      </c>
      <c r="J3903" s="255">
        <v>14317.423529411764</v>
      </c>
      <c r="K3903" s="593">
        <f t="shared" si="74"/>
        <v>1216981</v>
      </c>
      <c r="L3903" s="193" t="s">
        <v>172</v>
      </c>
      <c r="M3903" s="193" t="s">
        <v>167</v>
      </c>
      <c r="N3903" s="52" t="str">
        <f>IF(AND('331-CT'!$E$7=TH!H3903,OR(L3903="331",M3903="331")),"331",IF(AND(OR(L3903="131",M3903="131"),H3903='131-CT'!$E$7),"131",""))</f>
        <v/>
      </c>
      <c r="O3903" s="869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799"/>
    </row>
    <row r="3904" spans="1:27" s="210" customFormat="1" ht="15.75" customHeight="1">
      <c r="A3904" s="203" t="str">
        <f>IF(B3904&lt;&gt;"",IF(AND(B3904&gt;=_TM1,B3904&lt;=_TM2,OR(TH!L3904="1111",TH!M3904="1111")),TH!D3904,""),"")</f>
        <v/>
      </c>
      <c r="B3904" s="36">
        <f t="shared" si="72"/>
        <v>1</v>
      </c>
      <c r="C3904" s="183">
        <f t="shared" si="73"/>
        <v>42018</v>
      </c>
      <c r="D3904" s="190" t="s">
        <v>2015</v>
      </c>
      <c r="E3904" s="190">
        <v>42018</v>
      </c>
      <c r="F3904" s="191" t="s">
        <v>419</v>
      </c>
      <c r="G3904" s="482" t="s">
        <v>415</v>
      </c>
      <c r="H3904" s="192" t="s">
        <v>2016</v>
      </c>
      <c r="I3904" s="255">
        <v>572</v>
      </c>
      <c r="J3904" s="255">
        <v>7862.1748251748249</v>
      </c>
      <c r="K3904" s="593">
        <f t="shared" si="74"/>
        <v>4497164</v>
      </c>
      <c r="L3904" s="193" t="s">
        <v>172</v>
      </c>
      <c r="M3904" s="193" t="s">
        <v>167</v>
      </c>
      <c r="N3904" s="52" t="str">
        <f>IF(AND('331-CT'!$E$7=TH!H3904,OR(L3904="331",M3904="331")),"331",IF(AND(OR(L3904="131",M3904="131"),H3904='131-CT'!$E$7),"131",""))</f>
        <v/>
      </c>
      <c r="O3904" s="869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799"/>
    </row>
    <row r="3905" spans="1:27" s="210" customFormat="1" ht="15.75" customHeight="1">
      <c r="A3905" s="203" t="str">
        <f>IF(B3905&lt;&gt;"",IF(AND(B3905&gt;=_TM1,B3905&lt;=_TM2,OR(TH!L3905="1111",TH!M3905="1111")),TH!D3905,""),"")</f>
        <v/>
      </c>
      <c r="B3905" s="36">
        <f t="shared" si="72"/>
        <v>1</v>
      </c>
      <c r="C3905" s="183">
        <f t="shared" si="73"/>
        <v>42018</v>
      </c>
      <c r="D3905" s="190" t="s">
        <v>2015</v>
      </c>
      <c r="E3905" s="190">
        <v>42018</v>
      </c>
      <c r="F3905" s="191" t="s">
        <v>1652</v>
      </c>
      <c r="G3905" s="482" t="s">
        <v>415</v>
      </c>
      <c r="H3905" s="192" t="s">
        <v>2016</v>
      </c>
      <c r="I3905" s="255">
        <v>358</v>
      </c>
      <c r="J3905" s="255">
        <v>1241.3938547486034</v>
      </c>
      <c r="K3905" s="593">
        <f t="shared" si="74"/>
        <v>444419</v>
      </c>
      <c r="L3905" s="193" t="s">
        <v>172</v>
      </c>
      <c r="M3905" s="193" t="s">
        <v>167</v>
      </c>
      <c r="N3905" s="52" t="str">
        <f>IF(AND('331-CT'!$E$7=TH!H3905,OR(L3905="331",M3905="331")),"331",IF(AND(OR(L3905="131",M3905="131"),H3905='131-CT'!$E$7),"131",""))</f>
        <v/>
      </c>
      <c r="O3905" s="869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799"/>
    </row>
    <row r="3906" spans="1:27" s="210" customFormat="1" ht="15.75" customHeight="1">
      <c r="A3906" s="203" t="str">
        <f>IF(B3906&lt;&gt;"",IF(AND(B3906&gt;=_TM1,B3906&lt;=_TM2,OR(TH!L3906="1111",TH!M3906="1111")),TH!D3906,""),"")</f>
        <v/>
      </c>
      <c r="B3906" s="36">
        <f t="shared" si="72"/>
        <v>1</v>
      </c>
      <c r="C3906" s="183">
        <f t="shared" si="73"/>
        <v>42018</v>
      </c>
      <c r="D3906" s="190" t="s">
        <v>2015</v>
      </c>
      <c r="E3906" s="190">
        <v>42018</v>
      </c>
      <c r="F3906" s="191" t="s">
        <v>1653</v>
      </c>
      <c r="G3906" s="482" t="s">
        <v>415</v>
      </c>
      <c r="H3906" s="192" t="s">
        <v>2016</v>
      </c>
      <c r="I3906" s="255">
        <v>1144</v>
      </c>
      <c r="J3906" s="255">
        <v>910.3566433566433</v>
      </c>
      <c r="K3906" s="593">
        <f t="shared" si="74"/>
        <v>1041448</v>
      </c>
      <c r="L3906" s="193" t="s">
        <v>172</v>
      </c>
      <c r="M3906" s="193" t="s">
        <v>167</v>
      </c>
      <c r="N3906" s="52" t="str">
        <f>IF(AND('331-CT'!$E$7=TH!H3906,OR(L3906="331",M3906="331")),"331",IF(AND(OR(L3906="131",M3906="131"),H3906='131-CT'!$E$7),"131",""))</f>
        <v/>
      </c>
      <c r="O3906" s="869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799"/>
    </row>
    <row r="3907" spans="1:27" s="210" customFormat="1" ht="15.75" customHeight="1">
      <c r="A3907" s="203" t="str">
        <f>IF(B3907&lt;&gt;"",IF(AND(B3907&gt;=_TM1,B3907&lt;=_TM2,OR(TH!L3907="1111",TH!M3907="1111")),TH!D3907,""),"")</f>
        <v/>
      </c>
      <c r="B3907" s="36">
        <f t="shared" si="72"/>
        <v>1</v>
      </c>
      <c r="C3907" s="183">
        <f t="shared" si="73"/>
        <v>42024</v>
      </c>
      <c r="D3907" s="190" t="s">
        <v>2015</v>
      </c>
      <c r="E3907" s="190">
        <v>42024</v>
      </c>
      <c r="F3907" s="191" t="s">
        <v>420</v>
      </c>
      <c r="G3907" s="482" t="s">
        <v>421</v>
      </c>
      <c r="H3907" s="192" t="s">
        <v>2016</v>
      </c>
      <c r="I3907" s="255">
        <v>220</v>
      </c>
      <c r="J3907" s="255">
        <v>9931.1636363636371</v>
      </c>
      <c r="K3907" s="593">
        <f t="shared" si="74"/>
        <v>2184856</v>
      </c>
      <c r="L3907" s="193" t="s">
        <v>172</v>
      </c>
      <c r="M3907" s="193" t="s">
        <v>167</v>
      </c>
      <c r="N3907" s="52" t="str">
        <f>IF(AND('331-CT'!$E$7=TH!H3907,OR(L3907="331",M3907="331")),"331",IF(AND(OR(L3907="131",M3907="131"),H3907='131-CT'!$E$7),"131",""))</f>
        <v/>
      </c>
      <c r="O3907" s="869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799"/>
    </row>
    <row r="3908" spans="1:27" s="210" customFormat="1" ht="15.75" customHeight="1">
      <c r="A3908" s="203" t="str">
        <f>IF(B3908&lt;&gt;"",IF(AND(B3908&gt;=_TM1,B3908&lt;=_TM2,OR(TH!L3908="1111",TH!M3908="1111")),TH!D3908,""),"")</f>
        <v/>
      </c>
      <c r="B3908" s="36">
        <f t="shared" si="72"/>
        <v>1</v>
      </c>
      <c r="C3908" s="183">
        <f t="shared" si="73"/>
        <v>42024</v>
      </c>
      <c r="D3908" s="190" t="s">
        <v>2015</v>
      </c>
      <c r="E3908" s="190">
        <v>42024</v>
      </c>
      <c r="F3908" s="191" t="s">
        <v>405</v>
      </c>
      <c r="G3908" s="482" t="s">
        <v>423</v>
      </c>
      <c r="H3908" s="192" t="s">
        <v>2016</v>
      </c>
      <c r="I3908" s="255">
        <v>455</v>
      </c>
      <c r="J3908" s="255">
        <v>10344.967032967033</v>
      </c>
      <c r="K3908" s="593">
        <f t="shared" si="74"/>
        <v>4706960</v>
      </c>
      <c r="L3908" s="193" t="s">
        <v>172</v>
      </c>
      <c r="M3908" s="193" t="s">
        <v>167</v>
      </c>
      <c r="N3908" s="52" t="str">
        <f>IF(AND('331-CT'!$E$7=TH!H3908,OR(L3908="331",M3908="331")),"331",IF(AND(OR(L3908="131",M3908="131"),H3908='131-CT'!$E$7),"131",""))</f>
        <v/>
      </c>
      <c r="O3908" s="869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799"/>
    </row>
    <row r="3909" spans="1:27" s="210" customFormat="1" ht="15.75" customHeight="1">
      <c r="A3909" s="203" t="str">
        <f>IF(B3909&lt;&gt;"",IF(AND(B3909&gt;=_TM1,B3909&lt;=_TM2,OR(TH!L3909="1111",TH!M3909="1111")),TH!D3909,""),"")</f>
        <v/>
      </c>
      <c r="B3909" s="36">
        <f t="shared" si="72"/>
        <v>1</v>
      </c>
      <c r="C3909" s="183">
        <f t="shared" si="73"/>
        <v>42024</v>
      </c>
      <c r="D3909" s="190" t="s">
        <v>2015</v>
      </c>
      <c r="E3909" s="190">
        <v>42024</v>
      </c>
      <c r="F3909" s="191" t="s">
        <v>408</v>
      </c>
      <c r="G3909" s="482" t="s">
        <v>423</v>
      </c>
      <c r="H3909" s="192" t="s">
        <v>2016</v>
      </c>
      <c r="I3909" s="255">
        <v>51</v>
      </c>
      <c r="J3909" s="255">
        <v>9434.5882352941171</v>
      </c>
      <c r="K3909" s="593">
        <f t="shared" si="74"/>
        <v>481164</v>
      </c>
      <c r="L3909" s="193" t="s">
        <v>172</v>
      </c>
      <c r="M3909" s="193" t="s">
        <v>167</v>
      </c>
      <c r="N3909" s="52" t="str">
        <f>IF(AND('331-CT'!$E$7=TH!H3909,OR(L3909="331",M3909="331")),"331",IF(AND(OR(L3909="131",M3909="131"),H3909='131-CT'!$E$7),"131",""))</f>
        <v/>
      </c>
      <c r="O3909" s="869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799"/>
    </row>
    <row r="3910" spans="1:27" s="210" customFormat="1" ht="15.75" customHeight="1">
      <c r="A3910" s="203" t="str">
        <f>IF(B3910&lt;&gt;"",IF(AND(B3910&gt;=_TM1,B3910&lt;=_TM2,OR(TH!L3910="1111",TH!M3910="1111")),TH!D3910,""),"")</f>
        <v/>
      </c>
      <c r="B3910" s="36">
        <f t="shared" si="72"/>
        <v>1</v>
      </c>
      <c r="C3910" s="183">
        <f t="shared" si="73"/>
        <v>42024</v>
      </c>
      <c r="D3910" s="190" t="s">
        <v>2015</v>
      </c>
      <c r="E3910" s="190">
        <v>42024</v>
      </c>
      <c r="F3910" s="191" t="s">
        <v>424</v>
      </c>
      <c r="G3910" s="482" t="s">
        <v>425</v>
      </c>
      <c r="H3910" s="192" t="s">
        <v>2016</v>
      </c>
      <c r="I3910" s="255">
        <v>1934</v>
      </c>
      <c r="J3910" s="255">
        <v>8689.773009307135</v>
      </c>
      <c r="K3910" s="593">
        <f t="shared" si="74"/>
        <v>16806021</v>
      </c>
      <c r="L3910" s="193" t="s">
        <v>172</v>
      </c>
      <c r="M3910" s="193" t="s">
        <v>167</v>
      </c>
      <c r="N3910" s="52" t="str">
        <f>IF(AND('331-CT'!$E$7=TH!H3910,OR(L3910="331",M3910="331")),"331",IF(AND(OR(L3910="131",M3910="131"),H3910='131-CT'!$E$7),"131",""))</f>
        <v/>
      </c>
      <c r="O3910" s="869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799"/>
    </row>
    <row r="3911" spans="1:27" s="210" customFormat="1" ht="15.75" customHeight="1">
      <c r="A3911" s="203" t="str">
        <f>IF(B3911&lt;&gt;"",IF(AND(B3911&gt;=_TM1,B3911&lt;=_TM2,OR(TH!L3911="1111",TH!M3911="1111")),TH!D3911,""),"")</f>
        <v/>
      </c>
      <c r="B3911" s="36">
        <f t="shared" si="72"/>
        <v>1</v>
      </c>
      <c r="C3911" s="183">
        <f t="shared" si="73"/>
        <v>42025</v>
      </c>
      <c r="D3911" s="190" t="s">
        <v>2015</v>
      </c>
      <c r="E3911" s="190">
        <v>42025</v>
      </c>
      <c r="F3911" s="191" t="s">
        <v>426</v>
      </c>
      <c r="G3911" s="482" t="s">
        <v>427</v>
      </c>
      <c r="H3911" s="192" t="s">
        <v>2016</v>
      </c>
      <c r="I3911" s="255">
        <v>105</v>
      </c>
      <c r="J3911" s="255">
        <v>12082.914285714285</v>
      </c>
      <c r="K3911" s="593">
        <f t="shared" si="74"/>
        <v>1268706</v>
      </c>
      <c r="L3911" s="193" t="s">
        <v>172</v>
      </c>
      <c r="M3911" s="193" t="s">
        <v>167</v>
      </c>
      <c r="N3911" s="52" t="str">
        <f>IF(AND('331-CT'!$E$7=TH!H3911,OR(L3911="331",M3911="331")),"331",IF(AND(OR(L3911="131",M3911="131"),H3911='131-CT'!$E$7),"131",""))</f>
        <v/>
      </c>
      <c r="O3911" s="869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799"/>
    </row>
    <row r="3912" spans="1:27" s="210" customFormat="1" ht="15.75" customHeight="1">
      <c r="A3912" s="203" t="str">
        <f>IF(B3912&lt;&gt;"",IF(AND(B3912&gt;=_TM1,B3912&lt;=_TM2,OR(TH!L3912="1111",TH!M3912="1111")),TH!D3912,""),"")</f>
        <v/>
      </c>
      <c r="B3912" s="36">
        <f t="shared" si="72"/>
        <v>1</v>
      </c>
      <c r="C3912" s="183">
        <f t="shared" si="73"/>
        <v>42025</v>
      </c>
      <c r="D3912" s="190" t="s">
        <v>2015</v>
      </c>
      <c r="E3912" s="190">
        <v>42025</v>
      </c>
      <c r="F3912" s="191" t="s">
        <v>428</v>
      </c>
      <c r="G3912" s="482" t="s">
        <v>427</v>
      </c>
      <c r="H3912" s="192" t="s">
        <v>2016</v>
      </c>
      <c r="I3912" s="255">
        <v>32</v>
      </c>
      <c r="J3912" s="255">
        <v>10179.40625</v>
      </c>
      <c r="K3912" s="593">
        <f t="shared" si="74"/>
        <v>325741</v>
      </c>
      <c r="L3912" s="193" t="s">
        <v>172</v>
      </c>
      <c r="M3912" s="193" t="s">
        <v>167</v>
      </c>
      <c r="N3912" s="52" t="str">
        <f>IF(AND('331-CT'!$E$7=TH!H3912,OR(L3912="331",M3912="331")),"331",IF(AND(OR(L3912="131",M3912="131"),H3912='131-CT'!$E$7),"131",""))</f>
        <v/>
      </c>
      <c r="O3912" s="869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799"/>
    </row>
    <row r="3913" spans="1:27" s="210" customFormat="1" ht="15.75" customHeight="1">
      <c r="A3913" s="203" t="str">
        <f>IF(B3913&lt;&gt;"",IF(AND(B3913&gt;=_TM1,B3913&lt;=_TM2,OR(TH!L3913="1111",TH!M3913="1111")),TH!D3913,""),"")</f>
        <v/>
      </c>
      <c r="B3913" s="36">
        <f t="shared" si="72"/>
        <v>1</v>
      </c>
      <c r="C3913" s="183">
        <f t="shared" si="73"/>
        <v>42025</v>
      </c>
      <c r="D3913" s="190" t="s">
        <v>2015</v>
      </c>
      <c r="E3913" s="190">
        <v>42025</v>
      </c>
      <c r="F3913" s="191" t="s">
        <v>405</v>
      </c>
      <c r="G3913" s="482" t="s">
        <v>427</v>
      </c>
      <c r="H3913" s="192" t="s">
        <v>2016</v>
      </c>
      <c r="I3913" s="255">
        <v>102</v>
      </c>
      <c r="J3913" s="255">
        <v>10344.970588235294</v>
      </c>
      <c r="K3913" s="593">
        <f t="shared" si="74"/>
        <v>1055187</v>
      </c>
      <c r="L3913" s="193" t="s">
        <v>172</v>
      </c>
      <c r="M3913" s="193" t="s">
        <v>167</v>
      </c>
      <c r="N3913" s="52" t="str">
        <f>IF(AND('331-CT'!$E$7=TH!H3913,OR(L3913="331",M3913="331")),"331",IF(AND(OR(L3913="131",M3913="131"),H3913='131-CT'!$E$7),"131",""))</f>
        <v/>
      </c>
      <c r="O3913" s="869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799"/>
    </row>
    <row r="3914" spans="1:27" s="210" customFormat="1" ht="15.75" customHeight="1">
      <c r="A3914" s="203" t="str">
        <f>IF(B3914&lt;&gt;"",IF(AND(B3914&gt;=_TM1,B3914&lt;=_TM2,OR(TH!L3914="1111",TH!M3914="1111")),TH!D3914,""),"")</f>
        <v/>
      </c>
      <c r="B3914" s="36">
        <f t="shared" si="72"/>
        <v>1</v>
      </c>
      <c r="C3914" s="183">
        <f t="shared" si="73"/>
        <v>42025</v>
      </c>
      <c r="D3914" s="190" t="s">
        <v>2015</v>
      </c>
      <c r="E3914" s="190">
        <v>42025</v>
      </c>
      <c r="F3914" s="191" t="s">
        <v>429</v>
      </c>
      <c r="G3914" s="482" t="s">
        <v>427</v>
      </c>
      <c r="H3914" s="192" t="s">
        <v>2016</v>
      </c>
      <c r="I3914" s="255">
        <v>102</v>
      </c>
      <c r="J3914" s="255">
        <v>11089.806029311092</v>
      </c>
      <c r="K3914" s="593">
        <f t="shared" si="74"/>
        <v>1131160</v>
      </c>
      <c r="L3914" s="193" t="s">
        <v>172</v>
      </c>
      <c r="M3914" s="193" t="s">
        <v>167</v>
      </c>
      <c r="N3914" s="52" t="str">
        <f>IF(AND('331-CT'!$E$7=TH!H3914,OR(L3914="331",M3914="331")),"331",IF(AND(OR(L3914="131",M3914="131"),H3914='131-CT'!$E$7),"131",""))</f>
        <v/>
      </c>
      <c r="O3914" s="869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799"/>
    </row>
    <row r="3915" spans="1:27" s="210" customFormat="1" ht="15.75" customHeight="1">
      <c r="A3915" s="203" t="str">
        <f>IF(B3915&lt;&gt;"",IF(AND(B3915&gt;=_TM1,B3915&lt;=_TM2,OR(TH!L3915="1111",TH!M3915="1111")),TH!D3915,""),"")</f>
        <v/>
      </c>
      <c r="B3915" s="36">
        <f t="shared" si="72"/>
        <v>1</v>
      </c>
      <c r="C3915" s="183">
        <f t="shared" si="73"/>
        <v>42025</v>
      </c>
      <c r="D3915" s="190" t="s">
        <v>2015</v>
      </c>
      <c r="E3915" s="190">
        <v>42025</v>
      </c>
      <c r="F3915" s="191" t="s">
        <v>430</v>
      </c>
      <c r="G3915" s="482" t="s">
        <v>427</v>
      </c>
      <c r="H3915" s="192" t="s">
        <v>2016</v>
      </c>
      <c r="I3915" s="255">
        <v>40</v>
      </c>
      <c r="J3915" s="255">
        <v>7365.6174373782624</v>
      </c>
      <c r="K3915" s="593">
        <f t="shared" si="74"/>
        <v>294625</v>
      </c>
      <c r="L3915" s="193" t="s">
        <v>172</v>
      </c>
      <c r="M3915" s="193" t="s">
        <v>167</v>
      </c>
      <c r="N3915" s="52" t="str">
        <f>IF(AND('331-CT'!$E$7=TH!H3915,OR(L3915="331",M3915="331")),"331",IF(AND(OR(L3915="131",M3915="131"),H3915='131-CT'!$E$7),"131",""))</f>
        <v/>
      </c>
      <c r="O3915" s="869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799"/>
    </row>
    <row r="3916" spans="1:27" s="210" customFormat="1" ht="15.75" customHeight="1">
      <c r="A3916" s="203" t="str">
        <f>IF(B3916&lt;&gt;"",IF(AND(B3916&gt;=_TM1,B3916&lt;=_TM2,OR(TH!L3916="1111",TH!M3916="1111")),TH!D3916,""),"")</f>
        <v/>
      </c>
      <c r="B3916" s="36">
        <f t="shared" si="72"/>
        <v>1</v>
      </c>
      <c r="C3916" s="183">
        <f t="shared" si="73"/>
        <v>42025</v>
      </c>
      <c r="D3916" s="190" t="s">
        <v>2015</v>
      </c>
      <c r="E3916" s="190">
        <v>42025</v>
      </c>
      <c r="F3916" s="191" t="s">
        <v>424</v>
      </c>
      <c r="G3916" s="482" t="s">
        <v>427</v>
      </c>
      <c r="H3916" s="192" t="s">
        <v>2016</v>
      </c>
      <c r="I3916" s="255">
        <v>298</v>
      </c>
      <c r="J3916" s="255">
        <v>8689.7733811766011</v>
      </c>
      <c r="K3916" s="593">
        <f t="shared" si="74"/>
        <v>2589552</v>
      </c>
      <c r="L3916" s="193" t="s">
        <v>172</v>
      </c>
      <c r="M3916" s="193" t="s">
        <v>167</v>
      </c>
      <c r="N3916" s="52" t="str">
        <f>IF(AND('331-CT'!$E$7=TH!H3916,OR(L3916="331",M3916="331")),"331",IF(AND(OR(L3916="131",M3916="131"),H3916='131-CT'!$E$7),"131",""))</f>
        <v/>
      </c>
      <c r="O3916" s="869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799"/>
    </row>
    <row r="3917" spans="1:27" s="210" customFormat="1" ht="15.75" customHeight="1">
      <c r="A3917" s="203" t="str">
        <f>IF(B3917&lt;&gt;"",IF(AND(B3917&gt;=_TM1,B3917&lt;=_TM2,OR(TH!L3917="1111",TH!M3917="1111")),TH!D3917,""),"")</f>
        <v/>
      </c>
      <c r="B3917" s="36">
        <f t="shared" si="72"/>
        <v>1</v>
      </c>
      <c r="C3917" s="183">
        <f t="shared" si="73"/>
        <v>42025</v>
      </c>
      <c r="D3917" s="190" t="s">
        <v>2015</v>
      </c>
      <c r="E3917" s="190">
        <v>42025</v>
      </c>
      <c r="F3917" s="191" t="s">
        <v>431</v>
      </c>
      <c r="G3917" s="482" t="s">
        <v>427</v>
      </c>
      <c r="H3917" s="192" t="s">
        <v>2016</v>
      </c>
      <c r="I3917" s="255">
        <v>51</v>
      </c>
      <c r="J3917" s="255">
        <v>8772.533127663999</v>
      </c>
      <c r="K3917" s="593">
        <f t="shared" si="74"/>
        <v>447399</v>
      </c>
      <c r="L3917" s="193" t="s">
        <v>172</v>
      </c>
      <c r="M3917" s="193" t="s">
        <v>167</v>
      </c>
      <c r="N3917" s="52" t="str">
        <f>IF(AND('331-CT'!$E$7=TH!H3917,OR(L3917="331",M3917="331")),"331",IF(AND(OR(L3917="131",M3917="131"),H3917='131-CT'!$E$7),"131",""))</f>
        <v/>
      </c>
      <c r="O3917" s="869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799"/>
    </row>
    <row r="3918" spans="1:27" s="210" customFormat="1" ht="15.75" customHeight="1">
      <c r="A3918" s="203" t="str">
        <f>IF(B3918&lt;&gt;"",IF(AND(B3918&gt;=_TM1,B3918&lt;=_TM2,OR(TH!L3918="1111",TH!M3918="1111")),TH!D3918,""),"")</f>
        <v/>
      </c>
      <c r="B3918" s="36">
        <f t="shared" si="72"/>
        <v>1</v>
      </c>
      <c r="C3918" s="183">
        <f t="shared" si="73"/>
        <v>42025</v>
      </c>
      <c r="D3918" s="190" t="s">
        <v>2015</v>
      </c>
      <c r="E3918" s="190">
        <v>42025</v>
      </c>
      <c r="F3918" s="191" t="s">
        <v>432</v>
      </c>
      <c r="G3918" s="482" t="s">
        <v>427</v>
      </c>
      <c r="H3918" s="192" t="s">
        <v>2016</v>
      </c>
      <c r="I3918" s="255">
        <v>380</v>
      </c>
      <c r="J3918" s="255">
        <v>10924.2865363363</v>
      </c>
      <c r="K3918" s="593">
        <f t="shared" si="74"/>
        <v>4151229</v>
      </c>
      <c r="L3918" s="193" t="s">
        <v>172</v>
      </c>
      <c r="M3918" s="193" t="s">
        <v>167</v>
      </c>
      <c r="N3918" s="52" t="str">
        <f>IF(AND('331-CT'!$E$7=TH!H3918,OR(L3918="331",M3918="331")),"331",IF(AND(OR(L3918="131",M3918="131"),H3918='131-CT'!$E$7),"131",""))</f>
        <v/>
      </c>
      <c r="O3918" s="869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799"/>
    </row>
    <row r="3919" spans="1:27" s="210" customFormat="1" ht="15.75" customHeight="1">
      <c r="A3919" s="203" t="str">
        <f>IF(B3919&lt;&gt;"",IF(AND(B3919&gt;=_TM1,B3919&lt;=_TM2,OR(TH!L3919="1111",TH!M3919="1111")),TH!D3919,""),"")</f>
        <v/>
      </c>
      <c r="B3919" s="36">
        <f t="shared" si="72"/>
        <v>1</v>
      </c>
      <c r="C3919" s="183">
        <f t="shared" si="73"/>
        <v>42026</v>
      </c>
      <c r="D3919" s="190" t="s">
        <v>2015</v>
      </c>
      <c r="E3919" s="190">
        <v>42026</v>
      </c>
      <c r="F3919" s="191" t="s">
        <v>433</v>
      </c>
      <c r="G3919" s="482" t="s">
        <v>434</v>
      </c>
      <c r="H3919" s="192" t="s">
        <v>2016</v>
      </c>
      <c r="I3919" s="255">
        <v>733</v>
      </c>
      <c r="J3919" s="255">
        <v>9517.3708460505622</v>
      </c>
      <c r="K3919" s="593">
        <f t="shared" si="74"/>
        <v>6976233</v>
      </c>
      <c r="L3919" s="193" t="s">
        <v>172</v>
      </c>
      <c r="M3919" s="193" t="s">
        <v>167</v>
      </c>
      <c r="N3919" s="52" t="str">
        <f>IF(AND('331-CT'!$E$7=TH!H3919,OR(L3919="331",M3919="331")),"331",IF(AND(OR(L3919="131",M3919="131"),H3919='131-CT'!$E$7),"131",""))</f>
        <v/>
      </c>
      <c r="O3919" s="869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799"/>
    </row>
    <row r="3920" spans="1:27" s="210" customFormat="1" ht="15.75" customHeight="1">
      <c r="A3920" s="203" t="str">
        <f>IF(B3920&lt;&gt;"",IF(AND(B3920&gt;=_TM1,B3920&lt;=_TM2,OR(TH!L3920="1111",TH!M3920="1111")),TH!D3920,""),"")</f>
        <v/>
      </c>
      <c r="B3920" s="36">
        <f t="shared" si="72"/>
        <v>1</v>
      </c>
      <c r="C3920" s="183">
        <f t="shared" si="73"/>
        <v>42026</v>
      </c>
      <c r="D3920" s="190" t="s">
        <v>2015</v>
      </c>
      <c r="E3920" s="190">
        <v>42026</v>
      </c>
      <c r="F3920" s="191" t="s">
        <v>436</v>
      </c>
      <c r="G3920" s="482" t="s">
        <v>437</v>
      </c>
      <c r="H3920" s="192" t="s">
        <v>2016</v>
      </c>
      <c r="I3920" s="255">
        <v>120</v>
      </c>
      <c r="J3920" s="255">
        <v>7282.8576908908663</v>
      </c>
      <c r="K3920" s="593">
        <f t="shared" si="74"/>
        <v>873943</v>
      </c>
      <c r="L3920" s="193" t="s">
        <v>172</v>
      </c>
      <c r="M3920" s="193" t="s">
        <v>167</v>
      </c>
      <c r="N3920" s="52" t="str">
        <f>IF(AND('331-CT'!$E$7=TH!H3920,OR(L3920="331",M3920="331")),"331",IF(AND(OR(L3920="131",M3920="131"),H3920='131-CT'!$E$7),"131",""))</f>
        <v/>
      </c>
      <c r="O3920" s="869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799"/>
    </row>
    <row r="3921" spans="1:27" s="210" customFormat="1" ht="15.75" customHeight="1">
      <c r="A3921" s="203" t="str">
        <f>IF(B3921&lt;&gt;"",IF(AND(B3921&gt;=_TM1,B3921&lt;=_TM2,OR(TH!L3921="1111",TH!M3921="1111")),TH!D3921,""),"")</f>
        <v/>
      </c>
      <c r="B3921" s="36">
        <f t="shared" si="72"/>
        <v>1</v>
      </c>
      <c r="C3921" s="183">
        <f t="shared" si="73"/>
        <v>42026</v>
      </c>
      <c r="D3921" s="190" t="s">
        <v>2015</v>
      </c>
      <c r="E3921" s="190">
        <v>42026</v>
      </c>
      <c r="F3921" s="191" t="s">
        <v>439</v>
      </c>
      <c r="G3921" s="482" t="s">
        <v>437</v>
      </c>
      <c r="H3921" s="192" t="s">
        <v>2016</v>
      </c>
      <c r="I3921" s="255">
        <v>499</v>
      </c>
      <c r="J3921" s="255">
        <v>5296.6237751933577</v>
      </c>
      <c r="K3921" s="593">
        <f t="shared" si="74"/>
        <v>2643015</v>
      </c>
      <c r="L3921" s="193" t="s">
        <v>172</v>
      </c>
      <c r="M3921" s="193" t="s">
        <v>167</v>
      </c>
      <c r="N3921" s="52" t="str">
        <f>IF(AND('331-CT'!$E$7=TH!H3921,OR(L3921="331",M3921="331")),"331",IF(AND(OR(L3921="131",M3921="131"),H3921='131-CT'!$E$7),"131",""))</f>
        <v/>
      </c>
      <c r="O3921" s="869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799"/>
    </row>
    <row r="3922" spans="1:27" s="210" customFormat="1" ht="15.75" customHeight="1">
      <c r="A3922" s="203" t="str">
        <f>IF(B3922&lt;&gt;"",IF(AND(B3922&gt;=_TM1,B3922&lt;=_TM2,OR(TH!L3922="1111",TH!M3922="1111")),TH!D3922,""),"")</f>
        <v/>
      </c>
      <c r="B3922" s="36">
        <f t="shared" si="72"/>
        <v>1</v>
      </c>
      <c r="C3922" s="183">
        <f t="shared" si="73"/>
        <v>42026</v>
      </c>
      <c r="D3922" s="190" t="s">
        <v>2015</v>
      </c>
      <c r="E3922" s="190">
        <v>42026</v>
      </c>
      <c r="F3922" s="191" t="s">
        <v>440</v>
      </c>
      <c r="G3922" s="482" t="s">
        <v>437</v>
      </c>
      <c r="H3922" s="192" t="s">
        <v>2016</v>
      </c>
      <c r="I3922" s="255">
        <v>295</v>
      </c>
      <c r="J3922" s="255">
        <v>3889.7080849076215</v>
      </c>
      <c r="K3922" s="593">
        <f t="shared" si="74"/>
        <v>1147464</v>
      </c>
      <c r="L3922" s="193" t="s">
        <v>172</v>
      </c>
      <c r="M3922" s="193" t="s">
        <v>167</v>
      </c>
      <c r="N3922" s="52" t="str">
        <f>IF(AND('331-CT'!$E$7=TH!H3922,OR(L3922="331",M3922="331")),"331",IF(AND(OR(L3922="131",M3922="131"),H3922='131-CT'!$E$7),"131",""))</f>
        <v/>
      </c>
      <c r="O3922" s="869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799"/>
    </row>
    <row r="3923" spans="1:27" s="210" customFormat="1" ht="15.75" customHeight="1">
      <c r="A3923" s="203" t="str">
        <f>IF(B3923&lt;&gt;"",IF(AND(B3923&gt;=_TM1,B3923&lt;=_TM2,OR(TH!L3923="1111",TH!M3923="1111")),TH!D3923,""),"")</f>
        <v/>
      </c>
      <c r="B3923" s="36">
        <f t="shared" si="72"/>
        <v>1</v>
      </c>
      <c r="C3923" s="183">
        <f t="shared" si="73"/>
        <v>42026</v>
      </c>
      <c r="D3923" s="190" t="s">
        <v>2015</v>
      </c>
      <c r="E3923" s="190">
        <v>42026</v>
      </c>
      <c r="F3923" s="191" t="s">
        <v>441</v>
      </c>
      <c r="G3923" s="482" t="s">
        <v>437</v>
      </c>
      <c r="H3923" s="192" t="s">
        <v>2016</v>
      </c>
      <c r="I3923" s="255">
        <v>1506</v>
      </c>
      <c r="J3923" s="255">
        <v>4220.7470708572064</v>
      </c>
      <c r="K3923" s="593">
        <f t="shared" si="74"/>
        <v>6356445</v>
      </c>
      <c r="L3923" s="193" t="s">
        <v>172</v>
      </c>
      <c r="M3923" s="193" t="s">
        <v>167</v>
      </c>
      <c r="N3923" s="52" t="str">
        <f>IF(AND('331-CT'!$E$7=TH!H3923,OR(L3923="331",M3923="331")),"331",IF(AND(OR(L3923="131",M3923="131"),H3923='131-CT'!$E$7),"131",""))</f>
        <v/>
      </c>
      <c r="O3923" s="869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799"/>
    </row>
    <row r="3924" spans="1:27" s="210" customFormat="1" ht="15.75" customHeight="1">
      <c r="A3924" s="203" t="str">
        <f>IF(B3924&lt;&gt;"",IF(AND(B3924&gt;=_TM1,B3924&lt;=_TM2,OR(TH!L3924="1111",TH!M3924="1111")),TH!D3924,""),"")</f>
        <v/>
      </c>
      <c r="B3924" s="36">
        <f t="shared" si="72"/>
        <v>1</v>
      </c>
      <c r="C3924" s="183">
        <f t="shared" si="73"/>
        <v>42026</v>
      </c>
      <c r="D3924" s="190" t="s">
        <v>2015</v>
      </c>
      <c r="E3924" s="190">
        <v>42026</v>
      </c>
      <c r="F3924" s="191" t="s">
        <v>442</v>
      </c>
      <c r="G3924" s="482" t="s">
        <v>443</v>
      </c>
      <c r="H3924" s="192" t="s">
        <v>2016</v>
      </c>
      <c r="I3924" s="255">
        <v>504</v>
      </c>
      <c r="J3924" s="255">
        <v>9682.8903390253563</v>
      </c>
      <c r="K3924" s="593">
        <f t="shared" si="74"/>
        <v>4880177</v>
      </c>
      <c r="L3924" s="193" t="s">
        <v>172</v>
      </c>
      <c r="M3924" s="193" t="s">
        <v>167</v>
      </c>
      <c r="N3924" s="52" t="str">
        <f>IF(AND('331-CT'!$E$7=TH!H3924,OR(L3924="331",M3924="331")),"331",IF(AND(OR(L3924="131",M3924="131"),H3924='131-CT'!$E$7),"131",""))</f>
        <v/>
      </c>
      <c r="O3924" s="869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799"/>
    </row>
    <row r="3925" spans="1:27" s="210" customFormat="1" ht="15.75" customHeight="1">
      <c r="A3925" s="203" t="str">
        <f>IF(B3925&lt;&gt;"",IF(AND(B3925&gt;=_TM1,B3925&lt;=_TM2,OR(TH!L3925="1111",TH!M3925="1111")),TH!D3925,""),"")</f>
        <v/>
      </c>
      <c r="B3925" s="36">
        <f t="shared" si="72"/>
        <v>1</v>
      </c>
      <c r="C3925" s="183">
        <f t="shared" si="73"/>
        <v>42028</v>
      </c>
      <c r="D3925" s="190" t="s">
        <v>2015</v>
      </c>
      <c r="E3925" s="190">
        <v>42028</v>
      </c>
      <c r="F3925" s="191" t="s">
        <v>398</v>
      </c>
      <c r="G3925" s="482" t="s">
        <v>445</v>
      </c>
      <c r="H3925" s="192" t="s">
        <v>2016</v>
      </c>
      <c r="I3925" s="255">
        <v>1045</v>
      </c>
      <c r="J3925" s="255">
        <v>6786.2992119664887</v>
      </c>
      <c r="K3925" s="593">
        <f t="shared" si="74"/>
        <v>7091683</v>
      </c>
      <c r="L3925" s="193" t="s">
        <v>172</v>
      </c>
      <c r="M3925" s="193" t="s">
        <v>167</v>
      </c>
      <c r="N3925" s="52" t="str">
        <f>IF(AND('331-CT'!$E$7=TH!H3925,OR(L3925="331",M3925="331")),"331",IF(AND(OR(L3925="131",M3925="131"),H3925='131-CT'!$E$7),"131",""))</f>
        <v/>
      </c>
      <c r="O3925" s="869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799"/>
    </row>
    <row r="3926" spans="1:27" s="210" customFormat="1" ht="15.75" customHeight="1">
      <c r="A3926" s="203" t="str">
        <f>IF(B3926&lt;&gt;"",IF(AND(B3926&gt;=_TM1,B3926&lt;=_TM2,OR(TH!L3926="1111",TH!M3926="1111")),TH!D3926,""),"")</f>
        <v/>
      </c>
      <c r="B3926" s="36">
        <f t="shared" si="72"/>
        <v>1</v>
      </c>
      <c r="C3926" s="183">
        <f t="shared" si="73"/>
        <v>42028</v>
      </c>
      <c r="D3926" s="190" t="s">
        <v>2015</v>
      </c>
      <c r="E3926" s="190">
        <v>42028</v>
      </c>
      <c r="F3926" s="191" t="s">
        <v>446</v>
      </c>
      <c r="G3926" s="482" t="s">
        <v>445</v>
      </c>
      <c r="H3926" s="192" t="s">
        <v>2016</v>
      </c>
      <c r="I3926" s="255">
        <v>318</v>
      </c>
      <c r="J3926" s="255">
        <v>7531.1369303530546</v>
      </c>
      <c r="K3926" s="593">
        <f t="shared" si="74"/>
        <v>2394902</v>
      </c>
      <c r="L3926" s="193" t="s">
        <v>172</v>
      </c>
      <c r="M3926" s="193" t="s">
        <v>167</v>
      </c>
      <c r="N3926" s="52" t="str">
        <f>IF(AND('331-CT'!$E$7=TH!H3926,OR(L3926="331",M3926="331")),"331",IF(AND(OR(L3926="131",M3926="131"),H3926='131-CT'!$E$7),"131",""))</f>
        <v/>
      </c>
      <c r="O3926" s="869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799"/>
    </row>
    <row r="3927" spans="1:27" s="210" customFormat="1" ht="15.75" customHeight="1">
      <c r="A3927" s="203" t="str">
        <f>IF(B3927&lt;&gt;"",IF(AND(B3927&gt;=_TM1,B3927&lt;=_TM2,OR(TH!L3927="1111",TH!M3927="1111")),TH!D3927,""),"")</f>
        <v/>
      </c>
      <c r="B3927" s="36">
        <f t="shared" ref="B3927:B4181" si="75">IF(C3927&lt;&gt;"",MONTH(C3927),"")</f>
        <v>1</v>
      </c>
      <c r="C3927" s="183">
        <f t="shared" ref="C3927:C4181" si="76">E3927</f>
        <v>42028</v>
      </c>
      <c r="D3927" s="190" t="s">
        <v>2015</v>
      </c>
      <c r="E3927" s="190">
        <v>42028</v>
      </c>
      <c r="F3927" s="191" t="s">
        <v>447</v>
      </c>
      <c r="G3927" s="482" t="s">
        <v>448</v>
      </c>
      <c r="H3927" s="192" t="s">
        <v>2016</v>
      </c>
      <c r="I3927" s="255">
        <v>858</v>
      </c>
      <c r="J3927" s="255">
        <v>7365.6174373782624</v>
      </c>
      <c r="K3927" s="593">
        <f t="shared" ref="K3927:K4181" si="77">ROUND(I3927*J3927,0)</f>
        <v>6319700</v>
      </c>
      <c r="L3927" s="193" t="s">
        <v>172</v>
      </c>
      <c r="M3927" s="193" t="s">
        <v>167</v>
      </c>
      <c r="N3927" s="52" t="str">
        <f>IF(AND('331-CT'!$E$7=TH!H3927,OR(L3927="331",M3927="331")),"331",IF(AND(OR(L3927="131",M3927="131"),H3927='131-CT'!$E$7),"131",""))</f>
        <v/>
      </c>
      <c r="O3927" s="869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799"/>
    </row>
    <row r="3928" spans="1:27" s="210" customFormat="1" ht="15.75" customHeight="1">
      <c r="A3928" s="203" t="str">
        <f>IF(B3928&lt;&gt;"",IF(AND(B3928&gt;=_TM1,B3928&lt;=_TM2,OR(TH!L3928="1111",TH!M3928="1111")),TH!D3928,""),"")</f>
        <v/>
      </c>
      <c r="B3928" s="36">
        <f t="shared" si="75"/>
        <v>1</v>
      </c>
      <c r="C3928" s="183">
        <f t="shared" si="76"/>
        <v>42028</v>
      </c>
      <c r="D3928" s="190" t="s">
        <v>2015</v>
      </c>
      <c r="E3928" s="190">
        <v>42028</v>
      </c>
      <c r="F3928" s="191" t="s">
        <v>1655</v>
      </c>
      <c r="G3928" s="482" t="s">
        <v>448</v>
      </c>
      <c r="H3928" s="192" t="s">
        <v>2016</v>
      </c>
      <c r="I3928" s="255">
        <v>1716</v>
      </c>
      <c r="J3928" s="255">
        <v>579.31822541177348</v>
      </c>
      <c r="K3928" s="593">
        <f t="shared" si="77"/>
        <v>994110</v>
      </c>
      <c r="L3928" s="193" t="s">
        <v>172</v>
      </c>
      <c r="M3928" s="193" t="s">
        <v>167</v>
      </c>
      <c r="N3928" s="52" t="str">
        <f>IF(AND('331-CT'!$E$7=TH!H3928,OR(L3928="331",M3928="331")),"331",IF(AND(OR(L3928="131",M3928="131"),H3928='131-CT'!$E$7),"131",""))</f>
        <v/>
      </c>
      <c r="O3928" s="869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799"/>
    </row>
    <row r="3929" spans="1:27" s="210" customFormat="1" ht="15.75" customHeight="1">
      <c r="A3929" s="203" t="str">
        <f>IF(B3929&lt;&gt;"",IF(AND(B3929&gt;=_TM1,B3929&lt;=_TM2,OR(TH!L3929="1111",TH!M3929="1111")),TH!D3929,""),"")</f>
        <v/>
      </c>
      <c r="B3929" s="36">
        <f t="shared" si="75"/>
        <v>1</v>
      </c>
      <c r="C3929" s="183">
        <f t="shared" si="76"/>
        <v>42028</v>
      </c>
      <c r="D3929" s="190" t="s">
        <v>2015</v>
      </c>
      <c r="E3929" s="190">
        <v>42028</v>
      </c>
      <c r="F3929" s="191" t="s">
        <v>449</v>
      </c>
      <c r="G3929" s="482" t="s">
        <v>448</v>
      </c>
      <c r="H3929" s="192" t="s">
        <v>2016</v>
      </c>
      <c r="I3929" s="255">
        <v>3</v>
      </c>
      <c r="J3929" s="255">
        <v>13158.799691495997</v>
      </c>
      <c r="K3929" s="593">
        <f t="shared" si="77"/>
        <v>39476</v>
      </c>
      <c r="L3929" s="193" t="s">
        <v>172</v>
      </c>
      <c r="M3929" s="193" t="s">
        <v>167</v>
      </c>
      <c r="N3929" s="52" t="str">
        <f>IF(AND('331-CT'!$E$7=TH!H3929,OR(L3929="331",M3929="331")),"331",IF(AND(OR(L3929="131",M3929="131"),H3929='131-CT'!$E$7),"131",""))</f>
        <v/>
      </c>
      <c r="O3929" s="869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799"/>
    </row>
    <row r="3930" spans="1:27" s="210" customFormat="1" ht="15.75" customHeight="1">
      <c r="A3930" s="203" t="str">
        <f>IF(B3930&lt;&gt;"",IF(AND(B3930&gt;=_TM1,B3930&lt;=_TM2,OR(TH!L3930="1111",TH!M3930="1111")),TH!D3930,""),"")</f>
        <v/>
      </c>
      <c r="B3930" s="36">
        <f t="shared" si="75"/>
        <v>1</v>
      </c>
      <c r="C3930" s="183">
        <f t="shared" si="76"/>
        <v>42028</v>
      </c>
      <c r="D3930" s="190" t="s">
        <v>2015</v>
      </c>
      <c r="E3930" s="190">
        <v>42028</v>
      </c>
      <c r="F3930" s="191" t="s">
        <v>1656</v>
      </c>
      <c r="G3930" s="482" t="s">
        <v>448</v>
      </c>
      <c r="H3930" s="192" t="s">
        <v>2016</v>
      </c>
      <c r="I3930" s="255">
        <v>6</v>
      </c>
      <c r="J3930" s="255">
        <v>1075.8767043361506</v>
      </c>
      <c r="K3930" s="593">
        <f t="shared" si="77"/>
        <v>6455</v>
      </c>
      <c r="L3930" s="193" t="s">
        <v>172</v>
      </c>
      <c r="M3930" s="193" t="s">
        <v>167</v>
      </c>
      <c r="N3930" s="52" t="str">
        <f>IF(AND('331-CT'!$E$7=TH!H3930,OR(L3930="331",M3930="331")),"331",IF(AND(OR(L3930="131",M3930="131"),H3930='131-CT'!$E$7),"131",""))</f>
        <v/>
      </c>
      <c r="O3930" s="869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799"/>
    </row>
    <row r="3931" spans="1:27" s="210" customFormat="1" ht="15.75" customHeight="1">
      <c r="A3931" s="203" t="str">
        <f>IF(B3931&lt;&gt;"",IF(AND(B3931&gt;=_TM1,B3931&lt;=_TM2,OR(TH!L3931="1111",TH!M3931="1111")),TH!D3931,""),"")</f>
        <v/>
      </c>
      <c r="B3931" s="36">
        <f t="shared" si="75"/>
        <v>1</v>
      </c>
      <c r="C3931" s="183">
        <f t="shared" si="76"/>
        <v>42028</v>
      </c>
      <c r="D3931" s="190" t="s">
        <v>2015</v>
      </c>
      <c r="E3931" s="190">
        <v>42028</v>
      </c>
      <c r="F3931" s="191" t="s">
        <v>450</v>
      </c>
      <c r="G3931" s="482" t="s">
        <v>448</v>
      </c>
      <c r="H3931" s="192" t="s">
        <v>2016</v>
      </c>
      <c r="I3931" s="255">
        <v>63</v>
      </c>
      <c r="J3931" s="255">
        <v>14565.715381781733</v>
      </c>
      <c r="K3931" s="593">
        <f t="shared" si="77"/>
        <v>917640</v>
      </c>
      <c r="L3931" s="193" t="s">
        <v>172</v>
      </c>
      <c r="M3931" s="193" t="s">
        <v>167</v>
      </c>
      <c r="N3931" s="52" t="str">
        <f>IF(AND('331-CT'!$E$7=TH!H3931,OR(L3931="331",M3931="331")),"331",IF(AND(OR(L3931="131",M3931="131"),H3931='131-CT'!$E$7),"131",""))</f>
        <v/>
      </c>
      <c r="O3931" s="869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799"/>
    </row>
    <row r="3932" spans="1:27" s="210" customFormat="1" ht="15.75" customHeight="1">
      <c r="A3932" s="203" t="str">
        <f>IF(B3932&lt;&gt;"",IF(AND(B3932&gt;=_TM1,B3932&lt;=_TM2,OR(TH!L3932="1111",TH!M3932="1111")),TH!D3932,""),"")</f>
        <v/>
      </c>
      <c r="B3932" s="36">
        <f t="shared" si="75"/>
        <v>1</v>
      </c>
      <c r="C3932" s="183">
        <f t="shared" si="76"/>
        <v>42028</v>
      </c>
      <c r="D3932" s="190" t="s">
        <v>2015</v>
      </c>
      <c r="E3932" s="190">
        <v>42028</v>
      </c>
      <c r="F3932" s="191" t="s">
        <v>1657</v>
      </c>
      <c r="G3932" s="482" t="s">
        <v>448</v>
      </c>
      <c r="H3932" s="192" t="s">
        <v>2016</v>
      </c>
      <c r="I3932" s="255">
        <v>126</v>
      </c>
      <c r="J3932" s="255">
        <v>910.35721136135828</v>
      </c>
      <c r="K3932" s="593">
        <f t="shared" si="77"/>
        <v>114705</v>
      </c>
      <c r="L3932" s="193" t="s">
        <v>172</v>
      </c>
      <c r="M3932" s="193" t="s">
        <v>167</v>
      </c>
      <c r="N3932" s="52" t="str">
        <f>IF(AND('331-CT'!$E$7=TH!H3932,OR(L3932="331",M3932="331")),"331",IF(AND(OR(L3932="131",M3932="131"),H3932='131-CT'!$E$7),"131",""))</f>
        <v/>
      </c>
      <c r="O3932" s="869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799"/>
    </row>
    <row r="3933" spans="1:27" s="210" customFormat="1" ht="15.75" customHeight="1">
      <c r="A3933" s="203" t="str">
        <f>IF(B3933&lt;&gt;"",IF(AND(B3933&gt;=_TM1,B3933&lt;=_TM2,OR(TH!L3933="1111",TH!M3933="1111")),TH!D3933,""),"")</f>
        <v/>
      </c>
      <c r="B3933" s="36">
        <f t="shared" si="75"/>
        <v>1</v>
      </c>
      <c r="C3933" s="183">
        <f t="shared" si="76"/>
        <v>42028</v>
      </c>
      <c r="D3933" s="190" t="s">
        <v>2015</v>
      </c>
      <c r="E3933" s="190">
        <v>42028</v>
      </c>
      <c r="F3933" s="191" t="s">
        <v>1658</v>
      </c>
      <c r="G3933" s="482" t="s">
        <v>448</v>
      </c>
      <c r="H3933" s="192" t="s">
        <v>2016</v>
      </c>
      <c r="I3933" s="255">
        <v>126</v>
      </c>
      <c r="J3933" s="255">
        <v>1655.1949297479241</v>
      </c>
      <c r="K3933" s="593">
        <f t="shared" si="77"/>
        <v>208555</v>
      </c>
      <c r="L3933" s="193" t="s">
        <v>172</v>
      </c>
      <c r="M3933" s="193" t="s">
        <v>167</v>
      </c>
      <c r="N3933" s="52" t="str">
        <f>IF(AND('331-CT'!$E$7=TH!H3933,OR(L3933="331",M3933="331")),"331",IF(AND(OR(L3933="131",M3933="131"),H3933='131-CT'!$E$7),"131",""))</f>
        <v/>
      </c>
      <c r="O3933" s="869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799"/>
    </row>
    <row r="3934" spans="1:27" s="210" customFormat="1" ht="15.75" customHeight="1">
      <c r="A3934" s="203" t="str">
        <f>IF(B3934&lt;&gt;"",IF(AND(B3934&gt;=_TM1,B3934&lt;=_TM2,OR(TH!L3934="1111",TH!M3934="1111")),TH!D3934,""),"")</f>
        <v/>
      </c>
      <c r="B3934" s="36">
        <f t="shared" si="75"/>
        <v>1</v>
      </c>
      <c r="C3934" s="183">
        <f t="shared" si="76"/>
        <v>42031</v>
      </c>
      <c r="D3934" s="190" t="s">
        <v>2015</v>
      </c>
      <c r="E3934" s="190">
        <v>42031</v>
      </c>
      <c r="F3934" s="191" t="s">
        <v>451</v>
      </c>
      <c r="G3934" s="482" t="s">
        <v>452</v>
      </c>
      <c r="H3934" s="192" t="s">
        <v>2016</v>
      </c>
      <c r="I3934" s="255">
        <v>303</v>
      </c>
      <c r="J3934" s="255">
        <v>11089.806029311092</v>
      </c>
      <c r="K3934" s="593">
        <f t="shared" si="77"/>
        <v>3360211</v>
      </c>
      <c r="L3934" s="193" t="s">
        <v>172</v>
      </c>
      <c r="M3934" s="193" t="s">
        <v>167</v>
      </c>
      <c r="N3934" s="52" t="str">
        <f>IF(AND('331-CT'!$E$7=TH!H3934,OR(L3934="331",M3934="331")),"331",IF(AND(OR(L3934="131",M3934="131"),H3934='131-CT'!$E$7),"131",""))</f>
        <v/>
      </c>
      <c r="O3934" s="869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799"/>
    </row>
    <row r="3935" spans="1:27" s="210" customFormat="1" ht="15.75" customHeight="1">
      <c r="A3935" s="203" t="str">
        <f>IF(B3935&lt;&gt;"",IF(AND(B3935&gt;=_TM1,B3935&lt;=_TM2,OR(TH!L3935="1111",TH!M3935="1111")),TH!D3935,""),"")</f>
        <v/>
      </c>
      <c r="B3935" s="36">
        <f t="shared" si="75"/>
        <v>1</v>
      </c>
      <c r="C3935" s="183">
        <f t="shared" si="76"/>
        <v>42031</v>
      </c>
      <c r="D3935" s="190" t="s">
        <v>2015</v>
      </c>
      <c r="E3935" s="190">
        <v>42031</v>
      </c>
      <c r="F3935" s="191" t="s">
        <v>454</v>
      </c>
      <c r="G3935" s="482" t="s">
        <v>455</v>
      </c>
      <c r="H3935" s="192" t="s">
        <v>2016</v>
      </c>
      <c r="I3935" s="255">
        <v>380</v>
      </c>
      <c r="J3935" s="255">
        <v>60000.81620336225</v>
      </c>
      <c r="K3935" s="593">
        <f t="shared" si="77"/>
        <v>22800310</v>
      </c>
      <c r="L3935" s="193" t="s">
        <v>172</v>
      </c>
      <c r="M3935" s="193" t="s">
        <v>167</v>
      </c>
      <c r="N3935" s="52" t="str">
        <f>IF(AND('331-CT'!$E$7=TH!H3935,OR(L3935="331",M3935="331")),"331",IF(AND(OR(L3935="131",M3935="131"),H3935='131-CT'!$E$7),"131",""))</f>
        <v/>
      </c>
      <c r="O3935" s="869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799"/>
    </row>
    <row r="3936" spans="1:27" s="210" customFormat="1" ht="15.75" customHeight="1">
      <c r="A3936" s="203" t="str">
        <f>IF(B3936&lt;&gt;"",IF(AND(B3936&gt;=_TM1,B3936&lt;=_TM2,OR(TH!L3936="1111",TH!M3936="1111")),TH!D3936,""),"")</f>
        <v/>
      </c>
      <c r="B3936" s="36">
        <f t="shared" si="75"/>
        <v>1</v>
      </c>
      <c r="C3936" s="183">
        <f t="shared" si="76"/>
        <v>42032</v>
      </c>
      <c r="D3936" s="190" t="s">
        <v>2015</v>
      </c>
      <c r="E3936" s="190">
        <v>42032</v>
      </c>
      <c r="F3936" s="191" t="s">
        <v>456</v>
      </c>
      <c r="G3936" s="482" t="s">
        <v>457</v>
      </c>
      <c r="H3936" s="192" t="s">
        <v>2016</v>
      </c>
      <c r="I3936" s="255">
        <v>50</v>
      </c>
      <c r="J3936" s="255">
        <v>12827.760705546412</v>
      </c>
      <c r="K3936" s="593">
        <f t="shared" si="77"/>
        <v>641388</v>
      </c>
      <c r="L3936" s="193" t="s">
        <v>172</v>
      </c>
      <c r="M3936" s="193" t="s">
        <v>167</v>
      </c>
      <c r="N3936" s="52" t="str">
        <f>IF(AND('331-CT'!$E$7=TH!H3936,OR(L3936="331",M3936="331")),"331",IF(AND(OR(L3936="131",M3936="131"),H3936='131-CT'!$E$7),"131",""))</f>
        <v/>
      </c>
      <c r="O3936" s="869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799"/>
    </row>
    <row r="3937" spans="1:27" s="210" customFormat="1" ht="15.75" customHeight="1">
      <c r="A3937" s="203" t="str">
        <f>IF(B3937&lt;&gt;"",IF(AND(B3937&gt;=_TM1,B3937&lt;=_TM2,OR(TH!L3937="1111",TH!M3937="1111")),TH!D3937,""),"")</f>
        <v/>
      </c>
      <c r="B3937" s="36">
        <f t="shared" si="75"/>
        <v>1</v>
      </c>
      <c r="C3937" s="183">
        <f t="shared" si="76"/>
        <v>42032</v>
      </c>
      <c r="D3937" s="190" t="s">
        <v>2015</v>
      </c>
      <c r="E3937" s="190">
        <v>42032</v>
      </c>
      <c r="F3937" s="191" t="s">
        <v>1659</v>
      </c>
      <c r="G3937" s="482" t="s">
        <v>457</v>
      </c>
      <c r="H3937" s="192" t="s">
        <v>2016</v>
      </c>
      <c r="I3937" s="255">
        <v>100</v>
      </c>
      <c r="J3937" s="255">
        <v>1903.4741692101129</v>
      </c>
      <c r="K3937" s="593">
        <f t="shared" si="77"/>
        <v>190347</v>
      </c>
      <c r="L3937" s="193" t="s">
        <v>172</v>
      </c>
      <c r="M3937" s="193" t="s">
        <v>167</v>
      </c>
      <c r="N3937" s="52" t="str">
        <f>IF(AND('331-CT'!$E$7=TH!H3937,OR(L3937="331",M3937="331")),"331",IF(AND(OR(L3937="131",M3937="131"),H3937='131-CT'!$E$7),"131",""))</f>
        <v/>
      </c>
      <c r="O3937" s="869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799"/>
    </row>
    <row r="3938" spans="1:27" s="210" customFormat="1" ht="15.75" customHeight="1">
      <c r="A3938" s="203" t="str">
        <f>IF(B3938&lt;&gt;"",IF(AND(B3938&gt;=_TM1,B3938&lt;=_TM2,OR(TH!L3938="1111",TH!M3938="1111")),TH!D3938,""),"")</f>
        <v/>
      </c>
      <c r="B3938" s="36">
        <f t="shared" si="75"/>
        <v>1</v>
      </c>
      <c r="C3938" s="183">
        <f t="shared" si="76"/>
        <v>42032</v>
      </c>
      <c r="D3938" s="190" t="s">
        <v>2015</v>
      </c>
      <c r="E3938" s="190">
        <v>42032</v>
      </c>
      <c r="F3938" s="191" t="s">
        <v>458</v>
      </c>
      <c r="G3938" s="482" t="s">
        <v>459</v>
      </c>
      <c r="H3938" s="192" t="s">
        <v>2016</v>
      </c>
      <c r="I3938" s="255">
        <v>63</v>
      </c>
      <c r="J3938" s="255">
        <v>18620.942959664146</v>
      </c>
      <c r="K3938" s="593">
        <f t="shared" si="77"/>
        <v>1173119</v>
      </c>
      <c r="L3938" s="193" t="s">
        <v>172</v>
      </c>
      <c r="M3938" s="193" t="s">
        <v>167</v>
      </c>
      <c r="N3938" s="52" t="str">
        <f>IF(AND('331-CT'!$E$7=TH!H3938,OR(L3938="331",M3938="331")),"331",IF(AND(OR(L3938="131",M3938="131"),H3938='131-CT'!$E$7),"131",""))</f>
        <v/>
      </c>
      <c r="O3938" s="869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799"/>
    </row>
    <row r="3939" spans="1:27" s="210" customFormat="1" ht="15.75" customHeight="1">
      <c r="A3939" s="203" t="str">
        <f>IF(B3939&lt;&gt;"",IF(AND(B3939&gt;=_TM1,B3939&lt;=_TM2,OR(TH!L3939="1111",TH!M3939="1111")),TH!D3939,""),"")</f>
        <v/>
      </c>
      <c r="B3939" s="36">
        <f t="shared" si="75"/>
        <v>1</v>
      </c>
      <c r="C3939" s="183">
        <f t="shared" si="76"/>
        <v>42032</v>
      </c>
      <c r="D3939" s="190" t="s">
        <v>2015</v>
      </c>
      <c r="E3939" s="190">
        <v>42032</v>
      </c>
      <c r="F3939" s="191" t="s">
        <v>1654</v>
      </c>
      <c r="G3939" s="482" t="s">
        <v>459</v>
      </c>
      <c r="H3939" s="192" t="s">
        <v>2016</v>
      </c>
      <c r="I3939" s="255">
        <v>126</v>
      </c>
      <c r="J3939" s="255">
        <v>827.59746487396205</v>
      </c>
      <c r="K3939" s="593">
        <f t="shared" si="77"/>
        <v>104277</v>
      </c>
      <c r="L3939" s="193" t="s">
        <v>172</v>
      </c>
      <c r="M3939" s="193" t="s">
        <v>167</v>
      </c>
      <c r="N3939" s="52" t="str">
        <f>IF(AND('331-CT'!$E$7=TH!H3939,OR(L3939="331",M3939="331")),"331",IF(AND(OR(L3939="131",M3939="131"),H3939='131-CT'!$E$7),"131",""))</f>
        <v/>
      </c>
      <c r="O3939" s="869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799"/>
    </row>
    <row r="3940" spans="1:27" s="210" customFormat="1" ht="15.75" customHeight="1">
      <c r="A3940" s="203" t="str">
        <f>IF(B3940&lt;&gt;"",IF(AND(B3940&gt;=_TM1,B3940&lt;=_TM2,OR(TH!L3940="1111",TH!M3940="1111")),TH!D3940,""),"")</f>
        <v/>
      </c>
      <c r="B3940" s="36">
        <f t="shared" si="75"/>
        <v>1</v>
      </c>
      <c r="C3940" s="183">
        <f t="shared" si="76"/>
        <v>42032</v>
      </c>
      <c r="D3940" s="190" t="s">
        <v>2015</v>
      </c>
      <c r="E3940" s="190">
        <v>42032</v>
      </c>
      <c r="F3940" s="191" t="s">
        <v>414</v>
      </c>
      <c r="G3940" s="482" t="s">
        <v>459</v>
      </c>
      <c r="H3940" s="192" t="s">
        <v>2016</v>
      </c>
      <c r="I3940" s="255">
        <v>50</v>
      </c>
      <c r="J3940" s="255">
        <v>24496.884960269275</v>
      </c>
      <c r="K3940" s="593">
        <f t="shared" si="77"/>
        <v>1224844</v>
      </c>
      <c r="L3940" s="193" t="s">
        <v>172</v>
      </c>
      <c r="M3940" s="193" t="s">
        <v>167</v>
      </c>
      <c r="N3940" s="52" t="str">
        <f>IF(AND('331-CT'!$E$7=TH!H3940,OR(L3940="331",M3940="331")),"331",IF(AND(OR(L3940="131",M3940="131"),H3940='131-CT'!$E$7),"131",""))</f>
        <v/>
      </c>
      <c r="O3940" s="869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799"/>
    </row>
    <row r="3941" spans="1:27" s="210" customFormat="1" ht="15.75" customHeight="1">
      <c r="A3941" s="203" t="str">
        <f>IF(B3941&lt;&gt;"",IF(AND(B3941&gt;=_TM1,B3941&lt;=_TM2,OR(TH!L3941="1111",TH!M3941="1111")),TH!D3941,""),"")</f>
        <v/>
      </c>
      <c r="B3941" s="36">
        <f t="shared" si="75"/>
        <v>1</v>
      </c>
      <c r="C3941" s="183">
        <f t="shared" si="76"/>
        <v>42032</v>
      </c>
      <c r="D3941" s="190" t="s">
        <v>2015</v>
      </c>
      <c r="E3941" s="190">
        <v>42032</v>
      </c>
      <c r="F3941" s="191" t="s">
        <v>1660</v>
      </c>
      <c r="G3941" s="482" t="s">
        <v>459</v>
      </c>
      <c r="H3941" s="192" t="s">
        <v>2016</v>
      </c>
      <c r="I3941" s="255">
        <v>100</v>
      </c>
      <c r="J3941" s="255">
        <v>1324.1559437983394</v>
      </c>
      <c r="K3941" s="593">
        <f t="shared" si="77"/>
        <v>132416</v>
      </c>
      <c r="L3941" s="193" t="s">
        <v>172</v>
      </c>
      <c r="M3941" s="193" t="s">
        <v>167</v>
      </c>
      <c r="N3941" s="52" t="str">
        <f>IF(AND('331-CT'!$E$7=TH!H3941,OR(L3941="331",M3941="331")),"331",IF(AND(OR(L3941="131",M3941="131"),H3941='131-CT'!$E$7),"131",""))</f>
        <v/>
      </c>
      <c r="O3941" s="869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799"/>
    </row>
    <row r="3942" spans="1:27" s="210" customFormat="1" ht="15.75" customHeight="1">
      <c r="A3942" s="203" t="str">
        <f>IF(B3942&lt;&gt;"",IF(AND(B3942&gt;=_TM1,B3942&lt;=_TM2,OR(TH!L3942="1111",TH!M3942="1111")),TH!D3942,""),"")</f>
        <v/>
      </c>
      <c r="B3942" s="36">
        <f t="shared" si="75"/>
        <v>1</v>
      </c>
      <c r="C3942" s="183">
        <f t="shared" si="76"/>
        <v>42034</v>
      </c>
      <c r="D3942" s="190" t="s">
        <v>2015</v>
      </c>
      <c r="E3942" s="190">
        <v>42034</v>
      </c>
      <c r="F3942" s="191" t="s">
        <v>460</v>
      </c>
      <c r="G3942" s="482" t="s">
        <v>461</v>
      </c>
      <c r="H3942" s="192" t="s">
        <v>2016</v>
      </c>
      <c r="I3942" s="255">
        <v>207</v>
      </c>
      <c r="J3942" s="255">
        <v>6869.0589584538848</v>
      </c>
      <c r="K3942" s="593">
        <f t="shared" si="77"/>
        <v>1421895</v>
      </c>
      <c r="L3942" s="193" t="s">
        <v>172</v>
      </c>
      <c r="M3942" s="193" t="s">
        <v>167</v>
      </c>
      <c r="N3942" s="52" t="str">
        <f>IF(AND('331-CT'!$E$7=TH!H3942,OR(L3942="331",M3942="331")),"331",IF(AND(OR(L3942="131",M3942="131"),H3942='131-CT'!$E$7),"131",""))</f>
        <v/>
      </c>
      <c r="O3942" s="869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799"/>
    </row>
    <row r="3943" spans="1:27" s="210" customFormat="1" ht="15.75" customHeight="1">
      <c r="A3943" s="203" t="str">
        <f>IF(B3943&lt;&gt;"",IF(AND(B3943&gt;=_TM1,B3943&lt;=_TM2,OR(TH!L3943="1111",TH!M3943="1111")),TH!D3943,""),"")</f>
        <v/>
      </c>
      <c r="B3943" s="36">
        <f t="shared" si="75"/>
        <v>1</v>
      </c>
      <c r="C3943" s="183">
        <f t="shared" si="76"/>
        <v>42034</v>
      </c>
      <c r="D3943" s="190" t="s">
        <v>2015</v>
      </c>
      <c r="E3943" s="190">
        <v>42034</v>
      </c>
      <c r="F3943" s="191" t="s">
        <v>538</v>
      </c>
      <c r="G3943" s="482" t="s">
        <v>462</v>
      </c>
      <c r="H3943" s="192" t="s">
        <v>2016</v>
      </c>
      <c r="I3943" s="255">
        <v>250</v>
      </c>
      <c r="J3943" s="255">
        <v>7365.6174373782624</v>
      </c>
      <c r="K3943" s="593">
        <f t="shared" si="77"/>
        <v>1841404</v>
      </c>
      <c r="L3943" s="193" t="s">
        <v>172</v>
      </c>
      <c r="M3943" s="193" t="s">
        <v>167</v>
      </c>
      <c r="N3943" s="52" t="str">
        <f>IF(AND('331-CT'!$E$7=TH!H3943,OR(L3943="331",M3943="331")),"331",IF(AND(OR(L3943="131",M3943="131"),H3943='131-CT'!$E$7),"131",""))</f>
        <v/>
      </c>
      <c r="O3943" s="869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799"/>
    </row>
    <row r="3944" spans="1:27" s="210" customFormat="1" ht="15.75" customHeight="1">
      <c r="A3944" s="203" t="str">
        <f>IF(B3944&lt;&gt;"",IF(AND(B3944&gt;=_TM1,B3944&lt;=_TM2,OR(TH!L3944="1111",TH!M3944="1111")),TH!D3944,""),"")</f>
        <v/>
      </c>
      <c r="B3944" s="36">
        <f t="shared" si="75"/>
        <v>1</v>
      </c>
      <c r="C3944" s="183">
        <f t="shared" si="76"/>
        <v>42034</v>
      </c>
      <c r="D3944" s="190" t="s">
        <v>2015</v>
      </c>
      <c r="E3944" s="190">
        <v>42034</v>
      </c>
      <c r="F3944" s="191" t="s">
        <v>595</v>
      </c>
      <c r="G3944" s="482" t="s">
        <v>462</v>
      </c>
      <c r="H3944" s="192" t="s">
        <v>2016</v>
      </c>
      <c r="I3944" s="255">
        <v>217</v>
      </c>
      <c r="J3944" s="255">
        <v>7696.6564233278477</v>
      </c>
      <c r="K3944" s="593">
        <f t="shared" si="77"/>
        <v>1670174</v>
      </c>
      <c r="L3944" s="193" t="s">
        <v>172</v>
      </c>
      <c r="M3944" s="193" t="s">
        <v>167</v>
      </c>
      <c r="N3944" s="52" t="str">
        <f>IF(AND('331-CT'!$E$7=TH!H3944,OR(L3944="331",M3944="331")),"331",IF(AND(OR(L3944="131",M3944="131"),H3944='131-CT'!$E$7),"131",""))</f>
        <v/>
      </c>
      <c r="O3944" s="869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799"/>
    </row>
    <row r="3945" spans="1:27" s="210" customFormat="1" ht="15.75" customHeight="1">
      <c r="A3945" s="203" t="str">
        <f>IF(B3945&lt;&gt;"",IF(AND(B3945&gt;=_TM1,B3945&lt;=_TM2,OR(TH!L3945="1111",TH!M3945="1111")),TH!D3945,""),"")</f>
        <v/>
      </c>
      <c r="B3945" s="36">
        <f t="shared" si="75"/>
        <v>1</v>
      </c>
      <c r="C3945" s="183">
        <f t="shared" si="76"/>
        <v>42034</v>
      </c>
      <c r="D3945" s="190" t="s">
        <v>2015</v>
      </c>
      <c r="E3945" s="190">
        <v>42034</v>
      </c>
      <c r="F3945" s="191" t="s">
        <v>1688</v>
      </c>
      <c r="G3945" s="482" t="s">
        <v>463</v>
      </c>
      <c r="H3945" s="192" t="s">
        <v>2016</v>
      </c>
      <c r="I3945" s="255">
        <v>400</v>
      </c>
      <c r="J3945" s="255">
        <v>1324.1559437983394</v>
      </c>
      <c r="K3945" s="593">
        <f t="shared" si="77"/>
        <v>529662</v>
      </c>
      <c r="L3945" s="193" t="s">
        <v>172</v>
      </c>
      <c r="M3945" s="193" t="s">
        <v>167</v>
      </c>
      <c r="N3945" s="52" t="str">
        <f>IF(AND('331-CT'!$E$7=TH!H3945,OR(L3945="331",M3945="331")),"331",IF(AND(OR(L3945="131",M3945="131"),H3945='131-CT'!$E$7),"131",""))</f>
        <v/>
      </c>
      <c r="O3945" s="869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799"/>
    </row>
    <row r="3946" spans="1:27" s="210" customFormat="1" ht="15.75" customHeight="1">
      <c r="A3946" s="203" t="str">
        <f>IF(B3946&lt;&gt;"",IF(AND(B3946&gt;=_TM1,B3946&lt;=_TM2,OR(TH!L3946="1111",TH!M3946="1111")),TH!D3946,""),"")</f>
        <v/>
      </c>
      <c r="B3946" s="36">
        <f t="shared" si="75"/>
        <v>1</v>
      </c>
      <c r="C3946" s="183">
        <f t="shared" si="76"/>
        <v>42034</v>
      </c>
      <c r="D3946" s="190" t="s">
        <v>2015</v>
      </c>
      <c r="E3946" s="190">
        <v>42034</v>
      </c>
      <c r="F3946" s="191" t="s">
        <v>1689</v>
      </c>
      <c r="G3946" s="482" t="s">
        <v>463</v>
      </c>
      <c r="H3946" s="192" t="s">
        <v>2016</v>
      </c>
      <c r="I3946" s="255">
        <v>600</v>
      </c>
      <c r="J3946" s="255">
        <v>1406.9156902857355</v>
      </c>
      <c r="K3946" s="593">
        <f t="shared" si="77"/>
        <v>844149</v>
      </c>
      <c r="L3946" s="193" t="s">
        <v>172</v>
      </c>
      <c r="M3946" s="193" t="s">
        <v>167</v>
      </c>
      <c r="N3946" s="52" t="str">
        <f>IF(AND('331-CT'!$E$7=TH!H3946,OR(L3946="331",M3946="331")),"331",IF(AND(OR(L3946="131",M3946="131"),H3946='131-CT'!$E$7),"131",""))</f>
        <v/>
      </c>
      <c r="O3946" s="869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799"/>
    </row>
    <row r="3947" spans="1:27" s="210" customFormat="1" ht="15.75" customHeight="1">
      <c r="A3947" s="203" t="str">
        <f>IF(B3947&lt;&gt;"",IF(AND(B3947&gt;=_TM1,B3947&lt;=_TM2,OR(TH!L3947="1111",TH!M3947="1111")),TH!D3947,""),"")</f>
        <v/>
      </c>
      <c r="B3947" s="36">
        <f t="shared" si="75"/>
        <v>1</v>
      </c>
      <c r="C3947" s="183">
        <f t="shared" si="76"/>
        <v>42034</v>
      </c>
      <c r="D3947" s="190" t="s">
        <v>2015</v>
      </c>
      <c r="E3947" s="190">
        <v>42034</v>
      </c>
      <c r="F3947" s="191" t="s">
        <v>1690</v>
      </c>
      <c r="G3947" s="482" t="s">
        <v>463</v>
      </c>
      <c r="H3947" s="192" t="s">
        <v>2016</v>
      </c>
      <c r="I3947" s="255">
        <v>200</v>
      </c>
      <c r="J3947" s="255">
        <v>1986.2339156975088</v>
      </c>
      <c r="K3947" s="593">
        <f t="shared" si="77"/>
        <v>397247</v>
      </c>
      <c r="L3947" s="193" t="s">
        <v>172</v>
      </c>
      <c r="M3947" s="193" t="s">
        <v>167</v>
      </c>
      <c r="N3947" s="52" t="str">
        <f>IF(AND('331-CT'!$E$7=TH!H3947,OR(L3947="331",M3947="331")),"331",IF(AND(OR(L3947="131",M3947="131"),H3947='131-CT'!$E$7),"131",""))</f>
        <v/>
      </c>
      <c r="O3947" s="869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799"/>
    </row>
    <row r="3948" spans="1:27" s="210" customFormat="1" ht="15.75" customHeight="1">
      <c r="A3948" s="203" t="str">
        <f>IF(B3948&lt;&gt;"",IF(AND(B3948&gt;=_TM1,B3948&lt;=_TM2,OR(TH!L3948="1111",TH!M3948="1111")),TH!D3948,""),"")</f>
        <v/>
      </c>
      <c r="B3948" s="36">
        <f t="shared" si="75"/>
        <v>2</v>
      </c>
      <c r="C3948" s="183">
        <f t="shared" si="76"/>
        <v>42037</v>
      </c>
      <c r="D3948" s="190" t="s">
        <v>2015</v>
      </c>
      <c r="E3948" s="190">
        <v>42037</v>
      </c>
      <c r="F3948" s="191" t="s">
        <v>466</v>
      </c>
      <c r="G3948" s="482" t="s">
        <v>467</v>
      </c>
      <c r="H3948" s="192" t="s">
        <v>2016</v>
      </c>
      <c r="I3948" s="255">
        <v>247</v>
      </c>
      <c r="J3948" s="255">
        <v>6372.5004795295081</v>
      </c>
      <c r="K3948" s="593">
        <f t="shared" si="77"/>
        <v>1574008</v>
      </c>
      <c r="L3948" s="193" t="s">
        <v>172</v>
      </c>
      <c r="M3948" s="193" t="s">
        <v>167</v>
      </c>
      <c r="N3948" s="52" t="str">
        <f>IF(AND('331-CT'!$E$7=TH!H3948,OR(L3948="331",M3948="331")),"331",IF(AND(OR(L3948="131",M3948="131"),H3948='131-CT'!$E$7),"131",""))</f>
        <v/>
      </c>
      <c r="O3948" s="869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799"/>
    </row>
    <row r="3949" spans="1:27" s="210" customFormat="1" ht="15.75" customHeight="1">
      <c r="A3949" s="203" t="str">
        <f>IF(B3949&lt;&gt;"",IF(AND(B3949&gt;=_TM1,B3949&lt;=_TM2,OR(TH!L3949="1111",TH!M3949="1111")),TH!D3949,""),"")</f>
        <v/>
      </c>
      <c r="B3949" s="36">
        <f t="shared" si="75"/>
        <v>2</v>
      </c>
      <c r="C3949" s="183">
        <f t="shared" si="76"/>
        <v>42037</v>
      </c>
      <c r="D3949" s="190" t="s">
        <v>2015</v>
      </c>
      <c r="E3949" s="190">
        <v>42037</v>
      </c>
      <c r="F3949" s="191" t="s">
        <v>469</v>
      </c>
      <c r="G3949" s="482" t="s">
        <v>467</v>
      </c>
      <c r="H3949" s="192" t="s">
        <v>2016</v>
      </c>
      <c r="I3949" s="255">
        <v>109</v>
      </c>
      <c r="J3949" s="255">
        <v>3889.7080849076215</v>
      </c>
      <c r="K3949" s="593">
        <f t="shared" si="77"/>
        <v>423978</v>
      </c>
      <c r="L3949" s="193" t="s">
        <v>172</v>
      </c>
      <c r="M3949" s="193" t="s">
        <v>167</v>
      </c>
      <c r="N3949" s="52" t="str">
        <f>IF(AND('331-CT'!$E$7=TH!H3949,OR(L3949="331",M3949="331")),"331",IF(AND(OR(L3949="131",M3949="131"),H3949='131-CT'!$E$7),"131",""))</f>
        <v/>
      </c>
      <c r="O3949" s="869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799"/>
    </row>
    <row r="3950" spans="1:27" s="210" customFormat="1" ht="15.75" customHeight="1">
      <c r="A3950" s="203" t="str">
        <f>IF(B3950&lt;&gt;"",IF(AND(B3950&gt;=_TM1,B3950&lt;=_TM2,OR(TH!L3950="1111",TH!M3950="1111")),TH!D3950,""),"")</f>
        <v/>
      </c>
      <c r="B3950" s="36">
        <f t="shared" si="75"/>
        <v>2</v>
      </c>
      <c r="C3950" s="183">
        <f t="shared" si="76"/>
        <v>42039</v>
      </c>
      <c r="D3950" s="190" t="s">
        <v>2015</v>
      </c>
      <c r="E3950" s="190">
        <v>42039</v>
      </c>
      <c r="F3950" s="191" t="s">
        <v>424</v>
      </c>
      <c r="G3950" s="482" t="s">
        <v>470</v>
      </c>
      <c r="H3950" s="192" t="s">
        <v>2016</v>
      </c>
      <c r="I3950" s="255">
        <v>1312</v>
      </c>
      <c r="J3950" s="255">
        <v>8689.7733811766011</v>
      </c>
      <c r="K3950" s="593">
        <f t="shared" si="77"/>
        <v>11400983</v>
      </c>
      <c r="L3950" s="193" t="s">
        <v>172</v>
      </c>
      <c r="M3950" s="193" t="s">
        <v>167</v>
      </c>
      <c r="N3950" s="52" t="str">
        <f>IF(AND('331-CT'!$E$7=TH!H3950,OR(L3950="331",M3950="331")),"331",IF(AND(OR(L3950="131",M3950="131"),H3950='131-CT'!$E$7),"131",""))</f>
        <v/>
      </c>
      <c r="O3950" s="869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799"/>
    </row>
    <row r="3951" spans="1:27" s="210" customFormat="1" ht="15.75" customHeight="1">
      <c r="A3951" s="203" t="str">
        <f>IF(B3951&lt;&gt;"",IF(AND(B3951&gt;=_TM1,B3951&lt;=_TM2,OR(TH!L3951="1111",TH!M3951="1111")),TH!D3951,""),"")</f>
        <v/>
      </c>
      <c r="B3951" s="36">
        <f t="shared" si="75"/>
        <v>2</v>
      </c>
      <c r="C3951" s="183">
        <f t="shared" si="76"/>
        <v>42039</v>
      </c>
      <c r="D3951" s="190" t="s">
        <v>2015</v>
      </c>
      <c r="E3951" s="190">
        <v>42039</v>
      </c>
      <c r="F3951" s="191" t="s">
        <v>405</v>
      </c>
      <c r="G3951" s="482" t="s">
        <v>470</v>
      </c>
      <c r="H3951" s="192" t="s">
        <v>2016</v>
      </c>
      <c r="I3951" s="255">
        <v>202</v>
      </c>
      <c r="J3951" s="255">
        <v>10344.968310924525</v>
      </c>
      <c r="K3951" s="593">
        <f t="shared" si="77"/>
        <v>2089684</v>
      </c>
      <c r="L3951" s="193" t="s">
        <v>172</v>
      </c>
      <c r="M3951" s="193" t="s">
        <v>167</v>
      </c>
      <c r="N3951" s="52" t="str">
        <f>IF(AND('331-CT'!$E$7=TH!H3951,OR(L3951="331",M3951="331")),"331",IF(AND(OR(L3951="131",M3951="131"),H3951='131-CT'!$E$7),"131",""))</f>
        <v/>
      </c>
      <c r="O3951" s="869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799"/>
    </row>
    <row r="3952" spans="1:27" s="210" customFormat="1" ht="15.75" customHeight="1">
      <c r="A3952" s="203" t="str">
        <f>IF(B3952&lt;&gt;"",IF(AND(B3952&gt;=_TM1,B3952&lt;=_TM2,OR(TH!L3952="1111",TH!M3952="1111")),TH!D3952,""),"")</f>
        <v/>
      </c>
      <c r="B3952" s="36">
        <f t="shared" si="75"/>
        <v>2</v>
      </c>
      <c r="C3952" s="183">
        <f t="shared" si="76"/>
        <v>42039</v>
      </c>
      <c r="D3952" s="190" t="s">
        <v>2015</v>
      </c>
      <c r="E3952" s="190">
        <v>42039</v>
      </c>
      <c r="F3952" s="191" t="s">
        <v>471</v>
      </c>
      <c r="G3952" s="482" t="s">
        <v>470</v>
      </c>
      <c r="H3952" s="192" t="s">
        <v>2016</v>
      </c>
      <c r="I3952" s="255">
        <v>22</v>
      </c>
      <c r="J3952" s="255">
        <v>8607.013634689205</v>
      </c>
      <c r="K3952" s="593">
        <f t="shared" si="77"/>
        <v>189354</v>
      </c>
      <c r="L3952" s="193" t="s">
        <v>172</v>
      </c>
      <c r="M3952" s="193" t="s">
        <v>167</v>
      </c>
      <c r="N3952" s="52" t="str">
        <f>IF(AND('331-CT'!$E$7=TH!H3952,OR(L3952="331",M3952="331")),"331",IF(AND(OR(L3952="131",M3952="131"),H3952='131-CT'!$E$7),"131",""))</f>
        <v/>
      </c>
      <c r="O3952" s="869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799"/>
    </row>
    <row r="3953" spans="1:27" s="210" customFormat="1" ht="15.75" customHeight="1">
      <c r="A3953" s="203" t="str">
        <f>IF(B3953&lt;&gt;"",IF(AND(B3953&gt;=_TM1,B3953&lt;=_TM2,OR(TH!L3953="1111",TH!M3953="1111")),TH!D3953,""),"")</f>
        <v/>
      </c>
      <c r="B3953" s="36">
        <f t="shared" si="75"/>
        <v>2</v>
      </c>
      <c r="C3953" s="183">
        <f t="shared" si="76"/>
        <v>42040</v>
      </c>
      <c r="D3953" s="190" t="s">
        <v>2015</v>
      </c>
      <c r="E3953" s="190">
        <v>42040</v>
      </c>
      <c r="F3953" s="191" t="s">
        <v>1140</v>
      </c>
      <c r="G3953" s="482" t="s">
        <v>472</v>
      </c>
      <c r="H3953" s="192" t="s">
        <v>2016</v>
      </c>
      <c r="I3953" s="255">
        <v>819</v>
      </c>
      <c r="J3953" s="255">
        <v>9434.6110995631661</v>
      </c>
      <c r="K3953" s="593">
        <f t="shared" si="77"/>
        <v>7726946</v>
      </c>
      <c r="L3953" s="193" t="s">
        <v>172</v>
      </c>
      <c r="M3953" s="193" t="s">
        <v>167</v>
      </c>
      <c r="N3953" s="52" t="str">
        <f>IF(AND('331-CT'!$E$7=TH!H3953,OR(L3953="331",M3953="331")),"331",IF(AND(OR(L3953="131",M3953="131"),H3953='131-CT'!$E$7),"131",""))</f>
        <v/>
      </c>
      <c r="O3953" s="869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799"/>
    </row>
    <row r="3954" spans="1:27" s="210" customFormat="1" ht="15.75" customHeight="1">
      <c r="A3954" s="203" t="str">
        <f>IF(B3954&lt;&gt;"",IF(AND(B3954&gt;=_TM1,B3954&lt;=_TM2,OR(TH!L3954="1111",TH!M3954="1111")),TH!D3954,""),"")</f>
        <v/>
      </c>
      <c r="B3954" s="36">
        <f t="shared" si="75"/>
        <v>2</v>
      </c>
      <c r="C3954" s="183">
        <f t="shared" si="76"/>
        <v>42040</v>
      </c>
      <c r="D3954" s="190" t="s">
        <v>2015</v>
      </c>
      <c r="E3954" s="190">
        <v>42040</v>
      </c>
      <c r="F3954" s="191" t="s">
        <v>1654</v>
      </c>
      <c r="G3954" s="482" t="s">
        <v>472</v>
      </c>
      <c r="H3954" s="192" t="s">
        <v>2016</v>
      </c>
      <c r="I3954" s="255">
        <v>1638</v>
      </c>
      <c r="J3954" s="255">
        <v>827.59746487396205</v>
      </c>
      <c r="K3954" s="593">
        <f t="shared" si="77"/>
        <v>1355605</v>
      </c>
      <c r="L3954" s="193" t="s">
        <v>172</v>
      </c>
      <c r="M3954" s="193" t="s">
        <v>167</v>
      </c>
      <c r="N3954" s="52" t="str">
        <f>IF(AND('331-CT'!$E$7=TH!H3954,OR(L3954="331",M3954="331")),"331",IF(AND(OR(L3954="131",M3954="131"),H3954='131-CT'!$E$7),"131",""))</f>
        <v/>
      </c>
      <c r="O3954" s="869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799"/>
    </row>
    <row r="3955" spans="1:27" s="210" customFormat="1" ht="15.75" customHeight="1">
      <c r="A3955" s="203" t="str">
        <f>IF(B3955&lt;&gt;"",IF(AND(B3955&gt;=_TM1,B3955&lt;=_TM2,OR(TH!L3955="1111",TH!M3955="1111")),TH!D3955,""),"")</f>
        <v/>
      </c>
      <c r="B3955" s="36">
        <f t="shared" si="75"/>
        <v>2</v>
      </c>
      <c r="C3955" s="183">
        <f t="shared" si="76"/>
        <v>42040</v>
      </c>
      <c r="D3955" s="190" t="s">
        <v>2015</v>
      </c>
      <c r="E3955" s="190">
        <v>42040</v>
      </c>
      <c r="F3955" s="191" t="s">
        <v>474</v>
      </c>
      <c r="G3955" s="482" t="s">
        <v>475</v>
      </c>
      <c r="H3955" s="192" t="s">
        <v>2016</v>
      </c>
      <c r="I3955" s="255">
        <v>780</v>
      </c>
      <c r="J3955" s="255">
        <v>10013.929324974941</v>
      </c>
      <c r="K3955" s="593">
        <f t="shared" si="77"/>
        <v>7810865</v>
      </c>
      <c r="L3955" s="193" t="s">
        <v>172</v>
      </c>
      <c r="M3955" s="193" t="s">
        <v>167</v>
      </c>
      <c r="N3955" s="52" t="str">
        <f>IF(AND('331-CT'!$E$7=TH!H3955,OR(L3955="331",M3955="331")),"331",IF(AND(OR(L3955="131",M3955="131"),H3955='131-CT'!$E$7),"131",""))</f>
        <v/>
      </c>
      <c r="O3955" s="869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799"/>
    </row>
    <row r="3956" spans="1:27" s="210" customFormat="1" ht="15.75" customHeight="1">
      <c r="A3956" s="203" t="str">
        <f>IF(B3956&lt;&gt;"",IF(AND(B3956&gt;=_TM1,B3956&lt;=_TM2,OR(TH!L3956="1111",TH!M3956="1111")),TH!D3956,""),"")</f>
        <v/>
      </c>
      <c r="B3956" s="36">
        <f t="shared" si="75"/>
        <v>2</v>
      </c>
      <c r="C3956" s="183">
        <f t="shared" si="76"/>
        <v>42041</v>
      </c>
      <c r="D3956" s="190" t="s">
        <v>2015</v>
      </c>
      <c r="E3956" s="190">
        <v>42041</v>
      </c>
      <c r="F3956" s="191" t="s">
        <v>476</v>
      </c>
      <c r="G3956" s="482" t="s">
        <v>477</v>
      </c>
      <c r="H3956" s="192" t="s">
        <v>2016</v>
      </c>
      <c r="I3956" s="255">
        <v>202</v>
      </c>
      <c r="J3956" s="255">
        <v>10593.247550386715</v>
      </c>
      <c r="K3956" s="593">
        <f t="shared" si="77"/>
        <v>2139836</v>
      </c>
      <c r="L3956" s="193" t="s">
        <v>172</v>
      </c>
      <c r="M3956" s="193" t="s">
        <v>167</v>
      </c>
      <c r="N3956" s="52" t="str">
        <f>IF(AND('331-CT'!$E$7=TH!H3956,OR(L3956="331",M3956="331")),"331",IF(AND(OR(L3956="131",M3956="131"),H3956='131-CT'!$E$7),"131",""))</f>
        <v/>
      </c>
      <c r="O3956" s="869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799"/>
    </row>
    <row r="3957" spans="1:27" s="210" customFormat="1" ht="15.75" customHeight="1">
      <c r="A3957" s="203" t="str">
        <f>IF(B3957&lt;&gt;"",IF(AND(B3957&gt;=_TM1,B3957&lt;=_TM2,OR(TH!L3957="1111",TH!M3957="1111")),TH!D3957,""),"")</f>
        <v/>
      </c>
      <c r="B3957" s="36">
        <f t="shared" si="75"/>
        <v>2</v>
      </c>
      <c r="C3957" s="183">
        <f t="shared" si="76"/>
        <v>42041</v>
      </c>
      <c r="D3957" s="190" t="s">
        <v>2015</v>
      </c>
      <c r="E3957" s="190">
        <v>42041</v>
      </c>
      <c r="F3957" s="191" t="s">
        <v>479</v>
      </c>
      <c r="G3957" s="482" t="s">
        <v>480</v>
      </c>
      <c r="H3957" s="192" t="s">
        <v>2016</v>
      </c>
      <c r="I3957" s="255">
        <v>69</v>
      </c>
      <c r="J3957" s="255">
        <v>8358.7343952270166</v>
      </c>
      <c r="K3957" s="593">
        <f t="shared" si="77"/>
        <v>576753</v>
      </c>
      <c r="L3957" s="193" t="s">
        <v>172</v>
      </c>
      <c r="M3957" s="193" t="s">
        <v>167</v>
      </c>
      <c r="N3957" s="52" t="str">
        <f>IF(AND('331-CT'!$E$7=TH!H3957,OR(L3957="331",M3957="331")),"331",IF(AND(OR(L3957="131",M3957="131"),H3957='131-CT'!$E$7),"131",""))</f>
        <v/>
      </c>
      <c r="O3957" s="869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799"/>
    </row>
    <row r="3958" spans="1:27" s="210" customFormat="1" ht="15.75" customHeight="1">
      <c r="A3958" s="203" t="str">
        <f>IF(B3958&lt;&gt;"",IF(AND(B3958&gt;=_TM1,B3958&lt;=_TM2,OR(TH!L3958="1111",TH!M3958="1111")),TH!D3958,""),"")</f>
        <v/>
      </c>
      <c r="B3958" s="36">
        <f t="shared" si="75"/>
        <v>2</v>
      </c>
      <c r="C3958" s="183">
        <f t="shared" si="76"/>
        <v>42041</v>
      </c>
      <c r="D3958" s="190" t="s">
        <v>2015</v>
      </c>
      <c r="E3958" s="190">
        <v>42041</v>
      </c>
      <c r="F3958" s="191" t="s">
        <v>481</v>
      </c>
      <c r="G3958" s="482" t="s">
        <v>480</v>
      </c>
      <c r="H3958" s="192" t="s">
        <v>2016</v>
      </c>
      <c r="I3958" s="255">
        <v>87</v>
      </c>
      <c r="J3958" s="255">
        <v>6206.9809865547159</v>
      </c>
      <c r="K3958" s="593">
        <f t="shared" si="77"/>
        <v>540007</v>
      </c>
      <c r="L3958" s="193" t="s">
        <v>172</v>
      </c>
      <c r="M3958" s="193" t="s">
        <v>167</v>
      </c>
      <c r="N3958" s="52" t="str">
        <f>IF(AND('331-CT'!$E$7=TH!H3958,OR(L3958="331",M3958="331")),"331",IF(AND(OR(L3958="131",M3958="131"),H3958='131-CT'!$E$7),"131",""))</f>
        <v/>
      </c>
      <c r="O3958" s="869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799"/>
    </row>
    <row r="3959" spans="1:27" s="210" customFormat="1" ht="15.75" customHeight="1">
      <c r="A3959" s="203" t="str">
        <f>IF(B3959&lt;&gt;"",IF(AND(B3959&gt;=_TM1,B3959&lt;=_TM2,OR(TH!L3959="1111",TH!M3959="1111")),TH!D3959,""),"")</f>
        <v/>
      </c>
      <c r="B3959" s="36">
        <f t="shared" si="75"/>
        <v>2</v>
      </c>
      <c r="C3959" s="183">
        <f t="shared" si="76"/>
        <v>42041</v>
      </c>
      <c r="D3959" s="190" t="s">
        <v>2015</v>
      </c>
      <c r="E3959" s="190">
        <v>42041</v>
      </c>
      <c r="F3959" s="191" t="s">
        <v>482</v>
      </c>
      <c r="G3959" s="482" t="s">
        <v>480</v>
      </c>
      <c r="H3959" s="192" t="s">
        <v>2016</v>
      </c>
      <c r="I3959" s="255">
        <v>4</v>
      </c>
      <c r="J3959" s="255">
        <v>5296.6237751933577</v>
      </c>
      <c r="K3959" s="593">
        <f t="shared" si="77"/>
        <v>21186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69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799"/>
    </row>
    <row r="3960" spans="1:27" s="210" customFormat="1" ht="15.75" customHeight="1">
      <c r="A3960" s="203" t="str">
        <f>IF(B3960&lt;&gt;"",IF(AND(B3960&gt;=_TM1,B3960&lt;=_TM2,OR(TH!L3960="1111",TH!M3960="1111")),TH!D3960,""),"")</f>
        <v/>
      </c>
      <c r="B3960" s="36">
        <f t="shared" si="75"/>
        <v>2</v>
      </c>
      <c r="C3960" s="183">
        <f t="shared" si="76"/>
        <v>42041</v>
      </c>
      <c r="D3960" s="190" t="s">
        <v>2015</v>
      </c>
      <c r="E3960" s="190">
        <v>42041</v>
      </c>
      <c r="F3960" s="191" t="s">
        <v>483</v>
      </c>
      <c r="G3960" s="482" t="s">
        <v>480</v>
      </c>
      <c r="H3960" s="192" t="s">
        <v>2016</v>
      </c>
      <c r="I3960" s="255">
        <v>4</v>
      </c>
      <c r="J3960" s="255">
        <v>8275.9746487396205</v>
      </c>
      <c r="K3960" s="593">
        <f t="shared" si="77"/>
        <v>33104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69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799"/>
    </row>
    <row r="3961" spans="1:27" s="210" customFormat="1" ht="15.75" customHeight="1">
      <c r="A3961" s="203" t="str">
        <f>IF(B3961&lt;&gt;"",IF(AND(B3961&gt;=_TM1,B3961&lt;=_TM2,OR(TH!L3961="1111",TH!M3961="1111")),TH!D3961,""),"")</f>
        <v/>
      </c>
      <c r="B3961" s="36">
        <f t="shared" si="75"/>
        <v>2</v>
      </c>
      <c r="C3961" s="183">
        <f t="shared" si="76"/>
        <v>42041</v>
      </c>
      <c r="D3961" s="190" t="s">
        <v>2015</v>
      </c>
      <c r="E3961" s="190">
        <v>42041</v>
      </c>
      <c r="F3961" s="191" t="s">
        <v>484</v>
      </c>
      <c r="G3961" s="482" t="s">
        <v>480</v>
      </c>
      <c r="H3961" s="192" t="s">
        <v>2016</v>
      </c>
      <c r="I3961" s="255">
        <v>13</v>
      </c>
      <c r="J3961" s="255">
        <v>9848.4098320001485</v>
      </c>
      <c r="K3961" s="593">
        <f t="shared" si="77"/>
        <v>128029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69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799"/>
    </row>
    <row r="3962" spans="1:27" s="210" customFormat="1" ht="15.75" customHeight="1">
      <c r="A3962" s="203" t="str">
        <f>IF(B3962&lt;&gt;"",IF(AND(B3962&gt;=_TM1,B3962&lt;=_TM2,OR(TH!L3962="1111",TH!M3962="1111")),TH!D3962,""),"")</f>
        <v/>
      </c>
      <c r="B3962" s="36">
        <f t="shared" si="75"/>
        <v>2</v>
      </c>
      <c r="C3962" s="183">
        <f t="shared" si="76"/>
        <v>42041</v>
      </c>
      <c r="D3962" s="190" t="s">
        <v>2015</v>
      </c>
      <c r="E3962" s="190">
        <v>42041</v>
      </c>
      <c r="F3962" s="191" t="s">
        <v>485</v>
      </c>
      <c r="G3962" s="482" t="s">
        <v>480</v>
      </c>
      <c r="H3962" s="192" t="s">
        <v>2016</v>
      </c>
      <c r="I3962" s="255">
        <v>68</v>
      </c>
      <c r="J3962" s="255">
        <v>11338.08526877328</v>
      </c>
      <c r="K3962" s="593">
        <f t="shared" si="77"/>
        <v>770990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69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799"/>
    </row>
    <row r="3963" spans="1:27" s="210" customFormat="1" ht="15.75" customHeight="1">
      <c r="A3963" s="203" t="str">
        <f>IF(B3963&lt;&gt;"",IF(AND(B3963&gt;=_TM1,B3963&lt;=_TM2,OR(TH!L3963="1111",TH!M3963="1111")),TH!D3963,""),"")</f>
        <v/>
      </c>
      <c r="B3963" s="36">
        <f t="shared" si="75"/>
        <v>2</v>
      </c>
      <c r="C3963" s="183">
        <f t="shared" si="76"/>
        <v>42041</v>
      </c>
      <c r="D3963" s="190" t="s">
        <v>2015</v>
      </c>
      <c r="E3963" s="190">
        <v>42041</v>
      </c>
      <c r="F3963" s="191" t="s">
        <v>1661</v>
      </c>
      <c r="G3963" s="482" t="s">
        <v>480</v>
      </c>
      <c r="H3963" s="192" t="s">
        <v>2016</v>
      </c>
      <c r="I3963" s="255">
        <v>490</v>
      </c>
      <c r="J3963" s="255">
        <v>496.5584789243772</v>
      </c>
      <c r="K3963" s="593">
        <f t="shared" si="77"/>
        <v>243314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69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799"/>
    </row>
    <row r="3964" spans="1:27" s="210" customFormat="1" ht="15.75" customHeight="1">
      <c r="A3964" s="203" t="str">
        <f>IF(B3964&lt;&gt;"",IF(AND(B3964&gt;=_TM1,B3964&lt;=_TM2,OR(TH!L3964="1111",TH!M3964="1111")),TH!D3964,""),"")</f>
        <v/>
      </c>
      <c r="B3964" s="36">
        <f t="shared" si="75"/>
        <v>2</v>
      </c>
      <c r="C3964" s="183">
        <f t="shared" si="76"/>
        <v>42041</v>
      </c>
      <c r="D3964" s="190" t="s">
        <v>2015</v>
      </c>
      <c r="E3964" s="190">
        <v>42041</v>
      </c>
      <c r="F3964" s="191" t="s">
        <v>450</v>
      </c>
      <c r="G3964" s="482" t="s">
        <v>480</v>
      </c>
      <c r="H3964" s="192" t="s">
        <v>2016</v>
      </c>
      <c r="I3964" s="255">
        <v>42</v>
      </c>
      <c r="J3964" s="255">
        <v>14565.715381781733</v>
      </c>
      <c r="K3964" s="593">
        <f t="shared" si="77"/>
        <v>611760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69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799"/>
    </row>
    <row r="3965" spans="1:27" s="210" customFormat="1" ht="15.75" customHeight="1">
      <c r="A3965" s="203" t="str">
        <f>IF(B3965&lt;&gt;"",IF(AND(B3965&gt;=_TM1,B3965&lt;=_TM2,OR(TH!L3965="1111",TH!M3965="1111")),TH!D3965,""),"")</f>
        <v/>
      </c>
      <c r="B3965" s="36">
        <f t="shared" si="75"/>
        <v>2</v>
      </c>
      <c r="C3965" s="183">
        <f t="shared" si="76"/>
        <v>42041</v>
      </c>
      <c r="D3965" s="190" t="s">
        <v>2015</v>
      </c>
      <c r="E3965" s="190">
        <v>42041</v>
      </c>
      <c r="F3965" s="191" t="s">
        <v>1654</v>
      </c>
      <c r="G3965" s="482" t="s">
        <v>480</v>
      </c>
      <c r="H3965" s="192" t="s">
        <v>2016</v>
      </c>
      <c r="I3965" s="255">
        <v>84</v>
      </c>
      <c r="J3965" s="255">
        <v>827.59746487396205</v>
      </c>
      <c r="K3965" s="593">
        <f t="shared" si="77"/>
        <v>69518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69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799"/>
    </row>
    <row r="3966" spans="1:27" s="210" customFormat="1" ht="15.75" customHeight="1">
      <c r="A3966" s="203" t="str">
        <f>IF(B3966&lt;&gt;"",IF(AND(B3966&gt;=_TM1,B3966&lt;=_TM2,OR(TH!L3966="1111",TH!M3966="1111")),TH!D3966,""),"")</f>
        <v/>
      </c>
      <c r="B3966" s="36">
        <f t="shared" si="75"/>
        <v>2</v>
      </c>
      <c r="C3966" s="183">
        <f t="shared" si="76"/>
        <v>42042</v>
      </c>
      <c r="D3966" s="190" t="s">
        <v>2015</v>
      </c>
      <c r="E3966" s="190">
        <v>42042</v>
      </c>
      <c r="F3966" s="191" t="s">
        <v>413</v>
      </c>
      <c r="G3966" s="482" t="s">
        <v>486</v>
      </c>
      <c r="H3966" s="192" t="s">
        <v>2016</v>
      </c>
      <c r="I3966" s="255">
        <v>1025</v>
      </c>
      <c r="J3966" s="255">
        <v>7862.1759163026391</v>
      </c>
      <c r="K3966" s="593">
        <f t="shared" si="77"/>
        <v>8058730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69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799"/>
    </row>
    <row r="3967" spans="1:27" s="210" customFormat="1" ht="15.75" customHeight="1">
      <c r="A3967" s="203" t="str">
        <f>IF(B3967&lt;&gt;"",IF(AND(B3967&gt;=_TM1,B3967&lt;=_TM2,OR(TH!L3967="1111",TH!M3967="1111")),TH!D3967,""),"")</f>
        <v/>
      </c>
      <c r="B3967" s="36">
        <f t="shared" si="75"/>
        <v>2</v>
      </c>
      <c r="C3967" s="183">
        <f t="shared" si="76"/>
        <v>42044</v>
      </c>
      <c r="D3967" s="190" t="s">
        <v>2015</v>
      </c>
      <c r="E3967" s="190">
        <v>42044</v>
      </c>
      <c r="F3967" s="191" t="s">
        <v>487</v>
      </c>
      <c r="G3967" s="482" t="s">
        <v>488</v>
      </c>
      <c r="H3967" s="192" t="s">
        <v>2016</v>
      </c>
      <c r="I3967" s="255">
        <v>992</v>
      </c>
      <c r="J3967" s="255">
        <v>7613.8966768404516</v>
      </c>
      <c r="K3967" s="593">
        <f t="shared" si="77"/>
        <v>7552986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69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799"/>
    </row>
    <row r="3968" spans="1:27" s="210" customFormat="1" ht="15.75" customHeight="1">
      <c r="A3968" s="203" t="str">
        <f>IF(B3968&lt;&gt;"",IF(AND(B3968&gt;=_TM1,B3968&lt;=_TM2,OR(TH!L3968="1111",TH!M3968="1111")),TH!D3968,""),"")</f>
        <v/>
      </c>
      <c r="B3968" s="36">
        <f t="shared" si="75"/>
        <v>2</v>
      </c>
      <c r="C3968" s="183">
        <f t="shared" si="76"/>
        <v>42044</v>
      </c>
      <c r="D3968" s="190" t="s">
        <v>2015</v>
      </c>
      <c r="E3968" s="190">
        <v>42044</v>
      </c>
      <c r="F3968" s="191" t="s">
        <v>405</v>
      </c>
      <c r="G3968" s="482" t="s">
        <v>490</v>
      </c>
      <c r="H3968" s="192" t="s">
        <v>2016</v>
      </c>
      <c r="I3968" s="255">
        <v>1980</v>
      </c>
      <c r="J3968" s="255">
        <v>10344.968310924525</v>
      </c>
      <c r="K3968" s="593">
        <f t="shared" si="77"/>
        <v>20483037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69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799"/>
    </row>
    <row r="3969" spans="1:27" s="210" customFormat="1" ht="15.75" customHeight="1">
      <c r="A3969" s="203" t="str">
        <f>IF(B3969&lt;&gt;"",IF(AND(B3969&gt;=_TM1,B3969&lt;=_TM2,OR(TH!L3969="1111",TH!M3969="1111")),TH!D3969,""),"")</f>
        <v/>
      </c>
      <c r="B3969" s="36">
        <f t="shared" si="75"/>
        <v>2</v>
      </c>
      <c r="C3969" s="183">
        <f t="shared" si="76"/>
        <v>42044</v>
      </c>
      <c r="D3969" s="190" t="s">
        <v>2015</v>
      </c>
      <c r="E3969" s="190">
        <v>42044</v>
      </c>
      <c r="F3969" s="191" t="s">
        <v>424</v>
      </c>
      <c r="G3969" s="482" t="s">
        <v>490</v>
      </c>
      <c r="H3969" s="192" t="s">
        <v>2016</v>
      </c>
      <c r="I3969" s="255">
        <v>200</v>
      </c>
      <c r="J3969" s="255">
        <v>8689.7733811766011</v>
      </c>
      <c r="K3969" s="593">
        <f t="shared" si="77"/>
        <v>1737955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69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799"/>
    </row>
    <row r="3970" spans="1:27" s="210" customFormat="1" ht="15.75" customHeight="1">
      <c r="A3970" s="203" t="str">
        <f>IF(B3970&lt;&gt;"",IF(AND(B3970&gt;=_TM1,B3970&lt;=_TM2,OR(TH!L3970="1111",TH!M3970="1111")),TH!D3970,""),"")</f>
        <v/>
      </c>
      <c r="B3970" s="36">
        <f t="shared" si="75"/>
        <v>2</v>
      </c>
      <c r="C3970" s="183">
        <f t="shared" si="76"/>
        <v>42044</v>
      </c>
      <c r="D3970" s="190" t="s">
        <v>2015</v>
      </c>
      <c r="E3970" s="190">
        <v>42044</v>
      </c>
      <c r="F3970" s="191" t="s">
        <v>491</v>
      </c>
      <c r="G3970" s="482" t="s">
        <v>490</v>
      </c>
      <c r="H3970" s="192" t="s">
        <v>2016</v>
      </c>
      <c r="I3970" s="255">
        <v>555</v>
      </c>
      <c r="J3970" s="255">
        <v>9600.1305925379584</v>
      </c>
      <c r="K3970" s="593">
        <f t="shared" si="77"/>
        <v>5328072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69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799"/>
    </row>
    <row r="3971" spans="1:27" s="210" customFormat="1" ht="15.75" customHeight="1">
      <c r="A3971" s="203" t="str">
        <f>IF(B3971&lt;&gt;"",IF(AND(B3971&gt;=_TM1,B3971&lt;=_TM2,OR(TH!L3971="1111",TH!M3971="1111")),TH!D3971,""),"")</f>
        <v/>
      </c>
      <c r="B3971" s="36">
        <f t="shared" si="75"/>
        <v>2</v>
      </c>
      <c r="C3971" s="183">
        <f t="shared" si="76"/>
        <v>42047</v>
      </c>
      <c r="D3971" s="190" t="s">
        <v>2015</v>
      </c>
      <c r="E3971" s="190">
        <v>42047</v>
      </c>
      <c r="F3971" s="191" t="s">
        <v>405</v>
      </c>
      <c r="G3971" s="482" t="s">
        <v>492</v>
      </c>
      <c r="H3971" s="192" t="s">
        <v>2016</v>
      </c>
      <c r="I3971" s="255">
        <v>351</v>
      </c>
      <c r="J3971" s="255">
        <v>10344.968310924525</v>
      </c>
      <c r="K3971" s="593">
        <f t="shared" si="77"/>
        <v>3631084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69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799"/>
    </row>
    <row r="3972" spans="1:27" s="210" customFormat="1" ht="15.75" customHeight="1">
      <c r="A3972" s="203" t="str">
        <f>IF(B3972&lt;&gt;"",IF(AND(B3972&gt;=_TM1,B3972&lt;=_TM2,OR(TH!L3972="1111",TH!M3972="1111")),TH!D3972,""),"")</f>
        <v/>
      </c>
      <c r="B3972" s="36">
        <f t="shared" si="75"/>
        <v>2</v>
      </c>
      <c r="C3972" s="183">
        <f t="shared" si="76"/>
        <v>42047</v>
      </c>
      <c r="D3972" s="190" t="s">
        <v>2015</v>
      </c>
      <c r="E3972" s="190">
        <v>42047</v>
      </c>
      <c r="F3972" s="191" t="s">
        <v>1691</v>
      </c>
      <c r="G3972" s="482" t="s">
        <v>493</v>
      </c>
      <c r="H3972" s="192" t="s">
        <v>2016</v>
      </c>
      <c r="I3972" s="255">
        <v>500</v>
      </c>
      <c r="J3972" s="255">
        <v>496.5584789243772</v>
      </c>
      <c r="K3972" s="593">
        <f t="shared" si="77"/>
        <v>248279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69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799"/>
    </row>
    <row r="3973" spans="1:27" s="210" customFormat="1" ht="15.75" customHeight="1">
      <c r="A3973" s="203" t="str">
        <f>IF(B3973&lt;&gt;"",IF(AND(B3973&gt;=_TM1,B3973&lt;=_TM2,OR(TH!L3973="1111",TH!M3973="1111")),TH!D3973,""),"")</f>
        <v/>
      </c>
      <c r="B3973" s="36">
        <f t="shared" si="75"/>
        <v>2</v>
      </c>
      <c r="C3973" s="183">
        <f t="shared" si="76"/>
        <v>42047</v>
      </c>
      <c r="D3973" s="190" t="s">
        <v>2015</v>
      </c>
      <c r="E3973" s="190">
        <v>42047</v>
      </c>
      <c r="F3973" s="191" t="s">
        <v>1692</v>
      </c>
      <c r="G3973" s="482" t="s">
        <v>493</v>
      </c>
      <c r="H3973" s="192" t="s">
        <v>2016</v>
      </c>
      <c r="I3973" s="255">
        <v>1000</v>
      </c>
      <c r="J3973" s="255">
        <v>662.07797189916971</v>
      </c>
      <c r="K3973" s="593">
        <f t="shared" si="77"/>
        <v>662078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69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799"/>
    </row>
    <row r="3974" spans="1:27" s="210" customFormat="1" ht="15.75" customHeight="1">
      <c r="A3974" s="203" t="str">
        <f>IF(B3974&lt;&gt;"",IF(AND(B3974&gt;=_TM1,B3974&lt;=_TM2,OR(TH!L3974="1111",TH!M3974="1111")),TH!D3974,""),"")</f>
        <v/>
      </c>
      <c r="B3974" s="36">
        <f t="shared" si="75"/>
        <v>2</v>
      </c>
      <c r="C3974" s="183">
        <f t="shared" si="76"/>
        <v>42047</v>
      </c>
      <c r="D3974" s="190" t="s">
        <v>2015</v>
      </c>
      <c r="E3974" s="190">
        <v>42047</v>
      </c>
      <c r="F3974" s="191" t="s">
        <v>494</v>
      </c>
      <c r="G3974" s="482" t="s">
        <v>495</v>
      </c>
      <c r="H3974" s="192" t="s">
        <v>2016</v>
      </c>
      <c r="I3974" s="255">
        <v>1018</v>
      </c>
      <c r="J3974" s="255">
        <v>5710.4225076303373</v>
      </c>
      <c r="K3974" s="593">
        <f t="shared" si="77"/>
        <v>5813210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69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799"/>
    </row>
    <row r="3975" spans="1:27" s="210" customFormat="1" ht="15.75" customHeight="1">
      <c r="A3975" s="203" t="str">
        <f>IF(B3975&lt;&gt;"",IF(AND(B3975&gt;=_TM1,B3975&lt;=_TM2,OR(TH!L3975="1111",TH!M3975="1111")),TH!D3975,""),"")</f>
        <v/>
      </c>
      <c r="B3975" s="36">
        <f t="shared" si="75"/>
        <v>2</v>
      </c>
      <c r="C3975" s="183">
        <f t="shared" si="76"/>
        <v>42047</v>
      </c>
      <c r="D3975" s="190" t="s">
        <v>2015</v>
      </c>
      <c r="E3975" s="190">
        <v>42047</v>
      </c>
      <c r="F3975" s="191" t="s">
        <v>496</v>
      </c>
      <c r="G3975" s="482" t="s">
        <v>495</v>
      </c>
      <c r="H3975" s="192" t="s">
        <v>2016</v>
      </c>
      <c r="I3975" s="255">
        <v>317</v>
      </c>
      <c r="J3975" s="255">
        <v>4386.2665638319995</v>
      </c>
      <c r="K3975" s="593">
        <f t="shared" si="77"/>
        <v>1390447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69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799"/>
    </row>
    <row r="3976" spans="1:27" s="210" customFormat="1" ht="15.75" customHeight="1">
      <c r="A3976" s="203" t="str">
        <f>IF(B3976&lt;&gt;"",IF(AND(B3976&gt;=_TM1,B3976&lt;=_TM2,OR(TH!L3976="1111",TH!M3976="1111")),TH!D3976,""),"")</f>
        <v/>
      </c>
      <c r="B3976" s="36">
        <f t="shared" si="75"/>
        <v>2</v>
      </c>
      <c r="C3976" s="183">
        <f t="shared" si="76"/>
        <v>42047</v>
      </c>
      <c r="D3976" s="190" t="s">
        <v>2015</v>
      </c>
      <c r="E3976" s="190">
        <v>42047</v>
      </c>
      <c r="F3976" s="191" t="s">
        <v>497</v>
      </c>
      <c r="G3976" s="482" t="s">
        <v>498</v>
      </c>
      <c r="H3976" s="192" t="s">
        <v>2016</v>
      </c>
      <c r="I3976" s="255">
        <v>203</v>
      </c>
      <c r="J3976" s="255">
        <v>5793.1822541177344</v>
      </c>
      <c r="K3976" s="593">
        <f t="shared" si="77"/>
        <v>1176016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69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799"/>
    </row>
    <row r="3977" spans="1:27" s="210" customFormat="1" ht="15.75" customHeight="1">
      <c r="A3977" s="203" t="str">
        <f>IF(B3977&lt;&gt;"",IF(AND(B3977&gt;=_TM1,B3977&lt;=_TM2,OR(TH!L3977="1111",TH!M3977="1111")),TH!D3977,""),"")</f>
        <v/>
      </c>
      <c r="B3977" s="36">
        <f t="shared" si="75"/>
        <v>2</v>
      </c>
      <c r="C3977" s="183">
        <f t="shared" si="76"/>
        <v>42047</v>
      </c>
      <c r="D3977" s="190" t="s">
        <v>2015</v>
      </c>
      <c r="E3977" s="190">
        <v>42047</v>
      </c>
      <c r="F3977" s="191" t="s">
        <v>499</v>
      </c>
      <c r="G3977" s="482" t="s">
        <v>498</v>
      </c>
      <c r="H3977" s="192" t="s">
        <v>2016</v>
      </c>
      <c r="I3977" s="255">
        <v>203</v>
      </c>
      <c r="J3977" s="255">
        <v>6951.8187049412809</v>
      </c>
      <c r="K3977" s="593">
        <f t="shared" si="77"/>
        <v>1411219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69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799"/>
    </row>
    <row r="3978" spans="1:27" s="210" customFormat="1" ht="15.75" customHeight="1">
      <c r="A3978" s="203" t="str">
        <f>IF(B3978&lt;&gt;"",IF(AND(B3978&gt;=_TM1,B3978&lt;=_TM2,OR(TH!L3978="1111",TH!M3978="1111")),TH!D3978,""),"")</f>
        <v/>
      </c>
      <c r="B3978" s="36">
        <f t="shared" si="75"/>
        <v>2</v>
      </c>
      <c r="C3978" s="183">
        <f t="shared" si="76"/>
        <v>42063</v>
      </c>
      <c r="D3978" s="190" t="s">
        <v>2015</v>
      </c>
      <c r="E3978" s="190">
        <v>42063</v>
      </c>
      <c r="F3978" s="191" t="s">
        <v>398</v>
      </c>
      <c r="G3978" s="482" t="s">
        <v>500</v>
      </c>
      <c r="H3978" s="192" t="s">
        <v>2016</v>
      </c>
      <c r="I3978" s="255">
        <v>907</v>
      </c>
      <c r="J3978" s="255">
        <v>6786.2992119664887</v>
      </c>
      <c r="K3978" s="593">
        <f t="shared" si="77"/>
        <v>6155173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69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799"/>
    </row>
    <row r="3979" spans="1:27" s="210" customFormat="1" ht="15.75" customHeight="1">
      <c r="A3979" s="203" t="str">
        <f>IF(B3979&lt;&gt;"",IF(AND(B3979&gt;=_TM1,B3979&lt;=_TM2,OR(TH!L3979="1111",TH!M3979="1111")),TH!D3979,""),"")</f>
        <v/>
      </c>
      <c r="B3979" s="36">
        <f t="shared" si="75"/>
        <v>2</v>
      </c>
      <c r="C3979" s="183">
        <f t="shared" si="76"/>
        <v>42063</v>
      </c>
      <c r="D3979" s="190" t="s">
        <v>2015</v>
      </c>
      <c r="E3979" s="190">
        <v>42063</v>
      </c>
      <c r="F3979" s="191" t="s">
        <v>446</v>
      </c>
      <c r="G3979" s="482" t="s">
        <v>500</v>
      </c>
      <c r="H3979" s="192" t="s">
        <v>2016</v>
      </c>
      <c r="I3979" s="255">
        <v>300</v>
      </c>
      <c r="J3979" s="255">
        <v>7531.1369303530546</v>
      </c>
      <c r="K3979" s="593">
        <f t="shared" si="77"/>
        <v>2259341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69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799"/>
    </row>
    <row r="3980" spans="1:27" s="210" customFormat="1" ht="15.75" customHeight="1">
      <c r="A3980" s="203" t="str">
        <f>IF(B3980&lt;&gt;"",IF(AND(B3980&gt;=_TM1,B3980&lt;=_TM2,OR(TH!L3980="1111",TH!M3980="1111")),TH!D3980,""),"")</f>
        <v/>
      </c>
      <c r="B3980" s="36">
        <f t="shared" si="75"/>
        <v>2</v>
      </c>
      <c r="C3980" s="183">
        <f t="shared" si="76"/>
        <v>42063</v>
      </c>
      <c r="D3980" s="190" t="s">
        <v>2015</v>
      </c>
      <c r="E3980" s="190">
        <v>42063</v>
      </c>
      <c r="F3980" s="191" t="s">
        <v>401</v>
      </c>
      <c r="G3980" s="482" t="s">
        <v>500</v>
      </c>
      <c r="H3980" s="192" t="s">
        <v>2016</v>
      </c>
      <c r="I3980" s="255">
        <v>317</v>
      </c>
      <c r="J3980" s="255">
        <v>8027.6954092774313</v>
      </c>
      <c r="K3980" s="593">
        <f t="shared" si="77"/>
        <v>2544779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69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799"/>
    </row>
    <row r="3981" spans="1:27" s="210" customFormat="1" ht="15.75" customHeight="1">
      <c r="A3981" s="203" t="str">
        <f>IF(B3981&lt;&gt;"",IF(AND(B3981&gt;=_TM1,B3981&lt;=_TM2,OR(TH!L3981="1111",TH!M3981="1111")),TH!D3981,""),"")</f>
        <v/>
      </c>
      <c r="B3981" s="36">
        <f t="shared" si="75"/>
        <v>2</v>
      </c>
      <c r="C3981" s="183">
        <f t="shared" si="76"/>
        <v>42063</v>
      </c>
      <c r="D3981" s="190" t="s">
        <v>2015</v>
      </c>
      <c r="E3981" s="190">
        <v>42063</v>
      </c>
      <c r="F3981" s="191" t="s">
        <v>501</v>
      </c>
      <c r="G3981" s="482" t="s">
        <v>500</v>
      </c>
      <c r="H3981" s="192" t="s">
        <v>2016</v>
      </c>
      <c r="I3981" s="255">
        <v>314</v>
      </c>
      <c r="J3981" s="255">
        <v>13076.039945008601</v>
      </c>
      <c r="K3981" s="593">
        <f t="shared" si="77"/>
        <v>4105877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69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799"/>
    </row>
    <row r="3982" spans="1:27" s="210" customFormat="1" ht="15.75" customHeight="1">
      <c r="A3982" s="203" t="str">
        <f>IF(B3982&lt;&gt;"",IF(AND(B3982&gt;=_TM1,B3982&lt;=_TM2,OR(TH!L3982="1111",TH!M3982="1111")),TH!D3982,""),"")</f>
        <v/>
      </c>
      <c r="B3982" s="36">
        <f t="shared" si="75"/>
        <v>3</v>
      </c>
      <c r="C3982" s="183">
        <f t="shared" si="76"/>
        <v>42066</v>
      </c>
      <c r="D3982" s="190" t="s">
        <v>2015</v>
      </c>
      <c r="E3982" s="190">
        <v>42066</v>
      </c>
      <c r="F3982" s="191" t="s">
        <v>413</v>
      </c>
      <c r="G3982" s="482" t="s">
        <v>502</v>
      </c>
      <c r="H3982" s="192" t="s">
        <v>2016</v>
      </c>
      <c r="I3982" s="255">
        <v>618</v>
      </c>
      <c r="J3982" s="255">
        <v>7862.1759163026391</v>
      </c>
      <c r="K3982" s="593">
        <f t="shared" si="77"/>
        <v>4858825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69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799"/>
    </row>
    <row r="3983" spans="1:27" s="210" customFormat="1" ht="15.75" customHeight="1">
      <c r="A3983" s="203" t="str">
        <f>IF(B3983&lt;&gt;"",IF(AND(B3983&gt;=_TM1,B3983&lt;=_TM2,OR(TH!L3983="1111",TH!M3983="1111")),TH!D3983,""),"")</f>
        <v/>
      </c>
      <c r="B3983" s="36">
        <f t="shared" si="75"/>
        <v>3</v>
      </c>
      <c r="C3983" s="183">
        <f t="shared" si="76"/>
        <v>42066</v>
      </c>
      <c r="D3983" s="190" t="s">
        <v>2015</v>
      </c>
      <c r="E3983" s="190">
        <v>42066</v>
      </c>
      <c r="F3983" s="191" t="s">
        <v>503</v>
      </c>
      <c r="G3983" s="482" t="s">
        <v>504</v>
      </c>
      <c r="H3983" s="192" t="s">
        <v>2016</v>
      </c>
      <c r="I3983" s="255">
        <v>380</v>
      </c>
      <c r="J3983" s="255">
        <v>13489.838677445581</v>
      </c>
      <c r="K3983" s="593">
        <f t="shared" si="77"/>
        <v>5126139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69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799"/>
    </row>
    <row r="3984" spans="1:27" s="210" customFormat="1" ht="15.75" customHeight="1">
      <c r="A3984" s="203" t="str">
        <f>IF(B3984&lt;&gt;"",IF(AND(B3984&gt;=_TM1,B3984&lt;=_TM2,OR(TH!L3984="1111",TH!M3984="1111")),TH!D3984,""),"")</f>
        <v/>
      </c>
      <c r="B3984" s="36">
        <f t="shared" si="75"/>
        <v>3</v>
      </c>
      <c r="C3984" s="183">
        <f t="shared" si="76"/>
        <v>42066</v>
      </c>
      <c r="D3984" s="190" t="s">
        <v>2015</v>
      </c>
      <c r="E3984" s="190">
        <v>42066</v>
      </c>
      <c r="F3984" s="191" t="s">
        <v>505</v>
      </c>
      <c r="G3984" s="482" t="s">
        <v>506</v>
      </c>
      <c r="H3984" s="192" t="s">
        <v>2016</v>
      </c>
      <c r="I3984" s="255">
        <v>200</v>
      </c>
      <c r="J3984" s="255">
        <v>24745.164199731465</v>
      </c>
      <c r="K3984" s="593">
        <f t="shared" si="77"/>
        <v>4949033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69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799"/>
    </row>
    <row r="3985" spans="1:27" s="210" customFormat="1" ht="15.75" customHeight="1">
      <c r="A3985" s="203" t="str">
        <f>IF(B3985&lt;&gt;"",IF(AND(B3985&gt;=_TM1,B3985&lt;=_TM2,OR(TH!L3985="1111",TH!M3985="1111")),TH!D3985,""),"")</f>
        <v/>
      </c>
      <c r="B3985" s="36">
        <f t="shared" si="75"/>
        <v>3</v>
      </c>
      <c r="C3985" s="183">
        <f t="shared" si="76"/>
        <v>42066</v>
      </c>
      <c r="D3985" s="190" t="s">
        <v>2015</v>
      </c>
      <c r="E3985" s="190">
        <v>42066</v>
      </c>
      <c r="F3985" s="191" t="s">
        <v>508</v>
      </c>
      <c r="G3985" s="482" t="s">
        <v>509</v>
      </c>
      <c r="H3985" s="192" t="s">
        <v>2016</v>
      </c>
      <c r="I3985" s="255">
        <v>617</v>
      </c>
      <c r="J3985" s="255">
        <v>5213.8640287059607</v>
      </c>
      <c r="K3985" s="593">
        <f t="shared" si="77"/>
        <v>3216954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69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799"/>
    </row>
    <row r="3986" spans="1:27" s="210" customFormat="1" ht="15.75" customHeight="1">
      <c r="A3986" s="203" t="str">
        <f>IF(B3986&lt;&gt;"",IF(AND(B3986&gt;=_TM1,B3986&lt;=_TM2,OR(TH!L3986="1111",TH!M3986="1111")),TH!D3986,""),"")</f>
        <v/>
      </c>
      <c r="B3986" s="36">
        <f t="shared" si="75"/>
        <v>3</v>
      </c>
      <c r="C3986" s="183">
        <f t="shared" si="76"/>
        <v>42066</v>
      </c>
      <c r="D3986" s="190" t="s">
        <v>2015</v>
      </c>
      <c r="E3986" s="190">
        <v>42066</v>
      </c>
      <c r="F3986" s="191" t="s">
        <v>510</v>
      </c>
      <c r="G3986" s="482" t="s">
        <v>511</v>
      </c>
      <c r="H3986" s="192" t="s">
        <v>2016</v>
      </c>
      <c r="I3986" s="255">
        <v>24</v>
      </c>
      <c r="J3986" s="255">
        <v>9103.5721136135835</v>
      </c>
      <c r="K3986" s="593">
        <f t="shared" si="77"/>
        <v>218486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69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799"/>
    </row>
    <row r="3987" spans="1:27" s="210" customFormat="1" ht="15.75" customHeight="1">
      <c r="A3987" s="203" t="str">
        <f>IF(B3987&lt;&gt;"",IF(AND(B3987&gt;=_TM1,B3987&lt;=_TM2,OR(TH!L3987="1111",TH!M3987="1111")),TH!D3987,""),"")</f>
        <v/>
      </c>
      <c r="B3987" s="36">
        <f t="shared" si="75"/>
        <v>3</v>
      </c>
      <c r="C3987" s="183">
        <f t="shared" si="76"/>
        <v>42066</v>
      </c>
      <c r="D3987" s="190" t="s">
        <v>2015</v>
      </c>
      <c r="E3987" s="190">
        <v>42066</v>
      </c>
      <c r="F3987" s="191" t="s">
        <v>512</v>
      </c>
      <c r="G3987" s="482" t="s">
        <v>511</v>
      </c>
      <c r="H3987" s="192" t="s">
        <v>2016</v>
      </c>
      <c r="I3987" s="255">
        <v>30</v>
      </c>
      <c r="J3987" s="255">
        <v>9351.85135307577</v>
      </c>
      <c r="K3987" s="593">
        <f t="shared" si="77"/>
        <v>280556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69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799"/>
    </row>
    <row r="3988" spans="1:27" s="210" customFormat="1" ht="15.75" customHeight="1">
      <c r="A3988" s="203" t="str">
        <f>IF(B3988&lt;&gt;"",IF(AND(B3988&gt;=_TM1,B3988&lt;=_TM2,OR(TH!L3988="1111",TH!M3988="1111")),TH!D3988,""),"")</f>
        <v/>
      </c>
      <c r="B3988" s="36">
        <f t="shared" si="75"/>
        <v>3</v>
      </c>
      <c r="C3988" s="183">
        <f t="shared" si="76"/>
        <v>42066</v>
      </c>
      <c r="D3988" s="190" t="s">
        <v>2015</v>
      </c>
      <c r="E3988" s="190">
        <v>42066</v>
      </c>
      <c r="F3988" s="191" t="s">
        <v>513</v>
      </c>
      <c r="G3988" s="482" t="s">
        <v>511</v>
      </c>
      <c r="H3988" s="192" t="s">
        <v>2016</v>
      </c>
      <c r="I3988" s="255">
        <v>53</v>
      </c>
      <c r="J3988" s="255">
        <v>9517.3708460505622</v>
      </c>
      <c r="K3988" s="593">
        <f t="shared" si="77"/>
        <v>504421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69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799"/>
    </row>
    <row r="3989" spans="1:27" s="210" customFormat="1" ht="15.75" customHeight="1">
      <c r="A3989" s="203" t="str">
        <f>IF(B3989&lt;&gt;"",IF(AND(B3989&gt;=_TM1,B3989&lt;=_TM2,OR(TH!L3989="1111",TH!M3989="1111")),TH!D3989,""),"")</f>
        <v/>
      </c>
      <c r="B3989" s="36">
        <f t="shared" si="75"/>
        <v>3</v>
      </c>
      <c r="C3989" s="183">
        <f t="shared" si="76"/>
        <v>42066</v>
      </c>
      <c r="D3989" s="190" t="s">
        <v>2015</v>
      </c>
      <c r="E3989" s="190">
        <v>42066</v>
      </c>
      <c r="F3989" s="191" t="s">
        <v>514</v>
      </c>
      <c r="G3989" s="482" t="s">
        <v>511</v>
      </c>
      <c r="H3989" s="192" t="s">
        <v>2016</v>
      </c>
      <c r="I3989" s="255">
        <v>1</v>
      </c>
      <c r="J3989" s="255">
        <v>7944.9356627900352</v>
      </c>
      <c r="K3989" s="593">
        <f t="shared" si="77"/>
        <v>7945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69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799"/>
    </row>
    <row r="3990" spans="1:27" s="210" customFormat="1" ht="15.75" customHeight="1">
      <c r="A3990" s="203" t="str">
        <f>IF(B3990&lt;&gt;"",IF(AND(B3990&gt;=_TM1,B3990&lt;=_TM2,OR(TH!L3990="1111",TH!M3990="1111")),TH!D3990,""),"")</f>
        <v/>
      </c>
      <c r="B3990" s="36">
        <f t="shared" si="75"/>
        <v>3</v>
      </c>
      <c r="C3990" s="183">
        <f t="shared" si="76"/>
        <v>42069</v>
      </c>
      <c r="D3990" s="190" t="s">
        <v>2015</v>
      </c>
      <c r="E3990" s="190">
        <v>42069</v>
      </c>
      <c r="F3990" s="191" t="s">
        <v>1140</v>
      </c>
      <c r="G3990" s="482" t="s">
        <v>515</v>
      </c>
      <c r="H3990" s="192" t="s">
        <v>2016</v>
      </c>
      <c r="I3990" s="255">
        <v>100</v>
      </c>
      <c r="J3990" s="255">
        <v>9434.6110995631661</v>
      </c>
      <c r="K3990" s="593">
        <f t="shared" si="77"/>
        <v>943461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69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799"/>
    </row>
    <row r="3991" spans="1:27" s="210" customFormat="1" ht="15.75" customHeight="1">
      <c r="A3991" s="203" t="str">
        <f>IF(B3991&lt;&gt;"",IF(AND(B3991&gt;=_TM1,B3991&lt;=_TM2,OR(TH!L3991="1111",TH!M3991="1111")),TH!D3991,""),"")</f>
        <v/>
      </c>
      <c r="B3991" s="36">
        <f t="shared" si="75"/>
        <v>3</v>
      </c>
      <c r="C3991" s="183">
        <f t="shared" si="76"/>
        <v>42069</v>
      </c>
      <c r="D3991" s="190" t="s">
        <v>2015</v>
      </c>
      <c r="E3991" s="190">
        <v>42069</v>
      </c>
      <c r="F3991" s="191" t="s">
        <v>1654</v>
      </c>
      <c r="G3991" s="482" t="s">
        <v>515</v>
      </c>
      <c r="H3991" s="192" t="s">
        <v>2016</v>
      </c>
      <c r="I3991" s="255">
        <v>200</v>
      </c>
      <c r="J3991" s="255">
        <v>827.59746487396205</v>
      </c>
      <c r="K3991" s="593">
        <f t="shared" si="77"/>
        <v>165519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69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799"/>
    </row>
    <row r="3992" spans="1:27" s="210" customFormat="1" ht="15.75" customHeight="1">
      <c r="A3992" s="203" t="str">
        <f>IF(B3992&lt;&gt;"",IF(AND(B3992&gt;=_TM1,B3992&lt;=_TM2,OR(TH!L3992="1111",TH!M3992="1111")),TH!D3992,""),"")</f>
        <v/>
      </c>
      <c r="B3992" s="36">
        <f t="shared" si="75"/>
        <v>3</v>
      </c>
      <c r="C3992" s="183">
        <f t="shared" si="76"/>
        <v>42070</v>
      </c>
      <c r="D3992" s="190" t="s">
        <v>2015</v>
      </c>
      <c r="E3992" s="190">
        <v>42070</v>
      </c>
      <c r="F3992" s="191" t="s">
        <v>516</v>
      </c>
      <c r="G3992" s="482" t="s">
        <v>517</v>
      </c>
      <c r="H3992" s="192" t="s">
        <v>2016</v>
      </c>
      <c r="I3992" s="255">
        <v>800</v>
      </c>
      <c r="J3992" s="255">
        <v>7944.9356627900352</v>
      </c>
      <c r="K3992" s="593">
        <f t="shared" si="77"/>
        <v>6355949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69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799"/>
    </row>
    <row r="3993" spans="1:27" s="210" customFormat="1" ht="15.75" customHeight="1">
      <c r="A3993" s="203" t="str">
        <f>IF(B3993&lt;&gt;"",IF(AND(B3993&gt;=_TM1,B3993&lt;=_TM2,OR(TH!L3993="1111",TH!M3993="1111")),TH!D3993,""),"")</f>
        <v/>
      </c>
      <c r="B3993" s="36">
        <f t="shared" si="75"/>
        <v>3</v>
      </c>
      <c r="C3993" s="183">
        <f t="shared" si="76"/>
        <v>42070</v>
      </c>
      <c r="D3993" s="190" t="s">
        <v>2015</v>
      </c>
      <c r="E3993" s="190">
        <v>42070</v>
      </c>
      <c r="F3993" s="191" t="s">
        <v>518</v>
      </c>
      <c r="G3993" s="482" t="s">
        <v>517</v>
      </c>
      <c r="H3993" s="192" t="s">
        <v>2016</v>
      </c>
      <c r="I3993" s="255">
        <v>815</v>
      </c>
      <c r="J3993" s="255">
        <v>8607.013634689205</v>
      </c>
      <c r="K3993" s="593">
        <f t="shared" si="77"/>
        <v>7014716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69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799"/>
    </row>
    <row r="3994" spans="1:27" s="210" customFormat="1" ht="15.75" customHeight="1">
      <c r="A3994" s="203" t="str">
        <f>IF(B3994&lt;&gt;"",IF(AND(B3994&gt;=_TM1,B3994&lt;=_TM2,OR(TH!L3994="1111",TH!M3994="1111")),TH!D3994,""),"")</f>
        <v/>
      </c>
      <c r="B3994" s="36">
        <f t="shared" si="75"/>
        <v>3</v>
      </c>
      <c r="C3994" s="183">
        <f t="shared" si="76"/>
        <v>42070</v>
      </c>
      <c r="D3994" s="190" t="s">
        <v>2015</v>
      </c>
      <c r="E3994" s="190">
        <v>42070</v>
      </c>
      <c r="F3994" s="191" t="s">
        <v>519</v>
      </c>
      <c r="G3994" s="482" t="s">
        <v>517</v>
      </c>
      <c r="H3994" s="192" t="s">
        <v>2016</v>
      </c>
      <c r="I3994" s="255">
        <v>303</v>
      </c>
      <c r="J3994" s="255">
        <v>9269.0916065883757</v>
      </c>
      <c r="K3994" s="593">
        <f t="shared" si="77"/>
        <v>2808535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69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799"/>
    </row>
    <row r="3995" spans="1:27" s="210" customFormat="1" ht="15.75" customHeight="1">
      <c r="A3995" s="203" t="str">
        <f>IF(B3995&lt;&gt;"",IF(AND(B3995&gt;=_TM1,B3995&lt;=_TM2,OR(TH!L3995="1111",TH!M3995="1111")),TH!D3995,""),"")</f>
        <v/>
      </c>
      <c r="B3995" s="36">
        <f t="shared" si="75"/>
        <v>3</v>
      </c>
      <c r="C3995" s="183">
        <f t="shared" si="76"/>
        <v>42070</v>
      </c>
      <c r="D3995" s="190" t="s">
        <v>2015</v>
      </c>
      <c r="E3995" s="190">
        <v>42070</v>
      </c>
      <c r="F3995" s="191" t="s">
        <v>1661</v>
      </c>
      <c r="G3995" s="482" t="s">
        <v>517</v>
      </c>
      <c r="H3995" s="192" t="s">
        <v>2016</v>
      </c>
      <c r="I3995" s="255">
        <v>1900</v>
      </c>
      <c r="J3995" s="255">
        <v>496.5584789243772</v>
      </c>
      <c r="K3995" s="593">
        <f t="shared" si="77"/>
        <v>943461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69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799"/>
    </row>
    <row r="3996" spans="1:27" s="210" customFormat="1" ht="15.75" customHeight="1">
      <c r="A3996" s="203" t="str">
        <f>IF(B3996&lt;&gt;"",IF(AND(B3996&gt;=_TM1,B3996&lt;=_TM2,OR(TH!L3996="1111",TH!M3996="1111")),TH!D3996,""),"")</f>
        <v/>
      </c>
      <c r="B3996" s="36">
        <f t="shared" si="75"/>
        <v>3</v>
      </c>
      <c r="C3996" s="183">
        <f t="shared" si="76"/>
        <v>42073</v>
      </c>
      <c r="D3996" s="190" t="s">
        <v>2015</v>
      </c>
      <c r="E3996" s="190">
        <v>42073</v>
      </c>
      <c r="F3996" s="191" t="s">
        <v>413</v>
      </c>
      <c r="G3996" s="482" t="s">
        <v>520</v>
      </c>
      <c r="H3996" s="192" t="s">
        <v>2016</v>
      </c>
      <c r="I3996" s="255">
        <v>569</v>
      </c>
      <c r="J3996" s="255">
        <v>7862.1759163026391</v>
      </c>
      <c r="K3996" s="593">
        <f t="shared" si="77"/>
        <v>4473578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69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799"/>
    </row>
    <row r="3997" spans="1:27" s="210" customFormat="1" ht="15.75" customHeight="1">
      <c r="A3997" s="203" t="str">
        <f>IF(B3997&lt;&gt;"",IF(AND(B3997&gt;=_TM1,B3997&lt;=_TM2,OR(TH!L3997="1111",TH!M3997="1111")),TH!D3997,""),"")</f>
        <v/>
      </c>
      <c r="B3997" s="36">
        <f t="shared" si="75"/>
        <v>3</v>
      </c>
      <c r="C3997" s="183">
        <f t="shared" si="76"/>
        <v>42075</v>
      </c>
      <c r="D3997" s="190" t="s">
        <v>2015</v>
      </c>
      <c r="E3997" s="190">
        <v>42075</v>
      </c>
      <c r="F3997" s="191" t="s">
        <v>439</v>
      </c>
      <c r="G3997" s="482" t="s">
        <v>521</v>
      </c>
      <c r="H3997" s="192" t="s">
        <v>2016</v>
      </c>
      <c r="I3997" s="255">
        <v>900</v>
      </c>
      <c r="J3997" s="255">
        <v>5296.6237751933577</v>
      </c>
      <c r="K3997" s="593">
        <f t="shared" si="77"/>
        <v>4766961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69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799"/>
    </row>
    <row r="3998" spans="1:27" s="210" customFormat="1" ht="15.75" customHeight="1">
      <c r="A3998" s="203" t="str">
        <f>IF(B3998&lt;&gt;"",IF(AND(B3998&gt;=_TM1,B3998&lt;=_TM2,OR(TH!L3998="1111",TH!M3998="1111")),TH!D3998,""),"")</f>
        <v/>
      </c>
      <c r="B3998" s="36">
        <f t="shared" si="75"/>
        <v>3</v>
      </c>
      <c r="C3998" s="183">
        <f t="shared" si="76"/>
        <v>42075</v>
      </c>
      <c r="D3998" s="190" t="s">
        <v>2015</v>
      </c>
      <c r="E3998" s="190">
        <v>42075</v>
      </c>
      <c r="F3998" s="191" t="s">
        <v>522</v>
      </c>
      <c r="G3998" s="482" t="s">
        <v>521</v>
      </c>
      <c r="H3998" s="192" t="s">
        <v>2016</v>
      </c>
      <c r="I3998" s="255">
        <v>118</v>
      </c>
      <c r="J3998" s="255">
        <v>4469.0263103193956</v>
      </c>
      <c r="K3998" s="593">
        <f t="shared" si="77"/>
        <v>527345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69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799"/>
    </row>
    <row r="3999" spans="1:27" s="210" customFormat="1" ht="15.75" customHeight="1">
      <c r="A3999" s="203" t="str">
        <f>IF(B3999&lt;&gt;"",IF(AND(B3999&gt;=_TM1,B3999&lt;=_TM2,OR(TH!L3999="1111",TH!M3999="1111")),TH!D3999,""),"")</f>
        <v/>
      </c>
      <c r="B3999" s="36">
        <f t="shared" si="75"/>
        <v>3</v>
      </c>
      <c r="C3999" s="183">
        <f t="shared" si="76"/>
        <v>42077</v>
      </c>
      <c r="D3999" s="190" t="s">
        <v>2015</v>
      </c>
      <c r="E3999" s="190">
        <v>42077</v>
      </c>
      <c r="F3999" s="191" t="s">
        <v>523</v>
      </c>
      <c r="G3999" s="482" t="s">
        <v>524</v>
      </c>
      <c r="H3999" s="192" t="s">
        <v>2016</v>
      </c>
      <c r="I3999" s="255">
        <v>55</v>
      </c>
      <c r="J3999" s="255">
        <v>11172.565775798488</v>
      </c>
      <c r="K3999" s="593">
        <f t="shared" si="77"/>
        <v>614491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69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799"/>
    </row>
    <row r="4000" spans="1:27" s="210" customFormat="1" ht="15.75" customHeight="1">
      <c r="A4000" s="203" t="str">
        <f>IF(B4000&lt;&gt;"",IF(AND(B4000&gt;=_TM1,B4000&lt;=_TM2,OR(TH!L4000="1111",TH!M4000="1111")),TH!D4000,""),"")</f>
        <v/>
      </c>
      <c r="B4000" s="36">
        <f t="shared" si="75"/>
        <v>3</v>
      </c>
      <c r="C4000" s="183">
        <f t="shared" si="76"/>
        <v>42077</v>
      </c>
      <c r="D4000" s="190" t="s">
        <v>2015</v>
      </c>
      <c r="E4000" s="190">
        <v>42077</v>
      </c>
      <c r="F4000" s="191" t="s">
        <v>525</v>
      </c>
      <c r="G4000" s="482" t="s">
        <v>524</v>
      </c>
      <c r="H4000" s="192" t="s">
        <v>2016</v>
      </c>
      <c r="I4000" s="255">
        <v>110</v>
      </c>
      <c r="J4000" s="255">
        <v>9269.0916065883757</v>
      </c>
      <c r="K4000" s="593">
        <f t="shared" si="77"/>
        <v>1019600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69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799"/>
    </row>
    <row r="4001" spans="1:27" s="210" customFormat="1" ht="15.75" customHeight="1">
      <c r="A4001" s="203" t="str">
        <f>IF(B4001&lt;&gt;"",IF(AND(B4001&gt;=_TM1,B4001&lt;=_TM2,OR(TH!L4001="1111",TH!M4001="1111")),TH!D4001,""),"")</f>
        <v/>
      </c>
      <c r="B4001" s="36">
        <f t="shared" si="75"/>
        <v>3</v>
      </c>
      <c r="C4001" s="183">
        <f t="shared" si="76"/>
        <v>42077</v>
      </c>
      <c r="D4001" s="190" t="s">
        <v>2015</v>
      </c>
      <c r="E4001" s="190">
        <v>42077</v>
      </c>
      <c r="F4001" s="191" t="s">
        <v>526</v>
      </c>
      <c r="G4001" s="482" t="s">
        <v>524</v>
      </c>
      <c r="H4001" s="192" t="s">
        <v>2016</v>
      </c>
      <c r="I4001" s="255">
        <v>232</v>
      </c>
      <c r="J4001" s="255">
        <v>8358.7343952270166</v>
      </c>
      <c r="K4001" s="593">
        <f t="shared" si="77"/>
        <v>1939226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69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799"/>
    </row>
    <row r="4002" spans="1:27" s="210" customFormat="1" ht="15.75" customHeight="1">
      <c r="A4002" s="203" t="str">
        <f>IF(B4002&lt;&gt;"",IF(AND(B4002&gt;=_TM1,B4002&lt;=_TM2,OR(TH!L4002="1111",TH!M4002="1111")),TH!D4002,""),"")</f>
        <v/>
      </c>
      <c r="B4002" s="36">
        <f t="shared" si="75"/>
        <v>3</v>
      </c>
      <c r="C4002" s="183">
        <f t="shared" si="76"/>
        <v>42077</v>
      </c>
      <c r="D4002" s="190" t="s">
        <v>2015</v>
      </c>
      <c r="E4002" s="190">
        <v>42077</v>
      </c>
      <c r="F4002" s="191" t="s">
        <v>405</v>
      </c>
      <c r="G4002" s="482" t="s">
        <v>524</v>
      </c>
      <c r="H4002" s="192" t="s">
        <v>2016</v>
      </c>
      <c r="I4002" s="255">
        <v>406</v>
      </c>
      <c r="J4002" s="255">
        <v>10344.968310924525</v>
      </c>
      <c r="K4002" s="593">
        <f t="shared" si="77"/>
        <v>4200057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69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799"/>
    </row>
    <row r="4003" spans="1:27" s="210" customFormat="1" ht="15.75" customHeight="1">
      <c r="A4003" s="203" t="str">
        <f>IF(B4003&lt;&gt;"",IF(AND(B4003&gt;=_TM1,B4003&lt;=_TM2,OR(TH!L4003="1111",TH!M4003="1111")),TH!D4003,""),"")</f>
        <v/>
      </c>
      <c r="B4003" s="36">
        <f t="shared" si="75"/>
        <v>3</v>
      </c>
      <c r="C4003" s="183">
        <f t="shared" si="76"/>
        <v>42077</v>
      </c>
      <c r="D4003" s="190" t="s">
        <v>2015</v>
      </c>
      <c r="E4003" s="190">
        <v>42077</v>
      </c>
      <c r="F4003" s="191" t="s">
        <v>1693</v>
      </c>
      <c r="G4003" s="482" t="s">
        <v>527</v>
      </c>
      <c r="H4003" s="192" t="s">
        <v>2016</v>
      </c>
      <c r="I4003" s="255">
        <v>165</v>
      </c>
      <c r="J4003" s="255">
        <v>14069.156902857354</v>
      </c>
      <c r="K4003" s="593">
        <f t="shared" si="77"/>
        <v>2321411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69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799"/>
    </row>
    <row r="4004" spans="1:27" s="210" customFormat="1" ht="15.75" customHeight="1">
      <c r="A4004" s="203" t="str">
        <f>IF(B4004&lt;&gt;"",IF(AND(B4004&gt;=_TM1,B4004&lt;=_TM2,OR(TH!L4004="1111",TH!M4004="1111")),TH!D4004,""),"")</f>
        <v/>
      </c>
      <c r="B4004" s="36">
        <f t="shared" si="75"/>
        <v>3</v>
      </c>
      <c r="C4004" s="183">
        <f t="shared" si="76"/>
        <v>42077</v>
      </c>
      <c r="D4004" s="190" t="s">
        <v>2015</v>
      </c>
      <c r="E4004" s="190">
        <v>42077</v>
      </c>
      <c r="F4004" s="191" t="s">
        <v>1694</v>
      </c>
      <c r="G4004" s="482" t="s">
        <v>527</v>
      </c>
      <c r="H4004" s="192" t="s">
        <v>2016</v>
      </c>
      <c r="I4004" s="255">
        <v>250</v>
      </c>
      <c r="J4004" s="255">
        <v>17462.306508840597</v>
      </c>
      <c r="K4004" s="593">
        <f t="shared" si="77"/>
        <v>4365577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69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799"/>
    </row>
    <row r="4005" spans="1:27" s="210" customFormat="1" ht="15.75" customHeight="1">
      <c r="A4005" s="203" t="str">
        <f>IF(B4005&lt;&gt;"",IF(AND(B4005&gt;=_TM1,B4005&lt;=_TM2,OR(TH!L4005="1111",TH!M4005="1111")),TH!D4005,""),"")</f>
        <v/>
      </c>
      <c r="B4005" s="36">
        <f t="shared" si="75"/>
        <v>3</v>
      </c>
      <c r="C4005" s="183">
        <f t="shared" si="76"/>
        <v>42077</v>
      </c>
      <c r="D4005" s="190" t="s">
        <v>2015</v>
      </c>
      <c r="E4005" s="190">
        <v>42077</v>
      </c>
      <c r="F4005" s="191" t="s">
        <v>1695</v>
      </c>
      <c r="G4005" s="482" t="s">
        <v>527</v>
      </c>
      <c r="H4005" s="192" t="s">
        <v>2016</v>
      </c>
      <c r="I4005" s="255">
        <v>20</v>
      </c>
      <c r="J4005" s="255">
        <v>14979.514114218713</v>
      </c>
      <c r="K4005" s="593">
        <f t="shared" si="77"/>
        <v>299590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69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799"/>
    </row>
    <row r="4006" spans="1:27" s="210" customFormat="1" ht="15.75" customHeight="1">
      <c r="A4006" s="203" t="str">
        <f>IF(B4006&lt;&gt;"",IF(AND(B4006&gt;=_TM1,B4006&lt;=_TM2,OR(TH!L4006="1111",TH!M4006="1111")),TH!D4006,""),"")</f>
        <v/>
      </c>
      <c r="B4006" s="36">
        <f t="shared" si="75"/>
        <v>3</v>
      </c>
      <c r="C4006" s="183">
        <f t="shared" si="76"/>
        <v>42077</v>
      </c>
      <c r="D4006" s="190" t="s">
        <v>2015</v>
      </c>
      <c r="E4006" s="190">
        <v>42077</v>
      </c>
      <c r="F4006" s="191" t="s">
        <v>1696</v>
      </c>
      <c r="G4006" s="482" t="s">
        <v>527</v>
      </c>
      <c r="H4006" s="192" t="s">
        <v>2016</v>
      </c>
      <c r="I4006" s="255">
        <v>20</v>
      </c>
      <c r="J4006" s="255">
        <v>14565.715381781733</v>
      </c>
      <c r="K4006" s="593">
        <f t="shared" si="77"/>
        <v>291314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69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799"/>
    </row>
    <row r="4007" spans="1:27" s="210" customFormat="1" ht="15.75" customHeight="1">
      <c r="A4007" s="203" t="str">
        <f>IF(B4007&lt;&gt;"",IF(AND(B4007&gt;=_TM1,B4007&lt;=_TM2,OR(TH!L4007="1111",TH!M4007="1111")),TH!D4007,""),"")</f>
        <v/>
      </c>
      <c r="B4007" s="36">
        <f t="shared" si="75"/>
        <v>3</v>
      </c>
      <c r="C4007" s="183">
        <f t="shared" si="76"/>
        <v>42079</v>
      </c>
      <c r="D4007" s="190" t="s">
        <v>2015</v>
      </c>
      <c r="E4007" s="190">
        <v>42079</v>
      </c>
      <c r="F4007" s="191" t="s">
        <v>529</v>
      </c>
      <c r="G4007" s="482" t="s">
        <v>530</v>
      </c>
      <c r="H4007" s="192" t="s">
        <v>2016</v>
      </c>
      <c r="I4007" s="255">
        <v>236</v>
      </c>
      <c r="J4007" s="255">
        <v>4800.0652962689792</v>
      </c>
      <c r="K4007" s="593">
        <f t="shared" si="77"/>
        <v>1132815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69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799"/>
    </row>
    <row r="4008" spans="1:27" s="210" customFormat="1" ht="15.75" customHeight="1">
      <c r="A4008" s="203" t="str">
        <f>IF(B4008&lt;&gt;"",IF(AND(B4008&gt;=_TM1,B4008&lt;=_TM2,OR(TH!L4008="1111",TH!M4008="1111")),TH!D4008,""),"")</f>
        <v/>
      </c>
      <c r="B4008" s="36">
        <f t="shared" si="75"/>
        <v>3</v>
      </c>
      <c r="C4008" s="183">
        <f t="shared" si="76"/>
        <v>42079</v>
      </c>
      <c r="D4008" s="190" t="s">
        <v>2015</v>
      </c>
      <c r="E4008" s="190">
        <v>42079</v>
      </c>
      <c r="F4008" s="191" t="s">
        <v>531</v>
      </c>
      <c r="G4008" s="482" t="s">
        <v>530</v>
      </c>
      <c r="H4008" s="192" t="s">
        <v>2016</v>
      </c>
      <c r="I4008" s="255">
        <v>8</v>
      </c>
      <c r="J4008" s="255">
        <v>11007.046282823696</v>
      </c>
      <c r="K4008" s="593">
        <f t="shared" si="77"/>
        <v>88056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69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799"/>
    </row>
    <row r="4009" spans="1:27" s="210" customFormat="1" ht="15.75" customHeight="1">
      <c r="A4009" s="203" t="str">
        <f>IF(B4009&lt;&gt;"",IF(AND(B4009&gt;=_TM1,B4009&lt;=_TM2,OR(TH!L4009="1111",TH!M4009="1111")),TH!D4009,""),"")</f>
        <v/>
      </c>
      <c r="B4009" s="36">
        <f t="shared" si="75"/>
        <v>3</v>
      </c>
      <c r="C4009" s="183">
        <f t="shared" si="76"/>
        <v>42079</v>
      </c>
      <c r="D4009" s="190" t="s">
        <v>2015</v>
      </c>
      <c r="E4009" s="190">
        <v>42079</v>
      </c>
      <c r="F4009" s="191" t="s">
        <v>532</v>
      </c>
      <c r="G4009" s="482" t="s">
        <v>530</v>
      </c>
      <c r="H4009" s="192" t="s">
        <v>2016</v>
      </c>
      <c r="I4009" s="255">
        <v>21</v>
      </c>
      <c r="J4009" s="255">
        <v>12248.442480134638</v>
      </c>
      <c r="K4009" s="593">
        <f t="shared" si="77"/>
        <v>257217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69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799"/>
    </row>
    <row r="4010" spans="1:27" s="210" customFormat="1" ht="15.75" customHeight="1">
      <c r="A4010" s="203" t="str">
        <f>IF(B4010&lt;&gt;"",IF(AND(B4010&gt;=_TM1,B4010&lt;=_TM2,OR(TH!L4010="1111",TH!M4010="1111")),TH!D4010,""),"")</f>
        <v/>
      </c>
      <c r="B4010" s="36">
        <f t="shared" si="75"/>
        <v>3</v>
      </c>
      <c r="C4010" s="183">
        <f t="shared" si="76"/>
        <v>42079</v>
      </c>
      <c r="D4010" s="190" t="s">
        <v>2015</v>
      </c>
      <c r="E4010" s="190">
        <v>42079</v>
      </c>
      <c r="F4010" s="191" t="s">
        <v>533</v>
      </c>
      <c r="G4010" s="482" t="s">
        <v>530</v>
      </c>
      <c r="H4010" s="192" t="s">
        <v>2016</v>
      </c>
      <c r="I4010" s="255">
        <v>10</v>
      </c>
      <c r="J4010" s="255">
        <v>6041.4614935799227</v>
      </c>
      <c r="K4010" s="593">
        <f t="shared" si="77"/>
        <v>60415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69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799"/>
    </row>
    <row r="4011" spans="1:27" s="210" customFormat="1" ht="15.75" customHeight="1">
      <c r="A4011" s="203" t="str">
        <f>IF(B4011&lt;&gt;"",IF(AND(B4011&gt;=_TM1,B4011&lt;=_TM2,OR(TH!L4011="1111",TH!M4011="1111")),TH!D4011,""),"")</f>
        <v/>
      </c>
      <c r="B4011" s="36">
        <f t="shared" si="75"/>
        <v>3</v>
      </c>
      <c r="C4011" s="183">
        <f t="shared" si="76"/>
        <v>42079</v>
      </c>
      <c r="D4011" s="190" t="s">
        <v>2015</v>
      </c>
      <c r="E4011" s="190">
        <v>42079</v>
      </c>
      <c r="F4011" s="191" t="s">
        <v>534</v>
      </c>
      <c r="G4011" s="482" t="s">
        <v>530</v>
      </c>
      <c r="H4011" s="192" t="s">
        <v>2016</v>
      </c>
      <c r="I4011" s="255">
        <v>28</v>
      </c>
      <c r="J4011" s="255">
        <v>10593.247550386715</v>
      </c>
      <c r="K4011" s="593">
        <f t="shared" si="77"/>
        <v>296611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69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799"/>
    </row>
    <row r="4012" spans="1:27" s="210" customFormat="1" ht="15.75" customHeight="1">
      <c r="A4012" s="203" t="str">
        <f>IF(B4012&lt;&gt;"",IF(AND(B4012&gt;=_TM1,B4012&lt;=_TM2,OR(TH!L4012="1111",TH!M4012="1111")),TH!D4012,""),"")</f>
        <v/>
      </c>
      <c r="B4012" s="36">
        <f t="shared" si="75"/>
        <v>3</v>
      </c>
      <c r="C4012" s="183">
        <f t="shared" si="76"/>
        <v>42079</v>
      </c>
      <c r="D4012" s="190" t="s">
        <v>2015</v>
      </c>
      <c r="E4012" s="190">
        <v>42079</v>
      </c>
      <c r="F4012" s="191" t="s">
        <v>1662</v>
      </c>
      <c r="G4012" s="482" t="s">
        <v>530</v>
      </c>
      <c r="H4012" s="192" t="s">
        <v>2016</v>
      </c>
      <c r="I4012" s="255">
        <v>500</v>
      </c>
      <c r="J4012" s="255">
        <v>331.03898594958486</v>
      </c>
      <c r="K4012" s="593">
        <f t="shared" si="77"/>
        <v>165519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69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799"/>
    </row>
    <row r="4013" spans="1:27" s="210" customFormat="1" ht="15.75" customHeight="1">
      <c r="A4013" s="203" t="str">
        <f>IF(B4013&lt;&gt;"",IF(AND(B4013&gt;=_TM1,B4013&lt;=_TM2,OR(TH!L4013="1111",TH!M4013="1111")),TH!D4013,""),"")</f>
        <v/>
      </c>
      <c r="B4013" s="36">
        <f t="shared" si="75"/>
        <v>3</v>
      </c>
      <c r="C4013" s="183">
        <f t="shared" si="76"/>
        <v>42080</v>
      </c>
      <c r="D4013" s="190" t="s">
        <v>2015</v>
      </c>
      <c r="E4013" s="190">
        <v>42080</v>
      </c>
      <c r="F4013" s="191" t="s">
        <v>398</v>
      </c>
      <c r="G4013" s="482" t="s">
        <v>535</v>
      </c>
      <c r="H4013" s="192" t="s">
        <v>2016</v>
      </c>
      <c r="I4013" s="255">
        <v>903</v>
      </c>
      <c r="J4013" s="255">
        <v>6786.2992119664887</v>
      </c>
      <c r="K4013" s="593">
        <f t="shared" si="77"/>
        <v>6128028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69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799"/>
    </row>
    <row r="4014" spans="1:27" s="210" customFormat="1" ht="15.75" customHeight="1">
      <c r="A4014" s="203" t="str">
        <f>IF(B4014&lt;&gt;"",IF(AND(B4014&gt;=_TM1,B4014&lt;=_TM2,OR(TH!L4014="1111",TH!M4014="1111")),TH!D4014,""),"")</f>
        <v/>
      </c>
      <c r="B4014" s="36">
        <f t="shared" si="75"/>
        <v>3</v>
      </c>
      <c r="C4014" s="183">
        <f t="shared" si="76"/>
        <v>42080</v>
      </c>
      <c r="D4014" s="190" t="s">
        <v>2015</v>
      </c>
      <c r="E4014" s="190">
        <v>42080</v>
      </c>
      <c r="F4014" s="191" t="s">
        <v>446</v>
      </c>
      <c r="G4014" s="482" t="s">
        <v>535</v>
      </c>
      <c r="H4014" s="192" t="s">
        <v>2016</v>
      </c>
      <c r="I4014" s="255">
        <v>289</v>
      </c>
      <c r="J4014" s="255">
        <v>7531.1369303530546</v>
      </c>
      <c r="K4014" s="593">
        <f t="shared" si="77"/>
        <v>2176499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69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799"/>
    </row>
    <row r="4015" spans="1:27" s="210" customFormat="1" ht="15.75" customHeight="1">
      <c r="A4015" s="203" t="str">
        <f>IF(B4015&lt;&gt;"",IF(AND(B4015&gt;=_TM1,B4015&lt;=_TM2,OR(TH!L4015="1111",TH!M4015="1111")),TH!D4015,""),"")</f>
        <v/>
      </c>
      <c r="B4015" s="36">
        <f t="shared" si="75"/>
        <v>3</v>
      </c>
      <c r="C4015" s="183">
        <f t="shared" si="76"/>
        <v>42080</v>
      </c>
      <c r="D4015" s="190" t="s">
        <v>2015</v>
      </c>
      <c r="E4015" s="190">
        <v>42080</v>
      </c>
      <c r="F4015" s="191" t="s">
        <v>536</v>
      </c>
      <c r="G4015" s="482" t="s">
        <v>535</v>
      </c>
      <c r="H4015" s="192" t="s">
        <v>2016</v>
      </c>
      <c r="I4015" s="255">
        <v>300</v>
      </c>
      <c r="J4015" s="255">
        <v>15889.87132558007</v>
      </c>
      <c r="K4015" s="593">
        <f t="shared" si="77"/>
        <v>4766961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69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799"/>
    </row>
    <row r="4016" spans="1:27" s="210" customFormat="1" ht="15.75" customHeight="1">
      <c r="A4016" s="203" t="str">
        <f>IF(B4016&lt;&gt;"",IF(AND(B4016&gt;=_TM1,B4016&lt;=_TM2,OR(TH!L4016="1111",TH!M4016="1111")),TH!D4016,""),"")</f>
        <v/>
      </c>
      <c r="B4016" s="36">
        <f t="shared" si="75"/>
        <v>3</v>
      </c>
      <c r="C4016" s="183">
        <f t="shared" si="76"/>
        <v>42080</v>
      </c>
      <c r="D4016" s="190" t="s">
        <v>2015</v>
      </c>
      <c r="E4016" s="190">
        <v>42080</v>
      </c>
      <c r="F4016" s="191" t="s">
        <v>501</v>
      </c>
      <c r="G4016" s="482" t="s">
        <v>535</v>
      </c>
      <c r="H4016" s="192" t="s">
        <v>2016</v>
      </c>
      <c r="I4016" s="255">
        <v>300</v>
      </c>
      <c r="J4016" s="255">
        <v>13076.039945008601</v>
      </c>
      <c r="K4016" s="593">
        <f t="shared" si="77"/>
        <v>3922812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69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799"/>
    </row>
    <row r="4017" spans="1:27" s="210" customFormat="1" ht="15.75" customHeight="1">
      <c r="A4017" s="203" t="str">
        <f>IF(B4017&lt;&gt;"",IF(AND(B4017&gt;=_TM1,B4017&lt;=_TM2,OR(TH!L4017="1111",TH!M4017="1111")),TH!D4017,""),"")</f>
        <v/>
      </c>
      <c r="B4017" s="36">
        <f t="shared" si="75"/>
        <v>3</v>
      </c>
      <c r="C4017" s="183">
        <f t="shared" si="76"/>
        <v>42080</v>
      </c>
      <c r="D4017" s="190" t="s">
        <v>2015</v>
      </c>
      <c r="E4017" s="190">
        <v>42080</v>
      </c>
      <c r="F4017" s="191" t="s">
        <v>451</v>
      </c>
      <c r="G4017" s="482" t="s">
        <v>537</v>
      </c>
      <c r="H4017" s="192" t="s">
        <v>2016</v>
      </c>
      <c r="I4017" s="255">
        <v>604</v>
      </c>
      <c r="J4017" s="255">
        <v>11089.806029311092</v>
      </c>
      <c r="K4017" s="593">
        <f t="shared" si="77"/>
        <v>6698243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69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799"/>
    </row>
    <row r="4018" spans="1:27" s="210" customFormat="1" ht="15.75" customHeight="1">
      <c r="A4018" s="203" t="str">
        <f>IF(B4018&lt;&gt;"",IF(AND(B4018&gt;=_TM1,B4018&lt;=_TM2,OR(TH!L4018="1111",TH!M4018="1111")),TH!D4018,""),"")</f>
        <v/>
      </c>
      <c r="B4018" s="36">
        <f t="shared" si="75"/>
        <v>3</v>
      </c>
      <c r="C4018" s="183">
        <f t="shared" si="76"/>
        <v>42080</v>
      </c>
      <c r="D4018" s="190" t="s">
        <v>2015</v>
      </c>
      <c r="E4018" s="190">
        <v>42080</v>
      </c>
      <c r="F4018" s="191" t="s">
        <v>538</v>
      </c>
      <c r="G4018" s="482" t="s">
        <v>537</v>
      </c>
      <c r="H4018" s="192" t="s">
        <v>2016</v>
      </c>
      <c r="I4018" s="255">
        <v>206</v>
      </c>
      <c r="J4018" s="255">
        <v>7365.6174373782624</v>
      </c>
      <c r="K4018" s="593">
        <f t="shared" si="77"/>
        <v>1517317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69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799"/>
    </row>
    <row r="4019" spans="1:27" s="210" customFormat="1" ht="15.75" customHeight="1">
      <c r="A4019" s="203" t="str">
        <f>IF(B4019&lt;&gt;"",IF(AND(B4019&gt;=_TM1,B4019&lt;=_TM2,OR(TH!L4019="1111",TH!M4019="1111")),TH!D4019,""),"")</f>
        <v/>
      </c>
      <c r="B4019" s="36">
        <f t="shared" si="75"/>
        <v>3</v>
      </c>
      <c r="C4019" s="183">
        <f t="shared" si="76"/>
        <v>42080</v>
      </c>
      <c r="D4019" s="190" t="s">
        <v>2015</v>
      </c>
      <c r="E4019" s="190">
        <v>42080</v>
      </c>
      <c r="F4019" s="191" t="s">
        <v>539</v>
      </c>
      <c r="G4019" s="482" t="s">
        <v>537</v>
      </c>
      <c r="H4019" s="192" t="s">
        <v>2016</v>
      </c>
      <c r="I4019" s="255">
        <v>205</v>
      </c>
      <c r="J4019" s="255">
        <v>7779.4161698152429</v>
      </c>
      <c r="K4019" s="593">
        <f t="shared" si="77"/>
        <v>1594780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69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799"/>
    </row>
    <row r="4020" spans="1:27" s="210" customFormat="1" ht="15.75" customHeight="1">
      <c r="A4020" s="203" t="str">
        <f>IF(B4020&lt;&gt;"",IF(AND(B4020&gt;=_TM1,B4020&lt;=_TM2,OR(TH!L4020="1111",TH!M4020="1111")),TH!D4020,""),"")</f>
        <v/>
      </c>
      <c r="B4020" s="36">
        <f t="shared" si="75"/>
        <v>3</v>
      </c>
      <c r="C4020" s="183">
        <f t="shared" si="76"/>
        <v>42080</v>
      </c>
      <c r="D4020" s="190" t="s">
        <v>2015</v>
      </c>
      <c r="E4020" s="190">
        <v>42080</v>
      </c>
      <c r="F4020" s="191" t="s">
        <v>540</v>
      </c>
      <c r="G4020" s="482" t="s">
        <v>537</v>
      </c>
      <c r="H4020" s="192" t="s">
        <v>2016</v>
      </c>
      <c r="I4020" s="255">
        <v>306</v>
      </c>
      <c r="J4020" s="255">
        <v>7200.0979444034701</v>
      </c>
      <c r="K4020" s="593">
        <f t="shared" si="77"/>
        <v>2203230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69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799"/>
    </row>
    <row r="4021" spans="1:27" s="210" customFormat="1" ht="15.75" customHeight="1">
      <c r="A4021" s="203" t="str">
        <f>IF(B4021&lt;&gt;"",IF(AND(B4021&gt;=_TM1,B4021&lt;=_TM2,OR(TH!L4021="1111",TH!M4021="1111")),TH!D4021,""),"")</f>
        <v/>
      </c>
      <c r="B4021" s="36">
        <f t="shared" si="75"/>
        <v>3</v>
      </c>
      <c r="C4021" s="183">
        <f t="shared" si="76"/>
        <v>42082</v>
      </c>
      <c r="D4021" s="190" t="s">
        <v>2015</v>
      </c>
      <c r="E4021" s="190">
        <v>42082</v>
      </c>
      <c r="F4021" s="191" t="s">
        <v>413</v>
      </c>
      <c r="G4021" s="482" t="s">
        <v>541</v>
      </c>
      <c r="H4021" s="192" t="s">
        <v>2016</v>
      </c>
      <c r="I4021" s="255">
        <v>490</v>
      </c>
      <c r="J4021" s="255">
        <v>7862.1759163026391</v>
      </c>
      <c r="K4021" s="593">
        <f t="shared" si="77"/>
        <v>3852466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69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799"/>
    </row>
    <row r="4022" spans="1:27" s="210" customFormat="1" ht="15.75" customHeight="1">
      <c r="A4022" s="203" t="str">
        <f>IF(B4022&lt;&gt;"",IF(AND(B4022&gt;=_TM1,B4022&lt;=_TM2,OR(TH!L4022="1111",TH!M4022="1111")),TH!D4022,""),"")</f>
        <v/>
      </c>
      <c r="B4022" s="36">
        <f t="shared" si="75"/>
        <v>3</v>
      </c>
      <c r="C4022" s="183">
        <f t="shared" si="76"/>
        <v>42082</v>
      </c>
      <c r="D4022" s="190" t="s">
        <v>2015</v>
      </c>
      <c r="E4022" s="190">
        <v>42082</v>
      </c>
      <c r="F4022" s="191" t="s">
        <v>542</v>
      </c>
      <c r="G4022" s="482" t="s">
        <v>541</v>
      </c>
      <c r="H4022" s="192" t="s">
        <v>2016</v>
      </c>
      <c r="I4022" s="255">
        <v>215</v>
      </c>
      <c r="J4022" s="255">
        <v>7944.9356627900352</v>
      </c>
      <c r="K4022" s="593">
        <f t="shared" si="77"/>
        <v>1708161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69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799"/>
    </row>
    <row r="4023" spans="1:27" s="210" customFormat="1" ht="15.75" customHeight="1">
      <c r="A4023" s="203" t="str">
        <f>IF(B4023&lt;&gt;"",IF(AND(B4023&gt;=_TM1,B4023&lt;=_TM2,OR(TH!L4023="1111",TH!M4023="1111")),TH!D4023,""),"")</f>
        <v/>
      </c>
      <c r="B4023" s="36">
        <f t="shared" si="75"/>
        <v>3</v>
      </c>
      <c r="C4023" s="183">
        <f t="shared" si="76"/>
        <v>42082</v>
      </c>
      <c r="D4023" s="190" t="s">
        <v>2015</v>
      </c>
      <c r="E4023" s="190">
        <v>42082</v>
      </c>
      <c r="F4023" s="191" t="s">
        <v>543</v>
      </c>
      <c r="G4023" s="482" t="s">
        <v>544</v>
      </c>
      <c r="H4023" s="192" t="s">
        <v>2016</v>
      </c>
      <c r="I4023" s="255">
        <v>200</v>
      </c>
      <c r="J4023" s="255">
        <v>5793.1822541177344</v>
      </c>
      <c r="K4023" s="593">
        <f t="shared" si="77"/>
        <v>1158636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69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799"/>
    </row>
    <row r="4024" spans="1:27" s="210" customFormat="1" ht="15.75" customHeight="1">
      <c r="A4024" s="203" t="str">
        <f>IF(B4024&lt;&gt;"",IF(AND(B4024&gt;=_TM1,B4024&lt;=_TM2,OR(TH!L4024="1111",TH!M4024="1111")),TH!D4024,""),"")</f>
        <v/>
      </c>
      <c r="B4024" s="36">
        <f t="shared" si="75"/>
        <v>3</v>
      </c>
      <c r="C4024" s="183">
        <f t="shared" si="76"/>
        <v>42082</v>
      </c>
      <c r="D4024" s="190" t="s">
        <v>2015</v>
      </c>
      <c r="E4024" s="190">
        <v>42082</v>
      </c>
      <c r="F4024" s="191" t="s">
        <v>430</v>
      </c>
      <c r="G4024" s="482" t="s">
        <v>544</v>
      </c>
      <c r="H4024" s="192" t="s">
        <v>2016</v>
      </c>
      <c r="I4024" s="255">
        <v>205</v>
      </c>
      <c r="J4024" s="255">
        <v>6289.740733042112</v>
      </c>
      <c r="K4024" s="593">
        <f t="shared" si="77"/>
        <v>1289397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69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799"/>
    </row>
    <row r="4025" spans="1:27" s="210" customFormat="1" ht="15.75" customHeight="1">
      <c r="A4025" s="203" t="str">
        <f>IF(B4025&lt;&gt;"",IF(AND(B4025&gt;=_TM1,B4025&lt;=_TM2,OR(TH!L4025="1111",TH!M4025="1111")),TH!D4025,""),"")</f>
        <v/>
      </c>
      <c r="B4025" s="36">
        <f t="shared" si="75"/>
        <v>3</v>
      </c>
      <c r="C4025" s="183">
        <f t="shared" si="76"/>
        <v>42082</v>
      </c>
      <c r="D4025" s="190" t="s">
        <v>2015</v>
      </c>
      <c r="E4025" s="190">
        <v>42082</v>
      </c>
      <c r="F4025" s="191" t="s">
        <v>546</v>
      </c>
      <c r="G4025" s="482" t="s">
        <v>544</v>
      </c>
      <c r="H4025" s="192" t="s">
        <v>2016</v>
      </c>
      <c r="I4025" s="255">
        <v>208</v>
      </c>
      <c r="J4025" s="255">
        <v>5544.903014655546</v>
      </c>
      <c r="K4025" s="593">
        <f t="shared" si="77"/>
        <v>1153340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69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799"/>
    </row>
    <row r="4026" spans="1:27" s="210" customFormat="1" ht="15.75" customHeight="1">
      <c r="A4026" s="203" t="str">
        <f>IF(B4026&lt;&gt;"",IF(AND(B4026&gt;=_TM1,B4026&lt;=_TM2,OR(TH!L4026="1111",TH!M4026="1111")),TH!D4026,""),"")</f>
        <v/>
      </c>
      <c r="B4026" s="36">
        <f t="shared" si="75"/>
        <v>3</v>
      </c>
      <c r="C4026" s="183">
        <f t="shared" si="76"/>
        <v>42088</v>
      </c>
      <c r="D4026" s="190" t="s">
        <v>2015</v>
      </c>
      <c r="E4026" s="190">
        <v>42088</v>
      </c>
      <c r="F4026" s="191" t="s">
        <v>547</v>
      </c>
      <c r="G4026" s="482" t="s">
        <v>548</v>
      </c>
      <c r="H4026" s="192" t="s">
        <v>2016</v>
      </c>
      <c r="I4026" s="255">
        <v>500</v>
      </c>
      <c r="J4026" s="255">
        <v>1324.1559437983394</v>
      </c>
      <c r="K4026" s="593">
        <f t="shared" si="77"/>
        <v>662078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69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799"/>
    </row>
    <row r="4027" spans="1:27" s="210" customFormat="1" ht="15.75" customHeight="1">
      <c r="A4027" s="203" t="str">
        <f>IF(B4027&lt;&gt;"",IF(AND(B4027&gt;=_TM1,B4027&lt;=_TM2,OR(TH!L4027="1111",TH!M4027="1111")),TH!D4027,""),"")</f>
        <v/>
      </c>
      <c r="B4027" s="36">
        <f t="shared" si="75"/>
        <v>3</v>
      </c>
      <c r="C4027" s="183">
        <f t="shared" si="76"/>
        <v>42088</v>
      </c>
      <c r="D4027" s="190" t="s">
        <v>2015</v>
      </c>
      <c r="E4027" s="190">
        <v>42088</v>
      </c>
      <c r="F4027" s="191" t="s">
        <v>550</v>
      </c>
      <c r="G4027" s="482" t="s">
        <v>548</v>
      </c>
      <c r="H4027" s="192" t="s">
        <v>2016</v>
      </c>
      <c r="I4027" s="255">
        <v>50</v>
      </c>
      <c r="J4027" s="255">
        <v>13407.078930958187</v>
      </c>
      <c r="K4027" s="593">
        <f t="shared" si="77"/>
        <v>670354</v>
      </c>
      <c r="L4027" s="193" t="s">
        <v>172</v>
      </c>
      <c r="M4027" s="193" t="s">
        <v>167</v>
      </c>
      <c r="N4027" s="52" t="str">
        <f>IF(AND('331-CT'!$E$7=TH!H4027,OR(L4027="331",M4027="331")),"331",IF(AND(OR(L4027="131",M4027="131"),H4027='131-CT'!$E$7),"131",""))</f>
        <v/>
      </c>
      <c r="O4027" s="869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799"/>
    </row>
    <row r="4028" spans="1:27" s="210" customFormat="1" ht="15.75" customHeight="1">
      <c r="A4028" s="203" t="str">
        <f>IF(B4028&lt;&gt;"",IF(AND(B4028&gt;=_TM1,B4028&lt;=_TM2,OR(TH!L4028="1111",TH!M4028="1111")),TH!D4028,""),"")</f>
        <v/>
      </c>
      <c r="B4028" s="36">
        <f t="shared" si="75"/>
        <v>3</v>
      </c>
      <c r="C4028" s="183">
        <f t="shared" si="76"/>
        <v>42088</v>
      </c>
      <c r="D4028" s="190" t="s">
        <v>2015</v>
      </c>
      <c r="E4028" s="190">
        <v>42088</v>
      </c>
      <c r="F4028" s="191" t="s">
        <v>551</v>
      </c>
      <c r="G4028" s="482" t="s">
        <v>548</v>
      </c>
      <c r="H4028" s="192" t="s">
        <v>2016</v>
      </c>
      <c r="I4028" s="255">
        <v>12</v>
      </c>
      <c r="J4028" s="255">
        <v>12082.922987159845</v>
      </c>
      <c r="K4028" s="593">
        <f t="shared" si="77"/>
        <v>144995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69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799"/>
    </row>
    <row r="4029" spans="1:27" s="210" customFormat="1" ht="15.75" customHeight="1">
      <c r="A4029" s="203" t="str">
        <f>IF(B4029&lt;&gt;"",IF(AND(B4029&gt;=_TM1,B4029&lt;=_TM2,OR(TH!L4029="1111",TH!M4029="1111")),TH!D4029,""),"")</f>
        <v/>
      </c>
      <c r="B4029" s="36">
        <f t="shared" si="75"/>
        <v>3</v>
      </c>
      <c r="C4029" s="183">
        <f t="shared" si="76"/>
        <v>42088</v>
      </c>
      <c r="D4029" s="190" t="s">
        <v>2015</v>
      </c>
      <c r="E4029" s="190">
        <v>42088</v>
      </c>
      <c r="F4029" s="191" t="s">
        <v>494</v>
      </c>
      <c r="G4029" s="482" t="s">
        <v>552</v>
      </c>
      <c r="H4029" s="192" t="s">
        <v>2016</v>
      </c>
      <c r="I4029" s="255">
        <v>1490</v>
      </c>
      <c r="J4029" s="255">
        <v>5627.6627611429421</v>
      </c>
      <c r="K4029" s="593">
        <f t="shared" si="77"/>
        <v>8385218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69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799"/>
    </row>
    <row r="4030" spans="1:27" s="210" customFormat="1" ht="15.75" customHeight="1">
      <c r="A4030" s="203" t="str">
        <f>IF(B4030&lt;&gt;"",IF(AND(B4030&gt;=_TM1,B4030&lt;=_TM2,OR(TH!L4030="1111",TH!M4030="1111")),TH!D4030,""),"")</f>
        <v/>
      </c>
      <c r="B4030" s="36">
        <f t="shared" si="75"/>
        <v>3</v>
      </c>
      <c r="C4030" s="183">
        <f t="shared" si="76"/>
        <v>42088</v>
      </c>
      <c r="D4030" s="190" t="s">
        <v>2015</v>
      </c>
      <c r="E4030" s="190">
        <v>42088</v>
      </c>
      <c r="F4030" s="191" t="s">
        <v>553</v>
      </c>
      <c r="G4030" s="482" t="s">
        <v>554</v>
      </c>
      <c r="H4030" s="192" t="s">
        <v>2016</v>
      </c>
      <c r="I4030" s="255">
        <v>100</v>
      </c>
      <c r="J4030" s="255">
        <v>12827.760705546412</v>
      </c>
      <c r="K4030" s="593">
        <f t="shared" si="77"/>
        <v>1282776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69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799"/>
    </row>
    <row r="4031" spans="1:27" s="210" customFormat="1" ht="15.75" customHeight="1">
      <c r="A4031" s="203" t="str">
        <f>IF(B4031&lt;&gt;"",IF(AND(B4031&gt;=_TM1,B4031&lt;=_TM2,OR(TH!L4031="1111",TH!M4031="1111")),TH!D4031,""),"")</f>
        <v/>
      </c>
      <c r="B4031" s="36">
        <f t="shared" si="75"/>
        <v>3</v>
      </c>
      <c r="C4031" s="183">
        <f t="shared" si="76"/>
        <v>42088</v>
      </c>
      <c r="D4031" s="190" t="s">
        <v>2015</v>
      </c>
      <c r="E4031" s="190">
        <v>42088</v>
      </c>
      <c r="F4031" s="191" t="s">
        <v>474</v>
      </c>
      <c r="G4031" s="482" t="s">
        <v>556</v>
      </c>
      <c r="H4031" s="192" t="s">
        <v>2016</v>
      </c>
      <c r="I4031" s="255">
        <v>30</v>
      </c>
      <c r="J4031" s="255">
        <v>10013.929324974941</v>
      </c>
      <c r="K4031" s="593">
        <f t="shared" si="77"/>
        <v>300418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69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799"/>
    </row>
    <row r="4032" spans="1:27" s="210" customFormat="1" ht="15.75" customHeight="1">
      <c r="A4032" s="203" t="str">
        <f>IF(B4032&lt;&gt;"",IF(AND(B4032&gt;=_TM1,B4032&lt;=_TM2,OR(TH!L4032="1111",TH!M4032="1111")),TH!D4032,""),"")</f>
        <v/>
      </c>
      <c r="B4032" s="36">
        <f t="shared" si="75"/>
        <v>3</v>
      </c>
      <c r="C4032" s="183">
        <f t="shared" si="76"/>
        <v>42088</v>
      </c>
      <c r="D4032" s="190" t="s">
        <v>2015</v>
      </c>
      <c r="E4032" s="190">
        <v>42088</v>
      </c>
      <c r="F4032" s="191" t="s">
        <v>557</v>
      </c>
      <c r="G4032" s="482" t="s">
        <v>556</v>
      </c>
      <c r="H4032" s="192" t="s">
        <v>2016</v>
      </c>
      <c r="I4032" s="255">
        <v>347</v>
      </c>
      <c r="J4032" s="255">
        <v>15062.273860706109</v>
      </c>
      <c r="K4032" s="593">
        <f t="shared" si="77"/>
        <v>5226609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69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799"/>
    </row>
    <row r="4033" spans="1:27" s="210" customFormat="1" ht="15.75" customHeight="1">
      <c r="A4033" s="203" t="str">
        <f>IF(B4033&lt;&gt;"",IF(AND(B4033&gt;=_TM1,B4033&lt;=_TM2,OR(TH!L4033="1111",TH!M4033="1111")),TH!D4033,""),"")</f>
        <v/>
      </c>
      <c r="B4033" s="36">
        <f t="shared" si="75"/>
        <v>3</v>
      </c>
      <c r="C4033" s="183">
        <f t="shared" si="76"/>
        <v>42090</v>
      </c>
      <c r="D4033" s="190" t="s">
        <v>2015</v>
      </c>
      <c r="E4033" s="190">
        <v>42090</v>
      </c>
      <c r="F4033" s="191" t="s">
        <v>560</v>
      </c>
      <c r="G4033" s="482" t="s">
        <v>561</v>
      </c>
      <c r="H4033" s="192" t="s">
        <v>2016</v>
      </c>
      <c r="I4033" s="255">
        <v>24</v>
      </c>
      <c r="J4033" s="255">
        <v>5213.8640287059607</v>
      </c>
      <c r="K4033" s="593">
        <f t="shared" si="77"/>
        <v>125133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69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799"/>
    </row>
    <row r="4034" spans="1:27" s="210" customFormat="1" ht="15.75" customHeight="1">
      <c r="A4034" s="203" t="str">
        <f>IF(B4034&lt;&gt;"",IF(AND(B4034&gt;=_TM1,B4034&lt;=_TM2,OR(TH!L4034="1111",TH!M4034="1111")),TH!D4034,""),"")</f>
        <v/>
      </c>
      <c r="B4034" s="36">
        <f t="shared" si="75"/>
        <v>3</v>
      </c>
      <c r="C4034" s="183">
        <f t="shared" si="76"/>
        <v>42090</v>
      </c>
      <c r="D4034" s="190" t="s">
        <v>2015</v>
      </c>
      <c r="E4034" s="190">
        <v>42090</v>
      </c>
      <c r="F4034" s="191" t="s">
        <v>1697</v>
      </c>
      <c r="G4034" s="482" t="s">
        <v>562</v>
      </c>
      <c r="H4034" s="192" t="s">
        <v>2016</v>
      </c>
      <c r="I4034" s="255">
        <v>1900</v>
      </c>
      <c r="J4034" s="255">
        <v>10179.448817949733</v>
      </c>
      <c r="K4034" s="593">
        <f t="shared" si="77"/>
        <v>19340953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69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799"/>
    </row>
    <row r="4035" spans="1:27" s="210" customFormat="1" ht="15.75" customHeight="1">
      <c r="A4035" s="203" t="str">
        <f>IF(B4035&lt;&gt;"",IF(AND(B4035&gt;=_TM1,B4035&lt;=_TM2,OR(TH!L4035="1111",TH!M4035="1111")),TH!D4035,""),"")</f>
        <v/>
      </c>
      <c r="B4035" s="36">
        <f t="shared" si="75"/>
        <v>3</v>
      </c>
      <c r="C4035" s="183">
        <f t="shared" si="76"/>
        <v>42091</v>
      </c>
      <c r="D4035" s="190" t="s">
        <v>2015</v>
      </c>
      <c r="E4035" s="190">
        <v>42091</v>
      </c>
      <c r="F4035" s="191" t="s">
        <v>494</v>
      </c>
      <c r="G4035" s="482" t="s">
        <v>558</v>
      </c>
      <c r="H4035" s="192" t="s">
        <v>2016</v>
      </c>
      <c r="I4035" s="255">
        <v>504</v>
      </c>
      <c r="J4035" s="255">
        <v>5627.6627611429421</v>
      </c>
      <c r="K4035" s="593">
        <f t="shared" si="77"/>
        <v>2836342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69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799"/>
    </row>
    <row r="4036" spans="1:27" s="210" customFormat="1" ht="15.75" customHeight="1">
      <c r="A4036" s="203" t="str">
        <f>IF(B4036&lt;&gt;"",IF(AND(B4036&gt;=_TM1,B4036&lt;=_TM2,OR(TH!L4036="1111",TH!M4036="1111")),TH!D4036,""),"")</f>
        <v/>
      </c>
      <c r="B4036" s="36">
        <f t="shared" si="75"/>
        <v>3</v>
      </c>
      <c r="C4036" s="183">
        <f t="shared" si="76"/>
        <v>42091</v>
      </c>
      <c r="D4036" s="190" t="s">
        <v>2015</v>
      </c>
      <c r="E4036" s="190">
        <v>42091</v>
      </c>
      <c r="F4036" s="191" t="s">
        <v>454</v>
      </c>
      <c r="G4036" s="482" t="s">
        <v>559</v>
      </c>
      <c r="H4036" s="192" t="s">
        <v>2016</v>
      </c>
      <c r="I4036" s="255">
        <v>350</v>
      </c>
      <c r="J4036" s="255">
        <v>60000.81620336225</v>
      </c>
      <c r="K4036" s="593">
        <f t="shared" si="77"/>
        <v>21000286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69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799"/>
    </row>
    <row r="4037" spans="1:27" s="210" customFormat="1" ht="15.75" customHeight="1">
      <c r="A4037" s="203" t="str">
        <f>IF(B4037&lt;&gt;"",IF(AND(B4037&gt;=_TM1,B4037&lt;=_TM2,OR(TH!L4037="1111",TH!M4037="1111")),TH!D4037,""),"")</f>
        <v/>
      </c>
      <c r="B4037" s="36">
        <f t="shared" si="75"/>
        <v>3</v>
      </c>
      <c r="C4037" s="183">
        <f t="shared" si="76"/>
        <v>42094</v>
      </c>
      <c r="D4037" s="190" t="s">
        <v>2015</v>
      </c>
      <c r="E4037" s="190">
        <v>42094</v>
      </c>
      <c r="F4037" s="191" t="s">
        <v>1140</v>
      </c>
      <c r="G4037" s="482" t="s">
        <v>564</v>
      </c>
      <c r="H4037" s="192" t="s">
        <v>2016</v>
      </c>
      <c r="I4037" s="255">
        <v>50</v>
      </c>
      <c r="J4037" s="255">
        <v>9600.1305925379584</v>
      </c>
      <c r="K4037" s="593">
        <f t="shared" si="77"/>
        <v>480007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69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799"/>
    </row>
    <row r="4038" spans="1:27" s="210" customFormat="1" ht="15.75" customHeight="1">
      <c r="A4038" s="203" t="str">
        <f>IF(B4038&lt;&gt;"",IF(AND(B4038&gt;=_TM1,B4038&lt;=_TM2,OR(TH!L4038="1111",TH!M4038="1111")),TH!D4038,""),"")</f>
        <v/>
      </c>
      <c r="B4038" s="36">
        <f t="shared" si="75"/>
        <v>3</v>
      </c>
      <c r="C4038" s="183">
        <f t="shared" si="76"/>
        <v>42094</v>
      </c>
      <c r="D4038" s="190" t="s">
        <v>2015</v>
      </c>
      <c r="E4038" s="190">
        <v>42094</v>
      </c>
      <c r="F4038" s="191" t="s">
        <v>1140</v>
      </c>
      <c r="G4038" s="482" t="s">
        <v>564</v>
      </c>
      <c r="H4038" s="192" t="s">
        <v>2016</v>
      </c>
      <c r="I4038" s="255">
        <v>773</v>
      </c>
      <c r="J4038" s="255">
        <v>9600.1305925379584</v>
      </c>
      <c r="K4038" s="593">
        <f t="shared" si="77"/>
        <v>7420901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69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799"/>
    </row>
    <row r="4039" spans="1:27" s="210" customFormat="1" ht="15.75" customHeight="1">
      <c r="A4039" s="203" t="str">
        <f>IF(B4039&lt;&gt;"",IF(AND(B4039&gt;=_TM1,B4039&lt;=_TM2,OR(TH!L4039="1111",TH!M4039="1111")),TH!D4039,""),"")</f>
        <v/>
      </c>
      <c r="B4039" s="36">
        <f t="shared" si="75"/>
        <v>3</v>
      </c>
      <c r="C4039" s="183">
        <f t="shared" si="76"/>
        <v>42094</v>
      </c>
      <c r="D4039" s="190" t="s">
        <v>2015</v>
      </c>
      <c r="E4039" s="190">
        <v>42094</v>
      </c>
      <c r="F4039" s="191" t="s">
        <v>1654</v>
      </c>
      <c r="G4039" s="482" t="s">
        <v>564</v>
      </c>
      <c r="H4039" s="192" t="s">
        <v>2016</v>
      </c>
      <c r="I4039" s="255">
        <v>1646</v>
      </c>
      <c r="J4039" s="255">
        <v>827.59746487396205</v>
      </c>
      <c r="K4039" s="593">
        <f t="shared" si="77"/>
        <v>1362225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69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799"/>
    </row>
    <row r="4040" spans="1:27" s="210" customFormat="1" ht="15.75" customHeight="1">
      <c r="A4040" s="203" t="str">
        <f>IF(B4040&lt;&gt;"",IF(AND(B4040&gt;=_TM1,B4040&lt;=_TM2,OR(TH!L4040="1111",TH!M4040="1111")),TH!D4040,""),"")</f>
        <v/>
      </c>
      <c r="B4040" s="36">
        <f t="shared" si="75"/>
        <v>3</v>
      </c>
      <c r="C4040" s="183">
        <f t="shared" si="76"/>
        <v>42094</v>
      </c>
      <c r="D4040" s="190" t="s">
        <v>2015</v>
      </c>
      <c r="E4040" s="190">
        <v>42094</v>
      </c>
      <c r="F4040" s="191" t="s">
        <v>454</v>
      </c>
      <c r="G4040" s="482" t="s">
        <v>565</v>
      </c>
      <c r="H4040" s="192" t="s">
        <v>2016</v>
      </c>
      <c r="I4040" s="255">
        <v>102</v>
      </c>
      <c r="J4040" s="255">
        <v>60000.81620336225</v>
      </c>
      <c r="K4040" s="593">
        <f t="shared" si="77"/>
        <v>6120083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69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799"/>
    </row>
    <row r="4041" spans="1:27" s="210" customFormat="1" ht="15.75" customHeight="1">
      <c r="A4041" s="203" t="str">
        <f>IF(B4041&lt;&gt;"",IF(AND(B4041&gt;=_TM1,B4041&lt;=_TM2,OR(TH!L4041="1111",TH!M4041="1111")),TH!D4041,""),"")</f>
        <v/>
      </c>
      <c r="B4041" s="36">
        <f t="shared" si="75"/>
        <v>3</v>
      </c>
      <c r="C4041" s="183">
        <f t="shared" si="76"/>
        <v>42094</v>
      </c>
      <c r="D4041" s="190" t="s">
        <v>2015</v>
      </c>
      <c r="E4041" s="190">
        <v>42094</v>
      </c>
      <c r="F4041" s="191" t="s">
        <v>566</v>
      </c>
      <c r="G4041" s="482" t="s">
        <v>565</v>
      </c>
      <c r="H4041" s="192" t="s">
        <v>2016</v>
      </c>
      <c r="I4041" s="255">
        <v>25</v>
      </c>
      <c r="J4041" s="255">
        <v>34510.814285244218</v>
      </c>
      <c r="K4041" s="593">
        <f t="shared" si="77"/>
        <v>862770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69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799"/>
    </row>
    <row r="4042" spans="1:27" s="210" customFormat="1" ht="15.75" customHeight="1">
      <c r="A4042" s="203" t="str">
        <f>IF(B4042&lt;&gt;"",IF(AND(B4042&gt;=_TM1,B4042&lt;=_TM2,OR(TH!L4042="1111",TH!M4042="1111")),TH!D4042,""),"")</f>
        <v/>
      </c>
      <c r="B4042" s="36">
        <f t="shared" si="75"/>
        <v>3</v>
      </c>
      <c r="C4042" s="183">
        <f t="shared" si="76"/>
        <v>42094</v>
      </c>
      <c r="D4042" s="190" t="s">
        <v>2015</v>
      </c>
      <c r="E4042" s="190">
        <v>42094</v>
      </c>
      <c r="F4042" s="191" t="s">
        <v>567</v>
      </c>
      <c r="G4042" s="482" t="s">
        <v>565</v>
      </c>
      <c r="H4042" s="192" t="s">
        <v>2016</v>
      </c>
      <c r="I4042" s="255">
        <v>11</v>
      </c>
      <c r="J4042" s="255">
        <v>42290.230455059464</v>
      </c>
      <c r="K4042" s="593">
        <f t="shared" si="77"/>
        <v>465193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69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799"/>
    </row>
    <row r="4043" spans="1:27" s="210" customFormat="1" ht="15.75" customHeight="1">
      <c r="A4043" s="203" t="str">
        <f>IF(B4043&lt;&gt;"",IF(AND(B4043&gt;=_TM1,B4043&lt;=_TM2,OR(TH!L4043="1111",TH!M4043="1111")),TH!D4043,""),"")</f>
        <v/>
      </c>
      <c r="B4043" s="36">
        <f t="shared" si="75"/>
        <v>3</v>
      </c>
      <c r="C4043" s="183">
        <f t="shared" si="76"/>
        <v>42094</v>
      </c>
      <c r="D4043" s="190" t="s">
        <v>2015</v>
      </c>
      <c r="E4043" s="190">
        <v>42094</v>
      </c>
      <c r="F4043" s="191" t="s">
        <v>568</v>
      </c>
      <c r="G4043" s="482" t="s">
        <v>565</v>
      </c>
      <c r="H4043" s="192" t="s">
        <v>2016</v>
      </c>
      <c r="I4043" s="255">
        <v>13</v>
      </c>
      <c r="J4043" s="255">
        <v>34428.05453875682</v>
      </c>
      <c r="K4043" s="593">
        <f t="shared" si="77"/>
        <v>447565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69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799"/>
    </row>
    <row r="4044" spans="1:27" s="210" customFormat="1" ht="15.75" customHeight="1">
      <c r="A4044" s="203" t="str">
        <f>IF(B4044&lt;&gt;"",IF(AND(B4044&gt;=_TM1,B4044&lt;=_TM2,OR(TH!L4044="1111",TH!M4044="1111")),TH!D4044,""),"")</f>
        <v/>
      </c>
      <c r="B4044" s="36">
        <f t="shared" si="75"/>
        <v>3</v>
      </c>
      <c r="C4044" s="183">
        <f t="shared" si="76"/>
        <v>42094</v>
      </c>
      <c r="D4044" s="190" t="s">
        <v>2015</v>
      </c>
      <c r="E4044" s="190">
        <v>42094</v>
      </c>
      <c r="F4044" s="191" t="s">
        <v>569</v>
      </c>
      <c r="G4044" s="482" t="s">
        <v>565</v>
      </c>
      <c r="H4044" s="192" t="s">
        <v>2016</v>
      </c>
      <c r="I4044" s="255">
        <v>19</v>
      </c>
      <c r="J4044" s="255">
        <v>66869.875161816133</v>
      </c>
      <c r="K4044" s="593">
        <f t="shared" si="77"/>
        <v>1270528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69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799"/>
    </row>
    <row r="4045" spans="1:27" s="210" customFormat="1" ht="15.75" customHeight="1">
      <c r="A4045" s="203" t="str">
        <f>IF(B4045&lt;&gt;"",IF(AND(B4045&gt;=_TM1,B4045&lt;=_TM2,OR(TH!L4045="1111",TH!M4045="1111")),TH!D4045,""),"")</f>
        <v/>
      </c>
      <c r="B4045" s="36">
        <f t="shared" si="75"/>
        <v>3</v>
      </c>
      <c r="C4045" s="183">
        <f t="shared" si="76"/>
        <v>42094</v>
      </c>
      <c r="D4045" s="190" t="s">
        <v>2015</v>
      </c>
      <c r="E4045" s="190">
        <v>42094</v>
      </c>
      <c r="F4045" s="191" t="s">
        <v>570</v>
      </c>
      <c r="G4045" s="482" t="s">
        <v>565</v>
      </c>
      <c r="H4045" s="192" t="s">
        <v>2016</v>
      </c>
      <c r="I4045" s="255">
        <v>60</v>
      </c>
      <c r="J4045" s="255">
        <v>71173.381979160738</v>
      </c>
      <c r="K4045" s="593">
        <f t="shared" si="77"/>
        <v>4270403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69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799"/>
    </row>
    <row r="4046" spans="1:27" s="210" customFormat="1" ht="15.75" customHeight="1">
      <c r="A4046" s="203" t="str">
        <f>IF(B4046&lt;&gt;"",IF(AND(B4046&gt;=_TM1,B4046&lt;=_TM2,OR(TH!L4046="1111",TH!M4046="1111")),TH!D4046,""),"")</f>
        <v/>
      </c>
      <c r="B4046" s="36">
        <f t="shared" si="75"/>
        <v>3</v>
      </c>
      <c r="C4046" s="183">
        <f t="shared" si="76"/>
        <v>42094</v>
      </c>
      <c r="D4046" s="190" t="s">
        <v>2015</v>
      </c>
      <c r="E4046" s="190">
        <v>42094</v>
      </c>
      <c r="F4046" s="191" t="s">
        <v>571</v>
      </c>
      <c r="G4046" s="482" t="s">
        <v>572</v>
      </c>
      <c r="H4046" s="192" t="s">
        <v>2016</v>
      </c>
      <c r="I4046" s="255">
        <v>55</v>
      </c>
      <c r="J4046" s="255">
        <v>14979.514114218713</v>
      </c>
      <c r="K4046" s="593">
        <f t="shared" si="77"/>
        <v>823873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69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799"/>
    </row>
    <row r="4047" spans="1:27" s="210" customFormat="1" ht="15.75" customHeight="1">
      <c r="A4047" s="203" t="str">
        <f>IF(B4047&lt;&gt;"",IF(AND(B4047&gt;=_TM1,B4047&lt;=_TM2,OR(TH!L4047="1111",TH!M4047="1111")),TH!D4047,""),"")</f>
        <v/>
      </c>
      <c r="B4047" s="36">
        <f t="shared" si="75"/>
        <v>3</v>
      </c>
      <c r="C4047" s="183">
        <f t="shared" si="76"/>
        <v>42094</v>
      </c>
      <c r="D4047" s="190" t="s">
        <v>2015</v>
      </c>
      <c r="E4047" s="190">
        <v>42094</v>
      </c>
      <c r="F4047" s="191" t="s">
        <v>1697</v>
      </c>
      <c r="G4047" s="482" t="s">
        <v>573</v>
      </c>
      <c r="H4047" s="192" t="s">
        <v>2016</v>
      </c>
      <c r="I4047" s="255">
        <v>1950</v>
      </c>
      <c r="J4047" s="255">
        <v>10179.448817949733</v>
      </c>
      <c r="K4047" s="593">
        <f t="shared" si="77"/>
        <v>19849925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69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799"/>
    </row>
    <row r="4048" spans="1:27" s="836" customFormat="1" ht="15.75" customHeight="1">
      <c r="A4048" s="884" t="str">
        <f>IF(B4048&lt;&gt;"",IF(AND(B4048&gt;=_TM1,B4048&lt;=_TM2,OR(TH!L4048="1111",TH!M4048="1111")),TH!D4048,""),"")</f>
        <v/>
      </c>
      <c r="B4048" s="826">
        <f t="shared" si="75"/>
        <v>4</v>
      </c>
      <c r="C4048" s="827">
        <f t="shared" si="76"/>
        <v>42100</v>
      </c>
      <c r="D4048" s="828" t="s">
        <v>2015</v>
      </c>
      <c r="E4048" s="828">
        <v>42100</v>
      </c>
      <c r="F4048" s="829" t="s">
        <v>575</v>
      </c>
      <c r="G4048" s="830" t="s">
        <v>576</v>
      </c>
      <c r="H4048" s="838" t="s">
        <v>2016</v>
      </c>
      <c r="I4048" s="832">
        <v>194</v>
      </c>
      <c r="J4048" s="832">
        <v>5696.3231366206455</v>
      </c>
      <c r="K4048" s="833">
        <f t="shared" si="77"/>
        <v>1105087</v>
      </c>
      <c r="L4048" s="886" t="s">
        <v>172</v>
      </c>
      <c r="M4048" s="886" t="s">
        <v>167</v>
      </c>
      <c r="N4048" s="52" t="str">
        <f>IF(AND('331-CT'!$E$7=TH!H4048,OR(L4048="331",M4048="331")),"331",IF(AND(OR(L4048="131",M4048="131"),H4048='131-CT'!$E$7),"131",""))</f>
        <v/>
      </c>
      <c r="O4048" s="869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35"/>
    </row>
    <row r="4049" spans="1:27" s="210" customFormat="1" ht="15.75" customHeight="1">
      <c r="A4049" s="203" t="str">
        <f>IF(B4049&lt;&gt;"",IF(AND(B4049&gt;=_TM1,B4049&lt;=_TM2,OR(TH!L4049="1111",TH!M4049="1111")),TH!D4049,""),"")</f>
        <v/>
      </c>
      <c r="B4049" s="36">
        <f t="shared" si="75"/>
        <v>4</v>
      </c>
      <c r="C4049" s="183">
        <f t="shared" si="76"/>
        <v>42100</v>
      </c>
      <c r="D4049" s="190" t="s">
        <v>2015</v>
      </c>
      <c r="E4049" s="190">
        <v>42100</v>
      </c>
      <c r="F4049" s="191" t="s">
        <v>577</v>
      </c>
      <c r="G4049" s="482" t="s">
        <v>576</v>
      </c>
      <c r="H4049" s="192" t="s">
        <v>2016</v>
      </c>
      <c r="I4049" s="255">
        <v>8</v>
      </c>
      <c r="J4049" s="255">
        <v>6710.7368458818564</v>
      </c>
      <c r="K4049" s="593">
        <f t="shared" si="77"/>
        <v>53686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69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799"/>
    </row>
    <row r="4050" spans="1:27" s="210" customFormat="1" ht="15.75" customHeight="1">
      <c r="A4050" s="203" t="str">
        <f>IF(B4050&lt;&gt;"",IF(AND(B4050&gt;=_TM1,B4050&lt;=_TM2,OR(TH!L4050="1111",TH!M4050="1111")),TH!D4050,""),"")</f>
        <v/>
      </c>
      <c r="B4050" s="36">
        <f t="shared" si="75"/>
        <v>4</v>
      </c>
      <c r="C4050" s="183">
        <f t="shared" si="76"/>
        <v>42100</v>
      </c>
      <c r="D4050" s="190" t="s">
        <v>2015</v>
      </c>
      <c r="E4050" s="190">
        <v>42100</v>
      </c>
      <c r="F4050" s="191" t="s">
        <v>578</v>
      </c>
      <c r="G4050" s="482" t="s">
        <v>576</v>
      </c>
      <c r="H4050" s="192" t="s">
        <v>2016</v>
      </c>
      <c r="I4050" s="255">
        <v>10</v>
      </c>
      <c r="J4050" s="255">
        <v>7725.1505551430673</v>
      </c>
      <c r="K4050" s="593">
        <f t="shared" si="77"/>
        <v>77252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69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799"/>
    </row>
    <row r="4051" spans="1:27" s="210" customFormat="1" ht="15.75" customHeight="1">
      <c r="A4051" s="203" t="str">
        <f>IF(B4051&lt;&gt;"",IF(AND(B4051&gt;=_TM1,B4051&lt;=_TM2,OR(TH!L4051="1111",TH!M4051="1111")),TH!D4051,""),"")</f>
        <v/>
      </c>
      <c r="B4051" s="36">
        <f t="shared" si="75"/>
        <v>4</v>
      </c>
      <c r="C4051" s="183">
        <f t="shared" si="76"/>
        <v>42100</v>
      </c>
      <c r="D4051" s="190" t="s">
        <v>2015</v>
      </c>
      <c r="E4051" s="190">
        <v>42100</v>
      </c>
      <c r="F4051" s="191" t="s">
        <v>579</v>
      </c>
      <c r="G4051" s="482" t="s">
        <v>576</v>
      </c>
      <c r="H4051" s="192" t="s">
        <v>2016</v>
      </c>
      <c r="I4051" s="255">
        <v>12</v>
      </c>
      <c r="J4051" s="255">
        <v>12016.900863555884</v>
      </c>
      <c r="K4051" s="593">
        <f t="shared" si="77"/>
        <v>144203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69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799"/>
    </row>
    <row r="4052" spans="1:27" s="210" customFormat="1" ht="15.75" customHeight="1">
      <c r="A4052" s="203" t="str">
        <f>IF(B4052&lt;&gt;"",IF(AND(B4052&gt;=_TM1,B4052&lt;=_TM2,OR(TH!L4052="1111",TH!M4052="1111")),TH!D4052,""),"")</f>
        <v/>
      </c>
      <c r="B4052" s="36">
        <f t="shared" si="75"/>
        <v>4</v>
      </c>
      <c r="C4052" s="183">
        <f t="shared" si="76"/>
        <v>42100</v>
      </c>
      <c r="D4052" s="190" t="s">
        <v>2015</v>
      </c>
      <c r="E4052" s="190">
        <v>42100</v>
      </c>
      <c r="F4052" s="191" t="s">
        <v>580</v>
      </c>
      <c r="G4052" s="482" t="s">
        <v>576</v>
      </c>
      <c r="H4052" s="192" t="s">
        <v>2016</v>
      </c>
      <c r="I4052" s="255">
        <v>29</v>
      </c>
      <c r="J4052" s="255">
        <v>14201.791929656953</v>
      </c>
      <c r="K4052" s="593">
        <f t="shared" si="77"/>
        <v>411852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69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799"/>
    </row>
    <row r="4053" spans="1:27" s="210" customFormat="1" ht="15.75" customHeight="1">
      <c r="A4053" s="203" t="str">
        <f>IF(B4053&lt;&gt;"",IF(AND(B4053&gt;=_TM1,B4053&lt;=_TM2,OR(TH!L4053="1111",TH!M4053="1111")),TH!D4053,""),"")</f>
        <v/>
      </c>
      <c r="B4053" s="36">
        <f t="shared" si="75"/>
        <v>4</v>
      </c>
      <c r="C4053" s="183">
        <f t="shared" si="76"/>
        <v>42100</v>
      </c>
      <c r="D4053" s="190" t="s">
        <v>2015</v>
      </c>
      <c r="E4053" s="190">
        <v>42100</v>
      </c>
      <c r="F4053" s="191" t="s">
        <v>581</v>
      </c>
      <c r="G4053" s="482" t="s">
        <v>576</v>
      </c>
      <c r="H4053" s="192" t="s">
        <v>2016</v>
      </c>
      <c r="I4053" s="255">
        <v>12</v>
      </c>
      <c r="J4053" s="255">
        <v>12875.250925238446</v>
      </c>
      <c r="K4053" s="593">
        <f t="shared" si="77"/>
        <v>154503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69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799"/>
    </row>
    <row r="4054" spans="1:27" s="210" customFormat="1" ht="15.75" customHeight="1">
      <c r="A4054" s="203" t="str">
        <f>IF(B4054&lt;&gt;"",IF(AND(B4054&gt;=_TM1,B4054&lt;=_TM2,OR(TH!L4054="1111",TH!M4054="1111")),TH!D4054,""),"")</f>
        <v/>
      </c>
      <c r="B4054" s="36">
        <f t="shared" si="75"/>
        <v>4</v>
      </c>
      <c r="C4054" s="183">
        <f t="shared" si="76"/>
        <v>42100</v>
      </c>
      <c r="D4054" s="190" t="s">
        <v>2015</v>
      </c>
      <c r="E4054" s="190">
        <v>42100</v>
      </c>
      <c r="F4054" s="191" t="s">
        <v>1663</v>
      </c>
      <c r="G4054" s="482" t="s">
        <v>576</v>
      </c>
      <c r="H4054" s="192" t="s">
        <v>2016</v>
      </c>
      <c r="I4054" s="255">
        <v>424</v>
      </c>
      <c r="J4054" s="255">
        <v>312.12729515729569</v>
      </c>
      <c r="K4054" s="593">
        <f t="shared" si="77"/>
        <v>132342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69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799"/>
    </row>
    <row r="4055" spans="1:27" s="210" customFormat="1" ht="15.75" customHeight="1">
      <c r="A4055" s="203" t="str">
        <f>IF(B4055&lt;&gt;"",IF(AND(B4055&gt;=_TM1,B4055&lt;=_TM2,OR(TH!L4055="1111",TH!M4055="1111")),TH!D4055,""),"")</f>
        <v/>
      </c>
      <c r="B4055" s="36">
        <f t="shared" si="75"/>
        <v>4</v>
      </c>
      <c r="C4055" s="183">
        <f t="shared" si="76"/>
        <v>42100</v>
      </c>
      <c r="D4055" s="190" t="s">
        <v>2015</v>
      </c>
      <c r="E4055" s="190">
        <v>42100</v>
      </c>
      <c r="F4055" s="191" t="s">
        <v>1664</v>
      </c>
      <c r="G4055" s="482" t="s">
        <v>576</v>
      </c>
      <c r="H4055" s="192" t="s">
        <v>2016</v>
      </c>
      <c r="I4055" s="255">
        <v>106</v>
      </c>
      <c r="J4055" s="255">
        <v>624.25459031459138</v>
      </c>
      <c r="K4055" s="593">
        <f t="shared" si="77"/>
        <v>66171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69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799"/>
    </row>
    <row r="4056" spans="1:27" s="210" customFormat="1" ht="15.75" customHeight="1">
      <c r="A4056" s="203" t="str">
        <f>IF(B4056&lt;&gt;"",IF(AND(B4056&gt;=_TM1,B4056&lt;=_TM2,OR(TH!L4056="1111",TH!M4056="1111")),TH!D4056,""),"")</f>
        <v/>
      </c>
      <c r="B4056" s="36">
        <f t="shared" si="75"/>
        <v>4</v>
      </c>
      <c r="C4056" s="183">
        <f t="shared" si="76"/>
        <v>42100</v>
      </c>
      <c r="D4056" s="190" t="s">
        <v>2015</v>
      </c>
      <c r="E4056" s="190">
        <v>42100</v>
      </c>
      <c r="F4056" s="191" t="s">
        <v>413</v>
      </c>
      <c r="G4056" s="482" t="s">
        <v>582</v>
      </c>
      <c r="H4056" s="192" t="s">
        <v>2016</v>
      </c>
      <c r="I4056" s="255">
        <v>300</v>
      </c>
      <c r="J4056" s="255">
        <v>7413.0232599857718</v>
      </c>
      <c r="K4056" s="593">
        <f t="shared" si="77"/>
        <v>2223907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69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799"/>
    </row>
    <row r="4057" spans="1:27" s="210" customFormat="1" ht="15.75" customHeight="1">
      <c r="A4057" s="203" t="str">
        <f>IF(B4057&lt;&gt;"",IF(AND(B4057&gt;=_TM1,B4057&lt;=_TM2,OR(TH!L4057="1111",TH!M4057="1111")),TH!D4057,""),"")</f>
        <v/>
      </c>
      <c r="B4057" s="36">
        <f t="shared" si="75"/>
        <v>4</v>
      </c>
      <c r="C4057" s="183">
        <f t="shared" si="76"/>
        <v>42100</v>
      </c>
      <c r="D4057" s="190" t="s">
        <v>2015</v>
      </c>
      <c r="E4057" s="190">
        <v>42100</v>
      </c>
      <c r="F4057" s="191" t="s">
        <v>413</v>
      </c>
      <c r="G4057" s="482" t="s">
        <v>582</v>
      </c>
      <c r="H4057" s="192" t="s">
        <v>2016</v>
      </c>
      <c r="I4057" s="255">
        <v>302</v>
      </c>
      <c r="J4057" s="255">
        <v>7413.0232599857718</v>
      </c>
      <c r="K4057" s="593">
        <f t="shared" si="77"/>
        <v>2238733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69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799"/>
    </row>
    <row r="4058" spans="1:27" s="210" customFormat="1" ht="15.75" customHeight="1">
      <c r="A4058" s="203" t="str">
        <f>IF(B4058&lt;&gt;"",IF(AND(B4058&gt;=_TM1,B4058&lt;=_TM2,OR(TH!L4058="1111",TH!M4058="1111")),TH!D4058,""),"")</f>
        <v/>
      </c>
      <c r="B4058" s="36">
        <f t="shared" si="75"/>
        <v>4</v>
      </c>
      <c r="C4058" s="183">
        <f t="shared" si="76"/>
        <v>42100</v>
      </c>
      <c r="D4058" s="190" t="s">
        <v>2015</v>
      </c>
      <c r="E4058" s="190">
        <v>42100</v>
      </c>
      <c r="F4058" s="191" t="s">
        <v>519</v>
      </c>
      <c r="G4058" s="482" t="s">
        <v>583</v>
      </c>
      <c r="H4058" s="192" t="s">
        <v>2016</v>
      </c>
      <c r="I4058" s="255">
        <v>103</v>
      </c>
      <c r="J4058" s="255">
        <v>8739.56426440428</v>
      </c>
      <c r="K4058" s="593">
        <f t="shared" si="77"/>
        <v>900175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69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799"/>
    </row>
    <row r="4059" spans="1:27" s="210" customFormat="1" ht="15.75" customHeight="1">
      <c r="A4059" s="203" t="str">
        <f>IF(B4059&lt;&gt;"",IF(AND(B4059&gt;=_TM1,B4059&lt;=_TM2,OR(TH!L4059="1111",TH!M4059="1111")),TH!D4059,""),"")</f>
        <v/>
      </c>
      <c r="B4059" s="36">
        <f t="shared" si="75"/>
        <v>4</v>
      </c>
      <c r="C4059" s="183">
        <f t="shared" si="76"/>
        <v>42100</v>
      </c>
      <c r="D4059" s="190" t="s">
        <v>2015</v>
      </c>
      <c r="E4059" s="190">
        <v>42100</v>
      </c>
      <c r="F4059" s="191" t="s">
        <v>518</v>
      </c>
      <c r="G4059" s="482" t="s">
        <v>583</v>
      </c>
      <c r="H4059" s="192" t="s">
        <v>2016</v>
      </c>
      <c r="I4059" s="255">
        <v>206</v>
      </c>
      <c r="J4059" s="255">
        <v>8115.3096740896872</v>
      </c>
      <c r="K4059" s="593">
        <f t="shared" si="77"/>
        <v>1671754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69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799"/>
    </row>
    <row r="4060" spans="1:27" s="210" customFormat="1" ht="15.75" customHeight="1">
      <c r="A4060" s="203" t="str">
        <f>IF(B4060&lt;&gt;"",IF(AND(B4060&gt;=_TM1,B4060&lt;=_TM2,OR(TH!L4060="1111",TH!M4060="1111")),TH!D4060,""),"")</f>
        <v/>
      </c>
      <c r="B4060" s="36">
        <f t="shared" si="75"/>
        <v>4</v>
      </c>
      <c r="C4060" s="183">
        <f t="shared" si="76"/>
        <v>42100</v>
      </c>
      <c r="D4060" s="190" t="s">
        <v>2015</v>
      </c>
      <c r="E4060" s="190">
        <v>42100</v>
      </c>
      <c r="F4060" s="191" t="s">
        <v>516</v>
      </c>
      <c r="G4060" s="482" t="s">
        <v>583</v>
      </c>
      <c r="H4060" s="192" t="s">
        <v>2016</v>
      </c>
      <c r="I4060" s="255">
        <v>102</v>
      </c>
      <c r="J4060" s="255">
        <v>7491.0550837750961</v>
      </c>
      <c r="K4060" s="593">
        <f t="shared" si="77"/>
        <v>764088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69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799"/>
    </row>
    <row r="4061" spans="1:27" s="210" customFormat="1" ht="15.75" customHeight="1">
      <c r="A4061" s="203" t="str">
        <f>IF(B4061&lt;&gt;"",IF(AND(B4061&gt;=_TM1,B4061&lt;=_TM2,OR(TH!L4061="1111",TH!M4061="1111")),TH!D4061,""),"")</f>
        <v/>
      </c>
      <c r="B4061" s="36">
        <f t="shared" si="75"/>
        <v>4</v>
      </c>
      <c r="C4061" s="183">
        <f t="shared" si="76"/>
        <v>42100</v>
      </c>
      <c r="D4061" s="190" t="s">
        <v>2015</v>
      </c>
      <c r="E4061" s="190">
        <v>42100</v>
      </c>
      <c r="F4061" s="191" t="s">
        <v>1661</v>
      </c>
      <c r="G4061" s="482" t="s">
        <v>583</v>
      </c>
      <c r="H4061" s="192" t="s">
        <v>2016</v>
      </c>
      <c r="I4061" s="255">
        <v>800</v>
      </c>
      <c r="J4061" s="255">
        <v>468.19094273594351</v>
      </c>
      <c r="K4061" s="593">
        <f t="shared" si="77"/>
        <v>374553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69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799"/>
    </row>
    <row r="4062" spans="1:27" s="210" customFormat="1" ht="15.75" customHeight="1">
      <c r="A4062" s="203" t="str">
        <f>IF(B4062&lt;&gt;"",IF(AND(B4062&gt;=_TM1,B4062&lt;=_TM2,OR(TH!L4062="1111",TH!M4062="1111")),TH!D4062,""),"")</f>
        <v/>
      </c>
      <c r="B4062" s="36">
        <f t="shared" si="75"/>
        <v>4</v>
      </c>
      <c r="C4062" s="183">
        <f t="shared" si="76"/>
        <v>42101</v>
      </c>
      <c r="D4062" s="190" t="s">
        <v>2015</v>
      </c>
      <c r="E4062" s="190">
        <v>42101</v>
      </c>
      <c r="F4062" s="191" t="s">
        <v>1698</v>
      </c>
      <c r="G4062" s="482" t="s">
        <v>591</v>
      </c>
      <c r="H4062" s="192" t="s">
        <v>2016</v>
      </c>
      <c r="I4062" s="255">
        <v>170</v>
      </c>
      <c r="J4062" s="255">
        <v>14982.110167550192</v>
      </c>
      <c r="K4062" s="593">
        <f t="shared" si="77"/>
        <v>2546959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69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799"/>
    </row>
    <row r="4063" spans="1:27" s="210" customFormat="1" ht="15.75" customHeight="1">
      <c r="A4063" s="203" t="str">
        <f>IF(B4063&lt;&gt;"",IF(AND(B4063&gt;=_TM1,B4063&lt;=_TM2,OR(TH!L4063="1111",TH!M4063="1111")),TH!D4063,""),"")</f>
        <v/>
      </c>
      <c r="B4063" s="36">
        <f t="shared" si="75"/>
        <v>4</v>
      </c>
      <c r="C4063" s="183">
        <f t="shared" si="76"/>
        <v>42101</v>
      </c>
      <c r="D4063" s="190" t="s">
        <v>2015</v>
      </c>
      <c r="E4063" s="190">
        <v>42101</v>
      </c>
      <c r="F4063" s="191" t="s">
        <v>1699</v>
      </c>
      <c r="G4063" s="482" t="s">
        <v>591</v>
      </c>
      <c r="H4063" s="192" t="s">
        <v>2016</v>
      </c>
      <c r="I4063" s="255">
        <v>570</v>
      </c>
      <c r="J4063" s="255">
        <v>13421.473691763713</v>
      </c>
      <c r="K4063" s="593">
        <f t="shared" si="77"/>
        <v>7650240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69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799"/>
    </row>
    <row r="4064" spans="1:27" s="210" customFormat="1" ht="15.75" customHeight="1">
      <c r="A4064" s="203" t="str">
        <f>IF(B4064&lt;&gt;"",IF(AND(B4064&gt;=_TM1,B4064&lt;=_TM2,OR(TH!L4064="1111",TH!M4064="1111")),TH!D4064,""),"")</f>
        <v/>
      </c>
      <c r="B4064" s="36">
        <f t="shared" si="75"/>
        <v>4</v>
      </c>
      <c r="C4064" s="183">
        <f t="shared" si="76"/>
        <v>42101</v>
      </c>
      <c r="D4064" s="190" t="s">
        <v>2015</v>
      </c>
      <c r="E4064" s="190">
        <v>42101</v>
      </c>
      <c r="F4064" s="191" t="s">
        <v>1700</v>
      </c>
      <c r="G4064" s="482" t="s">
        <v>591</v>
      </c>
      <c r="H4064" s="192" t="s">
        <v>2016</v>
      </c>
      <c r="I4064" s="255">
        <v>25</v>
      </c>
      <c r="J4064" s="255">
        <v>13967.696458288981</v>
      </c>
      <c r="K4064" s="593">
        <f t="shared" si="77"/>
        <v>349192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69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799"/>
    </row>
    <row r="4065" spans="1:27" s="210" customFormat="1" ht="15.75" customHeight="1">
      <c r="A4065" s="203" t="str">
        <f>IF(B4065&lt;&gt;"",IF(AND(B4065&gt;=_TM1,B4065&lt;=_TM2,OR(TH!L4065="1111",TH!M4065="1111")),TH!D4065,""),"")</f>
        <v/>
      </c>
      <c r="B4065" s="36">
        <f t="shared" si="75"/>
        <v>4</v>
      </c>
      <c r="C4065" s="183">
        <f t="shared" si="76"/>
        <v>42101</v>
      </c>
      <c r="D4065" s="190" t="s">
        <v>2015</v>
      </c>
      <c r="E4065" s="190">
        <v>42101</v>
      </c>
      <c r="F4065" s="191" t="s">
        <v>1701</v>
      </c>
      <c r="G4065" s="482" t="s">
        <v>591</v>
      </c>
      <c r="H4065" s="192" t="s">
        <v>2016</v>
      </c>
      <c r="I4065" s="255">
        <v>330</v>
      </c>
      <c r="J4065" s="255">
        <v>13031.314572817093</v>
      </c>
      <c r="K4065" s="593">
        <f t="shared" si="77"/>
        <v>4300334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69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799"/>
    </row>
    <row r="4066" spans="1:27" s="210" customFormat="1" ht="15.75" customHeight="1">
      <c r="A4066" s="203" t="str">
        <f>IF(B4066&lt;&gt;"",IF(AND(B4066&gt;=_TM1,B4066&lt;=_TM2,OR(TH!L4066="1111",TH!M4066="1111")),TH!D4066,""),"")</f>
        <v/>
      </c>
      <c r="B4066" s="36">
        <f t="shared" si="75"/>
        <v>4</v>
      </c>
      <c r="C4066" s="183">
        <f t="shared" si="76"/>
        <v>42101</v>
      </c>
      <c r="D4066" s="190" t="s">
        <v>2015</v>
      </c>
      <c r="E4066" s="190">
        <v>42101</v>
      </c>
      <c r="F4066" s="191" t="s">
        <v>1702</v>
      </c>
      <c r="G4066" s="482" t="s">
        <v>591</v>
      </c>
      <c r="H4066" s="192" t="s">
        <v>2016</v>
      </c>
      <c r="I4066" s="255">
        <v>500</v>
      </c>
      <c r="J4066" s="255">
        <v>9675.9461498761648</v>
      </c>
      <c r="K4066" s="593">
        <f t="shared" si="77"/>
        <v>4837973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69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799"/>
    </row>
    <row r="4067" spans="1:27" s="210" customFormat="1" ht="15.75" customHeight="1">
      <c r="A4067" s="203" t="str">
        <f>IF(B4067&lt;&gt;"",IF(AND(B4067&gt;=_TM1,B4067&lt;=_TM2,OR(TH!L4067="1111",TH!M4067="1111")),TH!D4067,""),"")</f>
        <v/>
      </c>
      <c r="B4067" s="36">
        <f t="shared" si="75"/>
        <v>4</v>
      </c>
      <c r="C4067" s="183">
        <f t="shared" si="76"/>
        <v>42101</v>
      </c>
      <c r="D4067" s="190" t="s">
        <v>2015</v>
      </c>
      <c r="E4067" s="190">
        <v>42101</v>
      </c>
      <c r="F4067" s="191" t="s">
        <v>491</v>
      </c>
      <c r="G4067" s="482" t="s">
        <v>584</v>
      </c>
      <c r="H4067" s="192" t="s">
        <v>2016</v>
      </c>
      <c r="I4067" s="255">
        <v>820</v>
      </c>
      <c r="J4067" s="255">
        <v>9051.6915595615737</v>
      </c>
      <c r="K4067" s="593">
        <f t="shared" si="77"/>
        <v>7422387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69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799"/>
    </row>
    <row r="4068" spans="1:27" s="210" customFormat="1" ht="15.75" customHeight="1">
      <c r="A4068" s="203" t="str">
        <f>IF(B4068&lt;&gt;"",IF(AND(B4068&gt;=_TM1,B4068&lt;=_TM2,OR(TH!L4068="1111",TH!M4068="1111")),TH!D4068,""),"")</f>
        <v/>
      </c>
      <c r="B4068" s="36">
        <f t="shared" si="75"/>
        <v>4</v>
      </c>
      <c r="C4068" s="183">
        <f t="shared" si="76"/>
        <v>42101</v>
      </c>
      <c r="D4068" s="190" t="s">
        <v>2015</v>
      </c>
      <c r="E4068" s="190">
        <v>42101</v>
      </c>
      <c r="F4068" s="191" t="s">
        <v>585</v>
      </c>
      <c r="G4068" s="482" t="s">
        <v>584</v>
      </c>
      <c r="H4068" s="192" t="s">
        <v>2016</v>
      </c>
      <c r="I4068" s="255">
        <v>505</v>
      </c>
      <c r="J4068" s="255">
        <v>10768.3916829267</v>
      </c>
      <c r="K4068" s="593">
        <f t="shared" si="77"/>
        <v>5438038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69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799"/>
    </row>
    <row r="4069" spans="1:27" s="210" customFormat="1" ht="15.75" customHeight="1">
      <c r="A4069" s="203" t="str">
        <f>IF(B4069&lt;&gt;"",IF(AND(B4069&gt;=_TM1,B4069&lt;=_TM2,OR(TH!L4069="1111",TH!M4069="1111")),TH!D4069,""),"")</f>
        <v/>
      </c>
      <c r="B4069" s="36">
        <f t="shared" si="75"/>
        <v>4</v>
      </c>
      <c r="C4069" s="183">
        <f t="shared" si="76"/>
        <v>42101</v>
      </c>
      <c r="D4069" s="190" t="s">
        <v>2015</v>
      </c>
      <c r="E4069" s="190">
        <v>42101</v>
      </c>
      <c r="F4069" s="191" t="s">
        <v>586</v>
      </c>
      <c r="G4069" s="482" t="s">
        <v>584</v>
      </c>
      <c r="H4069" s="192" t="s">
        <v>2016</v>
      </c>
      <c r="I4069" s="255">
        <v>270</v>
      </c>
      <c r="J4069" s="255">
        <v>10066.105268822785</v>
      </c>
      <c r="K4069" s="593">
        <f t="shared" si="77"/>
        <v>2717848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69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799"/>
    </row>
    <row r="4070" spans="1:27" s="210" customFormat="1" ht="15.75" customHeight="1">
      <c r="A4070" s="203" t="str">
        <f>IF(B4070&lt;&gt;"",IF(AND(B4070&gt;=_TM1,B4070&lt;=_TM2,OR(TH!L4070="1111",TH!M4070="1111")),TH!D4070,""),"")</f>
        <v/>
      </c>
      <c r="B4070" s="36">
        <f t="shared" si="75"/>
        <v>4</v>
      </c>
      <c r="C4070" s="183">
        <f t="shared" si="76"/>
        <v>42101</v>
      </c>
      <c r="D4070" s="190" t="s">
        <v>2015</v>
      </c>
      <c r="E4070" s="190">
        <v>42101</v>
      </c>
      <c r="F4070" s="191" t="s">
        <v>587</v>
      </c>
      <c r="G4070" s="482" t="s">
        <v>584</v>
      </c>
      <c r="H4070" s="192" t="s">
        <v>2016</v>
      </c>
      <c r="I4070" s="255">
        <v>150</v>
      </c>
      <c r="J4070" s="255">
        <v>6164.5140793565897</v>
      </c>
      <c r="K4070" s="593">
        <f t="shared" si="77"/>
        <v>924677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69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799"/>
    </row>
    <row r="4071" spans="1:27" s="210" customFormat="1" ht="15.75" customHeight="1">
      <c r="A4071" s="203" t="str">
        <f>IF(B4071&lt;&gt;"",IF(AND(B4071&gt;=_TM1,B4071&lt;=_TM2,OR(TH!L4071="1111",TH!M4071="1111")),TH!D4071,""),"")</f>
        <v/>
      </c>
      <c r="B4071" s="36">
        <f t="shared" si="75"/>
        <v>4</v>
      </c>
      <c r="C4071" s="183">
        <f t="shared" si="76"/>
        <v>42101</v>
      </c>
      <c r="D4071" s="190" t="s">
        <v>2015</v>
      </c>
      <c r="E4071" s="190">
        <v>42101</v>
      </c>
      <c r="F4071" s="191" t="s">
        <v>588</v>
      </c>
      <c r="G4071" s="482" t="s">
        <v>584</v>
      </c>
      <c r="H4071" s="192" t="s">
        <v>2016</v>
      </c>
      <c r="I4071" s="255">
        <v>990</v>
      </c>
      <c r="J4071" s="255">
        <v>7725.1505551430673</v>
      </c>
      <c r="K4071" s="593">
        <f t="shared" si="77"/>
        <v>7647899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69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799"/>
    </row>
    <row r="4072" spans="1:27" s="210" customFormat="1" ht="15.75" customHeight="1">
      <c r="A4072" s="203" t="str">
        <f>IF(B4072&lt;&gt;"",IF(AND(B4072&gt;=_TM1,B4072&lt;=_TM2,OR(TH!L4072="1111",TH!M4072="1111")),TH!D4072,""),"")</f>
        <v/>
      </c>
      <c r="B4072" s="36">
        <f t="shared" si="75"/>
        <v>4</v>
      </c>
      <c r="C4072" s="183">
        <f t="shared" si="76"/>
        <v>42101</v>
      </c>
      <c r="D4072" s="190" t="s">
        <v>2015</v>
      </c>
      <c r="E4072" s="190">
        <v>42101</v>
      </c>
      <c r="F4072" s="191" t="s">
        <v>589</v>
      </c>
      <c r="G4072" s="482" t="s">
        <v>584</v>
      </c>
      <c r="H4072" s="192" t="s">
        <v>2016</v>
      </c>
      <c r="I4072" s="255">
        <v>620</v>
      </c>
      <c r="J4072" s="255">
        <v>8817.5960881936026</v>
      </c>
      <c r="K4072" s="593">
        <f t="shared" si="77"/>
        <v>5466910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69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799"/>
    </row>
    <row r="4073" spans="1:27" s="210" customFormat="1" ht="15.75" customHeight="1">
      <c r="A4073" s="203" t="str">
        <f>IF(B4073&lt;&gt;"",IF(AND(B4073&gt;=_TM1,B4073&lt;=_TM2,OR(TH!L4073="1111",TH!M4073="1111")),TH!D4073,""),"")</f>
        <v/>
      </c>
      <c r="B4073" s="36">
        <f t="shared" si="75"/>
        <v>4</v>
      </c>
      <c r="C4073" s="183">
        <f t="shared" si="76"/>
        <v>42101</v>
      </c>
      <c r="D4073" s="190" t="s">
        <v>2015</v>
      </c>
      <c r="E4073" s="190">
        <v>42101</v>
      </c>
      <c r="F4073" s="191" t="s">
        <v>590</v>
      </c>
      <c r="G4073" s="482" t="s">
        <v>584</v>
      </c>
      <c r="H4073" s="192" t="s">
        <v>2016</v>
      </c>
      <c r="I4073" s="255">
        <v>105</v>
      </c>
      <c r="J4073" s="255">
        <v>9988.0734450334621</v>
      </c>
      <c r="K4073" s="593">
        <f t="shared" si="77"/>
        <v>1048748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69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799"/>
    </row>
    <row r="4074" spans="1:27" s="210" customFormat="1" ht="15.75" customHeight="1">
      <c r="A4074" s="203" t="str">
        <f>IF(B4074&lt;&gt;"",IF(AND(B4074&gt;=_TM1,B4074&lt;=_TM2,OR(TH!L4074="1111",TH!M4074="1111")),TH!D4074,""),"")</f>
        <v/>
      </c>
      <c r="B4074" s="36">
        <f t="shared" si="75"/>
        <v>4</v>
      </c>
      <c r="C4074" s="183">
        <f t="shared" si="76"/>
        <v>42102</v>
      </c>
      <c r="D4074" s="190" t="s">
        <v>2015</v>
      </c>
      <c r="E4074" s="190">
        <v>42102</v>
      </c>
      <c r="F4074" s="191" t="s">
        <v>1703</v>
      </c>
      <c r="G4074" s="482" t="s">
        <v>592</v>
      </c>
      <c r="H4074" s="192" t="s">
        <v>2016</v>
      </c>
      <c r="I4074" s="255">
        <v>124</v>
      </c>
      <c r="J4074" s="255">
        <v>5540.2594890419978</v>
      </c>
      <c r="K4074" s="593">
        <f t="shared" si="77"/>
        <v>686992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69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799"/>
    </row>
    <row r="4075" spans="1:27" s="210" customFormat="1" ht="15.75" customHeight="1">
      <c r="A4075" s="203" t="str">
        <f>IF(B4075&lt;&gt;"",IF(AND(B4075&gt;=_TM1,B4075&lt;=_TM2,OR(TH!L4075="1111",TH!M4075="1111")),TH!D4075,""),"")</f>
        <v/>
      </c>
      <c r="B4075" s="36">
        <f t="shared" si="75"/>
        <v>4</v>
      </c>
      <c r="C4075" s="183">
        <f t="shared" si="76"/>
        <v>42102</v>
      </c>
      <c r="D4075" s="190" t="s">
        <v>2015</v>
      </c>
      <c r="E4075" s="190">
        <v>42102</v>
      </c>
      <c r="F4075" s="191" t="s">
        <v>741</v>
      </c>
      <c r="G4075" s="482" t="s">
        <v>592</v>
      </c>
      <c r="H4075" s="192" t="s">
        <v>2016</v>
      </c>
      <c r="I4075" s="255">
        <v>100</v>
      </c>
      <c r="J4075" s="255">
        <v>7725.1505551430673</v>
      </c>
      <c r="K4075" s="593">
        <f t="shared" si="77"/>
        <v>772515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69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799"/>
    </row>
    <row r="4076" spans="1:27" s="210" customFormat="1" ht="15.75" customHeight="1">
      <c r="A4076" s="203" t="str">
        <f>IF(B4076&lt;&gt;"",IF(AND(B4076&gt;=_TM1,B4076&lt;=_TM2,OR(TH!L4076="1111",TH!M4076="1111")),TH!D4076,""),"")</f>
        <v/>
      </c>
      <c r="B4076" s="36">
        <f t="shared" si="75"/>
        <v>4</v>
      </c>
      <c r="C4076" s="183">
        <f t="shared" si="76"/>
        <v>42102</v>
      </c>
      <c r="D4076" s="190" t="s">
        <v>2015</v>
      </c>
      <c r="E4076" s="190">
        <v>42102</v>
      </c>
      <c r="F4076" s="191" t="s">
        <v>692</v>
      </c>
      <c r="G4076" s="482" t="s">
        <v>592</v>
      </c>
      <c r="H4076" s="192" t="s">
        <v>2016</v>
      </c>
      <c r="I4076" s="255">
        <v>25</v>
      </c>
      <c r="J4076" s="255">
        <v>13967.696458288981</v>
      </c>
      <c r="K4076" s="593">
        <f t="shared" si="77"/>
        <v>349192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69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99"/>
    </row>
    <row r="4077" spans="1:27" s="210" customFormat="1" ht="15.75" customHeight="1">
      <c r="A4077" s="203" t="str">
        <f>IF(B4077&lt;&gt;"",IF(AND(B4077&gt;=_TM1,B4077&lt;=_TM2,OR(TH!L4077="1111",TH!M4077="1111")),TH!D4077,""),"")</f>
        <v/>
      </c>
      <c r="B4077" s="36">
        <f t="shared" si="75"/>
        <v>4</v>
      </c>
      <c r="C4077" s="183">
        <f t="shared" si="76"/>
        <v>42102</v>
      </c>
      <c r="D4077" s="190" t="s">
        <v>2015</v>
      </c>
      <c r="E4077" s="190">
        <v>42102</v>
      </c>
      <c r="F4077" s="191" t="s">
        <v>1704</v>
      </c>
      <c r="G4077" s="482" t="s">
        <v>592</v>
      </c>
      <c r="H4077" s="192" t="s">
        <v>2016</v>
      </c>
      <c r="I4077" s="255">
        <v>25</v>
      </c>
      <c r="J4077" s="255">
        <v>12953.282749027769</v>
      </c>
      <c r="K4077" s="593">
        <f t="shared" si="77"/>
        <v>323832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69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799"/>
    </row>
    <row r="4078" spans="1:27" s="210" customFormat="1" ht="15.75" customHeight="1">
      <c r="A4078" s="203" t="str">
        <f>IF(B4078&lt;&gt;"",IF(AND(B4078&gt;=_TM1,B4078&lt;=_TM2,OR(TH!L4078="1111",TH!M4078="1111")),TH!D4078,""),"")</f>
        <v/>
      </c>
      <c r="B4078" s="36">
        <f t="shared" si="75"/>
        <v>4</v>
      </c>
      <c r="C4078" s="183">
        <f t="shared" si="76"/>
        <v>42102</v>
      </c>
      <c r="D4078" s="190" t="s">
        <v>2015</v>
      </c>
      <c r="E4078" s="190">
        <v>42102</v>
      </c>
      <c r="F4078" s="191" t="s">
        <v>1705</v>
      </c>
      <c r="G4078" s="482" t="s">
        <v>592</v>
      </c>
      <c r="H4078" s="192" t="s">
        <v>2016</v>
      </c>
      <c r="I4078" s="255">
        <v>100</v>
      </c>
      <c r="J4078" s="255">
        <v>7100.8959648284763</v>
      </c>
      <c r="K4078" s="593">
        <f t="shared" si="77"/>
        <v>710090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69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799"/>
    </row>
    <row r="4079" spans="1:27" s="210" customFormat="1" ht="15.75" customHeight="1">
      <c r="A4079" s="203" t="str">
        <f>IF(B4079&lt;&gt;"",IF(AND(B4079&gt;=_TM1,B4079&lt;=_TM2,OR(TH!L4079="1111",TH!M4079="1111")),TH!D4079,""),"")</f>
        <v/>
      </c>
      <c r="B4079" s="36">
        <f t="shared" si="75"/>
        <v>4</v>
      </c>
      <c r="C4079" s="183">
        <f t="shared" si="76"/>
        <v>42102</v>
      </c>
      <c r="D4079" s="190" t="s">
        <v>2015</v>
      </c>
      <c r="E4079" s="190">
        <v>42102</v>
      </c>
      <c r="F4079" s="191" t="s">
        <v>1698</v>
      </c>
      <c r="G4079" s="482" t="s">
        <v>592</v>
      </c>
      <c r="H4079" s="192" t="s">
        <v>2016</v>
      </c>
      <c r="I4079" s="255">
        <v>553</v>
      </c>
      <c r="J4079" s="255">
        <v>14982.110167550192</v>
      </c>
      <c r="K4079" s="593">
        <f t="shared" si="77"/>
        <v>8285107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69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799"/>
    </row>
    <row r="4080" spans="1:27" s="210" customFormat="1" ht="15.75" customHeight="1">
      <c r="A4080" s="203" t="str">
        <f>IF(B4080&lt;&gt;"",IF(AND(B4080&gt;=_TM1,B4080&lt;=_TM2,OR(TH!L4080="1111",TH!M4080="1111")),TH!D4080,""),"")</f>
        <v/>
      </c>
      <c r="B4080" s="36">
        <f t="shared" si="75"/>
        <v>4</v>
      </c>
      <c r="C4080" s="183">
        <f t="shared" si="76"/>
        <v>42104</v>
      </c>
      <c r="D4080" s="190" t="s">
        <v>2015</v>
      </c>
      <c r="E4080" s="190">
        <v>42104</v>
      </c>
      <c r="F4080" s="191" t="s">
        <v>1843</v>
      </c>
      <c r="G4080" s="482" t="s">
        <v>593</v>
      </c>
      <c r="H4080" s="192" t="s">
        <v>2016</v>
      </c>
      <c r="I4080" s="255">
        <v>200</v>
      </c>
      <c r="J4080" s="255">
        <v>7334.9914361964475</v>
      </c>
      <c r="K4080" s="593">
        <f t="shared" si="77"/>
        <v>1466998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69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799"/>
    </row>
    <row r="4081" spans="1:27" s="210" customFormat="1" ht="15.75" customHeight="1">
      <c r="A4081" s="203" t="str">
        <f>IF(B4081&lt;&gt;"",IF(AND(B4081&gt;=_TM1,B4081&lt;=_TM2,OR(TH!L4081="1111",TH!M4081="1111")),TH!D4081,""),"")</f>
        <v/>
      </c>
      <c r="B4081" s="36">
        <f t="shared" si="75"/>
        <v>4</v>
      </c>
      <c r="C4081" s="183">
        <f t="shared" si="76"/>
        <v>42104</v>
      </c>
      <c r="D4081" s="190" t="s">
        <v>2015</v>
      </c>
      <c r="E4081" s="190">
        <v>42104</v>
      </c>
      <c r="F4081" s="191" t="s">
        <v>1786</v>
      </c>
      <c r="G4081" s="482" t="s">
        <v>593</v>
      </c>
      <c r="H4081" s="192" t="s">
        <v>2016</v>
      </c>
      <c r="I4081" s="255">
        <v>50</v>
      </c>
      <c r="J4081" s="255">
        <v>20834.496951749486</v>
      </c>
      <c r="K4081" s="593">
        <f t="shared" si="77"/>
        <v>1041725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69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799"/>
    </row>
    <row r="4082" spans="1:27" s="210" customFormat="1" ht="15.75" customHeight="1">
      <c r="A4082" s="203" t="str">
        <f>IF(B4082&lt;&gt;"",IF(AND(B4082&gt;=_TM1,B4082&lt;=_TM2,OR(TH!L4082="1111",TH!M4082="1111")),TH!D4082,""),"")</f>
        <v/>
      </c>
      <c r="B4082" s="36">
        <f t="shared" si="75"/>
        <v>4</v>
      </c>
      <c r="C4082" s="183">
        <f t="shared" si="76"/>
        <v>42104</v>
      </c>
      <c r="D4082" s="190" t="s">
        <v>2015</v>
      </c>
      <c r="E4082" s="190">
        <v>42104</v>
      </c>
      <c r="F4082" s="191" t="s">
        <v>1844</v>
      </c>
      <c r="G4082" s="482" t="s">
        <v>593</v>
      </c>
      <c r="H4082" s="192" t="s">
        <v>2016</v>
      </c>
      <c r="I4082" s="255">
        <v>53</v>
      </c>
      <c r="J4082" s="255">
        <v>19507.955947330978</v>
      </c>
      <c r="K4082" s="593">
        <f t="shared" si="77"/>
        <v>1033922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69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799"/>
    </row>
    <row r="4083" spans="1:27" s="210" customFormat="1" ht="15.75" customHeight="1">
      <c r="A4083" s="203" t="str">
        <f>IF(B4083&lt;&gt;"",IF(AND(B4083&gt;=_TM1,B4083&lt;=_TM2,OR(TH!L4083="1111",TH!M4083="1111")),TH!D4083,""),"")</f>
        <v/>
      </c>
      <c r="B4083" s="36">
        <f t="shared" si="75"/>
        <v>4</v>
      </c>
      <c r="C4083" s="183">
        <f t="shared" si="76"/>
        <v>42104</v>
      </c>
      <c r="D4083" s="190" t="s">
        <v>2015</v>
      </c>
      <c r="E4083" s="190">
        <v>42104</v>
      </c>
      <c r="F4083" s="191" t="s">
        <v>1715</v>
      </c>
      <c r="G4083" s="482" t="s">
        <v>593</v>
      </c>
      <c r="H4083" s="192" t="s">
        <v>2016</v>
      </c>
      <c r="I4083" s="255">
        <v>200</v>
      </c>
      <c r="J4083" s="255">
        <v>11626.741744609264</v>
      </c>
      <c r="K4083" s="593">
        <f t="shared" si="77"/>
        <v>2325348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69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799"/>
    </row>
    <row r="4084" spans="1:27" s="210" customFormat="1" ht="15.75" customHeight="1">
      <c r="A4084" s="203" t="str">
        <f>IF(B4084&lt;&gt;"",IF(AND(B4084&gt;=_TM1,B4084&lt;=_TM2,OR(TH!L4084="1111",TH!M4084="1111")),TH!D4084,""),"")</f>
        <v/>
      </c>
      <c r="B4084" s="36">
        <f t="shared" si="75"/>
        <v>4</v>
      </c>
      <c r="C4084" s="183">
        <f t="shared" si="76"/>
        <v>42104</v>
      </c>
      <c r="D4084" s="190" t="s">
        <v>2015</v>
      </c>
      <c r="E4084" s="190">
        <v>42104</v>
      </c>
      <c r="F4084" s="191" t="s">
        <v>1845</v>
      </c>
      <c r="G4084" s="482" t="s">
        <v>593</v>
      </c>
      <c r="H4084" s="192" t="s">
        <v>2016</v>
      </c>
      <c r="I4084" s="255">
        <v>500</v>
      </c>
      <c r="J4084" s="255">
        <v>7647.1187313537439</v>
      </c>
      <c r="K4084" s="593">
        <f t="shared" si="77"/>
        <v>3823559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69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799"/>
    </row>
    <row r="4085" spans="1:27" s="210" customFormat="1" ht="15.75" customHeight="1">
      <c r="A4085" s="203" t="str">
        <f>IF(B4085&lt;&gt;"",IF(AND(B4085&gt;=_TM1,B4085&lt;=_TM2,OR(TH!L4085="1111",TH!M4085="1111")),TH!D4085,""),"")</f>
        <v/>
      </c>
      <c r="B4085" s="36">
        <f t="shared" si="75"/>
        <v>4</v>
      </c>
      <c r="C4085" s="183">
        <f t="shared" si="76"/>
        <v>42104</v>
      </c>
      <c r="D4085" s="190" t="s">
        <v>2015</v>
      </c>
      <c r="E4085" s="190">
        <v>42104</v>
      </c>
      <c r="F4085" s="191" t="s">
        <v>1846</v>
      </c>
      <c r="G4085" s="482" t="s">
        <v>593</v>
      </c>
      <c r="H4085" s="192" t="s">
        <v>2016</v>
      </c>
      <c r="I4085" s="255">
        <v>38</v>
      </c>
      <c r="J4085" s="255">
        <v>8037.2778503003638</v>
      </c>
      <c r="K4085" s="593">
        <f t="shared" si="77"/>
        <v>305417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69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799"/>
    </row>
    <row r="4086" spans="1:27" s="210" customFormat="1" ht="15.75" customHeight="1">
      <c r="A4086" s="203" t="str">
        <f>IF(B4086&lt;&gt;"",IF(AND(B4086&gt;=_TM1,B4086&lt;=_TM2,OR(TH!L4086="1111",TH!M4086="1111")),TH!D4086,""),"")</f>
        <v/>
      </c>
      <c r="B4086" s="36">
        <f t="shared" si="75"/>
        <v>4</v>
      </c>
      <c r="C4086" s="183">
        <f t="shared" si="76"/>
        <v>42104</v>
      </c>
      <c r="D4086" s="190" t="s">
        <v>2015</v>
      </c>
      <c r="E4086" s="190">
        <v>42104</v>
      </c>
      <c r="F4086" s="191" t="s">
        <v>538</v>
      </c>
      <c r="G4086" s="482" t="s">
        <v>594</v>
      </c>
      <c r="H4086" s="192" t="s">
        <v>2016</v>
      </c>
      <c r="I4086" s="255">
        <v>203</v>
      </c>
      <c r="J4086" s="255">
        <v>6944.8323172498285</v>
      </c>
      <c r="K4086" s="593">
        <f t="shared" si="77"/>
        <v>1409801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69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799"/>
    </row>
    <row r="4087" spans="1:27" s="210" customFormat="1" ht="15.75" customHeight="1">
      <c r="A4087" s="203" t="str">
        <f>IF(B4087&lt;&gt;"",IF(AND(B4087&gt;=_TM1,B4087&lt;=_TM2,OR(TH!L4087="1111",TH!M4087="1111")),TH!D4087,""),"")</f>
        <v/>
      </c>
      <c r="B4087" s="36">
        <f t="shared" si="75"/>
        <v>4</v>
      </c>
      <c r="C4087" s="183">
        <f t="shared" si="76"/>
        <v>42104</v>
      </c>
      <c r="D4087" s="190" t="s">
        <v>2015</v>
      </c>
      <c r="E4087" s="190">
        <v>42104</v>
      </c>
      <c r="F4087" s="191" t="s">
        <v>539</v>
      </c>
      <c r="G4087" s="482" t="s">
        <v>594</v>
      </c>
      <c r="H4087" s="192" t="s">
        <v>2016</v>
      </c>
      <c r="I4087" s="255">
        <v>208</v>
      </c>
      <c r="J4087" s="255">
        <v>7334.9914361964475</v>
      </c>
      <c r="K4087" s="593">
        <f t="shared" si="77"/>
        <v>1525678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69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799"/>
    </row>
    <row r="4088" spans="1:27" s="210" customFormat="1" ht="15.75" customHeight="1">
      <c r="A4088" s="203" t="str">
        <f>IF(B4088&lt;&gt;"",IF(AND(B4088&gt;=_TM1,B4088&lt;=_TM2,OR(TH!L4088="1111",TH!M4088="1111")),TH!D4088,""),"")</f>
        <v/>
      </c>
      <c r="B4088" s="36">
        <f t="shared" si="75"/>
        <v>4</v>
      </c>
      <c r="C4088" s="183">
        <f t="shared" si="76"/>
        <v>42104</v>
      </c>
      <c r="D4088" s="190" t="s">
        <v>2015</v>
      </c>
      <c r="E4088" s="190">
        <v>42104</v>
      </c>
      <c r="F4088" s="191" t="s">
        <v>595</v>
      </c>
      <c r="G4088" s="482" t="s">
        <v>594</v>
      </c>
      <c r="H4088" s="192" t="s">
        <v>2016</v>
      </c>
      <c r="I4088" s="255">
        <v>203</v>
      </c>
      <c r="J4088" s="255">
        <v>7256.959612407125</v>
      </c>
      <c r="K4088" s="593">
        <f t="shared" si="77"/>
        <v>1473163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69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799"/>
    </row>
    <row r="4089" spans="1:27" s="210" customFormat="1" ht="15.75" customHeight="1">
      <c r="A4089" s="203" t="str">
        <f>IF(B4089&lt;&gt;"",IF(AND(B4089&gt;=_TM1,B4089&lt;=_TM2,OR(TH!L4089="1111",TH!M4089="1111")),TH!D4089,""),"")</f>
        <v/>
      </c>
      <c r="B4089" s="36">
        <f t="shared" si="75"/>
        <v>4</v>
      </c>
      <c r="C4089" s="183">
        <f t="shared" si="76"/>
        <v>42107</v>
      </c>
      <c r="D4089" s="190" t="s">
        <v>2015</v>
      </c>
      <c r="E4089" s="190">
        <v>42107</v>
      </c>
      <c r="F4089" s="191" t="s">
        <v>596</v>
      </c>
      <c r="G4089" s="482" t="s">
        <v>597</v>
      </c>
      <c r="H4089" s="192" t="s">
        <v>2016</v>
      </c>
      <c r="I4089" s="255">
        <v>100</v>
      </c>
      <c r="J4089" s="255">
        <v>12407.059982502504</v>
      </c>
      <c r="K4089" s="593">
        <f t="shared" si="77"/>
        <v>1240706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69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799"/>
    </row>
    <row r="4090" spans="1:27" s="210" customFormat="1" ht="15.75" customHeight="1">
      <c r="A4090" s="203" t="str">
        <f>IF(B4090&lt;&gt;"",IF(AND(B4090&gt;=_TM1,B4090&lt;=_TM2,OR(TH!L4090="1111",TH!M4090="1111")),TH!D4090,""),"")</f>
        <v/>
      </c>
      <c r="B4090" s="36">
        <f t="shared" si="75"/>
        <v>4</v>
      </c>
      <c r="C4090" s="183">
        <f t="shared" si="76"/>
        <v>42107</v>
      </c>
      <c r="D4090" s="190" t="s">
        <v>2015</v>
      </c>
      <c r="E4090" s="190">
        <v>42107</v>
      </c>
      <c r="F4090" s="191" t="s">
        <v>1706</v>
      </c>
      <c r="G4090" s="482" t="s">
        <v>597</v>
      </c>
      <c r="H4090" s="192" t="s">
        <v>2016</v>
      </c>
      <c r="I4090" s="255">
        <v>200</v>
      </c>
      <c r="J4090" s="255">
        <v>1872.763770943774</v>
      </c>
      <c r="K4090" s="593">
        <f t="shared" si="77"/>
        <v>374553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69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799"/>
    </row>
    <row r="4091" spans="1:27" s="210" customFormat="1" ht="15.75" customHeight="1">
      <c r="A4091" s="203" t="str">
        <f>IF(B4091&lt;&gt;"",IF(AND(B4091&gt;=_TM1,B4091&lt;=_TM2,OR(TH!L4091="1111",TH!M4091="1111")),TH!D4091,""),"")</f>
        <v/>
      </c>
      <c r="B4091" s="36">
        <f t="shared" si="75"/>
        <v>4</v>
      </c>
      <c r="C4091" s="183">
        <f t="shared" si="76"/>
        <v>42110</v>
      </c>
      <c r="D4091" s="190" t="s">
        <v>2015</v>
      </c>
      <c r="E4091" s="190">
        <v>42110</v>
      </c>
      <c r="F4091" s="191" t="s">
        <v>598</v>
      </c>
      <c r="G4091" s="482" t="s">
        <v>599</v>
      </c>
      <c r="H4091" s="192" t="s">
        <v>2016</v>
      </c>
      <c r="I4091" s="255">
        <v>315</v>
      </c>
      <c r="J4091" s="255">
        <v>6866.8004934605051</v>
      </c>
      <c r="K4091" s="593">
        <f t="shared" si="77"/>
        <v>2163042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69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799"/>
    </row>
    <row r="4092" spans="1:27" s="210" customFormat="1" ht="15.75" customHeight="1">
      <c r="A4092" s="203" t="str">
        <f>IF(B4092&lt;&gt;"",IF(AND(B4092&gt;=_TM1,B4092&lt;=_TM2,OR(TH!L4092="1111",TH!M4092="1111")),TH!D4092,""),"")</f>
        <v/>
      </c>
      <c r="B4092" s="36">
        <f t="shared" si="75"/>
        <v>4</v>
      </c>
      <c r="C4092" s="183">
        <f t="shared" si="76"/>
        <v>42110</v>
      </c>
      <c r="D4092" s="190" t="s">
        <v>2015</v>
      </c>
      <c r="E4092" s="190">
        <v>42110</v>
      </c>
      <c r="F4092" s="191" t="s">
        <v>600</v>
      </c>
      <c r="G4092" s="482" t="s">
        <v>599</v>
      </c>
      <c r="H4092" s="192" t="s">
        <v>2016</v>
      </c>
      <c r="I4092" s="255">
        <v>160</v>
      </c>
      <c r="J4092" s="255">
        <v>9910.0416212441378</v>
      </c>
      <c r="K4092" s="593">
        <f t="shared" si="77"/>
        <v>1585607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69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799"/>
    </row>
    <row r="4093" spans="1:27" s="210" customFormat="1" ht="15.75" customHeight="1">
      <c r="A4093" s="203" t="str">
        <f>IF(B4093&lt;&gt;"",IF(AND(B4093&gt;=_TM1,B4093&lt;=_TM2,OR(TH!L4093="1111",TH!M4093="1111")),TH!D4093,""),"")</f>
        <v/>
      </c>
      <c r="B4093" s="36">
        <f t="shared" si="75"/>
        <v>4</v>
      </c>
      <c r="C4093" s="183">
        <f t="shared" si="76"/>
        <v>42110</v>
      </c>
      <c r="D4093" s="190" t="s">
        <v>2015</v>
      </c>
      <c r="E4093" s="190">
        <v>42110</v>
      </c>
      <c r="F4093" s="191" t="s">
        <v>601</v>
      </c>
      <c r="G4093" s="482" t="s">
        <v>599</v>
      </c>
      <c r="H4093" s="192" t="s">
        <v>2016</v>
      </c>
      <c r="I4093" s="255">
        <v>105</v>
      </c>
      <c r="J4093" s="255">
        <v>6476.6413745138843</v>
      </c>
      <c r="K4093" s="593">
        <f t="shared" si="77"/>
        <v>680047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69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799"/>
    </row>
    <row r="4094" spans="1:27" s="210" customFormat="1" ht="15.75" customHeight="1">
      <c r="A4094" s="203" t="str">
        <f>IF(B4094&lt;&gt;"",IF(AND(B4094&gt;=_TM1,B4094&lt;=_TM2,OR(TH!L4094="1111",TH!M4094="1111")),TH!D4094,""),"")</f>
        <v/>
      </c>
      <c r="B4094" s="36">
        <f t="shared" si="75"/>
        <v>4</v>
      </c>
      <c r="C4094" s="183">
        <f t="shared" si="76"/>
        <v>42110</v>
      </c>
      <c r="D4094" s="190" t="s">
        <v>2015</v>
      </c>
      <c r="E4094" s="190">
        <v>42110</v>
      </c>
      <c r="F4094" s="191" t="s">
        <v>590</v>
      </c>
      <c r="G4094" s="482" t="s">
        <v>599</v>
      </c>
      <c r="H4094" s="192" t="s">
        <v>2016</v>
      </c>
      <c r="I4094" s="255">
        <v>55</v>
      </c>
      <c r="J4094" s="255">
        <v>9988.0734450334621</v>
      </c>
      <c r="K4094" s="593">
        <f t="shared" si="77"/>
        <v>549344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69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799"/>
    </row>
    <row r="4095" spans="1:27" s="210" customFormat="1" ht="15.75" customHeight="1">
      <c r="A4095" s="203" t="str">
        <f>IF(B4095&lt;&gt;"",IF(AND(B4095&gt;=_TM1,B4095&lt;=_TM2,OR(TH!L4095="1111",TH!M4095="1111")),TH!D4095,""),"")</f>
        <v/>
      </c>
      <c r="B4095" s="36">
        <f t="shared" si="75"/>
        <v>4</v>
      </c>
      <c r="C4095" s="183">
        <f t="shared" si="76"/>
        <v>42110</v>
      </c>
      <c r="D4095" s="190" t="s">
        <v>2015</v>
      </c>
      <c r="E4095" s="190">
        <v>42110</v>
      </c>
      <c r="F4095" s="191" t="s">
        <v>602</v>
      </c>
      <c r="G4095" s="482" t="s">
        <v>599</v>
      </c>
      <c r="H4095" s="192" t="s">
        <v>2016</v>
      </c>
      <c r="I4095" s="255">
        <v>904</v>
      </c>
      <c r="J4095" s="255">
        <v>9832.0097974548135</v>
      </c>
      <c r="K4095" s="593">
        <f t="shared" si="77"/>
        <v>8888137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69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799"/>
    </row>
    <row r="4096" spans="1:27" s="210" customFormat="1" ht="15.75" customHeight="1">
      <c r="A4096" s="203" t="str">
        <f>IF(B4096&lt;&gt;"",IF(AND(B4096&gt;=_TM1,B4096&lt;=_TM2,OR(TH!L4096="1111",TH!M4096="1111")),TH!D4096,""),"")</f>
        <v/>
      </c>
      <c r="B4096" s="36">
        <f t="shared" si="75"/>
        <v>4</v>
      </c>
      <c r="C4096" s="183">
        <f t="shared" si="76"/>
        <v>42110</v>
      </c>
      <c r="D4096" s="190" t="s">
        <v>2015</v>
      </c>
      <c r="E4096" s="190">
        <v>42110</v>
      </c>
      <c r="F4096" s="191" t="s">
        <v>451</v>
      </c>
      <c r="G4096" s="482" t="s">
        <v>603</v>
      </c>
      <c r="H4096" s="192" t="s">
        <v>2016</v>
      </c>
      <c r="I4096" s="255">
        <v>302</v>
      </c>
      <c r="J4096" s="255">
        <v>10456.264387769406</v>
      </c>
      <c r="K4096" s="593">
        <f t="shared" si="77"/>
        <v>3157792</v>
      </c>
      <c r="L4096" s="193" t="s">
        <v>172</v>
      </c>
      <c r="M4096" s="193" t="s">
        <v>167</v>
      </c>
      <c r="N4096" s="52" t="str">
        <f>IF(AND('331-CT'!$E$7=TH!H4096,OR(L4096="331",M4096="331")),"331",IF(AND(OR(L4096="131",M4096="131"),H4096='131-CT'!$E$7),"131",""))</f>
        <v/>
      </c>
      <c r="O4096" s="869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799"/>
    </row>
    <row r="4097" spans="1:27" s="210" customFormat="1" ht="15.75" customHeight="1">
      <c r="A4097" s="203" t="str">
        <f>IF(B4097&lt;&gt;"",IF(AND(B4097&gt;=_TM1,B4097&lt;=_TM2,OR(TH!L4097="1111",TH!M4097="1111")),TH!D4097,""),"")</f>
        <v/>
      </c>
      <c r="B4097" s="36">
        <f t="shared" si="75"/>
        <v>4</v>
      </c>
      <c r="C4097" s="183">
        <f t="shared" si="76"/>
        <v>42111</v>
      </c>
      <c r="D4097" s="190" t="s">
        <v>2015</v>
      </c>
      <c r="E4097" s="190">
        <v>42111</v>
      </c>
      <c r="F4097" s="191" t="s">
        <v>398</v>
      </c>
      <c r="G4097" s="482" t="s">
        <v>607</v>
      </c>
      <c r="H4097" s="192" t="s">
        <v>2016</v>
      </c>
      <c r="I4097" s="255">
        <v>900</v>
      </c>
      <c r="J4097" s="255">
        <v>6398.6095507245609</v>
      </c>
      <c r="K4097" s="593">
        <f t="shared" si="77"/>
        <v>5758749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69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799"/>
    </row>
    <row r="4098" spans="1:27" s="210" customFormat="1" ht="15.75" customHeight="1">
      <c r="A4098" s="203" t="str">
        <f>IF(B4098&lt;&gt;"",IF(AND(B4098&gt;=_TM1,B4098&lt;=_TM2,OR(TH!L4098="1111",TH!M4098="1111")),TH!D4098,""),"")</f>
        <v/>
      </c>
      <c r="B4098" s="36">
        <f t="shared" si="75"/>
        <v>4</v>
      </c>
      <c r="C4098" s="183">
        <f t="shared" si="76"/>
        <v>42111</v>
      </c>
      <c r="D4098" s="190" t="s">
        <v>2015</v>
      </c>
      <c r="E4098" s="190">
        <v>42111</v>
      </c>
      <c r="F4098" s="191" t="s">
        <v>446</v>
      </c>
      <c r="G4098" s="482" t="s">
        <v>607</v>
      </c>
      <c r="H4098" s="192" t="s">
        <v>2016</v>
      </c>
      <c r="I4098" s="255">
        <v>315</v>
      </c>
      <c r="J4098" s="255">
        <v>7100.8959648284763</v>
      </c>
      <c r="K4098" s="593">
        <f t="shared" si="77"/>
        <v>2236782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69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799"/>
    </row>
    <row r="4099" spans="1:27" s="210" customFormat="1" ht="15.75" customHeight="1">
      <c r="A4099" s="203" t="str">
        <f>IF(B4099&lt;&gt;"",IF(AND(B4099&gt;=_TM1,B4099&lt;=_TM2,OR(TH!L4099="1111",TH!M4099="1111")),TH!D4099,""),"")</f>
        <v/>
      </c>
      <c r="B4099" s="36">
        <f t="shared" si="75"/>
        <v>4</v>
      </c>
      <c r="C4099" s="183">
        <f t="shared" si="76"/>
        <v>42111</v>
      </c>
      <c r="D4099" s="190" t="s">
        <v>2015</v>
      </c>
      <c r="E4099" s="190">
        <v>42111</v>
      </c>
      <c r="F4099" s="191" t="s">
        <v>608</v>
      </c>
      <c r="G4099" s="482" t="s">
        <v>607</v>
      </c>
      <c r="H4099" s="192" t="s">
        <v>2016</v>
      </c>
      <c r="I4099" s="255">
        <v>305</v>
      </c>
      <c r="J4099" s="255">
        <v>5774.3549604099699</v>
      </c>
      <c r="K4099" s="593">
        <f t="shared" si="77"/>
        <v>1761178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69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799"/>
    </row>
    <row r="4100" spans="1:27" s="210" customFormat="1" ht="15.75" customHeight="1">
      <c r="A4100" s="203" t="str">
        <f>IF(B4100&lt;&gt;"",IF(AND(B4100&gt;=_TM1,B4100&lt;=_TM2,OR(TH!L4100="1111",TH!M4100="1111")),TH!D4100,""),"")</f>
        <v/>
      </c>
      <c r="B4100" s="36">
        <f t="shared" si="75"/>
        <v>4</v>
      </c>
      <c r="C4100" s="183">
        <f t="shared" si="76"/>
        <v>42111</v>
      </c>
      <c r="D4100" s="190" t="s">
        <v>2015</v>
      </c>
      <c r="E4100" s="190">
        <v>42111</v>
      </c>
      <c r="F4100" s="191" t="s">
        <v>501</v>
      </c>
      <c r="G4100" s="482" t="s">
        <v>607</v>
      </c>
      <c r="H4100" s="192" t="s">
        <v>2016</v>
      </c>
      <c r="I4100" s="255">
        <v>315</v>
      </c>
      <c r="J4100" s="255">
        <v>12329.028158713179</v>
      </c>
      <c r="K4100" s="593">
        <f t="shared" si="77"/>
        <v>3883644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69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799"/>
    </row>
    <row r="4101" spans="1:27" s="210" customFormat="1" ht="15.75" customHeight="1">
      <c r="A4101" s="203" t="str">
        <f>IF(B4101&lt;&gt;"",IF(AND(B4101&gt;=_TM1,B4101&lt;=_TM2,OR(TH!L4101="1111",TH!M4101="1111")),TH!D4101,""),"")</f>
        <v/>
      </c>
      <c r="B4101" s="36">
        <f t="shared" si="75"/>
        <v>4</v>
      </c>
      <c r="C4101" s="183">
        <f t="shared" si="76"/>
        <v>42111</v>
      </c>
      <c r="D4101" s="190" t="s">
        <v>2015</v>
      </c>
      <c r="E4101" s="190">
        <v>42111</v>
      </c>
      <c r="F4101" s="191" t="s">
        <v>604</v>
      </c>
      <c r="G4101" s="482" t="s">
        <v>605</v>
      </c>
      <c r="H4101" s="192" t="s">
        <v>2016</v>
      </c>
      <c r="I4101" s="255">
        <v>722</v>
      </c>
      <c r="J4101" s="255">
        <v>7100.8959648284763</v>
      </c>
      <c r="K4101" s="593">
        <f t="shared" si="77"/>
        <v>5126847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69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799"/>
    </row>
    <row r="4102" spans="1:27" s="210" customFormat="1" ht="15.75" customHeight="1">
      <c r="A4102" s="203" t="str">
        <f>IF(B4102&lt;&gt;"",IF(AND(B4102&gt;=_TM1,B4102&lt;=_TM2,OR(TH!L4102="1111",TH!M4102="1111")),TH!D4102,""),"")</f>
        <v/>
      </c>
      <c r="B4102" s="36">
        <f t="shared" si="75"/>
        <v>4</v>
      </c>
      <c r="C4102" s="183">
        <f t="shared" si="76"/>
        <v>42112</v>
      </c>
      <c r="D4102" s="190" t="s">
        <v>2015</v>
      </c>
      <c r="E4102" s="190">
        <v>42112</v>
      </c>
      <c r="F4102" s="191" t="s">
        <v>609</v>
      </c>
      <c r="G4102" s="482" t="s">
        <v>610</v>
      </c>
      <c r="H4102" s="192" t="s">
        <v>2016</v>
      </c>
      <c r="I4102" s="255">
        <v>485</v>
      </c>
      <c r="J4102" s="255">
        <v>5306.1640176740266</v>
      </c>
      <c r="K4102" s="593">
        <f t="shared" si="77"/>
        <v>2573490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69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799"/>
    </row>
    <row r="4103" spans="1:27" s="210" customFormat="1" ht="15.75" customHeight="1">
      <c r="A4103" s="203" t="str">
        <f>IF(B4103&lt;&gt;"",IF(AND(B4103&gt;=_TM1,B4103&lt;=_TM2,OR(TH!L4103="1111",TH!M4103="1111")),TH!D4103,""),"")</f>
        <v/>
      </c>
      <c r="B4103" s="36">
        <f t="shared" si="75"/>
        <v>4</v>
      </c>
      <c r="C4103" s="183">
        <f t="shared" si="76"/>
        <v>42112</v>
      </c>
      <c r="D4103" s="190" t="s">
        <v>2015</v>
      </c>
      <c r="E4103" s="190">
        <v>42112</v>
      </c>
      <c r="F4103" s="191" t="s">
        <v>609</v>
      </c>
      <c r="G4103" s="482" t="s">
        <v>610</v>
      </c>
      <c r="H4103" s="192" t="s">
        <v>2016</v>
      </c>
      <c r="I4103" s="255">
        <v>1002</v>
      </c>
      <c r="J4103" s="255">
        <v>5306.1640176740266</v>
      </c>
      <c r="K4103" s="593">
        <f t="shared" si="77"/>
        <v>5316776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69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799"/>
    </row>
    <row r="4104" spans="1:27" s="210" customFormat="1" ht="15.75" customHeight="1">
      <c r="A4104" s="203" t="str">
        <f>IF(B4104&lt;&gt;"",IF(AND(B4104&gt;=_TM1,B4104&lt;=_TM2,OR(TH!L4104="1111",TH!M4104="1111")),TH!D4104,""),"")</f>
        <v/>
      </c>
      <c r="B4104" s="36">
        <f t="shared" si="75"/>
        <v>4</v>
      </c>
      <c r="C4104" s="183">
        <f t="shared" si="76"/>
        <v>42115</v>
      </c>
      <c r="D4104" s="190" t="s">
        <v>2015</v>
      </c>
      <c r="E4104" s="190">
        <v>42115</v>
      </c>
      <c r="F4104" s="191" t="s">
        <v>611</v>
      </c>
      <c r="G4104" s="482" t="s">
        <v>612</v>
      </c>
      <c r="H4104" s="192" t="s">
        <v>2016</v>
      </c>
      <c r="I4104" s="255">
        <v>61</v>
      </c>
      <c r="J4104" s="255">
        <v>5228.1321938847032</v>
      </c>
      <c r="K4104" s="593">
        <f t="shared" si="77"/>
        <v>318916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69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799"/>
    </row>
    <row r="4105" spans="1:27" s="210" customFormat="1" ht="15.75" customHeight="1">
      <c r="A4105" s="203" t="str">
        <f>IF(B4105&lt;&gt;"",IF(AND(B4105&gt;=_TM1,B4105&lt;=_TM2,OR(TH!L4105="1111",TH!M4105="1111")),TH!D4105,""),"")</f>
        <v/>
      </c>
      <c r="B4105" s="36">
        <f t="shared" si="75"/>
        <v>4</v>
      </c>
      <c r="C4105" s="183">
        <f t="shared" si="76"/>
        <v>42117</v>
      </c>
      <c r="D4105" s="190" t="s">
        <v>2015</v>
      </c>
      <c r="E4105" s="190">
        <v>42117</v>
      </c>
      <c r="F4105" s="191" t="s">
        <v>518</v>
      </c>
      <c r="G4105" s="482" t="s">
        <v>613</v>
      </c>
      <c r="H4105" s="192" t="s">
        <v>2016</v>
      </c>
      <c r="I4105" s="255">
        <v>210</v>
      </c>
      <c r="J4105" s="255">
        <v>8115.3096740896872</v>
      </c>
      <c r="K4105" s="593">
        <f t="shared" si="77"/>
        <v>1704215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69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799"/>
    </row>
    <row r="4106" spans="1:27" s="210" customFormat="1" ht="15.75" customHeight="1">
      <c r="A4106" s="203" t="str">
        <f>IF(B4106&lt;&gt;"",IF(AND(B4106&gt;=_TM1,B4106&lt;=_TM2,OR(TH!L4106="1111",TH!M4106="1111")),TH!D4106,""),"")</f>
        <v/>
      </c>
      <c r="B4106" s="36">
        <f t="shared" si="75"/>
        <v>4</v>
      </c>
      <c r="C4106" s="183">
        <f t="shared" si="76"/>
        <v>42118</v>
      </c>
      <c r="D4106" s="190" t="s">
        <v>2015</v>
      </c>
      <c r="E4106" s="190">
        <v>42118</v>
      </c>
      <c r="F4106" s="191" t="s">
        <v>614</v>
      </c>
      <c r="G4106" s="482" t="s">
        <v>615</v>
      </c>
      <c r="H4106" s="192" t="s">
        <v>2016</v>
      </c>
      <c r="I4106" s="255">
        <v>312</v>
      </c>
      <c r="J4106" s="255">
        <v>5150.1003700953788</v>
      </c>
      <c r="K4106" s="593">
        <f t="shared" si="77"/>
        <v>1606831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69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799"/>
    </row>
    <row r="4107" spans="1:27" s="210" customFormat="1" ht="15.75" customHeight="1">
      <c r="A4107" s="203" t="str">
        <f>IF(B4107&lt;&gt;"",IF(AND(B4107&gt;=_TM1,B4107&lt;=_TM2,OR(TH!L4107="1111",TH!M4107="1111")),TH!D4107,""),"")</f>
        <v/>
      </c>
      <c r="B4107" s="36">
        <f t="shared" si="75"/>
        <v>4</v>
      </c>
      <c r="C4107" s="183">
        <f t="shared" si="76"/>
        <v>42118</v>
      </c>
      <c r="D4107" s="190" t="s">
        <v>2015</v>
      </c>
      <c r="E4107" s="190">
        <v>42118</v>
      </c>
      <c r="F4107" s="191" t="s">
        <v>616</v>
      </c>
      <c r="G4107" s="482" t="s">
        <v>615</v>
      </c>
      <c r="H4107" s="192" t="s">
        <v>2016</v>
      </c>
      <c r="I4107" s="255">
        <v>312</v>
      </c>
      <c r="J4107" s="255">
        <v>5150.1003700953788</v>
      </c>
      <c r="K4107" s="593">
        <f t="shared" si="77"/>
        <v>1606831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69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799"/>
    </row>
    <row r="4108" spans="1:27" s="210" customFormat="1" ht="15.75" customHeight="1">
      <c r="A4108" s="203" t="str">
        <f>IF(B4108&lt;&gt;"",IF(AND(B4108&gt;=_TM1,B4108&lt;=_TM2,OR(TH!L4108="1111",TH!M4108="1111")),TH!D4108,""),"")</f>
        <v/>
      </c>
      <c r="B4108" s="36">
        <f t="shared" si="75"/>
        <v>4</v>
      </c>
      <c r="C4108" s="183">
        <f t="shared" si="76"/>
        <v>42118</v>
      </c>
      <c r="D4108" s="190" t="s">
        <v>2015</v>
      </c>
      <c r="E4108" s="190">
        <v>42118</v>
      </c>
      <c r="F4108" s="191" t="s">
        <v>616</v>
      </c>
      <c r="G4108" s="482" t="s">
        <v>615</v>
      </c>
      <c r="H4108" s="192" t="s">
        <v>2016</v>
      </c>
      <c r="I4108" s="255">
        <v>200</v>
      </c>
      <c r="J4108" s="255">
        <v>5150.1003700953788</v>
      </c>
      <c r="K4108" s="593">
        <f t="shared" si="77"/>
        <v>1030020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69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799"/>
    </row>
    <row r="4109" spans="1:27" s="210" customFormat="1" ht="15.75" customHeight="1">
      <c r="A4109" s="203" t="str">
        <f>IF(B4109&lt;&gt;"",IF(AND(B4109&gt;=_TM1,B4109&lt;=_TM2,OR(TH!L4109="1111",TH!M4109="1111")),TH!D4109,""),"")</f>
        <v/>
      </c>
      <c r="B4109" s="36">
        <f t="shared" si="75"/>
        <v>4</v>
      </c>
      <c r="C4109" s="183">
        <f t="shared" si="76"/>
        <v>42118</v>
      </c>
      <c r="D4109" s="190" t="s">
        <v>2015</v>
      </c>
      <c r="E4109" s="190">
        <v>42118</v>
      </c>
      <c r="F4109" s="191" t="s">
        <v>403</v>
      </c>
      <c r="G4109" s="482" t="s">
        <v>615</v>
      </c>
      <c r="H4109" s="192" t="s">
        <v>2016</v>
      </c>
      <c r="I4109" s="255">
        <v>1012</v>
      </c>
      <c r="J4109" s="255">
        <v>7022.8641410391529</v>
      </c>
      <c r="K4109" s="593">
        <f t="shared" si="77"/>
        <v>7107139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69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799"/>
    </row>
    <row r="4110" spans="1:27" s="210" customFormat="1" ht="15.75" customHeight="1">
      <c r="A4110" s="203" t="str">
        <f>IF(B4110&lt;&gt;"",IF(AND(B4110&gt;=_TM1,B4110&lt;=_TM2,OR(TH!L4110="1111",TH!M4110="1111")),TH!D4110,""),"")</f>
        <v/>
      </c>
      <c r="B4110" s="36">
        <f t="shared" si="75"/>
        <v>4</v>
      </c>
      <c r="C4110" s="183">
        <f t="shared" si="76"/>
        <v>42118</v>
      </c>
      <c r="D4110" s="190" t="s">
        <v>2015</v>
      </c>
      <c r="E4110" s="190">
        <v>42118</v>
      </c>
      <c r="F4110" s="191" t="s">
        <v>906</v>
      </c>
      <c r="G4110" s="482" t="s">
        <v>615</v>
      </c>
      <c r="H4110" s="192" t="s">
        <v>2016</v>
      </c>
      <c r="I4110" s="255">
        <v>303</v>
      </c>
      <c r="J4110" s="255">
        <v>7100.8959648284763</v>
      </c>
      <c r="K4110" s="593">
        <f t="shared" si="77"/>
        <v>2151571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69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799"/>
    </row>
    <row r="4111" spans="1:27" s="210" customFormat="1" ht="15.75" customHeight="1">
      <c r="A4111" s="203" t="str">
        <f>IF(B4111&lt;&gt;"",IF(AND(B4111&gt;=_TM1,B4111&lt;=_TM2,OR(TH!L4111="1111",TH!M4111="1111")),TH!D4111,""),"")</f>
        <v/>
      </c>
      <c r="B4111" s="36">
        <f t="shared" si="75"/>
        <v>4</v>
      </c>
      <c r="C4111" s="183">
        <f t="shared" si="76"/>
        <v>42118</v>
      </c>
      <c r="D4111" s="190" t="s">
        <v>2015</v>
      </c>
      <c r="E4111" s="190">
        <v>42118</v>
      </c>
      <c r="F4111" s="191" t="s">
        <v>617</v>
      </c>
      <c r="G4111" s="482" t="s">
        <v>618</v>
      </c>
      <c r="H4111" s="192" t="s">
        <v>2016</v>
      </c>
      <c r="I4111" s="255">
        <v>303</v>
      </c>
      <c r="J4111" s="255">
        <v>6164.5140793565897</v>
      </c>
      <c r="K4111" s="593">
        <f t="shared" si="77"/>
        <v>1867848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69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799"/>
    </row>
    <row r="4112" spans="1:27" s="210" customFormat="1" ht="15.75" customHeight="1">
      <c r="A4112" s="203" t="str">
        <f>IF(B4112&lt;&gt;"",IF(AND(B4112&gt;=_TM1,B4112&lt;=_TM2,OR(TH!L4112="1111",TH!M4112="1111")),TH!D4112,""),"")</f>
        <v/>
      </c>
      <c r="B4112" s="36">
        <f t="shared" si="75"/>
        <v>4</v>
      </c>
      <c r="C4112" s="183">
        <f t="shared" si="76"/>
        <v>42118</v>
      </c>
      <c r="D4112" s="190" t="s">
        <v>2015</v>
      </c>
      <c r="E4112" s="190">
        <v>42118</v>
      </c>
      <c r="F4112" s="191" t="s">
        <v>1665</v>
      </c>
      <c r="G4112" s="482" t="s">
        <v>618</v>
      </c>
      <c r="H4112" s="192" t="s">
        <v>2016</v>
      </c>
      <c r="I4112" s="255">
        <v>606</v>
      </c>
      <c r="J4112" s="255">
        <v>780.31823789323926</v>
      </c>
      <c r="K4112" s="593">
        <f t="shared" si="77"/>
        <v>472873</v>
      </c>
      <c r="L4112" s="193" t="s">
        <v>172</v>
      </c>
      <c r="M4112" s="193" t="s">
        <v>167</v>
      </c>
      <c r="N4112" s="52" t="str">
        <f>IF(AND('331-CT'!$E$7=TH!H4112,OR(L4112="331",M4112="331")),"331",IF(AND(OR(L4112="131",M4112="131"),H4112='131-CT'!$E$7),"131",""))</f>
        <v/>
      </c>
      <c r="O4112" s="869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799"/>
    </row>
    <row r="4113" spans="1:27" s="210" customFormat="1" ht="15.75" customHeight="1">
      <c r="A4113" s="203" t="str">
        <f>IF(B4113&lt;&gt;"",IF(AND(B4113&gt;=_TM1,B4113&lt;=_TM2,OR(TH!L4113="1111",TH!M4113="1111")),TH!D4113,""),"")</f>
        <v/>
      </c>
      <c r="B4113" s="36">
        <f t="shared" si="75"/>
        <v>4</v>
      </c>
      <c r="C4113" s="183">
        <f t="shared" si="76"/>
        <v>42118</v>
      </c>
      <c r="D4113" s="190" t="s">
        <v>2015</v>
      </c>
      <c r="E4113" s="190">
        <v>42118</v>
      </c>
      <c r="F4113" s="191" t="s">
        <v>587</v>
      </c>
      <c r="G4113" s="482" t="s">
        <v>619</v>
      </c>
      <c r="H4113" s="192" t="s">
        <v>2016</v>
      </c>
      <c r="I4113" s="255">
        <v>150</v>
      </c>
      <c r="J4113" s="255">
        <v>6164.5140793565897</v>
      </c>
      <c r="K4113" s="593">
        <f t="shared" si="77"/>
        <v>924677</v>
      </c>
      <c r="L4113" s="193" t="s">
        <v>172</v>
      </c>
      <c r="M4113" s="193" t="s">
        <v>167</v>
      </c>
      <c r="N4113" s="52" t="str">
        <f>IF(AND('331-CT'!$E$7=TH!H4113,OR(L4113="331",M4113="331")),"331",IF(AND(OR(L4113="131",M4113="131"),H4113='131-CT'!$E$7),"131",""))</f>
        <v/>
      </c>
      <c r="O4113" s="869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799"/>
    </row>
    <row r="4114" spans="1:27" s="210" customFormat="1" ht="15.75" customHeight="1">
      <c r="A4114" s="203" t="str">
        <f>IF(B4114&lt;&gt;"",IF(AND(B4114&gt;=_TM1,B4114&lt;=_TM2,OR(TH!L4114="1111",TH!M4114="1111")),TH!D4114,""),"")</f>
        <v/>
      </c>
      <c r="B4114" s="36">
        <f t="shared" si="75"/>
        <v>4</v>
      </c>
      <c r="C4114" s="183">
        <f t="shared" si="76"/>
        <v>42118</v>
      </c>
      <c r="D4114" s="190" t="s">
        <v>2015</v>
      </c>
      <c r="E4114" s="190">
        <v>42118</v>
      </c>
      <c r="F4114" s="191" t="s">
        <v>602</v>
      </c>
      <c r="G4114" s="482" t="s">
        <v>619</v>
      </c>
      <c r="H4114" s="192" t="s">
        <v>2016</v>
      </c>
      <c r="I4114" s="255">
        <v>1364</v>
      </c>
      <c r="J4114" s="255">
        <v>9832.0097974548135</v>
      </c>
      <c r="K4114" s="593">
        <f t="shared" si="77"/>
        <v>13410861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69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799"/>
    </row>
    <row r="4115" spans="1:27" s="210" customFormat="1" ht="15.75" customHeight="1">
      <c r="A4115" s="203" t="str">
        <f>IF(B4115&lt;&gt;"",IF(AND(B4115&gt;=_TM1,B4115&lt;=_TM2,OR(TH!L4115="1111",TH!M4115="1111")),TH!D4115,""),"")</f>
        <v/>
      </c>
      <c r="B4115" s="36">
        <f t="shared" si="75"/>
        <v>4</v>
      </c>
      <c r="C4115" s="183">
        <f t="shared" si="76"/>
        <v>42119</v>
      </c>
      <c r="D4115" s="190" t="s">
        <v>2015</v>
      </c>
      <c r="E4115" s="190">
        <v>42119</v>
      </c>
      <c r="F4115" s="191" t="s">
        <v>1707</v>
      </c>
      <c r="G4115" s="482" t="s">
        <v>620</v>
      </c>
      <c r="H4115" s="192" t="s">
        <v>2016</v>
      </c>
      <c r="I4115" s="255">
        <v>50</v>
      </c>
      <c r="J4115" s="255">
        <v>15606.364757864783</v>
      </c>
      <c r="K4115" s="593">
        <f t="shared" si="77"/>
        <v>780318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69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799"/>
    </row>
    <row r="4116" spans="1:27" s="210" customFormat="1" ht="15.75" customHeight="1">
      <c r="A4116" s="203" t="str">
        <f>IF(B4116&lt;&gt;"",IF(AND(B4116&gt;=_TM1,B4116&lt;=_TM2,OR(TH!L4116="1111",TH!M4116="1111")),TH!D4116,""),"")</f>
        <v/>
      </c>
      <c r="B4116" s="36">
        <f t="shared" si="75"/>
        <v>4</v>
      </c>
      <c r="C4116" s="183">
        <f t="shared" si="76"/>
        <v>42119</v>
      </c>
      <c r="D4116" s="190" t="s">
        <v>2015</v>
      </c>
      <c r="E4116" s="190">
        <v>42119</v>
      </c>
      <c r="F4116" s="191" t="s">
        <v>1708</v>
      </c>
      <c r="G4116" s="482" t="s">
        <v>620</v>
      </c>
      <c r="H4116" s="192" t="s">
        <v>2016</v>
      </c>
      <c r="I4116" s="255">
        <v>200</v>
      </c>
      <c r="J4116" s="255">
        <v>13577.537339342362</v>
      </c>
      <c r="K4116" s="593">
        <f t="shared" si="77"/>
        <v>2715507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69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799"/>
    </row>
    <row r="4117" spans="1:27" s="210" customFormat="1" ht="15.75" customHeight="1">
      <c r="A4117" s="203" t="str">
        <f>IF(B4117&lt;&gt;"",IF(AND(B4117&gt;=_TM1,B4117&lt;=_TM2,OR(TH!L4117="1111",TH!M4117="1111")),TH!D4117,""),"")</f>
        <v/>
      </c>
      <c r="B4117" s="36">
        <f t="shared" si="75"/>
        <v>4</v>
      </c>
      <c r="C4117" s="183">
        <f t="shared" si="76"/>
        <v>42119</v>
      </c>
      <c r="D4117" s="190" t="s">
        <v>2015</v>
      </c>
      <c r="E4117" s="190">
        <v>42119</v>
      </c>
      <c r="F4117" s="191" t="s">
        <v>1709</v>
      </c>
      <c r="G4117" s="482" t="s">
        <v>620</v>
      </c>
      <c r="H4117" s="192" t="s">
        <v>2016</v>
      </c>
      <c r="I4117" s="255">
        <v>333</v>
      </c>
      <c r="J4117" s="255">
        <v>6554.6731983032087</v>
      </c>
      <c r="K4117" s="593">
        <f t="shared" si="77"/>
        <v>2182706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69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799"/>
    </row>
    <row r="4118" spans="1:27" s="210" customFormat="1" ht="15.75" customHeight="1">
      <c r="A4118" s="203" t="str">
        <f>IF(B4118&lt;&gt;"",IF(AND(B4118&gt;=_TM1,B4118&lt;=_TM2,OR(TH!L4118="1111",TH!M4118="1111")),TH!D4118,""),"")</f>
        <v/>
      </c>
      <c r="B4118" s="36">
        <f t="shared" si="75"/>
        <v>4</v>
      </c>
      <c r="C4118" s="183">
        <f t="shared" si="76"/>
        <v>42119</v>
      </c>
      <c r="D4118" s="190" t="s">
        <v>2015</v>
      </c>
      <c r="E4118" s="190">
        <v>42119</v>
      </c>
      <c r="F4118" s="191" t="s">
        <v>1710</v>
      </c>
      <c r="G4118" s="482" t="s">
        <v>620</v>
      </c>
      <c r="H4118" s="192" t="s">
        <v>2016</v>
      </c>
      <c r="I4118" s="255">
        <v>55</v>
      </c>
      <c r="J4118" s="255">
        <v>16308.651171968697</v>
      </c>
      <c r="K4118" s="593">
        <f t="shared" si="77"/>
        <v>896976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69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799"/>
    </row>
    <row r="4119" spans="1:27" s="210" customFormat="1" ht="15.75" customHeight="1">
      <c r="A4119" s="203" t="str">
        <f>IF(B4119&lt;&gt;"",IF(AND(B4119&gt;=_TM1,B4119&lt;=_TM2,OR(TH!L4119="1111",TH!M4119="1111")),TH!D4119,""),"")</f>
        <v/>
      </c>
      <c r="B4119" s="36">
        <f t="shared" si="75"/>
        <v>4</v>
      </c>
      <c r="C4119" s="183">
        <f t="shared" si="76"/>
        <v>42119</v>
      </c>
      <c r="D4119" s="190" t="s">
        <v>2015</v>
      </c>
      <c r="E4119" s="190">
        <v>42119</v>
      </c>
      <c r="F4119" s="191" t="s">
        <v>1711</v>
      </c>
      <c r="G4119" s="482" t="s">
        <v>620</v>
      </c>
      <c r="H4119" s="192" t="s">
        <v>2016</v>
      </c>
      <c r="I4119" s="255">
        <v>600</v>
      </c>
      <c r="J4119" s="255">
        <v>8349.4051454576602</v>
      </c>
      <c r="K4119" s="593">
        <f t="shared" si="77"/>
        <v>5009643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69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799"/>
    </row>
    <row r="4120" spans="1:27" s="210" customFormat="1" ht="15.75" customHeight="1">
      <c r="A4120" s="203" t="str">
        <f>IF(B4120&lt;&gt;"",IF(AND(B4120&gt;=_TM1,B4120&lt;=_TM2,OR(TH!L4120="1111",TH!M4120="1111")),TH!D4120,""),"")</f>
        <v/>
      </c>
      <c r="B4120" s="36">
        <f t="shared" si="75"/>
        <v>4</v>
      </c>
      <c r="C4120" s="183">
        <f t="shared" si="76"/>
        <v>42119</v>
      </c>
      <c r="D4120" s="190" t="s">
        <v>2015</v>
      </c>
      <c r="E4120" s="190">
        <v>42119</v>
      </c>
      <c r="F4120" s="191" t="s">
        <v>727</v>
      </c>
      <c r="G4120" s="482" t="s">
        <v>620</v>
      </c>
      <c r="H4120" s="192" t="s">
        <v>2016</v>
      </c>
      <c r="I4120" s="255">
        <v>600</v>
      </c>
      <c r="J4120" s="255">
        <v>7647.1187313537439</v>
      </c>
      <c r="K4120" s="593">
        <f t="shared" si="77"/>
        <v>4588271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69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799"/>
    </row>
    <row r="4121" spans="1:27" s="210" customFormat="1" ht="15.75" customHeight="1">
      <c r="A4121" s="203" t="str">
        <f>IF(B4121&lt;&gt;"",IF(AND(B4121&gt;=_TM1,B4121&lt;=_TM2,OR(TH!L4121="1111",TH!M4121="1111")),TH!D4121,""),"")</f>
        <v/>
      </c>
      <c r="B4121" s="36">
        <f t="shared" si="75"/>
        <v>4</v>
      </c>
      <c r="C4121" s="183">
        <f t="shared" si="76"/>
        <v>42119</v>
      </c>
      <c r="D4121" s="190" t="s">
        <v>2015</v>
      </c>
      <c r="E4121" s="190">
        <v>42119</v>
      </c>
      <c r="F4121" s="191" t="s">
        <v>494</v>
      </c>
      <c r="G4121" s="482" t="s">
        <v>621</v>
      </c>
      <c r="H4121" s="192" t="s">
        <v>2016</v>
      </c>
      <c r="I4121" s="255">
        <v>420</v>
      </c>
      <c r="J4121" s="255">
        <v>5306.1640176740266</v>
      </c>
      <c r="K4121" s="593">
        <f t="shared" si="77"/>
        <v>2228589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69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799"/>
    </row>
    <row r="4122" spans="1:27" s="210" customFormat="1" ht="15.75" customHeight="1">
      <c r="A4122" s="203" t="str">
        <f>IF(B4122&lt;&gt;"",IF(AND(B4122&gt;=_TM1,B4122&lt;=_TM2,OR(TH!L4122="1111",TH!M4122="1111")),TH!D4122,""),"")</f>
        <v/>
      </c>
      <c r="B4122" s="36">
        <f t="shared" si="75"/>
        <v>4</v>
      </c>
      <c r="C4122" s="183">
        <f t="shared" si="76"/>
        <v>42123</v>
      </c>
      <c r="D4122" s="190" t="s">
        <v>2015</v>
      </c>
      <c r="E4122" s="190">
        <v>42123</v>
      </c>
      <c r="F4122" s="191" t="s">
        <v>413</v>
      </c>
      <c r="G4122" s="482" t="s">
        <v>622</v>
      </c>
      <c r="H4122" s="192" t="s">
        <v>2016</v>
      </c>
      <c r="I4122" s="255">
        <v>410</v>
      </c>
      <c r="J4122" s="255">
        <v>7413.0232599857718</v>
      </c>
      <c r="K4122" s="593">
        <f t="shared" si="77"/>
        <v>3039340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69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799"/>
    </row>
    <row r="4123" spans="1:27" s="210" customFormat="1" ht="15.75" customHeight="1">
      <c r="A4123" s="203" t="str">
        <f>IF(B4123&lt;&gt;"",IF(AND(B4123&gt;=_TM1,B4123&lt;=_TM2,OR(TH!L4123="1111",TH!M4123="1111")),TH!D4123,""),"")</f>
        <v/>
      </c>
      <c r="B4123" s="36">
        <f t="shared" si="75"/>
        <v>4</v>
      </c>
      <c r="C4123" s="183">
        <f t="shared" si="76"/>
        <v>42123</v>
      </c>
      <c r="D4123" s="190" t="s">
        <v>2015</v>
      </c>
      <c r="E4123" s="190">
        <v>42123</v>
      </c>
      <c r="F4123" s="191" t="s">
        <v>1712</v>
      </c>
      <c r="G4123" s="482" t="s">
        <v>623</v>
      </c>
      <c r="H4123" s="192" t="s">
        <v>2016</v>
      </c>
      <c r="I4123" s="255">
        <v>50</v>
      </c>
      <c r="J4123" s="255">
        <v>10846.423506716024</v>
      </c>
      <c r="K4123" s="593">
        <f t="shared" si="77"/>
        <v>542321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69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799"/>
    </row>
    <row r="4124" spans="1:27" s="210" customFormat="1" ht="15.75" customHeight="1">
      <c r="A4124" s="203" t="str">
        <f>IF(B4124&lt;&gt;"",IF(AND(B4124&gt;=_TM1,B4124&lt;=_TM2,OR(TH!L4124="1111",TH!M4124="1111")),TH!D4124,""),"")</f>
        <v/>
      </c>
      <c r="B4124" s="36">
        <f t="shared" si="75"/>
        <v>4</v>
      </c>
      <c r="C4124" s="183">
        <f t="shared" si="76"/>
        <v>42123</v>
      </c>
      <c r="D4124" s="190" t="s">
        <v>2015</v>
      </c>
      <c r="E4124" s="190">
        <v>42123</v>
      </c>
      <c r="F4124" s="191" t="s">
        <v>1713</v>
      </c>
      <c r="G4124" s="482" t="s">
        <v>623</v>
      </c>
      <c r="H4124" s="192" t="s">
        <v>2016</v>
      </c>
      <c r="I4124" s="255">
        <v>125</v>
      </c>
      <c r="J4124" s="255">
        <v>11314.614449451967</v>
      </c>
      <c r="K4124" s="593">
        <f t="shared" si="77"/>
        <v>1414327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69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799"/>
    </row>
    <row r="4125" spans="1:27" s="210" customFormat="1" ht="15.75" customHeight="1">
      <c r="A4125" s="203" t="str">
        <f>IF(B4125&lt;&gt;"",IF(AND(B4125&gt;=_TM1,B4125&lt;=_TM2,OR(TH!L4125="1111",TH!M4125="1111")),TH!D4125,""),"")</f>
        <v/>
      </c>
      <c r="B4125" s="36">
        <f t="shared" si="75"/>
        <v>4</v>
      </c>
      <c r="C4125" s="183">
        <f t="shared" si="76"/>
        <v>42123</v>
      </c>
      <c r="D4125" s="190" t="s">
        <v>2015</v>
      </c>
      <c r="E4125" s="190">
        <v>42123</v>
      </c>
      <c r="F4125" s="191" t="s">
        <v>1713</v>
      </c>
      <c r="G4125" s="482" t="s">
        <v>623</v>
      </c>
      <c r="H4125" s="192" t="s">
        <v>2016</v>
      </c>
      <c r="I4125" s="255">
        <v>150</v>
      </c>
      <c r="J4125" s="255">
        <v>11314.614449451967</v>
      </c>
      <c r="K4125" s="593">
        <f t="shared" si="77"/>
        <v>1697192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69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799"/>
    </row>
    <row r="4126" spans="1:27" s="210" customFormat="1" ht="15.75" customHeight="1">
      <c r="A4126" s="203" t="str">
        <f>IF(B4126&lt;&gt;"",IF(AND(B4126&gt;=_TM1,B4126&lt;=_TM2,OR(TH!L4126="1111",TH!M4126="1111")),TH!D4126,""),"")</f>
        <v/>
      </c>
      <c r="B4126" s="36">
        <f t="shared" si="75"/>
        <v>4</v>
      </c>
      <c r="C4126" s="183">
        <f t="shared" si="76"/>
        <v>42123</v>
      </c>
      <c r="D4126" s="190" t="s">
        <v>2015</v>
      </c>
      <c r="E4126" s="190">
        <v>42123</v>
      </c>
      <c r="F4126" s="191" t="s">
        <v>1714</v>
      </c>
      <c r="G4126" s="482" t="s">
        <v>623</v>
      </c>
      <c r="H4126" s="192" t="s">
        <v>2016</v>
      </c>
      <c r="I4126" s="255">
        <v>50</v>
      </c>
      <c r="J4126" s="255">
        <v>11548.70992081994</v>
      </c>
      <c r="K4126" s="593">
        <f t="shared" si="77"/>
        <v>577435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69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799"/>
    </row>
    <row r="4127" spans="1:27" s="210" customFormat="1" ht="15.75" customHeight="1">
      <c r="A4127" s="203" t="str">
        <f>IF(B4127&lt;&gt;"",IF(AND(B4127&gt;=_TM1,B4127&lt;=_TM2,OR(TH!L4127="1111",TH!M4127="1111")),TH!D4127,""),"")</f>
        <v/>
      </c>
      <c r="B4127" s="36">
        <f t="shared" si="75"/>
        <v>4</v>
      </c>
      <c r="C4127" s="183">
        <f t="shared" si="76"/>
        <v>42123</v>
      </c>
      <c r="D4127" s="190" t="s">
        <v>2015</v>
      </c>
      <c r="E4127" s="190">
        <v>42123</v>
      </c>
      <c r="F4127" s="191" t="s">
        <v>1715</v>
      </c>
      <c r="G4127" s="482" t="s">
        <v>623</v>
      </c>
      <c r="H4127" s="192" t="s">
        <v>2016</v>
      </c>
      <c r="I4127" s="255">
        <v>100</v>
      </c>
      <c r="J4127" s="255">
        <v>11626.741744609264</v>
      </c>
      <c r="K4127" s="593">
        <f t="shared" si="77"/>
        <v>1162674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69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799"/>
    </row>
    <row r="4128" spans="1:27" s="210" customFormat="1" ht="15.75" customHeight="1">
      <c r="A4128" s="203" t="str">
        <f>IF(B4128&lt;&gt;"",IF(AND(B4128&gt;=_TM1,B4128&lt;=_TM2,OR(TH!L4128="1111",TH!M4128="1111")),TH!D4128,""),"")</f>
        <v/>
      </c>
      <c r="B4128" s="36">
        <f t="shared" si="75"/>
        <v>4</v>
      </c>
      <c r="C4128" s="183">
        <f t="shared" si="76"/>
        <v>42123</v>
      </c>
      <c r="D4128" s="190" t="s">
        <v>2015</v>
      </c>
      <c r="E4128" s="190">
        <v>42123</v>
      </c>
      <c r="F4128" s="191" t="s">
        <v>624</v>
      </c>
      <c r="G4128" s="482" t="s">
        <v>625</v>
      </c>
      <c r="H4128" s="192" t="s">
        <v>2016</v>
      </c>
      <c r="I4128" s="255">
        <v>50</v>
      </c>
      <c r="J4128" s="255">
        <v>44946.330502650577</v>
      </c>
      <c r="K4128" s="593">
        <f t="shared" si="77"/>
        <v>2247317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69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799"/>
    </row>
    <row r="4129" spans="1:27" s="210" customFormat="1" ht="15.75" customHeight="1">
      <c r="A4129" s="203" t="str">
        <f>IF(B4129&lt;&gt;"",IF(AND(B4129&gt;=_TM1,B4129&lt;=_TM2,OR(TH!L4129="1111",TH!M4129="1111")),TH!D4129,""),"")</f>
        <v/>
      </c>
      <c r="B4129" s="36">
        <f t="shared" si="75"/>
        <v>4</v>
      </c>
      <c r="C4129" s="183">
        <f t="shared" si="76"/>
        <v>42123</v>
      </c>
      <c r="D4129" s="190" t="s">
        <v>2015</v>
      </c>
      <c r="E4129" s="190">
        <v>42123</v>
      </c>
      <c r="F4129" s="191" t="s">
        <v>626</v>
      </c>
      <c r="G4129" s="482" t="s">
        <v>625</v>
      </c>
      <c r="H4129" s="192" t="s">
        <v>2016</v>
      </c>
      <c r="I4129" s="255">
        <v>26</v>
      </c>
      <c r="J4129" s="255">
        <v>39484.102837397899</v>
      </c>
      <c r="K4129" s="593">
        <f t="shared" si="77"/>
        <v>1026587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69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799"/>
    </row>
    <row r="4130" spans="1:27" s="210" customFormat="1" ht="15.75" customHeight="1">
      <c r="A4130" s="203" t="str">
        <f>IF(B4130&lt;&gt;"",IF(AND(B4130&gt;=_TM1,B4130&lt;=_TM2,OR(TH!L4130="1111",TH!M4130="1111")),TH!D4130,""),"")</f>
        <v/>
      </c>
      <c r="B4130" s="36">
        <f t="shared" si="75"/>
        <v>4</v>
      </c>
      <c r="C4130" s="183">
        <f t="shared" si="76"/>
        <v>42123</v>
      </c>
      <c r="D4130" s="190" t="s">
        <v>2015</v>
      </c>
      <c r="E4130" s="190">
        <v>42123</v>
      </c>
      <c r="F4130" s="191" t="s">
        <v>627</v>
      </c>
      <c r="G4130" s="482" t="s">
        <v>625</v>
      </c>
      <c r="H4130" s="192" t="s">
        <v>2016</v>
      </c>
      <c r="I4130" s="255">
        <v>28</v>
      </c>
      <c r="J4130" s="255">
        <v>10924.455330505347</v>
      </c>
      <c r="K4130" s="593">
        <f t="shared" si="77"/>
        <v>305885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69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799"/>
    </row>
    <row r="4131" spans="1:27" s="210" customFormat="1" ht="15.75" customHeight="1">
      <c r="A4131" s="203" t="str">
        <f>IF(B4131&lt;&gt;"",IF(AND(B4131&gt;=_TM1,B4131&lt;=_TM2,OR(TH!L4131="1111",TH!M4131="1111")),TH!D4131,""),"")</f>
        <v/>
      </c>
      <c r="B4131" s="36">
        <f t="shared" si="75"/>
        <v>4</v>
      </c>
      <c r="C4131" s="183">
        <f t="shared" si="76"/>
        <v>42123</v>
      </c>
      <c r="D4131" s="190" t="s">
        <v>2015</v>
      </c>
      <c r="E4131" s="190">
        <v>42123</v>
      </c>
      <c r="F4131" s="191" t="s">
        <v>628</v>
      </c>
      <c r="G4131" s="482" t="s">
        <v>625</v>
      </c>
      <c r="H4131" s="192" t="s">
        <v>2016</v>
      </c>
      <c r="I4131" s="255">
        <v>52</v>
      </c>
      <c r="J4131" s="255">
        <v>58133.708723046322</v>
      </c>
      <c r="K4131" s="593">
        <f t="shared" si="77"/>
        <v>3022953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69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799"/>
    </row>
    <row r="4132" spans="1:27" s="210" customFormat="1" ht="15.75" customHeight="1">
      <c r="A4132" s="203" t="str">
        <f>IF(B4132&lt;&gt;"",IF(AND(B4132&gt;=_TM1,B4132&lt;=_TM2,OR(TH!L4132="1111",TH!M4132="1111")),TH!D4132,""),"")</f>
        <v/>
      </c>
      <c r="B4132" s="36">
        <f t="shared" si="75"/>
        <v>4</v>
      </c>
      <c r="C4132" s="183">
        <f t="shared" si="76"/>
        <v>42123</v>
      </c>
      <c r="D4132" s="190" t="s">
        <v>2015</v>
      </c>
      <c r="E4132" s="190">
        <v>42123</v>
      </c>
      <c r="F4132" s="191" t="s">
        <v>628</v>
      </c>
      <c r="G4132" s="482" t="s">
        <v>625</v>
      </c>
      <c r="H4132" s="192" t="s">
        <v>2016</v>
      </c>
      <c r="I4132" s="255">
        <v>7</v>
      </c>
      <c r="J4132" s="255">
        <v>58133.708723046322</v>
      </c>
      <c r="K4132" s="593">
        <f t="shared" si="77"/>
        <v>406936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69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799"/>
    </row>
    <row r="4133" spans="1:27" s="210" customFormat="1" ht="15.75" customHeight="1">
      <c r="A4133" s="203" t="str">
        <f>IF(B4133&lt;&gt;"",IF(AND(B4133&gt;=_TM1,B4133&lt;=_TM2,OR(TH!L4133="1111",TH!M4133="1111")),TH!D4133,""),"")</f>
        <v/>
      </c>
      <c r="B4133" s="36">
        <f t="shared" si="75"/>
        <v>4</v>
      </c>
      <c r="C4133" s="183">
        <f t="shared" si="76"/>
        <v>42124</v>
      </c>
      <c r="D4133" s="190" t="s">
        <v>2015</v>
      </c>
      <c r="E4133" s="190">
        <v>42124</v>
      </c>
      <c r="F4133" s="191" t="s">
        <v>1716</v>
      </c>
      <c r="G4133" s="482" t="s">
        <v>629</v>
      </c>
      <c r="H4133" s="192" t="s">
        <v>2016</v>
      </c>
      <c r="I4133" s="255">
        <v>130</v>
      </c>
      <c r="J4133" s="255">
        <v>10924.455330505347</v>
      </c>
      <c r="K4133" s="593">
        <f t="shared" si="77"/>
        <v>1420179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69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799"/>
    </row>
    <row r="4134" spans="1:27" s="210" customFormat="1" ht="15.75" customHeight="1">
      <c r="A4134" s="203" t="str">
        <f>IF(B4134&lt;&gt;"",IF(AND(B4134&gt;=_TM1,B4134&lt;=_TM2,OR(TH!L4134="1111",TH!M4134="1111")),TH!D4134,""),"")</f>
        <v/>
      </c>
      <c r="B4134" s="36">
        <f t="shared" si="75"/>
        <v>4</v>
      </c>
      <c r="C4134" s="183">
        <f t="shared" si="76"/>
        <v>42124</v>
      </c>
      <c r="D4134" s="190" t="s">
        <v>2015</v>
      </c>
      <c r="E4134" s="190">
        <v>42124</v>
      </c>
      <c r="F4134" s="191" t="s">
        <v>1717</v>
      </c>
      <c r="G4134" s="482" t="s">
        <v>629</v>
      </c>
      <c r="H4134" s="192" t="s">
        <v>2016</v>
      </c>
      <c r="I4134" s="255">
        <v>70</v>
      </c>
      <c r="J4134" s="255">
        <v>8193.3414978790115</v>
      </c>
      <c r="K4134" s="593">
        <f t="shared" si="77"/>
        <v>573534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69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799"/>
    </row>
    <row r="4135" spans="1:27" s="210" customFormat="1" ht="15.75" customHeight="1">
      <c r="A4135" s="203" t="str">
        <f>IF(B4135&lt;&gt;"",IF(AND(B4135&gt;=_TM1,B4135&lt;=_TM2,OR(TH!L4135="1111",TH!M4135="1111")),TH!D4135,""),"")</f>
        <v/>
      </c>
      <c r="B4135" s="36">
        <f t="shared" si="75"/>
        <v>4</v>
      </c>
      <c r="C4135" s="183">
        <f t="shared" si="76"/>
        <v>42124</v>
      </c>
      <c r="D4135" s="190" t="s">
        <v>2015</v>
      </c>
      <c r="E4135" s="190">
        <v>42124</v>
      </c>
      <c r="F4135" s="191" t="s">
        <v>1718</v>
      </c>
      <c r="G4135" s="482" t="s">
        <v>629</v>
      </c>
      <c r="H4135" s="192" t="s">
        <v>2016</v>
      </c>
      <c r="I4135" s="255">
        <v>120</v>
      </c>
      <c r="J4135" s="255">
        <v>10534.296211558729</v>
      </c>
      <c r="K4135" s="593">
        <f t="shared" si="77"/>
        <v>1264116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69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799"/>
    </row>
    <row r="4136" spans="1:27" s="210" customFormat="1" ht="15.75" customHeight="1">
      <c r="A4136" s="203" t="str">
        <f>IF(B4136&lt;&gt;"",IF(AND(B4136&gt;=_TM1,B4136&lt;=_TM2,OR(TH!L4136="1111",TH!M4136="1111")),TH!D4136,""),"")</f>
        <v/>
      </c>
      <c r="B4136" s="36">
        <f t="shared" si="75"/>
        <v>4</v>
      </c>
      <c r="C4136" s="183">
        <f t="shared" si="76"/>
        <v>42124</v>
      </c>
      <c r="D4136" s="190" t="s">
        <v>2015</v>
      </c>
      <c r="E4136" s="190">
        <v>42124</v>
      </c>
      <c r="F4136" s="191" t="s">
        <v>1719</v>
      </c>
      <c r="G4136" s="482" t="s">
        <v>629</v>
      </c>
      <c r="H4136" s="192" t="s">
        <v>2016</v>
      </c>
      <c r="I4136" s="255">
        <v>110</v>
      </c>
      <c r="J4136" s="255">
        <v>9988.0734450334621</v>
      </c>
      <c r="K4136" s="593">
        <f t="shared" si="77"/>
        <v>1098688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69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799"/>
    </row>
    <row r="4137" spans="1:27" s="210" customFormat="1" ht="15.75" customHeight="1">
      <c r="A4137" s="203" t="str">
        <f>IF(B4137&lt;&gt;"",IF(AND(B4137&gt;=_TM1,B4137&lt;=_TM2,OR(TH!L4137="1111",TH!M4137="1111")),TH!D4137,""),"")</f>
        <v/>
      </c>
      <c r="B4137" s="36">
        <f t="shared" si="75"/>
        <v>4</v>
      </c>
      <c r="C4137" s="183">
        <f t="shared" si="76"/>
        <v>42124</v>
      </c>
      <c r="D4137" s="190" t="s">
        <v>2015</v>
      </c>
      <c r="E4137" s="190">
        <v>42124</v>
      </c>
      <c r="F4137" s="191" t="s">
        <v>1720</v>
      </c>
      <c r="G4137" s="482" t="s">
        <v>629</v>
      </c>
      <c r="H4137" s="192" t="s">
        <v>2016</v>
      </c>
      <c r="I4137" s="255">
        <v>110</v>
      </c>
      <c r="J4137" s="255">
        <v>7100.8959648284763</v>
      </c>
      <c r="K4137" s="593">
        <f t="shared" si="77"/>
        <v>781099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69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799"/>
    </row>
    <row r="4138" spans="1:27" s="210" customFormat="1" ht="15.75" customHeight="1">
      <c r="A4138" s="203" t="str">
        <f>IF(B4138&lt;&gt;"",IF(AND(B4138&gt;=_TM1,B4138&lt;=_TM2,OR(TH!L4138="1111",TH!M4138="1111")),TH!D4138,""),"")</f>
        <v/>
      </c>
      <c r="B4138" s="36">
        <f t="shared" si="75"/>
        <v>4</v>
      </c>
      <c r="C4138" s="183">
        <f t="shared" si="76"/>
        <v>42124</v>
      </c>
      <c r="D4138" s="190" t="s">
        <v>2015</v>
      </c>
      <c r="E4138" s="190">
        <v>42124</v>
      </c>
      <c r="F4138" s="191" t="s">
        <v>1721</v>
      </c>
      <c r="G4138" s="482" t="s">
        <v>629</v>
      </c>
      <c r="H4138" s="192" t="s">
        <v>2016</v>
      </c>
      <c r="I4138" s="255">
        <v>2000</v>
      </c>
      <c r="J4138" s="255">
        <v>6632.705022092533</v>
      </c>
      <c r="K4138" s="593">
        <f t="shared" si="77"/>
        <v>13265410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69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799"/>
    </row>
    <row r="4139" spans="1:27" s="210" customFormat="1" ht="15.75" customHeight="1">
      <c r="A4139" s="203" t="str">
        <f>IF(B4139&lt;&gt;"",IF(AND(B4139&gt;=_TM1,B4139&lt;=_TM2,OR(TH!L4139="1111",TH!M4139="1111")),TH!D4139,""),"")</f>
        <v/>
      </c>
      <c r="B4139" s="36">
        <f t="shared" si="75"/>
        <v>4</v>
      </c>
      <c r="C4139" s="183">
        <f t="shared" si="76"/>
        <v>42124</v>
      </c>
      <c r="D4139" s="190" t="s">
        <v>2015</v>
      </c>
      <c r="E4139" s="190">
        <v>42124</v>
      </c>
      <c r="F4139" s="191" t="s">
        <v>616</v>
      </c>
      <c r="G4139" s="482" t="s">
        <v>630</v>
      </c>
      <c r="H4139" s="192" t="s">
        <v>2016</v>
      </c>
      <c r="I4139" s="255">
        <v>398</v>
      </c>
      <c r="J4139" s="255">
        <v>5150.1003700953788</v>
      </c>
      <c r="K4139" s="593">
        <f t="shared" si="77"/>
        <v>2049740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69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799"/>
    </row>
    <row r="4140" spans="1:27" s="210" customFormat="1" ht="15.75" customHeight="1">
      <c r="A4140" s="203" t="str">
        <f>IF(B4140&lt;&gt;"",IF(AND(B4140&gt;=_TM1,B4140&lt;=_TM2,OR(TH!L4140="1111",TH!M4140="1111")),TH!D4140,""),"")</f>
        <v/>
      </c>
      <c r="B4140" s="36">
        <f t="shared" si="75"/>
        <v>4</v>
      </c>
      <c r="C4140" s="183">
        <f t="shared" si="76"/>
        <v>42124</v>
      </c>
      <c r="D4140" s="190" t="s">
        <v>2015</v>
      </c>
      <c r="E4140" s="190">
        <v>42124</v>
      </c>
      <c r="F4140" s="191" t="s">
        <v>631</v>
      </c>
      <c r="G4140" s="482" t="s">
        <v>632</v>
      </c>
      <c r="H4140" s="192" t="s">
        <v>2016</v>
      </c>
      <c r="I4140" s="255">
        <v>300</v>
      </c>
      <c r="J4140" s="255">
        <v>6632.705022092533</v>
      </c>
      <c r="K4140" s="593">
        <f t="shared" si="77"/>
        <v>1989812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69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799"/>
    </row>
    <row r="4141" spans="1:27" s="210" customFormat="1" ht="15.75" customHeight="1">
      <c r="A4141" s="203" t="str">
        <f>IF(B4141&lt;&gt;"",IF(AND(B4141&gt;=_TM1,B4141&lt;=_TM2,OR(TH!L4141="1111",TH!M4141="1111")),TH!D4141,""),"")</f>
        <v/>
      </c>
      <c r="B4141" s="36">
        <f t="shared" si="75"/>
        <v>4</v>
      </c>
      <c r="C4141" s="183">
        <f t="shared" si="76"/>
        <v>42124</v>
      </c>
      <c r="D4141" s="190" t="s">
        <v>2015</v>
      </c>
      <c r="E4141" s="190">
        <v>42124</v>
      </c>
      <c r="F4141" s="191" t="s">
        <v>634</v>
      </c>
      <c r="G4141" s="482" t="s">
        <v>632</v>
      </c>
      <c r="H4141" s="192" t="s">
        <v>2016</v>
      </c>
      <c r="I4141" s="255">
        <v>108</v>
      </c>
      <c r="J4141" s="255">
        <v>8739.56426440428</v>
      </c>
      <c r="K4141" s="593">
        <f t="shared" si="77"/>
        <v>943873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69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799"/>
    </row>
    <row r="4142" spans="1:27" s="210" customFormat="1" ht="15.75" customHeight="1">
      <c r="A4142" s="203" t="str">
        <f>IF(B4142&lt;&gt;"",IF(AND(B4142&gt;=_TM1,B4142&lt;=_TM2,OR(TH!L4142="1111",TH!M4142="1111")),TH!D4142,""),"")</f>
        <v/>
      </c>
      <c r="B4142" s="36">
        <f t="shared" si="75"/>
        <v>4</v>
      </c>
      <c r="C4142" s="183">
        <f t="shared" si="76"/>
        <v>42124</v>
      </c>
      <c r="D4142" s="190" t="s">
        <v>2015</v>
      </c>
      <c r="E4142" s="190">
        <v>42124</v>
      </c>
      <c r="F4142" s="191" t="s">
        <v>635</v>
      </c>
      <c r="G4142" s="482" t="s">
        <v>632</v>
      </c>
      <c r="H4142" s="192" t="s">
        <v>2016</v>
      </c>
      <c r="I4142" s="255">
        <v>407</v>
      </c>
      <c r="J4142" s="255">
        <v>5696.3231366206455</v>
      </c>
      <c r="K4142" s="593">
        <f t="shared" si="77"/>
        <v>2318404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69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799"/>
    </row>
    <row r="4143" spans="1:27" s="210" customFormat="1" ht="15.75" customHeight="1">
      <c r="A4143" s="203" t="str">
        <f>IF(B4143&lt;&gt;"",IF(AND(B4143&gt;=_TM1,B4143&lt;=_TM2,OR(TH!L4143="1111",TH!M4143="1111")),TH!D4143,""),"")</f>
        <v/>
      </c>
      <c r="B4143" s="36">
        <f t="shared" si="75"/>
        <v>4</v>
      </c>
      <c r="C4143" s="183">
        <f t="shared" si="76"/>
        <v>42124</v>
      </c>
      <c r="D4143" s="190" t="s">
        <v>2015</v>
      </c>
      <c r="E4143" s="190">
        <v>42124</v>
      </c>
      <c r="F4143" s="191" t="s">
        <v>636</v>
      </c>
      <c r="G4143" s="482" t="s">
        <v>632</v>
      </c>
      <c r="H4143" s="192" t="s">
        <v>2016</v>
      </c>
      <c r="I4143" s="255">
        <v>303</v>
      </c>
      <c r="J4143" s="255">
        <v>7491.0550837750961</v>
      </c>
      <c r="K4143" s="593">
        <f t="shared" si="77"/>
        <v>2269790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69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799"/>
    </row>
    <row r="4144" spans="1:27" s="210" customFormat="1" ht="15.75" customHeight="1">
      <c r="A4144" s="203" t="str">
        <f>IF(B4144&lt;&gt;"",IF(AND(B4144&gt;=_TM1,B4144&lt;=_TM2,OR(TH!L4144="1111",TH!M4144="1111")),TH!D4144,""),"")</f>
        <v/>
      </c>
      <c r="B4144" s="36">
        <f t="shared" si="75"/>
        <v>4</v>
      </c>
      <c r="C4144" s="183">
        <f t="shared" si="76"/>
        <v>42124</v>
      </c>
      <c r="D4144" s="190" t="s">
        <v>2015</v>
      </c>
      <c r="E4144" s="190">
        <v>42124</v>
      </c>
      <c r="F4144" s="191" t="s">
        <v>635</v>
      </c>
      <c r="G4144" s="482" t="s">
        <v>632</v>
      </c>
      <c r="H4144" s="192" t="s">
        <v>2016</v>
      </c>
      <c r="I4144" s="255">
        <v>521</v>
      </c>
      <c r="J4144" s="255">
        <v>5696.3231366206455</v>
      </c>
      <c r="K4144" s="593">
        <f t="shared" si="77"/>
        <v>2967784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69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799"/>
    </row>
    <row r="4145" spans="1:27" s="210" customFormat="1" ht="15.75" customHeight="1">
      <c r="A4145" s="203" t="str">
        <f>IF(B4145&lt;&gt;"",IF(AND(B4145&gt;=_TM1,B4145&lt;=_TM2,OR(TH!L4145="1111",TH!M4145="1111")),TH!D4145,""),"")</f>
        <v/>
      </c>
      <c r="B4145" s="36">
        <f t="shared" si="75"/>
        <v>4</v>
      </c>
      <c r="C4145" s="183">
        <f t="shared" si="76"/>
        <v>42124</v>
      </c>
      <c r="D4145" s="190" t="s">
        <v>2015</v>
      </c>
      <c r="E4145" s="190">
        <v>42124</v>
      </c>
      <c r="F4145" s="191" t="s">
        <v>637</v>
      </c>
      <c r="G4145" s="482" t="s">
        <v>632</v>
      </c>
      <c r="H4145" s="192" t="s">
        <v>2016</v>
      </c>
      <c r="I4145" s="255">
        <v>304</v>
      </c>
      <c r="J4145" s="255">
        <v>7959.2460265110394</v>
      </c>
      <c r="K4145" s="593">
        <f t="shared" si="77"/>
        <v>2419611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69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799"/>
    </row>
    <row r="4146" spans="1:27" s="210" customFormat="1" ht="15.75" customHeight="1">
      <c r="A4146" s="203" t="str">
        <f>IF(B4146&lt;&gt;"",IF(AND(B4146&gt;=_TM1,B4146&lt;=_TM2,OR(TH!L4146="1111",TH!M4146="1111")),TH!D4146,""),"")</f>
        <v/>
      </c>
      <c r="B4146" s="36">
        <f t="shared" si="75"/>
        <v>4</v>
      </c>
      <c r="C4146" s="183">
        <f t="shared" si="76"/>
        <v>42124</v>
      </c>
      <c r="D4146" s="190" t="s">
        <v>2015</v>
      </c>
      <c r="E4146" s="190">
        <v>42124</v>
      </c>
      <c r="F4146" s="191" t="s">
        <v>638</v>
      </c>
      <c r="G4146" s="482" t="s">
        <v>632</v>
      </c>
      <c r="H4146" s="192" t="s">
        <v>2016</v>
      </c>
      <c r="I4146" s="255">
        <v>307</v>
      </c>
      <c r="J4146" s="255">
        <v>6788.7686696711808</v>
      </c>
      <c r="K4146" s="593">
        <f t="shared" si="77"/>
        <v>2084152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69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799"/>
    </row>
    <row r="4147" spans="1:27" s="210" customFormat="1" ht="15.75" customHeight="1">
      <c r="A4147" s="203" t="str">
        <f>IF(B4147&lt;&gt;"",IF(AND(B4147&gt;=_TM1,B4147&lt;=_TM2,OR(TH!L4147="1111",TH!M4147="1111")),TH!D4147,""),"")</f>
        <v/>
      </c>
      <c r="B4147" s="36">
        <f t="shared" si="75"/>
        <v>5</v>
      </c>
      <c r="C4147" s="183">
        <f t="shared" si="76"/>
        <v>42127</v>
      </c>
      <c r="D4147" s="190" t="s">
        <v>2015</v>
      </c>
      <c r="E4147" s="190">
        <v>42127</v>
      </c>
      <c r="F4147" s="191" t="s">
        <v>1702</v>
      </c>
      <c r="G4147" s="482" t="s">
        <v>639</v>
      </c>
      <c r="H4147" s="192" t="s">
        <v>2016</v>
      </c>
      <c r="I4147" s="255">
        <v>2000</v>
      </c>
      <c r="J4147" s="255">
        <v>9675.9461498761648</v>
      </c>
      <c r="K4147" s="593">
        <f t="shared" si="77"/>
        <v>19351892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69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799"/>
    </row>
    <row r="4148" spans="1:27" s="210" customFormat="1" ht="15.75" customHeight="1">
      <c r="A4148" s="203" t="str">
        <f>IF(B4148&lt;&gt;"",IF(AND(B4148&gt;=_TM1,B4148&lt;=_TM2,OR(TH!L4148="1111",TH!M4148="1111")),TH!D4148,""),"")</f>
        <v/>
      </c>
      <c r="B4148" s="36">
        <f t="shared" si="75"/>
        <v>5</v>
      </c>
      <c r="C4148" s="183">
        <f t="shared" si="76"/>
        <v>42127</v>
      </c>
      <c r="D4148" s="190" t="s">
        <v>2015</v>
      </c>
      <c r="E4148" s="190">
        <v>42127</v>
      </c>
      <c r="F4148" s="191" t="s">
        <v>1702</v>
      </c>
      <c r="G4148" s="482" t="s">
        <v>639</v>
      </c>
      <c r="H4148" s="192" t="s">
        <v>2016</v>
      </c>
      <c r="I4148" s="255">
        <v>300</v>
      </c>
      <c r="J4148" s="255">
        <v>9675.9461498761648</v>
      </c>
      <c r="K4148" s="593">
        <f t="shared" si="77"/>
        <v>2902784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69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799"/>
    </row>
    <row r="4149" spans="1:27" s="210" customFormat="1" ht="15.75" customHeight="1">
      <c r="A4149" s="203" t="str">
        <f>IF(B4149&lt;&gt;"",IF(AND(B4149&gt;=_TM1,B4149&lt;=_TM2,OR(TH!L4149="1111",TH!M4149="1111")),TH!D4149,""),"")</f>
        <v/>
      </c>
      <c r="B4149" s="36">
        <f t="shared" si="75"/>
        <v>5</v>
      </c>
      <c r="C4149" s="183">
        <f t="shared" si="76"/>
        <v>42133</v>
      </c>
      <c r="D4149" s="190" t="s">
        <v>2015</v>
      </c>
      <c r="E4149" s="190">
        <v>42133</v>
      </c>
      <c r="F4149" s="191" t="s">
        <v>518</v>
      </c>
      <c r="G4149" s="482" t="s">
        <v>640</v>
      </c>
      <c r="H4149" s="192" t="s">
        <v>2016</v>
      </c>
      <c r="I4149" s="255">
        <v>1063</v>
      </c>
      <c r="J4149" s="255">
        <v>8115.3096740896872</v>
      </c>
      <c r="K4149" s="593">
        <f t="shared" si="77"/>
        <v>8626574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69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799"/>
    </row>
    <row r="4150" spans="1:27" s="210" customFormat="1" ht="15.75" customHeight="1">
      <c r="A4150" s="203" t="str">
        <f>IF(B4150&lt;&gt;"",IF(AND(B4150&gt;=_TM1,B4150&lt;=_TM2,OR(TH!L4150="1111",TH!M4150="1111")),TH!D4150,""),"")</f>
        <v/>
      </c>
      <c r="B4150" s="36">
        <f t="shared" si="75"/>
        <v>5</v>
      </c>
      <c r="C4150" s="183">
        <f t="shared" si="76"/>
        <v>42133</v>
      </c>
      <c r="D4150" s="190" t="s">
        <v>2015</v>
      </c>
      <c r="E4150" s="190">
        <v>42133</v>
      </c>
      <c r="F4150" s="191" t="s">
        <v>516</v>
      </c>
      <c r="G4150" s="482" t="s">
        <v>640</v>
      </c>
      <c r="H4150" s="192" t="s">
        <v>2016</v>
      </c>
      <c r="I4150" s="255">
        <v>406</v>
      </c>
      <c r="J4150" s="255">
        <v>7491.0550837750961</v>
      </c>
      <c r="K4150" s="593">
        <f t="shared" si="77"/>
        <v>3041368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69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799"/>
    </row>
    <row r="4151" spans="1:27" s="210" customFormat="1" ht="15.75" customHeight="1">
      <c r="A4151" s="203" t="str">
        <f>IF(B4151&lt;&gt;"",IF(AND(B4151&gt;=_TM1,B4151&lt;=_TM2,OR(TH!L4151="1111",TH!M4151="1111")),TH!D4151,""),"")</f>
        <v/>
      </c>
      <c r="B4151" s="36">
        <f t="shared" si="75"/>
        <v>5</v>
      </c>
      <c r="C4151" s="183">
        <f t="shared" si="76"/>
        <v>42133</v>
      </c>
      <c r="D4151" s="190" t="s">
        <v>2015</v>
      </c>
      <c r="E4151" s="190">
        <v>42133</v>
      </c>
      <c r="F4151" s="191" t="s">
        <v>413</v>
      </c>
      <c r="G4151" s="482" t="s">
        <v>641</v>
      </c>
      <c r="H4151" s="192" t="s">
        <v>2016</v>
      </c>
      <c r="I4151" s="255">
        <v>298</v>
      </c>
      <c r="J4151" s="255">
        <v>7413.0232599857718</v>
      </c>
      <c r="K4151" s="593">
        <f t="shared" si="77"/>
        <v>2209081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69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799"/>
    </row>
    <row r="4152" spans="1:27" s="210" customFormat="1" ht="15.75" customHeight="1">
      <c r="A4152" s="203" t="str">
        <f>IF(B4152&lt;&gt;"",IF(AND(B4152&gt;=_TM1,B4152&lt;=_TM2,OR(TH!L4152="1111",TH!M4152="1111")),TH!D4152,""),"")</f>
        <v/>
      </c>
      <c r="B4152" s="36">
        <f t="shared" si="75"/>
        <v>5</v>
      </c>
      <c r="C4152" s="183">
        <f t="shared" si="76"/>
        <v>42136</v>
      </c>
      <c r="D4152" s="190" t="s">
        <v>2015</v>
      </c>
      <c r="E4152" s="190">
        <v>42136</v>
      </c>
      <c r="F4152" s="191" t="s">
        <v>519</v>
      </c>
      <c r="G4152" s="482" t="s">
        <v>642</v>
      </c>
      <c r="H4152" s="192" t="s">
        <v>2016</v>
      </c>
      <c r="I4152" s="255">
        <v>1161</v>
      </c>
      <c r="J4152" s="255">
        <v>8739.56426440428</v>
      </c>
      <c r="K4152" s="593">
        <f t="shared" si="77"/>
        <v>10146634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69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799"/>
    </row>
    <row r="4153" spans="1:27" s="210" customFormat="1" ht="15.75" customHeight="1">
      <c r="A4153" s="203" t="str">
        <f>IF(B4153&lt;&gt;"",IF(AND(B4153&gt;=_TM1,B4153&lt;=_TM2,OR(TH!L4153="1111",TH!M4153="1111")),TH!D4153,""),"")</f>
        <v/>
      </c>
      <c r="B4153" s="36">
        <f t="shared" si="75"/>
        <v>5</v>
      </c>
      <c r="C4153" s="183">
        <f t="shared" si="76"/>
        <v>42136</v>
      </c>
      <c r="D4153" s="190" t="s">
        <v>2015</v>
      </c>
      <c r="E4153" s="190">
        <v>42136</v>
      </c>
      <c r="F4153" s="191" t="s">
        <v>1661</v>
      </c>
      <c r="G4153" s="482" t="s">
        <v>642</v>
      </c>
      <c r="H4153" s="192" t="s">
        <v>2016</v>
      </c>
      <c r="I4153" s="255">
        <v>2330</v>
      </c>
      <c r="J4153" s="255">
        <v>468.19094273594351</v>
      </c>
      <c r="K4153" s="593">
        <f t="shared" si="77"/>
        <v>1090885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69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799"/>
    </row>
    <row r="4154" spans="1:27" s="210" customFormat="1" ht="15.75" customHeight="1">
      <c r="A4154" s="203" t="str">
        <f>IF(B4154&lt;&gt;"",IF(AND(B4154&gt;=_TM1,B4154&lt;=_TM2,OR(TH!L4154="1111",TH!M4154="1111")),TH!D4154,""),"")</f>
        <v/>
      </c>
      <c r="B4154" s="36">
        <f t="shared" si="75"/>
        <v>5</v>
      </c>
      <c r="C4154" s="183">
        <f t="shared" si="76"/>
        <v>42137</v>
      </c>
      <c r="D4154" s="190" t="s">
        <v>2015</v>
      </c>
      <c r="E4154" s="190">
        <v>42137</v>
      </c>
      <c r="F4154" s="191" t="s">
        <v>643</v>
      </c>
      <c r="G4154" s="482" t="s">
        <v>644</v>
      </c>
      <c r="H4154" s="192" t="s">
        <v>2016</v>
      </c>
      <c r="I4154" s="255">
        <v>200</v>
      </c>
      <c r="J4154" s="255">
        <v>7725.1505551430673</v>
      </c>
      <c r="K4154" s="593">
        <f t="shared" si="77"/>
        <v>1545030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69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799"/>
    </row>
    <row r="4155" spans="1:27" s="210" customFormat="1" ht="15.75" customHeight="1">
      <c r="A4155" s="203" t="str">
        <f>IF(B4155&lt;&gt;"",IF(AND(B4155&gt;=_TM1,B4155&lt;=_TM2,OR(TH!L4155="1111",TH!M4155="1111")),TH!D4155,""),"")</f>
        <v/>
      </c>
      <c r="B4155" s="36">
        <f t="shared" si="75"/>
        <v>5</v>
      </c>
      <c r="C4155" s="183">
        <f t="shared" si="76"/>
        <v>42139</v>
      </c>
      <c r="D4155" s="190" t="s">
        <v>2015</v>
      </c>
      <c r="E4155" s="190">
        <v>42139</v>
      </c>
      <c r="F4155" s="191" t="s">
        <v>646</v>
      </c>
      <c r="G4155" s="482" t="s">
        <v>647</v>
      </c>
      <c r="H4155" s="192" t="s">
        <v>2016</v>
      </c>
      <c r="I4155" s="255">
        <v>157</v>
      </c>
      <c r="J4155" s="255">
        <v>6788.7686696711808</v>
      </c>
      <c r="K4155" s="593">
        <f t="shared" si="77"/>
        <v>1065837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69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799"/>
    </row>
    <row r="4156" spans="1:27" s="210" customFormat="1" ht="15.75" customHeight="1">
      <c r="A4156" s="203" t="str">
        <f>IF(B4156&lt;&gt;"",IF(AND(B4156&gt;=_TM1,B4156&lt;=_TM2,OR(TH!L4156="1111",TH!M4156="1111")),TH!D4156,""),"")</f>
        <v/>
      </c>
      <c r="B4156" s="36">
        <f t="shared" si="75"/>
        <v>5</v>
      </c>
      <c r="C4156" s="183">
        <f t="shared" si="76"/>
        <v>42139</v>
      </c>
      <c r="D4156" s="190" t="s">
        <v>2015</v>
      </c>
      <c r="E4156" s="190">
        <v>42139</v>
      </c>
      <c r="F4156" s="191" t="s">
        <v>1666</v>
      </c>
      <c r="G4156" s="482" t="s">
        <v>647</v>
      </c>
      <c r="H4156" s="192" t="s">
        <v>2016</v>
      </c>
      <c r="I4156" s="255">
        <v>314</v>
      </c>
      <c r="J4156" s="255">
        <v>1014.4137092612109</v>
      </c>
      <c r="K4156" s="593">
        <f t="shared" si="77"/>
        <v>318526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69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799"/>
    </row>
    <row r="4157" spans="1:27" s="210" customFormat="1" ht="15.75" customHeight="1">
      <c r="A4157" s="203" t="str">
        <f>IF(B4157&lt;&gt;"",IF(AND(B4157&gt;=_TM1,B4157&lt;=_TM2,OR(TH!L4157="1111",TH!M4157="1111")),TH!D4157,""),"")</f>
        <v/>
      </c>
      <c r="B4157" s="36">
        <f t="shared" si="75"/>
        <v>5</v>
      </c>
      <c r="C4157" s="183">
        <f t="shared" si="76"/>
        <v>42144</v>
      </c>
      <c r="D4157" s="190" t="s">
        <v>2015</v>
      </c>
      <c r="E4157" s="190">
        <v>42144</v>
      </c>
      <c r="F4157" s="191" t="s">
        <v>648</v>
      </c>
      <c r="G4157" s="482" t="s">
        <v>649</v>
      </c>
      <c r="H4157" s="192" t="s">
        <v>2016</v>
      </c>
      <c r="I4157" s="255">
        <v>52</v>
      </c>
      <c r="J4157" s="255">
        <v>12172.964511134531</v>
      </c>
      <c r="K4157" s="593">
        <f t="shared" si="77"/>
        <v>632994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69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799"/>
    </row>
    <row r="4158" spans="1:27" s="210" customFormat="1" ht="15.75" customHeight="1">
      <c r="A4158" s="203" t="str">
        <f>IF(B4158&lt;&gt;"",IF(AND(B4158&gt;=_TM1,B4158&lt;=_TM2,OR(TH!L4158="1111",TH!M4158="1111")),TH!D4158,""),"")</f>
        <v/>
      </c>
      <c r="B4158" s="36">
        <f t="shared" si="75"/>
        <v>5</v>
      </c>
      <c r="C4158" s="183">
        <f t="shared" si="76"/>
        <v>42144</v>
      </c>
      <c r="D4158" s="190" t="s">
        <v>2015</v>
      </c>
      <c r="E4158" s="190">
        <v>42144</v>
      </c>
      <c r="F4158" s="191" t="s">
        <v>650</v>
      </c>
      <c r="G4158" s="482" t="s">
        <v>649</v>
      </c>
      <c r="H4158" s="192" t="s">
        <v>2016</v>
      </c>
      <c r="I4158" s="255">
        <v>260</v>
      </c>
      <c r="J4158" s="255">
        <v>10612.328035348053</v>
      </c>
      <c r="K4158" s="593">
        <f t="shared" si="77"/>
        <v>2759205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69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799"/>
    </row>
    <row r="4159" spans="1:27" s="210" customFormat="1" ht="15.75" customHeight="1">
      <c r="A4159" s="203" t="str">
        <f>IF(B4159&lt;&gt;"",IF(AND(B4159&gt;=_TM1,B4159&lt;=_TM2,OR(TH!L4159="1111",TH!M4159="1111")),TH!D4159,""),"")</f>
        <v/>
      </c>
      <c r="B4159" s="36">
        <f t="shared" si="75"/>
        <v>5</v>
      </c>
      <c r="C4159" s="183">
        <f t="shared" si="76"/>
        <v>42144</v>
      </c>
      <c r="D4159" s="190" t="s">
        <v>2015</v>
      </c>
      <c r="E4159" s="190">
        <v>42144</v>
      </c>
      <c r="F4159" s="191" t="s">
        <v>602</v>
      </c>
      <c r="G4159" s="482" t="s">
        <v>649</v>
      </c>
      <c r="H4159" s="192" t="s">
        <v>2016</v>
      </c>
      <c r="I4159" s="255">
        <v>924</v>
      </c>
      <c r="J4159" s="255">
        <v>9832.0097974548135</v>
      </c>
      <c r="K4159" s="593">
        <f t="shared" si="77"/>
        <v>9084777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69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799"/>
    </row>
    <row r="4160" spans="1:27" s="210" customFormat="1" ht="15.75" customHeight="1">
      <c r="A4160" s="203" t="str">
        <f>IF(B4160&lt;&gt;"",IF(AND(B4160&gt;=_TM1,B4160&lt;=_TM2,OR(TH!L4160="1111",TH!M4160="1111")),TH!D4160,""),"")</f>
        <v/>
      </c>
      <c r="B4160" s="36">
        <f t="shared" si="75"/>
        <v>5</v>
      </c>
      <c r="C4160" s="183">
        <f t="shared" si="76"/>
        <v>42144</v>
      </c>
      <c r="D4160" s="190" t="s">
        <v>2015</v>
      </c>
      <c r="E4160" s="190">
        <v>42144</v>
      </c>
      <c r="F4160" s="191" t="s">
        <v>1140</v>
      </c>
      <c r="G4160" s="482" t="s">
        <v>651</v>
      </c>
      <c r="H4160" s="192" t="s">
        <v>2016</v>
      </c>
      <c r="I4160" s="255">
        <v>50</v>
      </c>
      <c r="J4160" s="255">
        <v>8895.6279119829251</v>
      </c>
      <c r="K4160" s="593">
        <f t="shared" si="77"/>
        <v>444781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69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799"/>
    </row>
    <row r="4161" spans="1:27" s="210" customFormat="1" ht="15.75" customHeight="1">
      <c r="A4161" s="203" t="str">
        <f>IF(B4161&lt;&gt;"",IF(AND(B4161&gt;=_TM1,B4161&lt;=_TM2,OR(TH!L4161="1111",TH!M4161="1111")),TH!D4161,""),"")</f>
        <v/>
      </c>
      <c r="B4161" s="36">
        <f t="shared" si="75"/>
        <v>5</v>
      </c>
      <c r="C4161" s="183">
        <f t="shared" si="76"/>
        <v>42144</v>
      </c>
      <c r="D4161" s="190" t="s">
        <v>2015</v>
      </c>
      <c r="E4161" s="190">
        <v>42144</v>
      </c>
      <c r="F4161" s="191" t="s">
        <v>1140</v>
      </c>
      <c r="G4161" s="482" t="s">
        <v>651</v>
      </c>
      <c r="H4161" s="192" t="s">
        <v>2016</v>
      </c>
      <c r="I4161" s="255">
        <v>669</v>
      </c>
      <c r="J4161" s="255">
        <v>8895.6279119829251</v>
      </c>
      <c r="K4161" s="593">
        <f t="shared" si="77"/>
        <v>5951175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69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799"/>
    </row>
    <row r="4162" spans="1:27" s="210" customFormat="1" ht="15.75" customHeight="1">
      <c r="A4162" s="203" t="str">
        <f>IF(B4162&lt;&gt;"",IF(AND(B4162&gt;=_TM1,B4162&lt;=_TM2,OR(TH!L4162="1111",TH!M4162="1111")),TH!D4162,""),"")</f>
        <v/>
      </c>
      <c r="B4162" s="36">
        <f t="shared" si="75"/>
        <v>5</v>
      </c>
      <c r="C4162" s="183">
        <f t="shared" si="76"/>
        <v>42144</v>
      </c>
      <c r="D4162" s="190" t="s">
        <v>2015</v>
      </c>
      <c r="E4162" s="190">
        <v>42144</v>
      </c>
      <c r="F4162" s="191" t="s">
        <v>1654</v>
      </c>
      <c r="G4162" s="482" t="s">
        <v>651</v>
      </c>
      <c r="H4162" s="192" t="s">
        <v>2016</v>
      </c>
      <c r="I4162" s="255">
        <v>1438</v>
      </c>
      <c r="J4162" s="255">
        <v>780.31823789323926</v>
      </c>
      <c r="K4162" s="593">
        <f t="shared" si="77"/>
        <v>1122098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69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799"/>
    </row>
    <row r="4163" spans="1:27" s="210" customFormat="1" ht="15.75" customHeight="1">
      <c r="A4163" s="203" t="str">
        <f>IF(B4163&lt;&gt;"",IF(AND(B4163&gt;=_TM1,B4163&lt;=_TM2,OR(TH!L4163="1111",TH!M4163="1111")),TH!D4163,""),"")</f>
        <v/>
      </c>
      <c r="B4163" s="36">
        <f t="shared" si="75"/>
        <v>5</v>
      </c>
      <c r="C4163" s="183">
        <f t="shared" si="76"/>
        <v>42144</v>
      </c>
      <c r="D4163" s="190" t="s">
        <v>2015</v>
      </c>
      <c r="E4163" s="190">
        <v>42144</v>
      </c>
      <c r="F4163" s="191" t="s">
        <v>494</v>
      </c>
      <c r="G4163" s="482" t="s">
        <v>652</v>
      </c>
      <c r="H4163" s="192" t="s">
        <v>2016</v>
      </c>
      <c r="I4163" s="255">
        <v>432</v>
      </c>
      <c r="J4163" s="255">
        <v>5306.1640176740266</v>
      </c>
      <c r="K4163" s="593">
        <f t="shared" si="77"/>
        <v>2292263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69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799"/>
    </row>
    <row r="4164" spans="1:27" s="210" customFormat="1" ht="15.75" customHeight="1">
      <c r="A4164" s="203" t="str">
        <f>IF(B4164&lt;&gt;"",IF(AND(B4164&gt;=_TM1,B4164&lt;=_TM2,OR(TH!L4164="1111",TH!M4164="1111")),TH!D4164,""),"")</f>
        <v/>
      </c>
      <c r="B4164" s="36">
        <f t="shared" si="75"/>
        <v>5</v>
      </c>
      <c r="C4164" s="183">
        <f t="shared" si="76"/>
        <v>42144</v>
      </c>
      <c r="D4164" s="190" t="s">
        <v>2015</v>
      </c>
      <c r="E4164" s="190">
        <v>42144</v>
      </c>
      <c r="F4164" s="191" t="s">
        <v>653</v>
      </c>
      <c r="G4164" s="482" t="s">
        <v>656</v>
      </c>
      <c r="H4164" s="192" t="s">
        <v>2016</v>
      </c>
      <c r="I4164" s="255">
        <v>3024</v>
      </c>
      <c r="J4164" s="255">
        <v>6710.7368458818564</v>
      </c>
      <c r="K4164" s="593">
        <f t="shared" si="77"/>
        <v>20293268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69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799"/>
    </row>
    <row r="4165" spans="1:27" s="210" customFormat="1" ht="15.75" customHeight="1">
      <c r="A4165" s="203" t="str">
        <f>IF(B4165&lt;&gt;"",IF(AND(B4165&gt;=_TM1,B4165&lt;=_TM2,OR(TH!L4165="1111",TH!M4165="1111")),TH!D4165,""),"")</f>
        <v/>
      </c>
      <c r="B4165" s="36">
        <f t="shared" si="75"/>
        <v>5</v>
      </c>
      <c r="C4165" s="183">
        <f t="shared" si="76"/>
        <v>42144</v>
      </c>
      <c r="D4165" s="190" t="s">
        <v>2015</v>
      </c>
      <c r="E4165" s="190">
        <v>42144</v>
      </c>
      <c r="F4165" s="191" t="s">
        <v>654</v>
      </c>
      <c r="G4165" s="482" t="s">
        <v>656</v>
      </c>
      <c r="H4165" s="192" t="s">
        <v>2016</v>
      </c>
      <c r="I4165" s="255">
        <v>161</v>
      </c>
      <c r="J4165" s="255">
        <v>12329.028158713179</v>
      </c>
      <c r="K4165" s="593">
        <f t="shared" si="77"/>
        <v>1984974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69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799"/>
    </row>
    <row r="4166" spans="1:27" s="210" customFormat="1" ht="15.75" customHeight="1">
      <c r="A4166" s="203" t="str">
        <f>IF(B4166&lt;&gt;"",IF(AND(B4166&gt;=_TM1,B4166&lt;=_TM2,OR(TH!L4166="1111",TH!M4166="1111")),TH!D4166,""),"")</f>
        <v/>
      </c>
      <c r="B4166" s="36">
        <f t="shared" si="75"/>
        <v>5</v>
      </c>
      <c r="C4166" s="183">
        <f t="shared" si="76"/>
        <v>42144</v>
      </c>
      <c r="D4166" s="190" t="s">
        <v>2015</v>
      </c>
      <c r="E4166" s="190">
        <v>42144</v>
      </c>
      <c r="F4166" s="191" t="s">
        <v>655</v>
      </c>
      <c r="G4166" s="482" t="s">
        <v>656</v>
      </c>
      <c r="H4166" s="192" t="s">
        <v>2016</v>
      </c>
      <c r="I4166" s="255">
        <v>21</v>
      </c>
      <c r="J4166" s="255">
        <v>11080.518978083996</v>
      </c>
      <c r="K4166" s="593">
        <f t="shared" si="77"/>
        <v>232691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69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799"/>
    </row>
    <row r="4167" spans="1:27" s="210" customFormat="1" ht="15.75" customHeight="1">
      <c r="A4167" s="203" t="str">
        <f>IF(B4167&lt;&gt;"",IF(AND(B4167&gt;=_TM1,B4167&lt;=_TM2,OR(TH!L4167="1111",TH!M4167="1111")),TH!D4167,""),"")</f>
        <v/>
      </c>
      <c r="B4167" s="36">
        <f t="shared" si="75"/>
        <v>5</v>
      </c>
      <c r="C4167" s="183">
        <f t="shared" si="76"/>
        <v>42144</v>
      </c>
      <c r="D4167" s="190" t="s">
        <v>2015</v>
      </c>
      <c r="E4167" s="190">
        <v>42144</v>
      </c>
      <c r="F4167" s="191" t="s">
        <v>1663</v>
      </c>
      <c r="G4167" s="482" t="s">
        <v>656</v>
      </c>
      <c r="H4167" s="192" t="s">
        <v>2016</v>
      </c>
      <c r="I4167" s="255">
        <v>6048</v>
      </c>
      <c r="J4167" s="255">
        <v>312.12729515729569</v>
      </c>
      <c r="K4167" s="593">
        <f t="shared" si="77"/>
        <v>1887746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69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799"/>
    </row>
    <row r="4168" spans="1:27" s="210" customFormat="1" ht="15.75" customHeight="1">
      <c r="A4168" s="203" t="str">
        <f>IF(B4168&lt;&gt;"",IF(AND(B4168&gt;=_TM1,B4168&lt;=_TM2,OR(TH!L4168="1111",TH!M4168="1111")),TH!D4168,""),"")</f>
        <v/>
      </c>
      <c r="B4168" s="36">
        <f t="shared" si="75"/>
        <v>5</v>
      </c>
      <c r="C4168" s="183">
        <f t="shared" si="76"/>
        <v>42144</v>
      </c>
      <c r="D4168" s="190" t="s">
        <v>2015</v>
      </c>
      <c r="E4168" s="190">
        <v>42144</v>
      </c>
      <c r="F4168" s="191" t="s">
        <v>1664</v>
      </c>
      <c r="G4168" s="482" t="s">
        <v>656</v>
      </c>
      <c r="H4168" s="192" t="s">
        <v>2016</v>
      </c>
      <c r="I4168" s="255">
        <v>364</v>
      </c>
      <c r="J4168" s="255">
        <v>624.25459031459138</v>
      </c>
      <c r="K4168" s="593">
        <f t="shared" si="77"/>
        <v>227229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69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799"/>
    </row>
    <row r="4169" spans="1:27" s="210" customFormat="1" ht="15.75" customHeight="1">
      <c r="A4169" s="203" t="str">
        <f>IF(B4169&lt;&gt;"",IF(AND(B4169&gt;=_TM1,B4169&lt;=_TM2,OR(TH!L4169="1111",TH!M4169="1111")),TH!D4169,""),"")</f>
        <v/>
      </c>
      <c r="B4169" s="36">
        <f t="shared" si="75"/>
        <v>5</v>
      </c>
      <c r="C4169" s="183">
        <f t="shared" si="76"/>
        <v>42144</v>
      </c>
      <c r="D4169" s="190" t="s">
        <v>2015</v>
      </c>
      <c r="E4169" s="190">
        <v>42144</v>
      </c>
      <c r="F4169" s="191" t="s">
        <v>1722</v>
      </c>
      <c r="G4169" s="482" t="s">
        <v>657</v>
      </c>
      <c r="H4169" s="192" t="s">
        <v>2016</v>
      </c>
      <c r="I4169" s="255">
        <v>250</v>
      </c>
      <c r="J4169" s="255">
        <v>13499.505515553037</v>
      </c>
      <c r="K4169" s="593">
        <f t="shared" si="77"/>
        <v>3374876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69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799"/>
    </row>
    <row r="4170" spans="1:27" s="210" customFormat="1" ht="15.75" customHeight="1">
      <c r="A4170" s="203" t="str">
        <f>IF(B4170&lt;&gt;"",IF(AND(B4170&gt;=_TM1,B4170&lt;=_TM2,OR(TH!L4170="1111",TH!M4170="1111")),TH!D4170,""),"")</f>
        <v/>
      </c>
      <c r="B4170" s="36">
        <f t="shared" si="75"/>
        <v>5</v>
      </c>
      <c r="C4170" s="183">
        <f t="shared" si="76"/>
        <v>42144</v>
      </c>
      <c r="D4170" s="190" t="s">
        <v>2015</v>
      </c>
      <c r="E4170" s="190">
        <v>42144</v>
      </c>
      <c r="F4170" s="191" t="s">
        <v>1723</v>
      </c>
      <c r="G4170" s="482" t="s">
        <v>657</v>
      </c>
      <c r="H4170" s="192" t="s">
        <v>2016</v>
      </c>
      <c r="I4170" s="255">
        <v>75</v>
      </c>
      <c r="J4170" s="255">
        <v>10924.455330505347</v>
      </c>
      <c r="K4170" s="593">
        <f t="shared" si="77"/>
        <v>819334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69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799"/>
    </row>
    <row r="4171" spans="1:27" s="210" customFormat="1" ht="15.75" customHeight="1">
      <c r="A4171" s="203" t="str">
        <f>IF(B4171&lt;&gt;"",IF(AND(B4171&gt;=_TM1,B4171&lt;=_TM2,OR(TH!L4171="1111",TH!M4171="1111")),TH!D4171,""),"")</f>
        <v/>
      </c>
      <c r="B4171" s="36">
        <f t="shared" si="75"/>
        <v>5</v>
      </c>
      <c r="C4171" s="183">
        <f t="shared" si="76"/>
        <v>42144</v>
      </c>
      <c r="D4171" s="190" t="s">
        <v>2015</v>
      </c>
      <c r="E4171" s="190">
        <v>42144</v>
      </c>
      <c r="F4171" s="191" t="s">
        <v>1724</v>
      </c>
      <c r="G4171" s="482" t="s">
        <v>657</v>
      </c>
      <c r="H4171" s="192" t="s">
        <v>2016</v>
      </c>
      <c r="I4171" s="255">
        <v>166</v>
      </c>
      <c r="J4171" s="255">
        <v>16386.682995758023</v>
      </c>
      <c r="K4171" s="593">
        <f t="shared" si="77"/>
        <v>2720189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69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799"/>
    </row>
    <row r="4172" spans="1:27" s="210" customFormat="1" ht="15.75" customHeight="1">
      <c r="A4172" s="203" t="str">
        <f>IF(B4172&lt;&gt;"",IF(AND(B4172&gt;=_TM1,B4172&lt;=_TM2,OR(TH!L4172="1111",TH!M4172="1111")),TH!D4172,""),"")</f>
        <v/>
      </c>
      <c r="B4172" s="36">
        <f t="shared" si="75"/>
        <v>5</v>
      </c>
      <c r="C4172" s="183">
        <f t="shared" si="76"/>
        <v>42144</v>
      </c>
      <c r="D4172" s="190" t="s">
        <v>2015</v>
      </c>
      <c r="E4172" s="190">
        <v>42144</v>
      </c>
      <c r="F4172" s="191" t="s">
        <v>1725</v>
      </c>
      <c r="G4172" s="482" t="s">
        <v>657</v>
      </c>
      <c r="H4172" s="192" t="s">
        <v>2016</v>
      </c>
      <c r="I4172" s="255">
        <v>140</v>
      </c>
      <c r="J4172" s="255">
        <v>12641.155453870475</v>
      </c>
      <c r="K4172" s="593">
        <f t="shared" si="77"/>
        <v>1769762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69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799"/>
    </row>
    <row r="4173" spans="1:27" s="210" customFormat="1" ht="15.75" customHeight="1">
      <c r="A4173" s="203" t="str">
        <f>IF(B4173&lt;&gt;"",IF(AND(B4173&gt;=_TM1,B4173&lt;=_TM2,OR(TH!L4173="1111",TH!M4173="1111")),TH!D4173,""),"")</f>
        <v/>
      </c>
      <c r="B4173" s="36">
        <f t="shared" si="75"/>
        <v>5</v>
      </c>
      <c r="C4173" s="183">
        <f t="shared" si="76"/>
        <v>42144</v>
      </c>
      <c r="D4173" s="190" t="s">
        <v>2015</v>
      </c>
      <c r="E4173" s="190">
        <v>42144</v>
      </c>
      <c r="F4173" s="191" t="s">
        <v>1726</v>
      </c>
      <c r="G4173" s="482" t="s">
        <v>657</v>
      </c>
      <c r="H4173" s="192" t="s">
        <v>2016</v>
      </c>
      <c r="I4173" s="255">
        <v>250</v>
      </c>
      <c r="J4173" s="255">
        <v>15528.332934075459</v>
      </c>
      <c r="K4173" s="593">
        <f t="shared" si="77"/>
        <v>3882083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69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799"/>
    </row>
    <row r="4174" spans="1:27" s="210" customFormat="1" ht="15.75" customHeight="1">
      <c r="A4174" s="203" t="str">
        <f>IF(B4174&lt;&gt;"",IF(AND(B4174&gt;=_TM1,B4174&lt;=_TM2,OR(TH!L4174="1111",TH!M4174="1111")),TH!D4174,""),"")</f>
        <v/>
      </c>
      <c r="B4174" s="36">
        <f t="shared" si="75"/>
        <v>5</v>
      </c>
      <c r="C4174" s="183">
        <f t="shared" si="76"/>
        <v>42144</v>
      </c>
      <c r="D4174" s="190" t="s">
        <v>2015</v>
      </c>
      <c r="E4174" s="190">
        <v>42144</v>
      </c>
      <c r="F4174" s="191" t="s">
        <v>1727</v>
      </c>
      <c r="G4174" s="482" t="s">
        <v>657</v>
      </c>
      <c r="H4174" s="192" t="s">
        <v>2016</v>
      </c>
      <c r="I4174" s="255">
        <v>25</v>
      </c>
      <c r="J4174" s="255">
        <v>14591.951048603572</v>
      </c>
      <c r="K4174" s="593">
        <f t="shared" si="77"/>
        <v>364799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69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799"/>
    </row>
    <row r="4175" spans="1:27" s="210" customFormat="1" ht="15.75" customHeight="1">
      <c r="A4175" s="203" t="str">
        <f>IF(B4175&lt;&gt;"",IF(AND(B4175&gt;=_TM1,B4175&lt;=_TM2,OR(TH!L4175="1111",TH!M4175="1111")),TH!D4175,""),"")</f>
        <v/>
      </c>
      <c r="B4175" s="36">
        <f t="shared" si="75"/>
        <v>5</v>
      </c>
      <c r="C4175" s="183">
        <f t="shared" si="76"/>
        <v>42144</v>
      </c>
      <c r="D4175" s="190" t="s">
        <v>2015</v>
      </c>
      <c r="E4175" s="190">
        <v>42144</v>
      </c>
      <c r="F4175" s="191" t="s">
        <v>1728</v>
      </c>
      <c r="G4175" s="482" t="s">
        <v>657</v>
      </c>
      <c r="H4175" s="192" t="s">
        <v>2016</v>
      </c>
      <c r="I4175" s="255">
        <v>25</v>
      </c>
      <c r="J4175" s="255">
        <v>13421.473691763713</v>
      </c>
      <c r="K4175" s="593">
        <f t="shared" si="77"/>
        <v>335537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69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799"/>
    </row>
    <row r="4176" spans="1:27" s="210" customFormat="1" ht="15.75" customHeight="1">
      <c r="A4176" s="203" t="str">
        <f>IF(B4176&lt;&gt;"",IF(AND(B4176&gt;=_TM1,B4176&lt;=_TM2,OR(TH!L4176="1111",TH!M4176="1111")),TH!D4176,""),"")</f>
        <v/>
      </c>
      <c r="B4176" s="36">
        <f t="shared" si="75"/>
        <v>5</v>
      </c>
      <c r="C4176" s="183">
        <f t="shared" si="76"/>
        <v>42144</v>
      </c>
      <c r="D4176" s="190" t="s">
        <v>2015</v>
      </c>
      <c r="E4176" s="190">
        <v>42144</v>
      </c>
      <c r="F4176" s="191" t="s">
        <v>1729</v>
      </c>
      <c r="G4176" s="482" t="s">
        <v>657</v>
      </c>
      <c r="H4176" s="192" t="s">
        <v>2016</v>
      </c>
      <c r="I4176" s="255">
        <v>40</v>
      </c>
      <c r="J4176" s="255">
        <v>14748.014696182219</v>
      </c>
      <c r="K4176" s="593">
        <f t="shared" si="77"/>
        <v>589921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69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799"/>
    </row>
    <row r="4177" spans="1:27" s="210" customFormat="1" ht="15.75" customHeight="1">
      <c r="A4177" s="203" t="str">
        <f>IF(B4177&lt;&gt;"",IF(AND(B4177&gt;=_TM1,B4177&lt;=_TM2,OR(TH!L4177="1111",TH!M4177="1111")),TH!D4177,""),"")</f>
        <v/>
      </c>
      <c r="B4177" s="36">
        <f t="shared" si="75"/>
        <v>5</v>
      </c>
      <c r="C4177" s="183">
        <f t="shared" si="76"/>
        <v>42144</v>
      </c>
      <c r="D4177" s="190" t="s">
        <v>2015</v>
      </c>
      <c r="E4177" s="190">
        <v>42144</v>
      </c>
      <c r="F4177" s="191" t="s">
        <v>1730</v>
      </c>
      <c r="G4177" s="482" t="s">
        <v>657</v>
      </c>
      <c r="H4177" s="192" t="s">
        <v>2016</v>
      </c>
      <c r="I4177" s="255">
        <v>40</v>
      </c>
      <c r="J4177" s="255">
        <v>13031.314572817093</v>
      </c>
      <c r="K4177" s="593">
        <f t="shared" si="77"/>
        <v>521253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69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799"/>
    </row>
    <row r="4178" spans="1:27" s="210" customFormat="1" ht="15.75" customHeight="1">
      <c r="A4178" s="203" t="str">
        <f>IF(B4178&lt;&gt;"",IF(AND(B4178&gt;=_TM1,B4178&lt;=_TM2,OR(TH!L4178="1111",TH!M4178="1111")),TH!D4178,""),"")</f>
        <v/>
      </c>
      <c r="B4178" s="36">
        <f t="shared" si="75"/>
        <v>5</v>
      </c>
      <c r="C4178" s="183">
        <f t="shared" si="76"/>
        <v>42144</v>
      </c>
      <c r="D4178" s="190" t="s">
        <v>2015</v>
      </c>
      <c r="E4178" s="190">
        <v>42144</v>
      </c>
      <c r="F4178" s="191" t="s">
        <v>1725</v>
      </c>
      <c r="G4178" s="482" t="s">
        <v>657</v>
      </c>
      <c r="H4178" s="192" t="s">
        <v>2016</v>
      </c>
      <c r="I4178" s="255">
        <v>140</v>
      </c>
      <c r="J4178" s="255">
        <v>12641.155453870475</v>
      </c>
      <c r="K4178" s="593">
        <f t="shared" si="77"/>
        <v>1769762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69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799"/>
    </row>
    <row r="4179" spans="1:27" s="210" customFormat="1" ht="15.75" customHeight="1">
      <c r="A4179" s="203" t="str">
        <f>IF(B4179&lt;&gt;"",IF(AND(B4179&gt;=_TM1,B4179&lt;=_TM2,OR(TH!L4179="1111",TH!M4179="1111")),TH!D4179,""),"")</f>
        <v/>
      </c>
      <c r="B4179" s="36">
        <f t="shared" si="75"/>
        <v>5</v>
      </c>
      <c r="C4179" s="183">
        <f t="shared" si="76"/>
        <v>42144</v>
      </c>
      <c r="D4179" s="190" t="s">
        <v>2015</v>
      </c>
      <c r="E4179" s="190">
        <v>42144</v>
      </c>
      <c r="F4179" s="191" t="s">
        <v>585</v>
      </c>
      <c r="G4179" s="482" t="s">
        <v>664</v>
      </c>
      <c r="H4179" s="192" t="s">
        <v>2016</v>
      </c>
      <c r="I4179" s="255">
        <v>102</v>
      </c>
      <c r="J4179" s="255">
        <v>10768.3916829267</v>
      </c>
      <c r="K4179" s="593">
        <f t="shared" si="77"/>
        <v>1098376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69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799"/>
    </row>
    <row r="4180" spans="1:27" s="210" customFormat="1" ht="15.75" customHeight="1">
      <c r="A4180" s="203" t="str">
        <f>IF(B4180&lt;&gt;"",IF(AND(B4180&gt;=_TM1,B4180&lt;=_TM2,OR(TH!L4180="1111",TH!M4180="1111")),TH!D4180,""),"")</f>
        <v/>
      </c>
      <c r="B4180" s="36">
        <f t="shared" si="75"/>
        <v>5</v>
      </c>
      <c r="C4180" s="183">
        <f t="shared" si="76"/>
        <v>42144</v>
      </c>
      <c r="D4180" s="190" t="s">
        <v>2015</v>
      </c>
      <c r="E4180" s="190">
        <v>42144</v>
      </c>
      <c r="F4180" s="191" t="s">
        <v>600</v>
      </c>
      <c r="G4180" s="482" t="s">
        <v>664</v>
      </c>
      <c r="H4180" s="192" t="s">
        <v>2016</v>
      </c>
      <c r="I4180" s="255">
        <v>106</v>
      </c>
      <c r="J4180" s="255">
        <v>9910.0416212441378</v>
      </c>
      <c r="K4180" s="593">
        <f t="shared" si="77"/>
        <v>1050464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69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799"/>
    </row>
    <row r="4181" spans="1:27" s="210" customFormat="1" ht="15.75" customHeight="1">
      <c r="A4181" s="203" t="str">
        <f>IF(B4181&lt;&gt;"",IF(AND(B4181&gt;=_TM1,B4181&lt;=_TM2,OR(TH!L4181="1111",TH!M4181="1111")),TH!D4181,""),"")</f>
        <v/>
      </c>
      <c r="B4181" s="36">
        <f t="shared" si="75"/>
        <v>5</v>
      </c>
      <c r="C4181" s="183">
        <f t="shared" si="76"/>
        <v>42144</v>
      </c>
      <c r="D4181" s="190" t="s">
        <v>2015</v>
      </c>
      <c r="E4181" s="190">
        <v>42144</v>
      </c>
      <c r="F4181" s="191" t="s">
        <v>658</v>
      </c>
      <c r="G4181" s="482" t="s">
        <v>664</v>
      </c>
      <c r="H4181" s="192" t="s">
        <v>2016</v>
      </c>
      <c r="I4181" s="255">
        <v>90</v>
      </c>
      <c r="J4181" s="255">
        <v>7725.1505551430673</v>
      </c>
      <c r="K4181" s="593">
        <f t="shared" si="77"/>
        <v>695264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69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799"/>
    </row>
    <row r="4182" spans="1:27" s="210" customFormat="1" ht="15.75" customHeight="1">
      <c r="A4182" s="203" t="str">
        <f>IF(B4182&lt;&gt;"",IF(AND(B4182&gt;=_TM1,B4182&lt;=_TM2,OR(TH!L4182="1111",TH!M4182="1111")),TH!D4182,""),"")</f>
        <v/>
      </c>
      <c r="B4182" s="36">
        <f t="shared" ref="B4182:B4191" si="78">IF(C4182&lt;&gt;"",MONTH(C4182),"")</f>
        <v>5</v>
      </c>
      <c r="C4182" s="183">
        <f t="shared" ref="C4182:C4191" si="79">E4182</f>
        <v>42144</v>
      </c>
      <c r="D4182" s="190" t="s">
        <v>2015</v>
      </c>
      <c r="E4182" s="190">
        <v>42144</v>
      </c>
      <c r="F4182" s="191" t="s">
        <v>659</v>
      </c>
      <c r="G4182" s="482" t="s">
        <v>664</v>
      </c>
      <c r="H4182" s="192" t="s">
        <v>2016</v>
      </c>
      <c r="I4182" s="255">
        <v>660</v>
      </c>
      <c r="J4182" s="255">
        <v>8973.6597357722494</v>
      </c>
      <c r="K4182" s="593">
        <f t="shared" ref="K4182:K4191" si="80">ROUND(I4182*J4182,0)</f>
        <v>5922615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69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799"/>
    </row>
    <row r="4183" spans="1:27" s="210" customFormat="1" ht="15.75" customHeight="1">
      <c r="A4183" s="203" t="str">
        <f>IF(B4183&lt;&gt;"",IF(AND(B4183&gt;=_TM1,B4183&lt;=_TM2,OR(TH!L4183="1111",TH!M4183="1111")),TH!D4183,""),"")</f>
        <v/>
      </c>
      <c r="B4183" s="36">
        <f t="shared" si="78"/>
        <v>5</v>
      </c>
      <c r="C4183" s="183">
        <f t="shared" si="79"/>
        <v>42144</v>
      </c>
      <c r="D4183" s="190" t="s">
        <v>2015</v>
      </c>
      <c r="E4183" s="190">
        <v>42144</v>
      </c>
      <c r="F4183" s="191" t="s">
        <v>660</v>
      </c>
      <c r="G4183" s="482" t="s">
        <v>664</v>
      </c>
      <c r="H4183" s="192" t="s">
        <v>2016</v>
      </c>
      <c r="I4183" s="255">
        <v>55</v>
      </c>
      <c r="J4183" s="255">
        <v>9597.9143260868423</v>
      </c>
      <c r="K4183" s="593">
        <f t="shared" si="80"/>
        <v>527885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69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799"/>
    </row>
    <row r="4184" spans="1:27" s="210" customFormat="1" ht="15.75" customHeight="1">
      <c r="A4184" s="203" t="str">
        <f>IF(B4184&lt;&gt;"",IF(AND(B4184&gt;=_TM1,B4184&lt;=_TM2,OR(TH!L4184="1111",TH!M4184="1111")),TH!D4184,""),"")</f>
        <v/>
      </c>
      <c r="B4184" s="36">
        <f t="shared" si="78"/>
        <v>5</v>
      </c>
      <c r="C4184" s="183">
        <f t="shared" si="79"/>
        <v>42144</v>
      </c>
      <c r="D4184" s="190" t="s">
        <v>2015</v>
      </c>
      <c r="E4184" s="190">
        <v>42144</v>
      </c>
      <c r="F4184" s="191" t="s">
        <v>661</v>
      </c>
      <c r="G4184" s="482" t="s">
        <v>664</v>
      </c>
      <c r="H4184" s="192" t="s">
        <v>2016</v>
      </c>
      <c r="I4184" s="255">
        <v>21</v>
      </c>
      <c r="J4184" s="255">
        <v>8427.4369692469827</v>
      </c>
      <c r="K4184" s="593">
        <f t="shared" si="80"/>
        <v>176976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69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799"/>
    </row>
    <row r="4185" spans="1:27" s="210" customFormat="1" ht="15.75" customHeight="1">
      <c r="A4185" s="203" t="str">
        <f>IF(B4185&lt;&gt;"",IF(AND(B4185&gt;=_TM1,B4185&lt;=_TM2,OR(TH!L4185="1111",TH!M4185="1111")),TH!D4185,""),"")</f>
        <v/>
      </c>
      <c r="B4185" s="36">
        <f t="shared" si="78"/>
        <v>5</v>
      </c>
      <c r="C4185" s="183">
        <f t="shared" si="79"/>
        <v>42144</v>
      </c>
      <c r="D4185" s="190" t="s">
        <v>2015</v>
      </c>
      <c r="E4185" s="190">
        <v>42144</v>
      </c>
      <c r="F4185" s="191" t="s">
        <v>432</v>
      </c>
      <c r="G4185" s="482" t="s">
        <v>664</v>
      </c>
      <c r="H4185" s="192" t="s">
        <v>2016</v>
      </c>
      <c r="I4185" s="255">
        <v>63</v>
      </c>
      <c r="J4185" s="255">
        <v>10300.200740190758</v>
      </c>
      <c r="K4185" s="593">
        <f t="shared" si="80"/>
        <v>648913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69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799"/>
    </row>
    <row r="4186" spans="1:27" s="210" customFormat="1" ht="15.75" customHeight="1">
      <c r="A4186" s="203" t="str">
        <f>IF(B4186&lt;&gt;"",IF(AND(B4186&gt;=_TM1,B4186&lt;=_TM2,OR(TH!L4186="1111",TH!M4186="1111")),TH!D4186,""),"")</f>
        <v/>
      </c>
      <c r="B4186" s="36">
        <f t="shared" si="78"/>
        <v>5</v>
      </c>
      <c r="C4186" s="183">
        <f t="shared" si="79"/>
        <v>42144</v>
      </c>
      <c r="D4186" s="190" t="s">
        <v>2015</v>
      </c>
      <c r="E4186" s="190">
        <v>42144</v>
      </c>
      <c r="F4186" s="191" t="s">
        <v>662</v>
      </c>
      <c r="G4186" s="482" t="s">
        <v>664</v>
      </c>
      <c r="H4186" s="192" t="s">
        <v>2016</v>
      </c>
      <c r="I4186" s="255">
        <v>11</v>
      </c>
      <c r="J4186" s="255">
        <v>9675.9461498761648</v>
      </c>
      <c r="K4186" s="593">
        <f t="shared" si="80"/>
        <v>106435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69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799"/>
    </row>
    <row r="4187" spans="1:27" s="210" customFormat="1" ht="15.75" customHeight="1">
      <c r="A4187" s="203" t="str">
        <f>IF(B4187&lt;&gt;"",IF(AND(B4187&gt;=_TM1,B4187&lt;=_TM2,OR(TH!L4187="1111",TH!M4187="1111")),TH!D4187,""),"")</f>
        <v/>
      </c>
      <c r="B4187" s="36">
        <f t="shared" si="78"/>
        <v>5</v>
      </c>
      <c r="C4187" s="183">
        <f t="shared" si="79"/>
        <v>42144</v>
      </c>
      <c r="D4187" s="190" t="s">
        <v>2015</v>
      </c>
      <c r="E4187" s="190">
        <v>42144</v>
      </c>
      <c r="F4187" s="191" t="s">
        <v>663</v>
      </c>
      <c r="G4187" s="482" t="s">
        <v>664</v>
      </c>
      <c r="H4187" s="192" t="s">
        <v>2016</v>
      </c>
      <c r="I4187" s="255">
        <v>11</v>
      </c>
      <c r="J4187" s="255">
        <v>10144.137092612109</v>
      </c>
      <c r="K4187" s="593">
        <f t="shared" si="80"/>
        <v>111586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69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799"/>
    </row>
    <row r="4188" spans="1:27" s="210" customFormat="1" ht="15.75" customHeight="1">
      <c r="A4188" s="203" t="str">
        <f>IF(B4188&lt;&gt;"",IF(AND(B4188&gt;=_TM1,B4188&lt;=_TM2,OR(TH!L4188="1111",TH!M4188="1111")),TH!D4188,""),"")</f>
        <v/>
      </c>
      <c r="B4188" s="36">
        <f t="shared" si="78"/>
        <v>5</v>
      </c>
      <c r="C4188" s="183">
        <f t="shared" si="79"/>
        <v>42144</v>
      </c>
      <c r="D4188" s="190" t="s">
        <v>2015</v>
      </c>
      <c r="E4188" s="190">
        <v>42144</v>
      </c>
      <c r="F4188" s="191" t="s">
        <v>602</v>
      </c>
      <c r="G4188" s="482" t="s">
        <v>664</v>
      </c>
      <c r="H4188" s="192" t="s">
        <v>2016</v>
      </c>
      <c r="I4188" s="255">
        <v>202</v>
      </c>
      <c r="J4188" s="255">
        <v>9832.0097974548135</v>
      </c>
      <c r="K4188" s="593">
        <f t="shared" si="80"/>
        <v>1986066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69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799"/>
    </row>
    <row r="4189" spans="1:27" s="210" customFormat="1" ht="15.75" customHeight="1">
      <c r="A4189" s="203" t="str">
        <f>IF(B4189&lt;&gt;"",IF(AND(B4189&gt;=_TM1,B4189&lt;=_TM2,OR(TH!L4189="1111",TH!M4189="1111")),TH!D4189,""),"")</f>
        <v/>
      </c>
      <c r="B4189" s="36">
        <f t="shared" si="78"/>
        <v>5</v>
      </c>
      <c r="C4189" s="183">
        <f t="shared" si="79"/>
        <v>42146</v>
      </c>
      <c r="D4189" s="190" t="s">
        <v>2015</v>
      </c>
      <c r="E4189" s="190">
        <v>42146</v>
      </c>
      <c r="F4189" s="191" t="s">
        <v>665</v>
      </c>
      <c r="G4189" s="482" t="s">
        <v>666</v>
      </c>
      <c r="H4189" s="192" t="s">
        <v>2016</v>
      </c>
      <c r="I4189" s="255">
        <v>1235</v>
      </c>
      <c r="J4189" s="255">
        <v>10378.232563980082</v>
      </c>
      <c r="K4189" s="593">
        <f t="shared" si="80"/>
        <v>12817117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69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799"/>
    </row>
    <row r="4190" spans="1:27" s="210" customFormat="1" ht="15.75" customHeight="1">
      <c r="A4190" s="203" t="str">
        <f>IF(B4190&lt;&gt;"",IF(AND(B4190&gt;=_TM1,B4190&lt;=_TM2,OR(TH!L4190="1111",TH!M4190="1111")),TH!D4190,""),"")</f>
        <v/>
      </c>
      <c r="B4190" s="36">
        <f t="shared" si="78"/>
        <v>5</v>
      </c>
      <c r="C4190" s="183">
        <f t="shared" si="79"/>
        <v>42146</v>
      </c>
      <c r="D4190" s="190" t="s">
        <v>2015</v>
      </c>
      <c r="E4190" s="190">
        <v>42146</v>
      </c>
      <c r="F4190" s="191" t="s">
        <v>667</v>
      </c>
      <c r="G4190" s="482" t="s">
        <v>666</v>
      </c>
      <c r="H4190" s="192" t="s">
        <v>2016</v>
      </c>
      <c r="I4190" s="255">
        <v>200</v>
      </c>
      <c r="J4190" s="255">
        <v>11626.741744609264</v>
      </c>
      <c r="K4190" s="593">
        <f t="shared" si="80"/>
        <v>2325348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69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799"/>
    </row>
    <row r="4191" spans="1:27" s="210" customFormat="1" ht="15.75" customHeight="1">
      <c r="A4191" s="203" t="str">
        <f>IF(B4191&lt;&gt;"",IF(AND(B4191&gt;=_TM1,B4191&lt;=_TM2,OR(TH!L4191="1111",TH!M4191="1111")),TH!D4191,""),"")</f>
        <v/>
      </c>
      <c r="B4191" s="36">
        <f t="shared" si="78"/>
        <v>5</v>
      </c>
      <c r="C4191" s="183">
        <f t="shared" si="79"/>
        <v>42146</v>
      </c>
      <c r="D4191" s="190" t="s">
        <v>2015</v>
      </c>
      <c r="E4191" s="190">
        <v>42146</v>
      </c>
      <c r="F4191" s="191" t="s">
        <v>668</v>
      </c>
      <c r="G4191" s="482" t="s">
        <v>666</v>
      </c>
      <c r="H4191" s="192" t="s">
        <v>2016</v>
      </c>
      <c r="I4191" s="255">
        <v>65</v>
      </c>
      <c r="J4191" s="255">
        <v>17401.096705019234</v>
      </c>
      <c r="K4191" s="593">
        <f t="shared" si="80"/>
        <v>1131071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69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799"/>
    </row>
    <row r="4192" spans="1:27" s="210" customFormat="1" ht="15.75" customHeight="1">
      <c r="A4192" s="203" t="str">
        <f>IF(B4192&lt;&gt;"",IF(AND(B4192&gt;=_TM1,B4192&lt;=_TM2,OR(TH!L4192="1111",TH!M4192="1111")),TH!D4192,""),"")</f>
        <v/>
      </c>
      <c r="B4192" s="36">
        <f t="shared" ref="B4192:B4446" si="81">IF(C4192&lt;&gt;"",MONTH(C4192),"")</f>
        <v>5</v>
      </c>
      <c r="C4192" s="183">
        <f t="shared" ref="C4192:C4446" si="82">E4192</f>
        <v>42146</v>
      </c>
      <c r="D4192" s="190" t="s">
        <v>2015</v>
      </c>
      <c r="E4192" s="190">
        <v>42146</v>
      </c>
      <c r="F4192" s="191" t="s">
        <v>669</v>
      </c>
      <c r="G4192" s="482" t="s">
        <v>666</v>
      </c>
      <c r="H4192" s="192" t="s">
        <v>2016</v>
      </c>
      <c r="I4192" s="255">
        <v>35</v>
      </c>
      <c r="J4192" s="255">
        <v>5930.4186079886176</v>
      </c>
      <c r="K4192" s="593">
        <f t="shared" ref="K4192:K4446" si="83">ROUND(I4192*J4192,0)</f>
        <v>207565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69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799"/>
    </row>
    <row r="4193" spans="1:27" s="210" customFormat="1" ht="15.75" customHeight="1">
      <c r="A4193" s="203" t="str">
        <f>IF(B4193&lt;&gt;"",IF(AND(B4193&gt;=_TM1,B4193&lt;=_TM2,OR(TH!L4193="1111",TH!M4193="1111")),TH!D4193,""),"")</f>
        <v/>
      </c>
      <c r="B4193" s="36">
        <f t="shared" si="81"/>
        <v>5</v>
      </c>
      <c r="C4193" s="183">
        <f t="shared" si="82"/>
        <v>42146</v>
      </c>
      <c r="D4193" s="190" t="s">
        <v>2015</v>
      </c>
      <c r="E4193" s="190">
        <v>42146</v>
      </c>
      <c r="F4193" s="191" t="s">
        <v>670</v>
      </c>
      <c r="G4193" s="482" t="s">
        <v>666</v>
      </c>
      <c r="H4193" s="192" t="s">
        <v>2016</v>
      </c>
      <c r="I4193" s="255">
        <v>73</v>
      </c>
      <c r="J4193" s="255">
        <v>4447.8139559914625</v>
      </c>
      <c r="K4193" s="593">
        <f t="shared" si="83"/>
        <v>324690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69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799"/>
    </row>
    <row r="4194" spans="1:27" s="210" customFormat="1" ht="15.75" customHeight="1">
      <c r="A4194" s="203" t="str">
        <f>IF(B4194&lt;&gt;"",IF(AND(B4194&gt;=_TM1,B4194&lt;=_TM2,OR(TH!L4194="1111",TH!M4194="1111")),TH!D4194,""),"")</f>
        <v/>
      </c>
      <c r="B4194" s="36">
        <f t="shared" si="81"/>
        <v>5</v>
      </c>
      <c r="C4194" s="183">
        <f t="shared" si="82"/>
        <v>42146</v>
      </c>
      <c r="D4194" s="190" t="s">
        <v>2015</v>
      </c>
      <c r="E4194" s="190">
        <v>42146</v>
      </c>
      <c r="F4194" s="191" t="s">
        <v>671</v>
      </c>
      <c r="G4194" s="482" t="s">
        <v>666</v>
      </c>
      <c r="H4194" s="192" t="s">
        <v>2016</v>
      </c>
      <c r="I4194" s="255">
        <v>63</v>
      </c>
      <c r="J4194" s="255">
        <v>5696.3231366206455</v>
      </c>
      <c r="K4194" s="593">
        <f t="shared" si="83"/>
        <v>358868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69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799"/>
    </row>
    <row r="4195" spans="1:27" s="210" customFormat="1" ht="15.75" customHeight="1">
      <c r="A4195" s="203" t="str">
        <f>IF(B4195&lt;&gt;"",IF(AND(B4195&gt;=_TM1,B4195&lt;=_TM2,OR(TH!L4195="1111",TH!M4195="1111")),TH!D4195,""),"")</f>
        <v/>
      </c>
      <c r="B4195" s="36">
        <f t="shared" si="81"/>
        <v>5</v>
      </c>
      <c r="C4195" s="183">
        <f t="shared" si="82"/>
        <v>42146</v>
      </c>
      <c r="D4195" s="190" t="s">
        <v>2015</v>
      </c>
      <c r="E4195" s="190">
        <v>42146</v>
      </c>
      <c r="F4195" s="191" t="s">
        <v>672</v>
      </c>
      <c r="G4195" s="482" t="s">
        <v>666</v>
      </c>
      <c r="H4195" s="192" t="s">
        <v>2016</v>
      </c>
      <c r="I4195" s="255">
        <v>70</v>
      </c>
      <c r="J4195" s="255">
        <v>11704.773568398588</v>
      </c>
      <c r="K4195" s="593">
        <f t="shared" si="83"/>
        <v>819334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69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799"/>
    </row>
    <row r="4196" spans="1:27" s="210" customFormat="1" ht="15.75" customHeight="1">
      <c r="A4196" s="203" t="str">
        <f>IF(B4196&lt;&gt;"",IF(AND(B4196&gt;=_TM1,B4196&lt;=_TM2,OR(TH!L4196="1111",TH!M4196="1111")),TH!D4196,""),"")</f>
        <v/>
      </c>
      <c r="B4196" s="36">
        <f t="shared" si="81"/>
        <v>5</v>
      </c>
      <c r="C4196" s="183">
        <f t="shared" si="82"/>
        <v>42146</v>
      </c>
      <c r="D4196" s="190" t="s">
        <v>2015</v>
      </c>
      <c r="E4196" s="190">
        <v>42146</v>
      </c>
      <c r="F4196" s="191" t="s">
        <v>673</v>
      </c>
      <c r="G4196" s="482" t="s">
        <v>666</v>
      </c>
      <c r="H4196" s="192" t="s">
        <v>2016</v>
      </c>
      <c r="I4196" s="255">
        <v>50</v>
      </c>
      <c r="J4196" s="255">
        <v>11392.646273241291</v>
      </c>
      <c r="K4196" s="593">
        <f t="shared" si="83"/>
        <v>569632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69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799"/>
    </row>
    <row r="4197" spans="1:27" s="210" customFormat="1" ht="15.75" customHeight="1">
      <c r="A4197" s="203" t="str">
        <f>IF(B4197&lt;&gt;"",IF(AND(B4197&gt;=_TM1,B4197&lt;=_TM2,OR(TH!L4197="1111",TH!M4197="1111")),TH!D4197,""),"")</f>
        <v/>
      </c>
      <c r="B4197" s="36">
        <f t="shared" si="81"/>
        <v>5</v>
      </c>
      <c r="C4197" s="183">
        <f t="shared" si="82"/>
        <v>42146</v>
      </c>
      <c r="D4197" s="190" t="s">
        <v>2015</v>
      </c>
      <c r="E4197" s="190">
        <v>42146</v>
      </c>
      <c r="F4197" s="191" t="s">
        <v>674</v>
      </c>
      <c r="G4197" s="482" t="s">
        <v>666</v>
      </c>
      <c r="H4197" s="192" t="s">
        <v>2016</v>
      </c>
      <c r="I4197" s="255">
        <v>100</v>
      </c>
      <c r="J4197" s="255">
        <v>7100.8959648284763</v>
      </c>
      <c r="K4197" s="593">
        <f t="shared" si="83"/>
        <v>710090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69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799"/>
    </row>
    <row r="4198" spans="1:27" s="210" customFormat="1" ht="15.75" customHeight="1">
      <c r="A4198" s="203" t="str">
        <f>IF(B4198&lt;&gt;"",IF(AND(B4198&gt;=_TM1,B4198&lt;=_TM2,OR(TH!L4198="1111",TH!M4198="1111")),TH!D4198,""),"")</f>
        <v/>
      </c>
      <c r="B4198" s="36">
        <f t="shared" si="81"/>
        <v>5</v>
      </c>
      <c r="C4198" s="183">
        <f t="shared" si="82"/>
        <v>42146</v>
      </c>
      <c r="D4198" s="190" t="s">
        <v>2015</v>
      </c>
      <c r="E4198" s="190">
        <v>42146</v>
      </c>
      <c r="F4198" s="191" t="s">
        <v>675</v>
      </c>
      <c r="G4198" s="482" t="s">
        <v>666</v>
      </c>
      <c r="H4198" s="192" t="s">
        <v>2016</v>
      </c>
      <c r="I4198" s="255">
        <v>25</v>
      </c>
      <c r="J4198" s="255">
        <v>16620.778467125994</v>
      </c>
      <c r="K4198" s="593">
        <f t="shared" si="83"/>
        <v>415519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69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799"/>
    </row>
    <row r="4199" spans="1:27" s="210" customFormat="1" ht="15.75" customHeight="1">
      <c r="A4199" s="203" t="str">
        <f>IF(B4199&lt;&gt;"",IF(AND(B4199&gt;=_TM1,B4199&lt;=_TM2,OR(TH!L4199="1111",TH!M4199="1111")),TH!D4199,""),"")</f>
        <v/>
      </c>
      <c r="B4199" s="36">
        <f t="shared" si="81"/>
        <v>5</v>
      </c>
      <c r="C4199" s="183">
        <f t="shared" si="82"/>
        <v>42146</v>
      </c>
      <c r="D4199" s="190" t="s">
        <v>2015</v>
      </c>
      <c r="E4199" s="190">
        <v>42146</v>
      </c>
      <c r="F4199" s="191" t="s">
        <v>398</v>
      </c>
      <c r="G4199" s="482" t="s">
        <v>677</v>
      </c>
      <c r="H4199" s="192" t="s">
        <v>2016</v>
      </c>
      <c r="I4199" s="255">
        <v>1220</v>
      </c>
      <c r="J4199" s="255">
        <v>6398.6095507245609</v>
      </c>
      <c r="K4199" s="593">
        <f t="shared" si="83"/>
        <v>7806304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69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799"/>
    </row>
    <row r="4200" spans="1:27" s="210" customFormat="1" ht="15.75" customHeight="1">
      <c r="A4200" s="203" t="str">
        <f>IF(B4200&lt;&gt;"",IF(AND(B4200&gt;=_TM1,B4200&lt;=_TM2,OR(TH!L4200="1111",TH!M4200="1111")),TH!D4200,""),"")</f>
        <v/>
      </c>
      <c r="B4200" s="36">
        <f t="shared" si="81"/>
        <v>5</v>
      </c>
      <c r="C4200" s="183">
        <f t="shared" si="82"/>
        <v>42146</v>
      </c>
      <c r="D4200" s="190" t="s">
        <v>2015</v>
      </c>
      <c r="E4200" s="190">
        <v>42146</v>
      </c>
      <c r="F4200" s="191" t="s">
        <v>446</v>
      </c>
      <c r="G4200" s="482" t="s">
        <v>677</v>
      </c>
      <c r="H4200" s="192" t="s">
        <v>2016</v>
      </c>
      <c r="I4200" s="255">
        <v>611</v>
      </c>
      <c r="J4200" s="255">
        <v>7100.8959648284763</v>
      </c>
      <c r="K4200" s="593">
        <f t="shared" si="83"/>
        <v>4338647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69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799"/>
    </row>
    <row r="4201" spans="1:27" s="210" customFormat="1" ht="15.75" customHeight="1">
      <c r="A4201" s="203" t="str">
        <f>IF(B4201&lt;&gt;"",IF(AND(B4201&gt;=_TM1,B4201&lt;=_TM2,OR(TH!L4201="1111",TH!M4201="1111")),TH!D4201,""),"")</f>
        <v/>
      </c>
      <c r="B4201" s="36">
        <f t="shared" si="81"/>
        <v>5</v>
      </c>
      <c r="C4201" s="183">
        <f t="shared" si="82"/>
        <v>42146</v>
      </c>
      <c r="D4201" s="190" t="s">
        <v>2015</v>
      </c>
      <c r="E4201" s="190">
        <v>42146</v>
      </c>
      <c r="F4201" s="191" t="s">
        <v>401</v>
      </c>
      <c r="G4201" s="482" t="s">
        <v>677</v>
      </c>
      <c r="H4201" s="192" t="s">
        <v>2016</v>
      </c>
      <c r="I4201" s="255">
        <v>302</v>
      </c>
      <c r="J4201" s="255">
        <v>7569.0869075644196</v>
      </c>
      <c r="K4201" s="593">
        <f t="shared" si="83"/>
        <v>2285864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69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799"/>
    </row>
    <row r="4202" spans="1:27" s="210" customFormat="1" ht="15.75" customHeight="1">
      <c r="A4202" s="203" t="str">
        <f>IF(B4202&lt;&gt;"",IF(AND(B4202&gt;=_TM1,B4202&lt;=_TM2,OR(TH!L4202="1111",TH!M4202="1111")),TH!D4202,""),"")</f>
        <v/>
      </c>
      <c r="B4202" s="36">
        <f t="shared" si="81"/>
        <v>5</v>
      </c>
      <c r="C4202" s="183">
        <f t="shared" si="82"/>
        <v>42146</v>
      </c>
      <c r="D4202" s="190" t="s">
        <v>2015</v>
      </c>
      <c r="E4202" s="190">
        <v>42146</v>
      </c>
      <c r="F4202" s="191" t="s">
        <v>501</v>
      </c>
      <c r="G4202" s="482" t="s">
        <v>677</v>
      </c>
      <c r="H4202" s="192" t="s">
        <v>2016</v>
      </c>
      <c r="I4202" s="255">
        <v>303</v>
      </c>
      <c r="J4202" s="255">
        <v>12329.028158713179</v>
      </c>
      <c r="K4202" s="593">
        <f t="shared" si="83"/>
        <v>3735696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69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799"/>
    </row>
    <row r="4203" spans="1:27" s="210" customFormat="1" ht="15.75" customHeight="1">
      <c r="A4203" s="203" t="str">
        <f>IF(B4203&lt;&gt;"",IF(AND(B4203&gt;=_TM1,B4203&lt;=_TM2,OR(TH!L4203="1111",TH!M4203="1111")),TH!D4203,""),"")</f>
        <v/>
      </c>
      <c r="B4203" s="36">
        <f t="shared" si="81"/>
        <v>5</v>
      </c>
      <c r="C4203" s="183">
        <f t="shared" si="82"/>
        <v>42147</v>
      </c>
      <c r="D4203" s="190" t="s">
        <v>2015</v>
      </c>
      <c r="E4203" s="190">
        <v>42147</v>
      </c>
      <c r="F4203" s="191" t="s">
        <v>678</v>
      </c>
      <c r="G4203" s="482" t="s">
        <v>679</v>
      </c>
      <c r="H4203" s="192" t="s">
        <v>2016</v>
      </c>
      <c r="I4203" s="255">
        <v>109</v>
      </c>
      <c r="J4203" s="255">
        <v>3901.5911894661958</v>
      </c>
      <c r="K4203" s="593">
        <f t="shared" si="83"/>
        <v>425273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69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799"/>
    </row>
    <row r="4204" spans="1:27" s="210" customFormat="1" ht="15.75" customHeight="1">
      <c r="A4204" s="203" t="str">
        <f>IF(B4204&lt;&gt;"",IF(AND(B4204&gt;=_TM1,B4204&lt;=_TM2,OR(TH!L4204="1111",TH!M4204="1111")),TH!D4204,""),"")</f>
        <v/>
      </c>
      <c r="B4204" s="36">
        <f t="shared" si="81"/>
        <v>5</v>
      </c>
      <c r="C4204" s="183">
        <f t="shared" si="82"/>
        <v>42147</v>
      </c>
      <c r="D4204" s="190" t="s">
        <v>2015</v>
      </c>
      <c r="E4204" s="190">
        <v>42147</v>
      </c>
      <c r="F4204" s="191" t="s">
        <v>439</v>
      </c>
      <c r="G4204" s="482" t="s">
        <v>679</v>
      </c>
      <c r="H4204" s="192" t="s">
        <v>2016</v>
      </c>
      <c r="I4204" s="255">
        <v>219</v>
      </c>
      <c r="J4204" s="255">
        <v>4994.0367225167311</v>
      </c>
      <c r="K4204" s="593">
        <f t="shared" si="83"/>
        <v>1093694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69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799"/>
    </row>
    <row r="4205" spans="1:27" s="210" customFormat="1" ht="15.75" customHeight="1">
      <c r="A4205" s="203" t="str">
        <f>IF(B4205&lt;&gt;"",IF(AND(B4205&gt;=_TM1,B4205&lt;=_TM2,OR(TH!L4205="1111",TH!M4205="1111")),TH!D4205,""),"")</f>
        <v/>
      </c>
      <c r="B4205" s="36">
        <f t="shared" si="81"/>
        <v>5</v>
      </c>
      <c r="C4205" s="183">
        <f t="shared" si="82"/>
        <v>42147</v>
      </c>
      <c r="D4205" s="190" t="s">
        <v>2015</v>
      </c>
      <c r="E4205" s="190">
        <v>42147</v>
      </c>
      <c r="F4205" s="191" t="s">
        <v>441</v>
      </c>
      <c r="G4205" s="482" t="s">
        <v>679</v>
      </c>
      <c r="H4205" s="192" t="s">
        <v>2016</v>
      </c>
      <c r="I4205" s="255">
        <v>494</v>
      </c>
      <c r="J4205" s="255">
        <v>3979.6230132555197</v>
      </c>
      <c r="K4205" s="593">
        <f t="shared" si="83"/>
        <v>1965934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69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799"/>
    </row>
    <row r="4206" spans="1:27" s="210" customFormat="1" ht="15.75" customHeight="1">
      <c r="A4206" s="203" t="str">
        <f>IF(B4206&lt;&gt;"",IF(AND(B4206&gt;=_TM1,B4206&lt;=_TM2,OR(TH!L4206="1111",TH!M4206="1111")),TH!D4206,""),"")</f>
        <v/>
      </c>
      <c r="B4206" s="36">
        <f t="shared" si="81"/>
        <v>5</v>
      </c>
      <c r="C4206" s="183">
        <f t="shared" si="82"/>
        <v>42147</v>
      </c>
      <c r="D4206" s="190" t="s">
        <v>2015</v>
      </c>
      <c r="E4206" s="190">
        <v>42147</v>
      </c>
      <c r="F4206" s="191" t="s">
        <v>680</v>
      </c>
      <c r="G4206" s="482" t="s">
        <v>679</v>
      </c>
      <c r="H4206" s="192" t="s">
        <v>2016</v>
      </c>
      <c r="I4206" s="255">
        <v>303</v>
      </c>
      <c r="J4206" s="255">
        <v>4759.941251148759</v>
      </c>
      <c r="K4206" s="593">
        <f t="shared" si="83"/>
        <v>1442262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69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799"/>
    </row>
    <row r="4207" spans="1:27" s="210" customFormat="1" ht="15.75" customHeight="1">
      <c r="A4207" s="203" t="str">
        <f>IF(B4207&lt;&gt;"",IF(AND(B4207&gt;=_TM1,B4207&lt;=_TM2,OR(TH!L4207="1111",TH!M4207="1111")),TH!D4207,""),"")</f>
        <v/>
      </c>
      <c r="B4207" s="36">
        <f t="shared" si="81"/>
        <v>5</v>
      </c>
      <c r="C4207" s="183">
        <f t="shared" si="82"/>
        <v>42147</v>
      </c>
      <c r="D4207" s="190" t="s">
        <v>2015</v>
      </c>
      <c r="E4207" s="190">
        <v>42147</v>
      </c>
      <c r="F4207" s="191" t="s">
        <v>436</v>
      </c>
      <c r="G4207" s="482" t="s">
        <v>679</v>
      </c>
      <c r="H4207" s="192" t="s">
        <v>2016</v>
      </c>
      <c r="I4207" s="255">
        <v>156</v>
      </c>
      <c r="J4207" s="255">
        <v>6866.8004934605051</v>
      </c>
      <c r="K4207" s="593">
        <f t="shared" si="83"/>
        <v>1071221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69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799"/>
    </row>
    <row r="4208" spans="1:27" s="210" customFormat="1" ht="15.75" customHeight="1">
      <c r="A4208" s="203" t="str">
        <f>IF(B4208&lt;&gt;"",IF(AND(B4208&gt;=_TM1,B4208&lt;=_TM2,OR(TH!L4208="1111",TH!M4208="1111")),TH!D4208,""),"")</f>
        <v/>
      </c>
      <c r="B4208" s="36">
        <f t="shared" si="81"/>
        <v>5</v>
      </c>
      <c r="C4208" s="183">
        <f t="shared" si="82"/>
        <v>42147</v>
      </c>
      <c r="D4208" s="190" t="s">
        <v>2015</v>
      </c>
      <c r="E4208" s="190">
        <v>42147</v>
      </c>
      <c r="F4208" s="191" t="s">
        <v>413</v>
      </c>
      <c r="G4208" s="482" t="s">
        <v>681</v>
      </c>
      <c r="H4208" s="192" t="s">
        <v>2016</v>
      </c>
      <c r="I4208" s="255">
        <v>512</v>
      </c>
      <c r="J4208" s="255">
        <v>7413.0232599857718</v>
      </c>
      <c r="K4208" s="593">
        <f t="shared" si="83"/>
        <v>3795468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69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799"/>
    </row>
    <row r="4209" spans="1:27" s="210" customFormat="1" ht="15.75" customHeight="1">
      <c r="A4209" s="203" t="str">
        <f>IF(B4209&lt;&gt;"",IF(AND(B4209&gt;=_TM1,B4209&lt;=_TM2,OR(TH!L4209="1111",TH!M4209="1111")),TH!D4209,""),"")</f>
        <v/>
      </c>
      <c r="B4209" s="36">
        <f t="shared" si="81"/>
        <v>5</v>
      </c>
      <c r="C4209" s="183">
        <f t="shared" si="82"/>
        <v>42149</v>
      </c>
      <c r="D4209" s="190" t="s">
        <v>2015</v>
      </c>
      <c r="E4209" s="190">
        <v>42149</v>
      </c>
      <c r="F4209" s="191" t="s">
        <v>682</v>
      </c>
      <c r="G4209" s="482" t="s">
        <v>683</v>
      </c>
      <c r="H4209" s="192" t="s">
        <v>2016</v>
      </c>
      <c r="I4209" s="255">
        <v>371</v>
      </c>
      <c r="J4209" s="255">
        <v>4135.6866608341679</v>
      </c>
      <c r="K4209" s="593">
        <f t="shared" si="83"/>
        <v>1534340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69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799"/>
    </row>
    <row r="4210" spans="1:27" s="210" customFormat="1" ht="15.75" customHeight="1">
      <c r="A4210" s="203" t="str">
        <f>IF(B4210&lt;&gt;"",IF(AND(B4210&gt;=_TM1,B4210&lt;=_TM2,OR(TH!L4210="1111",TH!M4210="1111")),TH!D4210,""),"")</f>
        <v/>
      </c>
      <c r="B4210" s="36">
        <f t="shared" si="81"/>
        <v>5</v>
      </c>
      <c r="C4210" s="183">
        <f t="shared" si="82"/>
        <v>42150</v>
      </c>
      <c r="D4210" s="190" t="s">
        <v>2015</v>
      </c>
      <c r="E4210" s="190">
        <v>42150</v>
      </c>
      <c r="F4210" s="191" t="s">
        <v>516</v>
      </c>
      <c r="G4210" s="482" t="s">
        <v>684</v>
      </c>
      <c r="H4210" s="192" t="s">
        <v>2016</v>
      </c>
      <c r="I4210" s="255">
        <v>750</v>
      </c>
      <c r="J4210" s="255">
        <v>7491.0550837750961</v>
      </c>
      <c r="K4210" s="593">
        <f t="shared" si="83"/>
        <v>5618291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69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799"/>
    </row>
    <row r="4211" spans="1:27" s="210" customFormat="1" ht="15.75" customHeight="1">
      <c r="A4211" s="203" t="str">
        <f>IF(B4211&lt;&gt;"",IF(AND(B4211&gt;=_TM1,B4211&lt;=_TM2,OR(TH!L4211="1111",TH!M4211="1111")),TH!D4211,""),"")</f>
        <v/>
      </c>
      <c r="B4211" s="36">
        <f t="shared" si="81"/>
        <v>5</v>
      </c>
      <c r="C4211" s="183">
        <f t="shared" si="82"/>
        <v>42151</v>
      </c>
      <c r="D4211" s="190" t="s">
        <v>2015</v>
      </c>
      <c r="E4211" s="190">
        <v>42151</v>
      </c>
      <c r="F4211" s="191" t="s">
        <v>685</v>
      </c>
      <c r="G4211" s="482" t="s">
        <v>686</v>
      </c>
      <c r="H4211" s="192" t="s">
        <v>2016</v>
      </c>
      <c r="I4211" s="255">
        <v>300</v>
      </c>
      <c r="J4211" s="255">
        <v>11392.646273241291</v>
      </c>
      <c r="K4211" s="593">
        <f t="shared" si="83"/>
        <v>3417794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69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799"/>
    </row>
    <row r="4212" spans="1:27" s="210" customFormat="1" ht="15.75" customHeight="1">
      <c r="A4212" s="203" t="str">
        <f>IF(B4212&lt;&gt;"",IF(AND(B4212&gt;=_TM1,B4212&lt;=_TM2,OR(TH!L4212="1111",TH!M4212="1111")),TH!D4212,""),"")</f>
        <v/>
      </c>
      <c r="B4212" s="36">
        <f t="shared" si="81"/>
        <v>5</v>
      </c>
      <c r="C4212" s="183">
        <f t="shared" si="82"/>
        <v>42151</v>
      </c>
      <c r="D4212" s="190" t="s">
        <v>2015</v>
      </c>
      <c r="E4212" s="190">
        <v>42151</v>
      </c>
      <c r="F4212" s="191" t="s">
        <v>687</v>
      </c>
      <c r="G4212" s="482" t="s">
        <v>686</v>
      </c>
      <c r="H4212" s="192" t="s">
        <v>2016</v>
      </c>
      <c r="I4212" s="255">
        <v>440</v>
      </c>
      <c r="J4212" s="255">
        <v>10222.168916401433</v>
      </c>
      <c r="K4212" s="593">
        <f t="shared" si="83"/>
        <v>4497754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69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799"/>
    </row>
    <row r="4213" spans="1:27" s="210" customFormat="1" ht="15.75" customHeight="1">
      <c r="A4213" s="203" t="str">
        <f>IF(B4213&lt;&gt;"",IF(AND(B4213&gt;=_TM1,B4213&lt;=_TM2,OR(TH!L4213="1111",TH!M4213="1111")),TH!D4213,""),"")</f>
        <v/>
      </c>
      <c r="B4213" s="36">
        <f t="shared" si="81"/>
        <v>5</v>
      </c>
      <c r="C4213" s="183">
        <f t="shared" si="82"/>
        <v>42151</v>
      </c>
      <c r="D4213" s="190" t="s">
        <v>2015</v>
      </c>
      <c r="E4213" s="190">
        <v>42151</v>
      </c>
      <c r="F4213" s="191" t="s">
        <v>688</v>
      </c>
      <c r="G4213" s="482" t="s">
        <v>686</v>
      </c>
      <c r="H4213" s="192" t="s">
        <v>2016</v>
      </c>
      <c r="I4213" s="255">
        <v>200</v>
      </c>
      <c r="J4213" s="255">
        <v>11470.678097030615</v>
      </c>
      <c r="K4213" s="593">
        <f t="shared" si="83"/>
        <v>2294136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69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799"/>
    </row>
    <row r="4214" spans="1:27" s="210" customFormat="1" ht="15.75" customHeight="1">
      <c r="A4214" s="203" t="str">
        <f>IF(B4214&lt;&gt;"",IF(AND(B4214&gt;=_TM1,B4214&lt;=_TM2,OR(TH!L4214="1111",TH!M4214="1111")),TH!D4214,""),"")</f>
        <v/>
      </c>
      <c r="B4214" s="36">
        <f t="shared" si="81"/>
        <v>5</v>
      </c>
      <c r="C4214" s="183">
        <f t="shared" si="82"/>
        <v>42151</v>
      </c>
      <c r="D4214" s="190" t="s">
        <v>2015</v>
      </c>
      <c r="E4214" s="190">
        <v>42151</v>
      </c>
      <c r="F4214" s="191" t="s">
        <v>689</v>
      </c>
      <c r="G4214" s="482" t="s">
        <v>686</v>
      </c>
      <c r="H4214" s="192" t="s">
        <v>2016</v>
      </c>
      <c r="I4214" s="255">
        <v>25</v>
      </c>
      <c r="J4214" s="255">
        <v>10144.137092612109</v>
      </c>
      <c r="K4214" s="593">
        <f t="shared" si="83"/>
        <v>253603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69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799"/>
    </row>
    <row r="4215" spans="1:27" s="210" customFormat="1" ht="15.75" customHeight="1">
      <c r="A4215" s="203" t="str">
        <f>IF(B4215&lt;&gt;"",IF(AND(B4215&gt;=_TM1,B4215&lt;=_TM2,OR(TH!L4215="1111",TH!M4215="1111")),TH!D4215,""),"")</f>
        <v/>
      </c>
      <c r="B4215" s="36">
        <f t="shared" si="81"/>
        <v>5</v>
      </c>
      <c r="C4215" s="183">
        <f t="shared" si="82"/>
        <v>42151</v>
      </c>
      <c r="D4215" s="190" t="s">
        <v>2015</v>
      </c>
      <c r="E4215" s="190">
        <v>42151</v>
      </c>
      <c r="F4215" s="191" t="s">
        <v>690</v>
      </c>
      <c r="G4215" s="482" t="s">
        <v>686</v>
      </c>
      <c r="H4215" s="192" t="s">
        <v>2016</v>
      </c>
      <c r="I4215" s="255">
        <v>25</v>
      </c>
      <c r="J4215" s="255">
        <v>15606.364757864783</v>
      </c>
      <c r="K4215" s="593">
        <f t="shared" si="83"/>
        <v>390159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69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799"/>
    </row>
    <row r="4216" spans="1:27" s="210" customFormat="1" ht="15.75" customHeight="1">
      <c r="A4216" s="203" t="str">
        <f>IF(B4216&lt;&gt;"",IF(AND(B4216&gt;=_TM1,B4216&lt;=_TM2,OR(TH!L4216="1111",TH!M4216="1111")),TH!D4216,""),"")</f>
        <v/>
      </c>
      <c r="B4216" s="36">
        <f t="shared" si="81"/>
        <v>5</v>
      </c>
      <c r="C4216" s="183">
        <f t="shared" si="82"/>
        <v>42151</v>
      </c>
      <c r="D4216" s="190" t="s">
        <v>2015</v>
      </c>
      <c r="E4216" s="190">
        <v>42151</v>
      </c>
      <c r="F4216" s="191" t="s">
        <v>691</v>
      </c>
      <c r="G4216" s="482" t="s">
        <v>686</v>
      </c>
      <c r="H4216" s="192" t="s">
        <v>2016</v>
      </c>
      <c r="I4216" s="255">
        <v>20</v>
      </c>
      <c r="J4216" s="255">
        <v>14826.046519971544</v>
      </c>
      <c r="K4216" s="593">
        <f t="shared" si="83"/>
        <v>296521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69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799"/>
    </row>
    <row r="4217" spans="1:27" s="210" customFormat="1" ht="15.75" customHeight="1">
      <c r="A4217" s="203" t="str">
        <f>IF(B4217&lt;&gt;"",IF(AND(B4217&gt;=_TM1,B4217&lt;=_TM2,OR(TH!L4217="1111",TH!M4217="1111")),TH!D4217,""),"")</f>
        <v/>
      </c>
      <c r="B4217" s="36">
        <f t="shared" si="81"/>
        <v>5</v>
      </c>
      <c r="C4217" s="183">
        <f t="shared" si="82"/>
        <v>42151</v>
      </c>
      <c r="D4217" s="190" t="s">
        <v>2015</v>
      </c>
      <c r="E4217" s="190">
        <v>42151</v>
      </c>
      <c r="F4217" s="191" t="s">
        <v>692</v>
      </c>
      <c r="G4217" s="482" t="s">
        <v>686</v>
      </c>
      <c r="H4217" s="192" t="s">
        <v>2016</v>
      </c>
      <c r="I4217" s="255">
        <v>50</v>
      </c>
      <c r="J4217" s="255">
        <v>13967.696458288981</v>
      </c>
      <c r="K4217" s="593">
        <f t="shared" si="83"/>
        <v>698385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69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799"/>
    </row>
    <row r="4218" spans="1:27" s="210" customFormat="1" ht="15.75" customHeight="1">
      <c r="A4218" s="203" t="str">
        <f>IF(B4218&lt;&gt;"",IF(AND(B4218&gt;=_TM1,B4218&lt;=_TM2,OR(TH!L4218="1111",TH!M4218="1111")),TH!D4218,""),"")</f>
        <v/>
      </c>
      <c r="B4218" s="36">
        <f t="shared" si="81"/>
        <v>5</v>
      </c>
      <c r="C4218" s="183">
        <f t="shared" si="82"/>
        <v>42151</v>
      </c>
      <c r="D4218" s="190" t="s">
        <v>2015</v>
      </c>
      <c r="E4218" s="190">
        <v>42151</v>
      </c>
      <c r="F4218" s="191" t="s">
        <v>693</v>
      </c>
      <c r="G4218" s="482" t="s">
        <v>686</v>
      </c>
      <c r="H4218" s="192" t="s">
        <v>2016</v>
      </c>
      <c r="I4218" s="255">
        <v>25</v>
      </c>
      <c r="J4218" s="255">
        <v>11782.805392187911</v>
      </c>
      <c r="K4218" s="593">
        <f t="shared" si="83"/>
        <v>294570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69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799"/>
    </row>
    <row r="4219" spans="1:27" s="210" customFormat="1" ht="15.75" customHeight="1">
      <c r="A4219" s="203" t="str">
        <f>IF(B4219&lt;&gt;"",IF(AND(B4219&gt;=_TM1,B4219&lt;=_TM2,OR(TH!L4219="1111",TH!M4219="1111")),TH!D4219,""),"")</f>
        <v/>
      </c>
      <c r="B4219" s="36">
        <f t="shared" si="81"/>
        <v>5</v>
      </c>
      <c r="C4219" s="183">
        <f t="shared" si="82"/>
        <v>42151</v>
      </c>
      <c r="D4219" s="190" t="s">
        <v>2015</v>
      </c>
      <c r="E4219" s="190">
        <v>42151</v>
      </c>
      <c r="F4219" s="191" t="s">
        <v>694</v>
      </c>
      <c r="G4219" s="482" t="s">
        <v>686</v>
      </c>
      <c r="H4219" s="192" t="s">
        <v>2016</v>
      </c>
      <c r="I4219" s="255">
        <v>25</v>
      </c>
      <c r="J4219" s="255">
        <v>11470.678097030615</v>
      </c>
      <c r="K4219" s="593">
        <f t="shared" si="83"/>
        <v>286767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69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799"/>
    </row>
    <row r="4220" spans="1:27" s="210" customFormat="1" ht="15.75" customHeight="1">
      <c r="A4220" s="203" t="str">
        <f>IF(B4220&lt;&gt;"",IF(AND(B4220&gt;=_TM1,B4220&lt;=_TM2,OR(TH!L4220="1111",TH!M4220="1111")),TH!D4220,""),"")</f>
        <v/>
      </c>
      <c r="B4220" s="36">
        <f t="shared" si="81"/>
        <v>5</v>
      </c>
      <c r="C4220" s="183">
        <f t="shared" si="82"/>
        <v>42151</v>
      </c>
      <c r="D4220" s="190" t="s">
        <v>2015</v>
      </c>
      <c r="E4220" s="190">
        <v>42151</v>
      </c>
      <c r="F4220" s="191" t="s">
        <v>695</v>
      </c>
      <c r="G4220" s="482" t="s">
        <v>686</v>
      </c>
      <c r="H4220" s="192" t="s">
        <v>2016</v>
      </c>
      <c r="I4220" s="255">
        <v>40</v>
      </c>
      <c r="J4220" s="255">
        <v>13733.60098692101</v>
      </c>
      <c r="K4220" s="593">
        <f t="shared" si="83"/>
        <v>549344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69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799"/>
    </row>
    <row r="4221" spans="1:27" s="210" customFormat="1" ht="15.75" customHeight="1">
      <c r="A4221" s="203" t="str">
        <f>IF(B4221&lt;&gt;"",IF(AND(B4221&gt;=_TM1,B4221&lt;=_TM2,OR(TH!L4221="1111",TH!M4221="1111")),TH!D4221,""),"")</f>
        <v/>
      </c>
      <c r="B4221" s="36">
        <f t="shared" si="81"/>
        <v>5</v>
      </c>
      <c r="C4221" s="183">
        <f t="shared" si="82"/>
        <v>42151</v>
      </c>
      <c r="D4221" s="190" t="s">
        <v>2015</v>
      </c>
      <c r="E4221" s="190">
        <v>42151</v>
      </c>
      <c r="F4221" s="191" t="s">
        <v>696</v>
      </c>
      <c r="G4221" s="482" t="s">
        <v>697</v>
      </c>
      <c r="H4221" s="192" t="s">
        <v>2016</v>
      </c>
      <c r="I4221" s="255">
        <v>1112</v>
      </c>
      <c r="J4221" s="255">
        <v>13343.44186797439</v>
      </c>
      <c r="K4221" s="593">
        <f t="shared" si="83"/>
        <v>14837907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69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799"/>
    </row>
    <row r="4222" spans="1:27" s="210" customFormat="1" ht="15.75" customHeight="1">
      <c r="A4222" s="203" t="str">
        <f>IF(B4222&lt;&gt;"",IF(AND(B4222&gt;=_TM1,B4222&lt;=_TM2,OR(TH!L4222="1111",TH!M4222="1111")),TH!D4222,""),"")</f>
        <v/>
      </c>
      <c r="B4222" s="36">
        <f t="shared" si="81"/>
        <v>5</v>
      </c>
      <c r="C4222" s="183">
        <f t="shared" si="82"/>
        <v>42151</v>
      </c>
      <c r="D4222" s="190" t="s">
        <v>2015</v>
      </c>
      <c r="E4222" s="190">
        <v>42151</v>
      </c>
      <c r="F4222" s="191" t="s">
        <v>698</v>
      </c>
      <c r="G4222" s="482" t="s">
        <v>699</v>
      </c>
      <c r="H4222" s="192" t="s">
        <v>2016</v>
      </c>
      <c r="I4222" s="255">
        <v>331</v>
      </c>
      <c r="J4222" s="255">
        <v>8193.3414978790115</v>
      </c>
      <c r="K4222" s="593">
        <f t="shared" si="83"/>
        <v>2711996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69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799"/>
    </row>
    <row r="4223" spans="1:27" s="210" customFormat="1" ht="15.75" customHeight="1">
      <c r="A4223" s="203" t="str">
        <f>IF(B4223&lt;&gt;"",IF(AND(B4223&gt;=_TM1,B4223&lt;=_TM2,OR(TH!L4223="1111",TH!M4223="1111")),TH!D4223,""),"")</f>
        <v/>
      </c>
      <c r="B4223" s="36">
        <f t="shared" si="81"/>
        <v>5</v>
      </c>
      <c r="C4223" s="183">
        <f t="shared" si="82"/>
        <v>42151</v>
      </c>
      <c r="D4223" s="190" t="s">
        <v>2015</v>
      </c>
      <c r="E4223" s="190">
        <v>42151</v>
      </c>
      <c r="F4223" s="191" t="s">
        <v>700</v>
      </c>
      <c r="G4223" s="482" t="s">
        <v>699</v>
      </c>
      <c r="H4223" s="192" t="s">
        <v>2016</v>
      </c>
      <c r="I4223" s="255">
        <v>308</v>
      </c>
      <c r="J4223" s="255">
        <v>7491.0550837750961</v>
      </c>
      <c r="K4223" s="593">
        <f t="shared" si="83"/>
        <v>2307245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69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799"/>
    </row>
    <row r="4224" spans="1:27" s="210" customFormat="1" ht="15.75" customHeight="1">
      <c r="A4224" s="203" t="str">
        <f>IF(B4224&lt;&gt;"",IF(AND(B4224&gt;=_TM1,B4224&lt;=_TM2,OR(TH!L4224="1111",TH!M4224="1111")),TH!D4224,""),"")</f>
        <v/>
      </c>
      <c r="B4224" s="36">
        <f t="shared" si="81"/>
        <v>5</v>
      </c>
      <c r="C4224" s="183">
        <f t="shared" si="82"/>
        <v>42151</v>
      </c>
      <c r="D4224" s="190" t="s">
        <v>2015</v>
      </c>
      <c r="E4224" s="190">
        <v>42151</v>
      </c>
      <c r="F4224" s="191" t="s">
        <v>701</v>
      </c>
      <c r="G4224" s="482" t="s">
        <v>699</v>
      </c>
      <c r="H4224" s="192" t="s">
        <v>2016</v>
      </c>
      <c r="I4224" s="255">
        <v>312</v>
      </c>
      <c r="J4224" s="255">
        <v>7334.9914361964475</v>
      </c>
      <c r="K4224" s="593">
        <f t="shared" si="83"/>
        <v>2288517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69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799"/>
    </row>
    <row r="4225" spans="1:27" s="210" customFormat="1" ht="15.75" customHeight="1">
      <c r="A4225" s="203" t="str">
        <f>IF(B4225&lt;&gt;"",IF(AND(B4225&gt;=_TM1,B4225&lt;=_TM2,OR(TH!L4225="1111",TH!M4225="1111")),TH!D4225,""),"")</f>
        <v/>
      </c>
      <c r="B4225" s="36">
        <f t="shared" si="81"/>
        <v>5</v>
      </c>
      <c r="C4225" s="183">
        <f t="shared" si="82"/>
        <v>42151</v>
      </c>
      <c r="D4225" s="190" t="s">
        <v>2015</v>
      </c>
      <c r="E4225" s="190">
        <v>42151</v>
      </c>
      <c r="F4225" s="191" t="s">
        <v>702</v>
      </c>
      <c r="G4225" s="482" t="s">
        <v>699</v>
      </c>
      <c r="H4225" s="192" t="s">
        <v>2016</v>
      </c>
      <c r="I4225" s="255">
        <v>313</v>
      </c>
      <c r="J4225" s="255">
        <v>10300.200740190758</v>
      </c>
      <c r="K4225" s="593">
        <f t="shared" si="83"/>
        <v>3223963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69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799"/>
    </row>
    <row r="4226" spans="1:27" s="210" customFormat="1" ht="15.75" customHeight="1">
      <c r="A4226" s="203" t="str">
        <f>IF(B4226&lt;&gt;"",IF(AND(B4226&gt;=_TM1,B4226&lt;=_TM2,OR(TH!L4226="1111",TH!M4226="1111")),TH!D4226,""),"")</f>
        <v/>
      </c>
      <c r="B4226" s="36">
        <f t="shared" si="81"/>
        <v>5</v>
      </c>
      <c r="C4226" s="183">
        <f t="shared" si="82"/>
        <v>42151</v>
      </c>
      <c r="D4226" s="190" t="s">
        <v>2015</v>
      </c>
      <c r="E4226" s="190">
        <v>42151</v>
      </c>
      <c r="F4226" s="191" t="s">
        <v>703</v>
      </c>
      <c r="G4226" s="482" t="s">
        <v>699</v>
      </c>
      <c r="H4226" s="192" t="s">
        <v>2016</v>
      </c>
      <c r="I4226" s="255">
        <v>507</v>
      </c>
      <c r="J4226" s="255">
        <v>5930.4186079886176</v>
      </c>
      <c r="K4226" s="593">
        <f t="shared" si="83"/>
        <v>3006722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69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799"/>
    </row>
    <row r="4227" spans="1:27" s="210" customFormat="1" ht="15.75" customHeight="1">
      <c r="A4227" s="203" t="str">
        <f>IF(B4227&lt;&gt;"",IF(AND(B4227&gt;=_TM1,B4227&lt;=_TM2,OR(TH!L4227="1111",TH!M4227="1111")),TH!D4227,""),"")</f>
        <v/>
      </c>
      <c r="B4227" s="36">
        <f t="shared" si="81"/>
        <v>5</v>
      </c>
      <c r="C4227" s="183">
        <f t="shared" si="82"/>
        <v>42151</v>
      </c>
      <c r="D4227" s="190" t="s">
        <v>2015</v>
      </c>
      <c r="E4227" s="190">
        <v>42151</v>
      </c>
      <c r="F4227" s="191" t="s">
        <v>451</v>
      </c>
      <c r="G4227" s="482" t="s">
        <v>704</v>
      </c>
      <c r="H4227" s="192" t="s">
        <v>2016</v>
      </c>
      <c r="I4227" s="255">
        <v>338</v>
      </c>
      <c r="J4227" s="255">
        <v>10456.264387769406</v>
      </c>
      <c r="K4227" s="593">
        <f t="shared" si="83"/>
        <v>3534217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69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799"/>
    </row>
    <row r="4228" spans="1:27" s="210" customFormat="1" ht="15.75" customHeight="1">
      <c r="A4228" s="203" t="str">
        <f>IF(B4228&lt;&gt;"",IF(AND(B4228&gt;=_TM1,B4228&lt;=_TM2,OR(TH!L4228="1111",TH!M4228="1111")),TH!D4228,""),"")</f>
        <v/>
      </c>
      <c r="B4228" s="36">
        <f t="shared" si="81"/>
        <v>5</v>
      </c>
      <c r="C4228" s="183">
        <f t="shared" si="82"/>
        <v>42151</v>
      </c>
      <c r="D4228" s="190" t="s">
        <v>2015</v>
      </c>
      <c r="E4228" s="190">
        <v>42151</v>
      </c>
      <c r="F4228" s="191" t="s">
        <v>595</v>
      </c>
      <c r="G4228" s="482" t="s">
        <v>704</v>
      </c>
      <c r="H4228" s="192" t="s">
        <v>2016</v>
      </c>
      <c r="I4228" s="255">
        <v>240</v>
      </c>
      <c r="J4228" s="255">
        <v>7256.959612407125</v>
      </c>
      <c r="K4228" s="593">
        <f t="shared" si="83"/>
        <v>1741670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69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799"/>
    </row>
    <row r="4229" spans="1:27" s="210" customFormat="1" ht="15.75" customHeight="1">
      <c r="A4229" s="203" t="str">
        <f>IF(B4229&lt;&gt;"",IF(AND(B4229&gt;=_TM1,B4229&lt;=_TM2,OR(TH!L4229="1111",TH!M4229="1111")),TH!D4229,""),"")</f>
        <v/>
      </c>
      <c r="B4229" s="36">
        <f t="shared" si="81"/>
        <v>5</v>
      </c>
      <c r="C4229" s="183">
        <f t="shared" si="82"/>
        <v>42151</v>
      </c>
      <c r="D4229" s="190" t="s">
        <v>2015</v>
      </c>
      <c r="E4229" s="190">
        <v>42151</v>
      </c>
      <c r="F4229" s="191" t="s">
        <v>539</v>
      </c>
      <c r="G4229" s="482" t="s">
        <v>704</v>
      </c>
      <c r="H4229" s="192" t="s">
        <v>2016</v>
      </c>
      <c r="I4229" s="255">
        <v>213</v>
      </c>
      <c r="J4229" s="255">
        <v>7334.9914361964475</v>
      </c>
      <c r="K4229" s="593">
        <f t="shared" si="83"/>
        <v>1562353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69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799"/>
    </row>
    <row r="4230" spans="1:27" s="210" customFormat="1" ht="15.75" customHeight="1">
      <c r="A4230" s="203" t="str">
        <f>IF(B4230&lt;&gt;"",IF(AND(B4230&gt;=_TM1,B4230&lt;=_TM2,OR(TH!L4230="1111",TH!M4230="1111")),TH!D4230,""),"")</f>
        <v/>
      </c>
      <c r="B4230" s="36">
        <f t="shared" si="81"/>
        <v>5</v>
      </c>
      <c r="C4230" s="183">
        <f t="shared" si="82"/>
        <v>42151</v>
      </c>
      <c r="D4230" s="190" t="s">
        <v>2015</v>
      </c>
      <c r="E4230" s="190">
        <v>42151</v>
      </c>
      <c r="F4230" s="191" t="s">
        <v>538</v>
      </c>
      <c r="G4230" s="482" t="s">
        <v>704</v>
      </c>
      <c r="H4230" s="192" t="s">
        <v>2016</v>
      </c>
      <c r="I4230" s="255">
        <v>300</v>
      </c>
      <c r="J4230" s="255">
        <v>6944.8323172498285</v>
      </c>
      <c r="K4230" s="593">
        <f t="shared" si="83"/>
        <v>2083450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69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799"/>
    </row>
    <row r="4231" spans="1:27" s="210" customFormat="1" ht="15.75" customHeight="1">
      <c r="A4231" s="203" t="str">
        <f>IF(B4231&lt;&gt;"",IF(AND(B4231&gt;=_TM1,B4231&lt;=_TM2,OR(TH!L4231="1111",TH!M4231="1111")),TH!D4231,""),"")</f>
        <v/>
      </c>
      <c r="B4231" s="36">
        <f t="shared" si="81"/>
        <v>5</v>
      </c>
      <c r="C4231" s="183">
        <f t="shared" si="82"/>
        <v>42151</v>
      </c>
      <c r="D4231" s="190" t="s">
        <v>2015</v>
      </c>
      <c r="E4231" s="190">
        <v>42151</v>
      </c>
      <c r="F4231" s="191" t="s">
        <v>705</v>
      </c>
      <c r="G4231" s="482" t="s">
        <v>706</v>
      </c>
      <c r="H4231" s="192" t="s">
        <v>2016</v>
      </c>
      <c r="I4231" s="255">
        <v>204</v>
      </c>
      <c r="J4231" s="255">
        <v>8115.3096740896872</v>
      </c>
      <c r="K4231" s="593">
        <f t="shared" si="83"/>
        <v>1655523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69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799"/>
    </row>
    <row r="4232" spans="1:27" s="210" customFormat="1" ht="15.75" customHeight="1">
      <c r="A4232" s="203" t="str">
        <f>IF(B4232&lt;&gt;"",IF(AND(B4232&gt;=_TM1,B4232&lt;=_TM2,OR(TH!L4232="1111",TH!M4232="1111")),TH!D4232,""),"")</f>
        <v/>
      </c>
      <c r="B4232" s="36">
        <f t="shared" si="81"/>
        <v>5</v>
      </c>
      <c r="C4232" s="183">
        <f t="shared" si="82"/>
        <v>42151</v>
      </c>
      <c r="D4232" s="190" t="s">
        <v>2015</v>
      </c>
      <c r="E4232" s="190">
        <v>42151</v>
      </c>
      <c r="F4232" s="191" t="s">
        <v>708</v>
      </c>
      <c r="G4232" s="482" t="s">
        <v>706</v>
      </c>
      <c r="H4232" s="192" t="s">
        <v>2016</v>
      </c>
      <c r="I4232" s="255">
        <v>200</v>
      </c>
      <c r="J4232" s="255">
        <v>8037.2778503003638</v>
      </c>
      <c r="K4232" s="593">
        <f t="shared" si="83"/>
        <v>1607456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69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799"/>
    </row>
    <row r="4233" spans="1:27" s="210" customFormat="1" ht="15.75" customHeight="1">
      <c r="A4233" s="203" t="str">
        <f>IF(B4233&lt;&gt;"",IF(AND(B4233&gt;=_TM1,B4233&lt;=_TM2,OR(TH!L4233="1111",TH!M4233="1111")),TH!D4233,""),"")</f>
        <v/>
      </c>
      <c r="B4233" s="36">
        <f t="shared" si="81"/>
        <v>5</v>
      </c>
      <c r="C4233" s="183">
        <f t="shared" si="82"/>
        <v>42152</v>
      </c>
      <c r="D4233" s="190" t="s">
        <v>2015</v>
      </c>
      <c r="E4233" s="190">
        <v>42152</v>
      </c>
      <c r="F4233" s="191" t="s">
        <v>709</v>
      </c>
      <c r="G4233" s="482" t="s">
        <v>710</v>
      </c>
      <c r="H4233" s="192" t="s">
        <v>2016</v>
      </c>
      <c r="I4233" s="255">
        <v>200</v>
      </c>
      <c r="J4233" s="255">
        <v>7647.1187313537439</v>
      </c>
      <c r="K4233" s="593">
        <f t="shared" si="83"/>
        <v>1529424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69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799"/>
    </row>
    <row r="4234" spans="1:27" s="210" customFormat="1" ht="15.75" customHeight="1">
      <c r="A4234" s="203" t="str">
        <f>IF(B4234&lt;&gt;"",IF(AND(B4234&gt;=_TM1,B4234&lt;=_TM2,OR(TH!L4234="1111",TH!M4234="1111")),TH!D4234,""),"")</f>
        <v/>
      </c>
      <c r="B4234" s="36">
        <f t="shared" si="81"/>
        <v>5</v>
      </c>
      <c r="C4234" s="183">
        <f t="shared" si="82"/>
        <v>42152</v>
      </c>
      <c r="D4234" s="190" t="s">
        <v>2015</v>
      </c>
      <c r="E4234" s="190">
        <v>42152</v>
      </c>
      <c r="F4234" s="191" t="s">
        <v>711</v>
      </c>
      <c r="G4234" s="482" t="s">
        <v>712</v>
      </c>
      <c r="H4234" s="192" t="s">
        <v>2016</v>
      </c>
      <c r="I4234" s="255">
        <v>250</v>
      </c>
      <c r="J4234" s="255">
        <v>10924.455330505347</v>
      </c>
      <c r="K4234" s="593">
        <f t="shared" si="83"/>
        <v>2731114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69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799"/>
    </row>
    <row r="4235" spans="1:27" s="210" customFormat="1" ht="15.75" customHeight="1">
      <c r="A4235" s="203" t="str">
        <f>IF(B4235&lt;&gt;"",IF(AND(B4235&gt;=_TM1,B4235&lt;=_TM2,OR(TH!L4235="1111",TH!M4235="1111")),TH!D4235,""),"")</f>
        <v/>
      </c>
      <c r="B4235" s="36">
        <f t="shared" si="81"/>
        <v>5</v>
      </c>
      <c r="C4235" s="183">
        <f t="shared" si="82"/>
        <v>42154</v>
      </c>
      <c r="D4235" s="190" t="s">
        <v>2015</v>
      </c>
      <c r="E4235" s="190">
        <v>42154</v>
      </c>
      <c r="F4235" s="191" t="s">
        <v>713</v>
      </c>
      <c r="G4235" s="482" t="s">
        <v>714</v>
      </c>
      <c r="H4235" s="192" t="s">
        <v>2016</v>
      </c>
      <c r="I4235" s="255">
        <v>595</v>
      </c>
      <c r="J4235" s="255">
        <v>8349.4051454576602</v>
      </c>
      <c r="K4235" s="593">
        <f t="shared" si="83"/>
        <v>4967896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69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799"/>
    </row>
    <row r="4236" spans="1:27" s="210" customFormat="1" ht="15.75" customHeight="1">
      <c r="A4236" s="203" t="str">
        <f>IF(B4236&lt;&gt;"",IF(AND(B4236&gt;=_TM1,B4236&lt;=_TM2,OR(TH!L4236="1111",TH!M4236="1111")),TH!D4236,""),"")</f>
        <v/>
      </c>
      <c r="B4236" s="36">
        <f t="shared" si="81"/>
        <v>5</v>
      </c>
      <c r="C4236" s="183">
        <f t="shared" si="82"/>
        <v>42154</v>
      </c>
      <c r="D4236" s="190" t="s">
        <v>2015</v>
      </c>
      <c r="E4236" s="190">
        <v>42154</v>
      </c>
      <c r="F4236" s="191" t="s">
        <v>716</v>
      </c>
      <c r="G4236" s="482" t="s">
        <v>714</v>
      </c>
      <c r="H4236" s="192" t="s">
        <v>2016</v>
      </c>
      <c r="I4236" s="255">
        <v>297</v>
      </c>
      <c r="J4236" s="255">
        <v>6242.5459031459141</v>
      </c>
      <c r="K4236" s="593">
        <f t="shared" si="83"/>
        <v>1854036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69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799"/>
    </row>
    <row r="4237" spans="1:27" s="210" customFormat="1" ht="15.75" customHeight="1">
      <c r="A4237" s="203" t="str">
        <f>IF(B4237&lt;&gt;"",IF(AND(B4237&gt;=_TM1,B4237&lt;=_TM2,OR(TH!L4237="1111",TH!M4237="1111")),TH!D4237,""),"")</f>
        <v/>
      </c>
      <c r="B4237" s="36">
        <f t="shared" si="81"/>
        <v>5</v>
      </c>
      <c r="C4237" s="183">
        <f t="shared" si="82"/>
        <v>42154</v>
      </c>
      <c r="D4237" s="190" t="s">
        <v>2015</v>
      </c>
      <c r="E4237" s="190">
        <v>42154</v>
      </c>
      <c r="F4237" s="191" t="s">
        <v>717</v>
      </c>
      <c r="G4237" s="482" t="s">
        <v>714</v>
      </c>
      <c r="H4237" s="192" t="s">
        <v>2016</v>
      </c>
      <c r="I4237" s="255">
        <v>306</v>
      </c>
      <c r="J4237" s="255">
        <v>7178.9277886178006</v>
      </c>
      <c r="K4237" s="593">
        <f t="shared" si="83"/>
        <v>2196752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69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799"/>
    </row>
    <row r="4238" spans="1:27" s="210" customFormat="1" ht="15.75" customHeight="1">
      <c r="A4238" s="203" t="str">
        <f>IF(B4238&lt;&gt;"",IF(AND(B4238&gt;=_TM1,B4238&lt;=_TM2,OR(TH!L4238="1111",TH!M4238="1111")),TH!D4238,""),"")</f>
        <v/>
      </c>
      <c r="B4238" s="36">
        <f t="shared" si="81"/>
        <v>5</v>
      </c>
      <c r="C4238" s="183">
        <f t="shared" si="82"/>
        <v>42154</v>
      </c>
      <c r="D4238" s="190" t="s">
        <v>2015</v>
      </c>
      <c r="E4238" s="190">
        <v>42154</v>
      </c>
      <c r="F4238" s="191" t="s">
        <v>386</v>
      </c>
      <c r="G4238" s="482" t="s">
        <v>714</v>
      </c>
      <c r="H4238" s="192" t="s">
        <v>2016</v>
      </c>
      <c r="I4238" s="255">
        <v>207</v>
      </c>
      <c r="J4238" s="255">
        <v>10534.296211558729</v>
      </c>
      <c r="K4238" s="593">
        <f t="shared" si="83"/>
        <v>2180599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69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799"/>
    </row>
    <row r="4239" spans="1:27" s="210" customFormat="1" ht="15.75" customHeight="1">
      <c r="A4239" s="203" t="str">
        <f>IF(B4239&lt;&gt;"",IF(AND(B4239&gt;=_TM1,B4239&lt;=_TM2,OR(TH!L4239="1111",TH!M4239="1111")),TH!D4239,""),"")</f>
        <v/>
      </c>
      <c r="B4239" s="36">
        <f t="shared" si="81"/>
        <v>5</v>
      </c>
      <c r="C4239" s="183">
        <f t="shared" si="82"/>
        <v>42154</v>
      </c>
      <c r="D4239" s="190" t="s">
        <v>2015</v>
      </c>
      <c r="E4239" s="190">
        <v>42154</v>
      </c>
      <c r="F4239" s="191" t="s">
        <v>718</v>
      </c>
      <c r="G4239" s="482" t="s">
        <v>714</v>
      </c>
      <c r="H4239" s="192" t="s">
        <v>2016</v>
      </c>
      <c r="I4239" s="255">
        <v>177</v>
      </c>
      <c r="J4239" s="255">
        <v>8817.5960881936026</v>
      </c>
      <c r="K4239" s="593">
        <f t="shared" si="83"/>
        <v>1560715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69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799"/>
    </row>
    <row r="4240" spans="1:27" s="210" customFormat="1" ht="15.75" customHeight="1">
      <c r="A4240" s="203" t="str">
        <f>IF(B4240&lt;&gt;"",IF(AND(B4240&gt;=_TM1,B4240&lt;=_TM2,OR(TH!L4240="1111",TH!M4240="1111")),TH!D4240,""),"")</f>
        <v/>
      </c>
      <c r="B4240" s="36">
        <f t="shared" si="81"/>
        <v>5</v>
      </c>
      <c r="C4240" s="183">
        <f t="shared" si="82"/>
        <v>42154</v>
      </c>
      <c r="D4240" s="190" t="s">
        <v>2015</v>
      </c>
      <c r="E4240" s="190">
        <v>42154</v>
      </c>
      <c r="F4240" s="191" t="s">
        <v>602</v>
      </c>
      <c r="G4240" s="482" t="s">
        <v>719</v>
      </c>
      <c r="H4240" s="192" t="s">
        <v>2016</v>
      </c>
      <c r="I4240" s="255">
        <v>473</v>
      </c>
      <c r="J4240" s="255">
        <v>9832.0097974548135</v>
      </c>
      <c r="K4240" s="593">
        <f t="shared" si="83"/>
        <v>4650541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69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799"/>
    </row>
    <row r="4241" spans="1:27" s="210" customFormat="1" ht="15.75" customHeight="1">
      <c r="A4241" s="203" t="str">
        <f>IF(B4241&lt;&gt;"",IF(AND(B4241&gt;=_TM1,B4241&lt;=_TM2,OR(TH!L4241="1111",TH!M4241="1111")),TH!D4241,""),"")</f>
        <v/>
      </c>
      <c r="B4241" s="36">
        <f t="shared" si="81"/>
        <v>5</v>
      </c>
      <c r="C4241" s="183">
        <f t="shared" si="82"/>
        <v>42154</v>
      </c>
      <c r="D4241" s="190" t="s">
        <v>2015</v>
      </c>
      <c r="E4241" s="190">
        <v>42154</v>
      </c>
      <c r="F4241" s="191" t="s">
        <v>720</v>
      </c>
      <c r="G4241" s="482" t="s">
        <v>721</v>
      </c>
      <c r="H4241" s="192" t="s">
        <v>2016</v>
      </c>
      <c r="I4241" s="255">
        <v>50</v>
      </c>
      <c r="J4241" s="255">
        <v>13655.569163131686</v>
      </c>
      <c r="K4241" s="593">
        <f t="shared" si="83"/>
        <v>682778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69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799"/>
    </row>
    <row r="4242" spans="1:27" s="210" customFormat="1" ht="15.75" customHeight="1">
      <c r="A4242" s="203" t="str">
        <f>IF(B4242&lt;&gt;"",IF(AND(B4242&gt;=_TM1,B4242&lt;=_TM2,OR(TH!L4242="1111",TH!M4242="1111")),TH!D4242,""),"")</f>
        <v/>
      </c>
      <c r="B4242" s="36">
        <f t="shared" si="81"/>
        <v>5</v>
      </c>
      <c r="C4242" s="183">
        <f t="shared" si="82"/>
        <v>42154</v>
      </c>
      <c r="D4242" s="190" t="s">
        <v>2015</v>
      </c>
      <c r="E4242" s="190">
        <v>42154</v>
      </c>
      <c r="F4242" s="191" t="s">
        <v>722</v>
      </c>
      <c r="G4242" s="482" t="s">
        <v>721</v>
      </c>
      <c r="H4242" s="192" t="s">
        <v>2016</v>
      </c>
      <c r="I4242" s="255">
        <v>50</v>
      </c>
      <c r="J4242" s="255">
        <v>11236.582625662644</v>
      </c>
      <c r="K4242" s="593">
        <f t="shared" si="83"/>
        <v>561829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69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799"/>
    </row>
    <row r="4243" spans="1:27" s="210" customFormat="1" ht="15.75" customHeight="1">
      <c r="A4243" s="203" t="str">
        <f>IF(B4243&lt;&gt;"",IF(AND(B4243&gt;=_TM1,B4243&lt;=_TM2,OR(TH!L4243="1111",TH!M4243="1111")),TH!D4243,""),"")</f>
        <v/>
      </c>
      <c r="B4243" s="36">
        <f t="shared" si="81"/>
        <v>5</v>
      </c>
      <c r="C4243" s="183">
        <f t="shared" si="82"/>
        <v>42154</v>
      </c>
      <c r="D4243" s="190" t="s">
        <v>2015</v>
      </c>
      <c r="E4243" s="190">
        <v>42154</v>
      </c>
      <c r="F4243" s="191" t="s">
        <v>723</v>
      </c>
      <c r="G4243" s="482" t="s">
        <v>721</v>
      </c>
      <c r="H4243" s="192" t="s">
        <v>2016</v>
      </c>
      <c r="I4243" s="255">
        <v>34</v>
      </c>
      <c r="J4243" s="255">
        <v>12797.219101449122</v>
      </c>
      <c r="K4243" s="593">
        <f t="shared" si="83"/>
        <v>435105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69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799"/>
    </row>
    <row r="4244" spans="1:27" s="210" customFormat="1" ht="15.75" customHeight="1">
      <c r="A4244" s="203" t="str">
        <f>IF(B4244&lt;&gt;"",IF(AND(B4244&gt;=_TM1,B4244&lt;=_TM2,OR(TH!L4244="1111",TH!M4244="1111")),TH!D4244,""),"")</f>
        <v/>
      </c>
      <c r="B4244" s="36">
        <f t="shared" si="81"/>
        <v>5</v>
      </c>
      <c r="C4244" s="183">
        <f t="shared" si="82"/>
        <v>42154</v>
      </c>
      <c r="D4244" s="190" t="s">
        <v>2015</v>
      </c>
      <c r="E4244" s="190">
        <v>42154</v>
      </c>
      <c r="F4244" s="191" t="s">
        <v>724</v>
      </c>
      <c r="G4244" s="482" t="s">
        <v>721</v>
      </c>
      <c r="H4244" s="192" t="s">
        <v>2016</v>
      </c>
      <c r="I4244" s="255">
        <v>183</v>
      </c>
      <c r="J4244" s="255">
        <v>18571.57406185909</v>
      </c>
      <c r="K4244" s="593">
        <f t="shared" si="83"/>
        <v>3398598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69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799"/>
    </row>
    <row r="4245" spans="1:27" s="210" customFormat="1" ht="15.75" customHeight="1">
      <c r="A4245" s="203" t="str">
        <f>IF(B4245&lt;&gt;"",IF(AND(B4245&gt;=_TM1,B4245&lt;=_TM2,OR(TH!L4245="1111",TH!M4245="1111")),TH!D4245,""),"")</f>
        <v/>
      </c>
      <c r="B4245" s="36">
        <f t="shared" si="81"/>
        <v>5</v>
      </c>
      <c r="C4245" s="183">
        <f t="shared" si="82"/>
        <v>42154</v>
      </c>
      <c r="D4245" s="190" t="s">
        <v>2015</v>
      </c>
      <c r="E4245" s="190">
        <v>42154</v>
      </c>
      <c r="F4245" s="191" t="s">
        <v>725</v>
      </c>
      <c r="G4245" s="482" t="s">
        <v>721</v>
      </c>
      <c r="H4245" s="192" t="s">
        <v>2016</v>
      </c>
      <c r="I4245" s="255">
        <v>450</v>
      </c>
      <c r="J4245" s="255">
        <v>12875.250925238446</v>
      </c>
      <c r="K4245" s="593">
        <f t="shared" si="83"/>
        <v>5793863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69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799"/>
    </row>
    <row r="4246" spans="1:27" s="210" customFormat="1" ht="15.75" customHeight="1">
      <c r="A4246" s="203" t="str">
        <f>IF(B4246&lt;&gt;"",IF(AND(B4246&gt;=_TM1,B4246&lt;=_TM2,OR(TH!L4246="1111",TH!M4246="1111")),TH!D4246,""),"")</f>
        <v/>
      </c>
      <c r="B4246" s="36">
        <f t="shared" si="81"/>
        <v>5</v>
      </c>
      <c r="C4246" s="183">
        <f t="shared" si="82"/>
        <v>42154</v>
      </c>
      <c r="D4246" s="190" t="s">
        <v>2015</v>
      </c>
      <c r="E4246" s="190">
        <v>42154</v>
      </c>
      <c r="F4246" s="191" t="s">
        <v>726</v>
      </c>
      <c r="G4246" s="482" t="s">
        <v>721</v>
      </c>
      <c r="H4246" s="192" t="s">
        <v>2016</v>
      </c>
      <c r="I4246" s="255">
        <v>40</v>
      </c>
      <c r="J4246" s="255">
        <v>8037.2778503003638</v>
      </c>
      <c r="K4246" s="593">
        <f t="shared" si="83"/>
        <v>321491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69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799"/>
    </row>
    <row r="4247" spans="1:27" s="210" customFormat="1" ht="15.75" customHeight="1">
      <c r="A4247" s="203" t="str">
        <f>IF(B4247&lt;&gt;"",IF(AND(B4247&gt;=_TM1,B4247&lt;=_TM2,OR(TH!L4247="1111",TH!M4247="1111")),TH!D4247,""),"")</f>
        <v/>
      </c>
      <c r="B4247" s="36">
        <f t="shared" si="81"/>
        <v>5</v>
      </c>
      <c r="C4247" s="183">
        <f t="shared" si="82"/>
        <v>42154</v>
      </c>
      <c r="D4247" s="190" t="s">
        <v>2015</v>
      </c>
      <c r="E4247" s="190">
        <v>42154</v>
      </c>
      <c r="F4247" s="191" t="s">
        <v>727</v>
      </c>
      <c r="G4247" s="482" t="s">
        <v>721</v>
      </c>
      <c r="H4247" s="192" t="s">
        <v>2016</v>
      </c>
      <c r="I4247" s="255">
        <v>167</v>
      </c>
      <c r="J4247" s="255">
        <v>7647.1187313537439</v>
      </c>
      <c r="K4247" s="593">
        <f t="shared" si="83"/>
        <v>1277069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69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799"/>
    </row>
    <row r="4248" spans="1:27" s="210" customFormat="1" ht="15.75" customHeight="1">
      <c r="A4248" s="203" t="str">
        <f>IF(B4248&lt;&gt;"",IF(AND(B4248&gt;=_TM1,B4248&lt;=_TM2,OR(TH!L4248="1111",TH!M4248="1111")),TH!D4248,""),"")</f>
        <v/>
      </c>
      <c r="B4248" s="36">
        <f t="shared" si="81"/>
        <v>5</v>
      </c>
      <c r="C4248" s="183">
        <f t="shared" si="82"/>
        <v>42154</v>
      </c>
      <c r="D4248" s="190" t="s">
        <v>2015</v>
      </c>
      <c r="E4248" s="190">
        <v>42154</v>
      </c>
      <c r="F4248" s="191" t="s">
        <v>728</v>
      </c>
      <c r="G4248" s="482" t="s">
        <v>721</v>
      </c>
      <c r="H4248" s="192" t="s">
        <v>2016</v>
      </c>
      <c r="I4248" s="255">
        <v>500</v>
      </c>
      <c r="J4248" s="255">
        <v>13265.410044185066</v>
      </c>
      <c r="K4248" s="593">
        <f t="shared" si="83"/>
        <v>6632705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69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799"/>
    </row>
    <row r="4249" spans="1:27" s="210" customFormat="1" ht="15.75" customHeight="1">
      <c r="A4249" s="203" t="str">
        <f>IF(B4249&lt;&gt;"",IF(AND(B4249&gt;=_TM1,B4249&lt;=_TM2,OR(TH!L4249="1111",TH!M4249="1111")),TH!D4249,""),"")</f>
        <v/>
      </c>
      <c r="B4249" s="36">
        <f t="shared" si="81"/>
        <v>5</v>
      </c>
      <c r="C4249" s="183">
        <f t="shared" si="82"/>
        <v>42154</v>
      </c>
      <c r="D4249" s="190" t="s">
        <v>2015</v>
      </c>
      <c r="E4249" s="190">
        <v>42154</v>
      </c>
      <c r="F4249" s="191" t="s">
        <v>729</v>
      </c>
      <c r="G4249" s="482" t="s">
        <v>721</v>
      </c>
      <c r="H4249" s="192" t="s">
        <v>2016</v>
      </c>
      <c r="I4249" s="255">
        <v>20</v>
      </c>
      <c r="J4249" s="255">
        <v>11392.646273241291</v>
      </c>
      <c r="K4249" s="593">
        <f t="shared" si="83"/>
        <v>227853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69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799"/>
    </row>
    <row r="4250" spans="1:27" s="210" customFormat="1" ht="15.75" customHeight="1">
      <c r="A4250" s="203" t="str">
        <f>IF(B4250&lt;&gt;"",IF(AND(B4250&gt;=_TM1,B4250&lt;=_TM2,OR(TH!L4250="1111",TH!M4250="1111")),TH!D4250,""),"")</f>
        <v/>
      </c>
      <c r="B4250" s="36">
        <f t="shared" si="81"/>
        <v>5</v>
      </c>
      <c r="C4250" s="183">
        <f t="shared" si="82"/>
        <v>42154</v>
      </c>
      <c r="D4250" s="190" t="s">
        <v>2015</v>
      </c>
      <c r="E4250" s="190">
        <v>42154</v>
      </c>
      <c r="F4250" s="191" t="s">
        <v>730</v>
      </c>
      <c r="G4250" s="482" t="s">
        <v>721</v>
      </c>
      <c r="H4250" s="192" t="s">
        <v>2016</v>
      </c>
      <c r="I4250" s="255">
        <v>100</v>
      </c>
      <c r="J4250" s="255">
        <v>5696.3231366206455</v>
      </c>
      <c r="K4250" s="593">
        <f t="shared" si="83"/>
        <v>569632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69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799"/>
    </row>
    <row r="4251" spans="1:27" s="210" customFormat="1" ht="15.75" customHeight="1">
      <c r="A4251" s="203" t="str">
        <f>IF(B4251&lt;&gt;"",IF(AND(B4251&gt;=_TM1,B4251&lt;=_TM2,OR(TH!L4251="1111",TH!M4251="1111")),TH!D4251,""),"")</f>
        <v/>
      </c>
      <c r="B4251" s="36">
        <f t="shared" si="81"/>
        <v>5</v>
      </c>
      <c r="C4251" s="183">
        <f t="shared" si="82"/>
        <v>42154</v>
      </c>
      <c r="D4251" s="190" t="s">
        <v>2015</v>
      </c>
      <c r="E4251" s="190">
        <v>42154</v>
      </c>
      <c r="F4251" s="191" t="s">
        <v>454</v>
      </c>
      <c r="G4251" s="482" t="s">
        <v>732</v>
      </c>
      <c r="H4251" s="192" t="s">
        <v>2016</v>
      </c>
      <c r="I4251" s="255">
        <v>295</v>
      </c>
      <c r="J4251" s="255">
        <v>56573.072247259843</v>
      </c>
      <c r="K4251" s="593">
        <f t="shared" si="83"/>
        <v>16689056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69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799"/>
    </row>
    <row r="4252" spans="1:27" s="210" customFormat="1" ht="15.75" customHeight="1">
      <c r="A4252" s="203" t="str">
        <f>IF(B4252&lt;&gt;"",IF(AND(B4252&gt;=_TM1,B4252&lt;=_TM2,OR(TH!L4252="1111",TH!M4252="1111")),TH!D4252,""),"")</f>
        <v/>
      </c>
      <c r="B4252" s="36">
        <f t="shared" si="81"/>
        <v>5</v>
      </c>
      <c r="C4252" s="183">
        <f t="shared" si="82"/>
        <v>42155</v>
      </c>
      <c r="D4252" s="190" t="s">
        <v>2015</v>
      </c>
      <c r="E4252" s="190">
        <v>42155</v>
      </c>
      <c r="F4252" s="191" t="s">
        <v>734</v>
      </c>
      <c r="G4252" s="482" t="s">
        <v>735</v>
      </c>
      <c r="H4252" s="192" t="s">
        <v>2016</v>
      </c>
      <c r="I4252" s="255">
        <v>102</v>
      </c>
      <c r="J4252" s="255">
        <v>54934.403947684041</v>
      </c>
      <c r="K4252" s="593">
        <f t="shared" si="83"/>
        <v>5603309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69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799"/>
    </row>
    <row r="4253" spans="1:27" s="210" customFormat="1" ht="15.75" customHeight="1">
      <c r="A4253" s="203" t="str">
        <f>IF(B4253&lt;&gt;"",IF(AND(B4253&gt;=_TM1,B4253&lt;=_TM2,OR(TH!L4253="1111",TH!M4253="1111")),TH!D4253,""),"")</f>
        <v/>
      </c>
      <c r="B4253" s="36">
        <f t="shared" si="81"/>
        <v>5</v>
      </c>
      <c r="C4253" s="183">
        <f t="shared" si="82"/>
        <v>42155</v>
      </c>
      <c r="D4253" s="190" t="s">
        <v>2015</v>
      </c>
      <c r="E4253" s="190">
        <v>42155</v>
      </c>
      <c r="F4253" s="191" t="s">
        <v>736</v>
      </c>
      <c r="G4253" s="482" t="s">
        <v>735</v>
      </c>
      <c r="H4253" s="192" t="s">
        <v>2016</v>
      </c>
      <c r="I4253" s="255">
        <v>418</v>
      </c>
      <c r="J4253" s="255">
        <v>8193.3414978790115</v>
      </c>
      <c r="K4253" s="593">
        <f t="shared" si="83"/>
        <v>3424817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69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799"/>
    </row>
    <row r="4254" spans="1:27" s="210" customFormat="1" ht="15.75" customHeight="1">
      <c r="A4254" s="203" t="str">
        <f>IF(B4254&lt;&gt;"",IF(AND(B4254&gt;=_TM1,B4254&lt;=_TM2,OR(TH!L4254="1111",TH!M4254="1111")),TH!D4254,""),"")</f>
        <v/>
      </c>
      <c r="B4254" s="36">
        <f t="shared" si="81"/>
        <v>5</v>
      </c>
      <c r="C4254" s="183">
        <f t="shared" si="82"/>
        <v>42155</v>
      </c>
      <c r="D4254" s="190" t="s">
        <v>2015</v>
      </c>
      <c r="E4254" s="190">
        <v>42155</v>
      </c>
      <c r="F4254" s="191" t="s">
        <v>737</v>
      </c>
      <c r="G4254" s="482" t="s">
        <v>735</v>
      </c>
      <c r="H4254" s="192" t="s">
        <v>2016</v>
      </c>
      <c r="I4254" s="255">
        <v>28</v>
      </c>
      <c r="J4254" s="255">
        <v>11626.741744609264</v>
      </c>
      <c r="K4254" s="593">
        <f t="shared" si="83"/>
        <v>325549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69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799"/>
    </row>
    <row r="4255" spans="1:27" s="210" customFormat="1" ht="15.75" customHeight="1">
      <c r="A4255" s="203" t="str">
        <f>IF(B4255&lt;&gt;"",IF(AND(B4255&gt;=_TM1,B4255&lt;=_TM2,OR(TH!L4255="1111",TH!M4255="1111")),TH!D4255,""),"")</f>
        <v/>
      </c>
      <c r="B4255" s="36">
        <f t="shared" si="81"/>
        <v>5</v>
      </c>
      <c r="C4255" s="183">
        <f t="shared" si="82"/>
        <v>42155</v>
      </c>
      <c r="D4255" s="190" t="s">
        <v>2015</v>
      </c>
      <c r="E4255" s="190">
        <v>42155</v>
      </c>
      <c r="F4255" s="191" t="s">
        <v>738</v>
      </c>
      <c r="G4255" s="482" t="s">
        <v>735</v>
      </c>
      <c r="H4255" s="192" t="s">
        <v>2016</v>
      </c>
      <c r="I4255" s="255">
        <v>25</v>
      </c>
      <c r="J4255" s="255">
        <v>11782.805392187911</v>
      </c>
      <c r="K4255" s="593">
        <f t="shared" si="83"/>
        <v>294570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69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799"/>
    </row>
    <row r="4256" spans="1:27" s="210" customFormat="1" ht="15.75" customHeight="1">
      <c r="A4256" s="203" t="str">
        <f>IF(B4256&lt;&gt;"",IF(AND(B4256&gt;=_TM1,B4256&lt;=_TM2,OR(TH!L4256="1111",TH!M4256="1111")),TH!D4256,""),"")</f>
        <v/>
      </c>
      <c r="B4256" s="36">
        <f t="shared" si="81"/>
        <v>5</v>
      </c>
      <c r="C4256" s="183">
        <f t="shared" si="82"/>
        <v>42155</v>
      </c>
      <c r="D4256" s="190" t="s">
        <v>2015</v>
      </c>
      <c r="E4256" s="190">
        <v>42155</v>
      </c>
      <c r="F4256" s="191" t="s">
        <v>739</v>
      </c>
      <c r="G4256" s="482" t="s">
        <v>740</v>
      </c>
      <c r="H4256" s="192" t="s">
        <v>2016</v>
      </c>
      <c r="I4256" s="255">
        <v>400</v>
      </c>
      <c r="J4256" s="255">
        <v>12172.964511134531</v>
      </c>
      <c r="K4256" s="593">
        <f t="shared" si="83"/>
        <v>4869186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69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799"/>
    </row>
    <row r="4257" spans="1:27" s="210" customFormat="1" ht="15.75" customHeight="1">
      <c r="A4257" s="203" t="str">
        <f>IF(B4257&lt;&gt;"",IF(AND(B4257&gt;=_TM1,B4257&lt;=_TM2,OR(TH!L4257="1111",TH!M4257="1111")),TH!D4257,""),"")</f>
        <v/>
      </c>
      <c r="B4257" s="36">
        <f t="shared" si="81"/>
        <v>5</v>
      </c>
      <c r="C4257" s="183">
        <f t="shared" si="82"/>
        <v>42155</v>
      </c>
      <c r="D4257" s="190" t="s">
        <v>2015</v>
      </c>
      <c r="E4257" s="190">
        <v>42155</v>
      </c>
      <c r="F4257" s="191" t="s">
        <v>741</v>
      </c>
      <c r="G4257" s="482" t="s">
        <v>740</v>
      </c>
      <c r="H4257" s="192" t="s">
        <v>2016</v>
      </c>
      <c r="I4257" s="255">
        <v>100</v>
      </c>
      <c r="J4257" s="255">
        <v>7725.1505551430673</v>
      </c>
      <c r="K4257" s="593">
        <f t="shared" si="83"/>
        <v>772515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69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799"/>
    </row>
    <row r="4258" spans="1:27" s="210" customFormat="1" ht="15.75" customHeight="1">
      <c r="A4258" s="203" t="str">
        <f>IF(B4258&lt;&gt;"",IF(AND(B4258&gt;=_TM1,B4258&lt;=_TM2,OR(TH!L4258="1111",TH!M4258="1111")),TH!D4258,""),"")</f>
        <v/>
      </c>
      <c r="B4258" s="36">
        <f t="shared" si="81"/>
        <v>5</v>
      </c>
      <c r="C4258" s="183">
        <f t="shared" si="82"/>
        <v>42155</v>
      </c>
      <c r="D4258" s="190" t="s">
        <v>2015</v>
      </c>
      <c r="E4258" s="190">
        <v>42155</v>
      </c>
      <c r="F4258" s="191" t="s">
        <v>742</v>
      </c>
      <c r="G4258" s="482" t="s">
        <v>740</v>
      </c>
      <c r="H4258" s="192" t="s">
        <v>2016</v>
      </c>
      <c r="I4258" s="255">
        <v>70</v>
      </c>
      <c r="J4258" s="255">
        <v>15294.237462707488</v>
      </c>
      <c r="K4258" s="593">
        <f t="shared" si="83"/>
        <v>1070597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69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799"/>
    </row>
    <row r="4259" spans="1:27" s="210" customFormat="1" ht="15.75" customHeight="1">
      <c r="A4259" s="203" t="str">
        <f>IF(B4259&lt;&gt;"",IF(AND(B4259&gt;=_TM1,B4259&lt;=_TM2,OR(TH!L4259="1111",TH!M4259="1111")),TH!D4259,""),"")</f>
        <v/>
      </c>
      <c r="B4259" s="36">
        <f t="shared" si="81"/>
        <v>5</v>
      </c>
      <c r="C4259" s="183">
        <f t="shared" si="82"/>
        <v>42155</v>
      </c>
      <c r="D4259" s="190" t="s">
        <v>2015</v>
      </c>
      <c r="E4259" s="190">
        <v>42155</v>
      </c>
      <c r="F4259" s="191" t="s">
        <v>743</v>
      </c>
      <c r="G4259" s="482" t="s">
        <v>740</v>
      </c>
      <c r="H4259" s="192" t="s">
        <v>2016</v>
      </c>
      <c r="I4259" s="255">
        <v>60</v>
      </c>
      <c r="J4259" s="255">
        <v>3979.6230132555197</v>
      </c>
      <c r="K4259" s="593">
        <f t="shared" si="83"/>
        <v>238777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69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799"/>
    </row>
    <row r="4260" spans="1:27" s="210" customFormat="1" ht="15.75" customHeight="1">
      <c r="A4260" s="203" t="str">
        <f>IF(B4260&lt;&gt;"",IF(AND(B4260&gt;=_TM1,B4260&lt;=_TM2,OR(TH!L4260="1111",TH!M4260="1111")),TH!D4260,""),"")</f>
        <v/>
      </c>
      <c r="B4260" s="36">
        <f t="shared" si="81"/>
        <v>5</v>
      </c>
      <c r="C4260" s="183">
        <f t="shared" si="82"/>
        <v>42155</v>
      </c>
      <c r="D4260" s="190" t="s">
        <v>2015</v>
      </c>
      <c r="E4260" s="190">
        <v>42155</v>
      </c>
      <c r="F4260" s="191" t="s">
        <v>744</v>
      </c>
      <c r="G4260" s="482" t="s">
        <v>740</v>
      </c>
      <c r="H4260" s="192" t="s">
        <v>2016</v>
      </c>
      <c r="I4260" s="255">
        <v>27</v>
      </c>
      <c r="J4260" s="255">
        <v>10456.264387769406</v>
      </c>
      <c r="K4260" s="593">
        <f t="shared" si="83"/>
        <v>282319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69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799"/>
    </row>
    <row r="4261" spans="1:27" s="210" customFormat="1" ht="15.75" customHeight="1">
      <c r="A4261" s="203" t="str">
        <f>IF(B4261&lt;&gt;"",IF(AND(B4261&gt;=_TM1,B4261&lt;=_TM2,OR(TH!L4261="1111",TH!M4261="1111")),TH!D4261,""),"")</f>
        <v/>
      </c>
      <c r="B4261" s="36">
        <f t="shared" si="81"/>
        <v>5</v>
      </c>
      <c r="C4261" s="183">
        <f t="shared" si="82"/>
        <v>42155</v>
      </c>
      <c r="D4261" s="190" t="s">
        <v>2015</v>
      </c>
      <c r="E4261" s="190">
        <v>42155</v>
      </c>
      <c r="F4261" s="191" t="s">
        <v>745</v>
      </c>
      <c r="G4261" s="482" t="s">
        <v>740</v>
      </c>
      <c r="H4261" s="192" t="s">
        <v>2016</v>
      </c>
      <c r="I4261" s="255">
        <v>200</v>
      </c>
      <c r="J4261" s="255">
        <v>8271.3733216683358</v>
      </c>
      <c r="K4261" s="593">
        <f t="shared" si="83"/>
        <v>1654275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69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799"/>
    </row>
    <row r="4262" spans="1:27" s="210" customFormat="1" ht="15.75" customHeight="1">
      <c r="A4262" s="203" t="str">
        <f>IF(B4262&lt;&gt;"",IF(AND(B4262&gt;=_TM1,B4262&lt;=_TM2,OR(TH!L4262="1111",TH!M4262="1111")),TH!D4262,""),"")</f>
        <v/>
      </c>
      <c r="B4262" s="36">
        <f t="shared" si="81"/>
        <v>5</v>
      </c>
      <c r="C4262" s="183">
        <f t="shared" si="82"/>
        <v>42155</v>
      </c>
      <c r="D4262" s="190" t="s">
        <v>2015</v>
      </c>
      <c r="E4262" s="190">
        <v>42155</v>
      </c>
      <c r="F4262" s="191" t="s">
        <v>746</v>
      </c>
      <c r="G4262" s="482" t="s">
        <v>740</v>
      </c>
      <c r="H4262" s="192" t="s">
        <v>2016</v>
      </c>
      <c r="I4262" s="255">
        <v>300</v>
      </c>
      <c r="J4262" s="255">
        <v>18025.351295333825</v>
      </c>
      <c r="K4262" s="593">
        <f t="shared" si="83"/>
        <v>5407605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69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799"/>
    </row>
    <row r="4263" spans="1:27" s="210" customFormat="1" ht="15.75" customHeight="1">
      <c r="A4263" s="203" t="str">
        <f>IF(B4263&lt;&gt;"",IF(AND(B4263&gt;=_TM1,B4263&lt;=_TM2,OR(TH!L4263="1111",TH!M4263="1111")),TH!D4263,""),"")</f>
        <v/>
      </c>
      <c r="B4263" s="36">
        <f t="shared" si="81"/>
        <v>5</v>
      </c>
      <c r="C4263" s="183">
        <f t="shared" si="82"/>
        <v>42155</v>
      </c>
      <c r="D4263" s="190" t="s">
        <v>2015</v>
      </c>
      <c r="E4263" s="190">
        <v>42155</v>
      </c>
      <c r="F4263" s="191" t="s">
        <v>747</v>
      </c>
      <c r="G4263" s="482" t="s">
        <v>740</v>
      </c>
      <c r="H4263" s="192" t="s">
        <v>2016</v>
      </c>
      <c r="I4263" s="255">
        <v>300</v>
      </c>
      <c r="J4263" s="255">
        <v>4135.6866608341679</v>
      </c>
      <c r="K4263" s="593">
        <f t="shared" si="83"/>
        <v>1240706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69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799"/>
    </row>
    <row r="4264" spans="1:27" s="210" customFormat="1" ht="15.75" customHeight="1">
      <c r="A4264" s="203" t="str">
        <f>IF(B4264&lt;&gt;"",IF(AND(B4264&gt;=_TM1,B4264&lt;=_TM2,OR(TH!L4264="1111",TH!M4264="1111")),TH!D4264,""),"")</f>
        <v/>
      </c>
      <c r="B4264" s="36">
        <f t="shared" si="81"/>
        <v>5</v>
      </c>
      <c r="C4264" s="183">
        <f t="shared" si="82"/>
        <v>42155</v>
      </c>
      <c r="D4264" s="190" t="s">
        <v>2015</v>
      </c>
      <c r="E4264" s="190">
        <v>42155</v>
      </c>
      <c r="F4264" s="191" t="s">
        <v>748</v>
      </c>
      <c r="G4264" s="482" t="s">
        <v>740</v>
      </c>
      <c r="H4264" s="192" t="s">
        <v>2016</v>
      </c>
      <c r="I4264" s="255">
        <v>100</v>
      </c>
      <c r="J4264" s="255">
        <v>14591.951048603572</v>
      </c>
      <c r="K4264" s="593">
        <f t="shared" si="83"/>
        <v>1459195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69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799"/>
    </row>
    <row r="4265" spans="1:27" s="210" customFormat="1" ht="15.75" customHeight="1">
      <c r="A4265" s="203" t="str">
        <f>IF(B4265&lt;&gt;"",IF(AND(B4265&gt;=_TM1,B4265&lt;=_TM2,OR(TH!L4265="1111",TH!M4265="1111")),TH!D4265,""),"")</f>
        <v/>
      </c>
      <c r="B4265" s="36">
        <f t="shared" si="81"/>
        <v>5</v>
      </c>
      <c r="C4265" s="183">
        <f t="shared" si="82"/>
        <v>42155</v>
      </c>
      <c r="D4265" s="190" t="s">
        <v>2015</v>
      </c>
      <c r="E4265" s="190">
        <v>42155</v>
      </c>
      <c r="F4265" s="191" t="s">
        <v>748</v>
      </c>
      <c r="G4265" s="482" t="s">
        <v>740</v>
      </c>
      <c r="H4265" s="192" t="s">
        <v>2016</v>
      </c>
      <c r="I4265" s="255">
        <v>125</v>
      </c>
      <c r="J4265" s="255">
        <v>14591.951048603572</v>
      </c>
      <c r="K4265" s="593">
        <f t="shared" si="83"/>
        <v>1823994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69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799"/>
    </row>
    <row r="4266" spans="1:27" s="210" customFormat="1" ht="15.75" customHeight="1">
      <c r="A4266" s="203" t="str">
        <f>IF(B4266&lt;&gt;"",IF(AND(B4266&gt;=_TM1,B4266&lt;=_TM2,OR(TH!L4266="1111",TH!M4266="1111")),TH!D4266,""),"")</f>
        <v/>
      </c>
      <c r="B4266" s="36">
        <f t="shared" si="81"/>
        <v>6</v>
      </c>
      <c r="C4266" s="183">
        <f t="shared" si="82"/>
        <v>42156</v>
      </c>
      <c r="D4266" s="190" t="s">
        <v>2015</v>
      </c>
      <c r="E4266" s="190">
        <v>42156</v>
      </c>
      <c r="F4266" s="191" t="s">
        <v>536</v>
      </c>
      <c r="G4266" s="482" t="s">
        <v>749</v>
      </c>
      <c r="H4266" s="192" t="s">
        <v>2016</v>
      </c>
      <c r="I4266" s="255">
        <v>300</v>
      </c>
      <c r="J4266" s="255">
        <v>14982.110167550192</v>
      </c>
      <c r="K4266" s="593">
        <f t="shared" si="83"/>
        <v>4494633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69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799"/>
    </row>
    <row r="4267" spans="1:27" s="210" customFormat="1" ht="15.75" customHeight="1">
      <c r="A4267" s="203" t="str">
        <f>IF(B4267&lt;&gt;"",IF(AND(B4267&gt;=_TM1,B4267&lt;=_TM2,OR(TH!L4267="1111",TH!M4267="1111")),TH!D4267,""),"")</f>
        <v/>
      </c>
      <c r="B4267" s="36">
        <f t="shared" si="81"/>
        <v>6</v>
      </c>
      <c r="C4267" s="183">
        <f t="shared" si="82"/>
        <v>42156</v>
      </c>
      <c r="D4267" s="190" t="s">
        <v>2015</v>
      </c>
      <c r="E4267" s="190">
        <v>42156</v>
      </c>
      <c r="F4267" s="191" t="s">
        <v>398</v>
      </c>
      <c r="G4267" s="482" t="s">
        <v>749</v>
      </c>
      <c r="H4267" s="192" t="s">
        <v>2016</v>
      </c>
      <c r="I4267" s="255">
        <v>907</v>
      </c>
      <c r="J4267" s="255">
        <v>6398.6095507245609</v>
      </c>
      <c r="K4267" s="593">
        <f t="shared" si="83"/>
        <v>5803539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69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799"/>
    </row>
    <row r="4268" spans="1:27" s="210" customFormat="1" ht="15.75" customHeight="1">
      <c r="A4268" s="203" t="str">
        <f>IF(B4268&lt;&gt;"",IF(AND(B4268&gt;=_TM1,B4268&lt;=_TM2,OR(TH!L4268="1111",TH!M4268="1111")),TH!D4268,""),"")</f>
        <v/>
      </c>
      <c r="B4268" s="36">
        <f t="shared" si="81"/>
        <v>6</v>
      </c>
      <c r="C4268" s="183">
        <f t="shared" si="82"/>
        <v>42157</v>
      </c>
      <c r="D4268" s="190" t="s">
        <v>2015</v>
      </c>
      <c r="E4268" s="190">
        <v>42157</v>
      </c>
      <c r="F4268" s="191" t="s">
        <v>682</v>
      </c>
      <c r="G4268" s="482" t="s">
        <v>750</v>
      </c>
      <c r="H4268" s="192" t="s">
        <v>2016</v>
      </c>
      <c r="I4268" s="255">
        <v>534</v>
      </c>
      <c r="J4268" s="255">
        <v>4135.6866608341679</v>
      </c>
      <c r="K4268" s="593">
        <f t="shared" si="83"/>
        <v>2208457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69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799"/>
    </row>
    <row r="4269" spans="1:27" s="210" customFormat="1" ht="15.75" customHeight="1">
      <c r="A4269" s="203" t="str">
        <f>IF(B4269&lt;&gt;"",IF(AND(B4269&gt;=_TM1,B4269&lt;=_TM2,OR(TH!L4269="1111",TH!M4269="1111")),TH!D4269,""),"")</f>
        <v/>
      </c>
      <c r="B4269" s="36">
        <f t="shared" si="81"/>
        <v>6</v>
      </c>
      <c r="C4269" s="183">
        <f t="shared" si="82"/>
        <v>42157</v>
      </c>
      <c r="D4269" s="190" t="s">
        <v>2015</v>
      </c>
      <c r="E4269" s="190">
        <v>42157</v>
      </c>
      <c r="F4269" s="191" t="s">
        <v>494</v>
      </c>
      <c r="G4269" s="482" t="s">
        <v>750</v>
      </c>
      <c r="H4269" s="192" t="s">
        <v>2016</v>
      </c>
      <c r="I4269" s="255">
        <v>504</v>
      </c>
      <c r="J4269" s="255">
        <v>5306.1640176740266</v>
      </c>
      <c r="K4269" s="593">
        <f t="shared" si="83"/>
        <v>2674307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69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799"/>
    </row>
    <row r="4270" spans="1:27" s="210" customFormat="1" ht="15.75" customHeight="1">
      <c r="A4270" s="203" t="str">
        <f>IF(B4270&lt;&gt;"",IF(AND(B4270&gt;=_TM1,B4270&lt;=_TM2,OR(TH!L4270="1111",TH!M4270="1111")),TH!D4270,""),"")</f>
        <v/>
      </c>
      <c r="B4270" s="36">
        <f t="shared" si="81"/>
        <v>6</v>
      </c>
      <c r="C4270" s="183">
        <f t="shared" si="82"/>
        <v>42157</v>
      </c>
      <c r="D4270" s="190" t="s">
        <v>2015</v>
      </c>
      <c r="E4270" s="190">
        <v>42157</v>
      </c>
      <c r="F4270" s="191" t="s">
        <v>494</v>
      </c>
      <c r="G4270" s="482" t="s">
        <v>750</v>
      </c>
      <c r="H4270" s="192" t="s">
        <v>2016</v>
      </c>
      <c r="I4270" s="255">
        <v>1060</v>
      </c>
      <c r="J4270" s="255">
        <v>5306.1640176740266</v>
      </c>
      <c r="K4270" s="593">
        <f t="shared" si="83"/>
        <v>5624534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69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799"/>
    </row>
    <row r="4271" spans="1:27" s="210" customFormat="1" ht="15.75" customHeight="1">
      <c r="A4271" s="203" t="str">
        <f>IF(B4271&lt;&gt;"",IF(AND(B4271&gt;=_TM1,B4271&lt;=_TM2,OR(TH!L4271="1111",TH!M4271="1111")),TH!D4271,""),"")</f>
        <v/>
      </c>
      <c r="B4271" s="36">
        <f t="shared" si="81"/>
        <v>6</v>
      </c>
      <c r="C4271" s="183">
        <f t="shared" si="82"/>
        <v>42157</v>
      </c>
      <c r="D4271" s="190" t="s">
        <v>2015</v>
      </c>
      <c r="E4271" s="190">
        <v>42157</v>
      </c>
      <c r="F4271" s="191" t="s">
        <v>494</v>
      </c>
      <c r="G4271" s="482" t="s">
        <v>750</v>
      </c>
      <c r="H4271" s="192" t="s">
        <v>2016</v>
      </c>
      <c r="I4271" s="255">
        <v>500</v>
      </c>
      <c r="J4271" s="255">
        <v>5306.1640176740266</v>
      </c>
      <c r="K4271" s="593">
        <f t="shared" si="83"/>
        <v>2653082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69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799"/>
    </row>
    <row r="4272" spans="1:27" s="210" customFormat="1" ht="15.75" customHeight="1">
      <c r="A4272" s="203" t="str">
        <f>IF(B4272&lt;&gt;"",IF(AND(B4272&gt;=_TM1,B4272&lt;=_TM2,OR(TH!L4272="1111",TH!M4272="1111")),TH!D4272,""),"")</f>
        <v/>
      </c>
      <c r="B4272" s="36">
        <f t="shared" si="81"/>
        <v>6</v>
      </c>
      <c r="C4272" s="183">
        <f t="shared" si="82"/>
        <v>42157</v>
      </c>
      <c r="D4272" s="190" t="s">
        <v>2015</v>
      </c>
      <c r="E4272" s="190">
        <v>42157</v>
      </c>
      <c r="F4272" s="191" t="s">
        <v>1731</v>
      </c>
      <c r="G4272" s="482" t="s">
        <v>751</v>
      </c>
      <c r="H4272" s="192" t="s">
        <v>2016</v>
      </c>
      <c r="I4272" s="255">
        <v>500</v>
      </c>
      <c r="J4272" s="255">
        <v>1326.5410044185066</v>
      </c>
      <c r="K4272" s="593">
        <f t="shared" si="83"/>
        <v>663271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69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799"/>
    </row>
    <row r="4273" spans="1:27" s="210" customFormat="1" ht="15.75" customHeight="1">
      <c r="A4273" s="203" t="str">
        <f>IF(B4273&lt;&gt;"",IF(AND(B4273&gt;=_TM1,B4273&lt;=_TM2,OR(TH!L4273="1111",TH!M4273="1111")),TH!D4273,""),"")</f>
        <v/>
      </c>
      <c r="B4273" s="36">
        <f t="shared" si="81"/>
        <v>6</v>
      </c>
      <c r="C4273" s="183">
        <f t="shared" si="82"/>
        <v>42157</v>
      </c>
      <c r="D4273" s="190" t="s">
        <v>2015</v>
      </c>
      <c r="E4273" s="190">
        <v>42157</v>
      </c>
      <c r="F4273" s="191" t="s">
        <v>1690</v>
      </c>
      <c r="G4273" s="482" t="s">
        <v>751</v>
      </c>
      <c r="H4273" s="192" t="s">
        <v>2016</v>
      </c>
      <c r="I4273" s="255">
        <v>500</v>
      </c>
      <c r="J4273" s="255">
        <v>1872.763770943774</v>
      </c>
      <c r="K4273" s="593">
        <f t="shared" si="83"/>
        <v>936382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69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799"/>
    </row>
    <row r="4274" spans="1:27" s="210" customFormat="1" ht="15.75" customHeight="1">
      <c r="A4274" s="203" t="str">
        <f>IF(B4274&lt;&gt;"",IF(AND(B4274&gt;=_TM1,B4274&lt;=_TM2,OR(TH!L4274="1111",TH!M4274="1111")),TH!D4274,""),"")</f>
        <v/>
      </c>
      <c r="B4274" s="36">
        <f t="shared" si="81"/>
        <v>6</v>
      </c>
      <c r="C4274" s="183">
        <f t="shared" si="82"/>
        <v>42157</v>
      </c>
      <c r="D4274" s="190" t="s">
        <v>2015</v>
      </c>
      <c r="E4274" s="190">
        <v>42157</v>
      </c>
      <c r="F4274" s="191" t="s">
        <v>752</v>
      </c>
      <c r="G4274" s="482" t="s">
        <v>751</v>
      </c>
      <c r="H4274" s="192" t="s">
        <v>2016</v>
      </c>
      <c r="I4274" s="255">
        <v>506</v>
      </c>
      <c r="J4274" s="255">
        <v>4681.9094273594346</v>
      </c>
      <c r="K4274" s="593">
        <f t="shared" si="83"/>
        <v>2369046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69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799"/>
    </row>
    <row r="4275" spans="1:27" s="210" customFormat="1" ht="15.75" customHeight="1">
      <c r="A4275" s="203" t="str">
        <f>IF(B4275&lt;&gt;"",IF(AND(B4275&gt;=_TM1,B4275&lt;=_TM2,OR(TH!L4275="1111",TH!M4275="1111")),TH!D4275,""),"")</f>
        <v/>
      </c>
      <c r="B4275" s="36">
        <f t="shared" si="81"/>
        <v>6</v>
      </c>
      <c r="C4275" s="183">
        <f t="shared" si="82"/>
        <v>42157</v>
      </c>
      <c r="D4275" s="190" t="s">
        <v>2015</v>
      </c>
      <c r="E4275" s="190">
        <v>42157</v>
      </c>
      <c r="F4275" s="191" t="s">
        <v>753</v>
      </c>
      <c r="G4275" s="482" t="s">
        <v>751</v>
      </c>
      <c r="H4275" s="192" t="s">
        <v>2016</v>
      </c>
      <c r="I4275" s="255">
        <v>512</v>
      </c>
      <c r="J4275" s="255">
        <v>5540.2594890419978</v>
      </c>
      <c r="K4275" s="593">
        <f t="shared" si="83"/>
        <v>2836613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69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799"/>
    </row>
    <row r="4276" spans="1:27" s="210" customFormat="1" ht="15.75" customHeight="1">
      <c r="A4276" s="203" t="str">
        <f>IF(B4276&lt;&gt;"",IF(AND(B4276&gt;=_TM1,B4276&lt;=_TM2,OR(TH!L4276="1111",TH!M4276="1111")),TH!D4276,""),"")</f>
        <v/>
      </c>
      <c r="B4276" s="36">
        <f t="shared" si="81"/>
        <v>6</v>
      </c>
      <c r="C4276" s="183">
        <f t="shared" si="82"/>
        <v>42157</v>
      </c>
      <c r="D4276" s="190" t="s">
        <v>2015</v>
      </c>
      <c r="E4276" s="190">
        <v>42157</v>
      </c>
      <c r="F4276" s="191" t="s">
        <v>1935</v>
      </c>
      <c r="G4276" s="482" t="s">
        <v>754</v>
      </c>
      <c r="H4276" s="192" t="s">
        <v>2016</v>
      </c>
      <c r="I4276" s="255">
        <v>1000</v>
      </c>
      <c r="J4276" s="255">
        <v>5852.3867841992942</v>
      </c>
      <c r="K4276" s="593">
        <f t="shared" si="83"/>
        <v>5852387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69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799"/>
    </row>
    <row r="4277" spans="1:27" s="210" customFormat="1" ht="15.75" customHeight="1">
      <c r="A4277" s="203" t="str">
        <f>IF(B4277&lt;&gt;"",IF(AND(B4277&gt;=_TM1,B4277&lt;=_TM2,OR(TH!L4277="1111",TH!M4277="1111")),TH!D4277,""),"")</f>
        <v/>
      </c>
      <c r="B4277" s="36">
        <f t="shared" si="81"/>
        <v>6</v>
      </c>
      <c r="C4277" s="183">
        <f t="shared" si="82"/>
        <v>42158</v>
      </c>
      <c r="D4277" s="190" t="s">
        <v>2015</v>
      </c>
      <c r="E4277" s="190">
        <v>42158</v>
      </c>
      <c r="F4277" s="191" t="s">
        <v>678</v>
      </c>
      <c r="G4277" s="482" t="s">
        <v>757</v>
      </c>
      <c r="H4277" s="192" t="s">
        <v>2016</v>
      </c>
      <c r="I4277" s="255">
        <v>303</v>
      </c>
      <c r="J4277" s="255">
        <v>5696.3231366206455</v>
      </c>
      <c r="K4277" s="593">
        <f t="shared" si="83"/>
        <v>1725986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69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799"/>
    </row>
    <row r="4278" spans="1:27" s="210" customFormat="1" ht="15.75" customHeight="1">
      <c r="A4278" s="203" t="str">
        <f>IF(B4278&lt;&gt;"",IF(AND(B4278&gt;=_TM1,B4278&lt;=_TM2,OR(TH!L4278="1111",TH!M4278="1111")),TH!D4278,""),"")</f>
        <v/>
      </c>
      <c r="B4278" s="36">
        <f t="shared" si="81"/>
        <v>6</v>
      </c>
      <c r="C4278" s="183">
        <f t="shared" si="82"/>
        <v>42158</v>
      </c>
      <c r="D4278" s="190" t="s">
        <v>2015</v>
      </c>
      <c r="E4278" s="190">
        <v>42158</v>
      </c>
      <c r="F4278" s="191" t="s">
        <v>441</v>
      </c>
      <c r="G4278" s="482" t="s">
        <v>757</v>
      </c>
      <c r="H4278" s="192" t="s">
        <v>2016</v>
      </c>
      <c r="I4278" s="255">
        <v>1016</v>
      </c>
      <c r="J4278" s="255">
        <v>3979.6230132555197</v>
      </c>
      <c r="K4278" s="593">
        <f t="shared" si="83"/>
        <v>4043297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69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799"/>
    </row>
    <row r="4279" spans="1:27" s="210" customFormat="1" ht="15.75" customHeight="1">
      <c r="A4279" s="203" t="str">
        <f>IF(B4279&lt;&gt;"",IF(AND(B4279&gt;=_TM1,B4279&lt;=_TM2,OR(TH!L4279="1111",TH!M4279="1111")),TH!D4279,""),"")</f>
        <v/>
      </c>
      <c r="B4279" s="36">
        <f t="shared" si="81"/>
        <v>6</v>
      </c>
      <c r="C4279" s="183">
        <f t="shared" si="82"/>
        <v>42158</v>
      </c>
      <c r="D4279" s="190" t="s">
        <v>2015</v>
      </c>
      <c r="E4279" s="190">
        <v>42158</v>
      </c>
      <c r="F4279" s="191" t="s">
        <v>758</v>
      </c>
      <c r="G4279" s="482" t="s">
        <v>759</v>
      </c>
      <c r="H4279" s="192" t="s">
        <v>2016</v>
      </c>
      <c r="I4279" s="255">
        <v>200</v>
      </c>
      <c r="J4279" s="255">
        <v>5306.1640176740266</v>
      </c>
      <c r="K4279" s="593">
        <f t="shared" si="83"/>
        <v>1061233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69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799"/>
    </row>
    <row r="4280" spans="1:27" s="210" customFormat="1" ht="15.75" customHeight="1">
      <c r="A4280" s="203" t="str">
        <f>IF(B4280&lt;&gt;"",IF(AND(B4280&gt;=_TM1,B4280&lt;=_TM2,OR(TH!L4280="1111",TH!M4280="1111")),TH!D4280,""),"")</f>
        <v/>
      </c>
      <c r="B4280" s="36">
        <f t="shared" si="81"/>
        <v>6</v>
      </c>
      <c r="C4280" s="183">
        <f t="shared" si="82"/>
        <v>42158</v>
      </c>
      <c r="D4280" s="190" t="s">
        <v>2015</v>
      </c>
      <c r="E4280" s="190">
        <v>42158</v>
      </c>
      <c r="F4280" s="191" t="s">
        <v>413</v>
      </c>
      <c r="G4280" s="482" t="s">
        <v>759</v>
      </c>
      <c r="H4280" s="192" t="s">
        <v>2016</v>
      </c>
      <c r="I4280" s="255">
        <v>500</v>
      </c>
      <c r="J4280" s="255">
        <v>7413.0232599857718</v>
      </c>
      <c r="K4280" s="593">
        <f t="shared" si="83"/>
        <v>3706512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69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799"/>
    </row>
    <row r="4281" spans="1:27" s="210" customFormat="1" ht="15.75" customHeight="1">
      <c r="A4281" s="203" t="str">
        <f>IF(B4281&lt;&gt;"",IF(AND(B4281&gt;=_TM1,B4281&lt;=_TM2,OR(TH!L4281="1111",TH!M4281="1111")),TH!D4281,""),"")</f>
        <v/>
      </c>
      <c r="B4281" s="36">
        <f t="shared" si="81"/>
        <v>6</v>
      </c>
      <c r="C4281" s="183">
        <f t="shared" si="82"/>
        <v>42159</v>
      </c>
      <c r="D4281" s="190" t="s">
        <v>2015</v>
      </c>
      <c r="E4281" s="190">
        <v>42159</v>
      </c>
      <c r="F4281" s="191" t="s">
        <v>760</v>
      </c>
      <c r="G4281" s="482" t="s">
        <v>761</v>
      </c>
      <c r="H4281" s="192" t="s">
        <v>2016</v>
      </c>
      <c r="I4281" s="255">
        <v>500</v>
      </c>
      <c r="J4281" s="255">
        <v>9988.0734450334621</v>
      </c>
      <c r="K4281" s="593">
        <f t="shared" si="83"/>
        <v>4994037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69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799"/>
    </row>
    <row r="4282" spans="1:27" s="210" customFormat="1" ht="15.75" customHeight="1">
      <c r="A4282" s="203" t="str">
        <f>IF(B4282&lt;&gt;"",IF(AND(B4282&gt;=_TM1,B4282&lt;=_TM2,OR(TH!L4282="1111",TH!M4282="1111")),TH!D4282,""),"")</f>
        <v/>
      </c>
      <c r="B4282" s="36">
        <f t="shared" si="81"/>
        <v>6</v>
      </c>
      <c r="C4282" s="183">
        <f t="shared" si="82"/>
        <v>42159</v>
      </c>
      <c r="D4282" s="190" t="s">
        <v>2015</v>
      </c>
      <c r="E4282" s="190">
        <v>42159</v>
      </c>
      <c r="F4282" s="191" t="s">
        <v>474</v>
      </c>
      <c r="G4282" s="482" t="s">
        <v>763</v>
      </c>
      <c r="H4282" s="192" t="s">
        <v>2016</v>
      </c>
      <c r="I4282" s="255">
        <v>330</v>
      </c>
      <c r="J4282" s="255">
        <v>9441.8506785081936</v>
      </c>
      <c r="K4282" s="593">
        <f t="shared" si="83"/>
        <v>3115811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69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799"/>
    </row>
    <row r="4283" spans="1:27" s="210" customFormat="1" ht="15.75" customHeight="1">
      <c r="A4283" s="203" t="str">
        <f>IF(B4283&lt;&gt;"",IF(AND(B4283&gt;=_TM1,B4283&lt;=_TM2,OR(TH!L4283="1111",TH!M4283="1111")),TH!D4283,""),"")</f>
        <v/>
      </c>
      <c r="B4283" s="36">
        <f t="shared" si="81"/>
        <v>6</v>
      </c>
      <c r="C4283" s="183">
        <f t="shared" si="82"/>
        <v>42161</v>
      </c>
      <c r="D4283" s="190" t="s">
        <v>2015</v>
      </c>
      <c r="E4283" s="190">
        <v>42161</v>
      </c>
      <c r="F4283" s="191" t="s">
        <v>765</v>
      </c>
      <c r="G4283" s="482" t="s">
        <v>766</v>
      </c>
      <c r="H4283" s="192" t="s">
        <v>2016</v>
      </c>
      <c r="I4283" s="255">
        <v>70</v>
      </c>
      <c r="J4283" s="255">
        <v>19273.860475963011</v>
      </c>
      <c r="K4283" s="593">
        <f t="shared" si="83"/>
        <v>1349170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69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799"/>
    </row>
    <row r="4284" spans="1:27" s="210" customFormat="1" ht="15.75" customHeight="1">
      <c r="A4284" s="203" t="str">
        <f>IF(B4284&lt;&gt;"",IF(AND(B4284&gt;=_TM1,B4284&lt;=_TM2,OR(TH!L4284="1111",TH!M4284="1111")),TH!D4284,""),"")</f>
        <v/>
      </c>
      <c r="B4284" s="36">
        <f t="shared" si="81"/>
        <v>6</v>
      </c>
      <c r="C4284" s="183">
        <f t="shared" si="82"/>
        <v>42161</v>
      </c>
      <c r="D4284" s="190" t="s">
        <v>2015</v>
      </c>
      <c r="E4284" s="190">
        <v>42161</v>
      </c>
      <c r="F4284" s="191" t="s">
        <v>768</v>
      </c>
      <c r="G4284" s="482" t="s">
        <v>766</v>
      </c>
      <c r="H4284" s="192" t="s">
        <v>2016</v>
      </c>
      <c r="I4284" s="255">
        <v>92</v>
      </c>
      <c r="J4284" s="255">
        <v>21614.815189642726</v>
      </c>
      <c r="K4284" s="593">
        <f t="shared" si="83"/>
        <v>1988563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69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799"/>
    </row>
    <row r="4285" spans="1:27" s="210" customFormat="1" ht="15.75" customHeight="1">
      <c r="A4285" s="203" t="str">
        <f>IF(B4285&lt;&gt;"",IF(AND(B4285&gt;=_TM1,B4285&lt;=_TM2,OR(TH!L4285="1111",TH!M4285="1111")),TH!D4285,""),"")</f>
        <v/>
      </c>
      <c r="B4285" s="36">
        <f t="shared" si="81"/>
        <v>6</v>
      </c>
      <c r="C4285" s="183">
        <f t="shared" si="82"/>
        <v>42161</v>
      </c>
      <c r="D4285" s="190" t="s">
        <v>2015</v>
      </c>
      <c r="E4285" s="190">
        <v>42161</v>
      </c>
      <c r="F4285" s="191" t="s">
        <v>769</v>
      </c>
      <c r="G4285" s="482" t="s">
        <v>766</v>
      </c>
      <c r="H4285" s="192" t="s">
        <v>2016</v>
      </c>
      <c r="I4285" s="255">
        <v>67</v>
      </c>
      <c r="J4285" s="255">
        <v>24345.929022269062</v>
      </c>
      <c r="K4285" s="593">
        <f t="shared" si="83"/>
        <v>1631177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69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799"/>
    </row>
    <row r="4286" spans="1:27" s="210" customFormat="1" ht="15.75" customHeight="1">
      <c r="A4286" s="203" t="str">
        <f>IF(B4286&lt;&gt;"",IF(AND(B4286&gt;=_TM1,B4286&lt;=_TM2,OR(TH!L4286="1111",TH!M4286="1111")),TH!D4286,""),"")</f>
        <v/>
      </c>
      <c r="B4286" s="36">
        <f t="shared" si="81"/>
        <v>6</v>
      </c>
      <c r="C4286" s="183">
        <f t="shared" si="82"/>
        <v>42161</v>
      </c>
      <c r="D4286" s="190" t="s">
        <v>2015</v>
      </c>
      <c r="E4286" s="190">
        <v>42161</v>
      </c>
      <c r="F4286" s="191" t="s">
        <v>770</v>
      </c>
      <c r="G4286" s="482" t="s">
        <v>766</v>
      </c>
      <c r="H4286" s="192" t="s">
        <v>2016</v>
      </c>
      <c r="I4286" s="255">
        <v>100</v>
      </c>
      <c r="J4286" s="255">
        <v>22629.228898903933</v>
      </c>
      <c r="K4286" s="593">
        <f t="shared" si="83"/>
        <v>2262923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69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799"/>
    </row>
    <row r="4287" spans="1:27" s="210" customFormat="1" ht="15.75" customHeight="1">
      <c r="A4287" s="203" t="str">
        <f>IF(B4287&lt;&gt;"",IF(AND(B4287&gt;=_TM1,B4287&lt;=_TM2,OR(TH!L4287="1111",TH!M4287="1111")),TH!D4287,""),"")</f>
        <v/>
      </c>
      <c r="B4287" s="36">
        <f t="shared" si="81"/>
        <v>6</v>
      </c>
      <c r="C4287" s="183">
        <f t="shared" si="82"/>
        <v>42163</v>
      </c>
      <c r="D4287" s="190" t="s">
        <v>2015</v>
      </c>
      <c r="E4287" s="190">
        <v>42163</v>
      </c>
      <c r="F4287" s="191" t="s">
        <v>413</v>
      </c>
      <c r="G4287" s="482" t="s">
        <v>771</v>
      </c>
      <c r="H4287" s="192" t="s">
        <v>2016</v>
      </c>
      <c r="I4287" s="255">
        <v>309</v>
      </c>
      <c r="J4287" s="255">
        <v>7413.0232599857718</v>
      </c>
      <c r="K4287" s="593">
        <f t="shared" si="83"/>
        <v>2290624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69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799"/>
    </row>
    <row r="4288" spans="1:27" s="210" customFormat="1" ht="15.75" customHeight="1">
      <c r="A4288" s="203" t="str">
        <f>IF(B4288&lt;&gt;"",IF(AND(B4288&gt;=_TM1,B4288&lt;=_TM2,OR(TH!L4288="1111",TH!M4288="1111")),TH!D4288,""),"")</f>
        <v/>
      </c>
      <c r="B4288" s="36">
        <f t="shared" si="81"/>
        <v>6</v>
      </c>
      <c r="C4288" s="183">
        <f t="shared" si="82"/>
        <v>42163</v>
      </c>
      <c r="D4288" s="190" t="s">
        <v>2015</v>
      </c>
      <c r="E4288" s="190">
        <v>42163</v>
      </c>
      <c r="F4288" s="191" t="s">
        <v>413</v>
      </c>
      <c r="G4288" s="482" t="s">
        <v>771</v>
      </c>
      <c r="H4288" s="192" t="s">
        <v>2016</v>
      </c>
      <c r="I4288" s="255">
        <v>300</v>
      </c>
      <c r="J4288" s="255">
        <v>7413.0232599857718</v>
      </c>
      <c r="K4288" s="593">
        <f t="shared" si="83"/>
        <v>2223907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69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799"/>
    </row>
    <row r="4289" spans="1:27" s="210" customFormat="1" ht="15.75" customHeight="1">
      <c r="A4289" s="203" t="str">
        <f>IF(B4289&lt;&gt;"",IF(AND(B4289&gt;=_TM1,B4289&lt;=_TM2,OR(TH!L4289="1111",TH!M4289="1111")),TH!D4289,""),"")</f>
        <v/>
      </c>
      <c r="B4289" s="36">
        <f t="shared" si="81"/>
        <v>6</v>
      </c>
      <c r="C4289" s="183">
        <f t="shared" si="82"/>
        <v>42163</v>
      </c>
      <c r="D4289" s="190" t="s">
        <v>2015</v>
      </c>
      <c r="E4289" s="190">
        <v>42163</v>
      </c>
      <c r="F4289" s="191" t="s">
        <v>413</v>
      </c>
      <c r="G4289" s="482" t="s">
        <v>771</v>
      </c>
      <c r="H4289" s="192" t="s">
        <v>2016</v>
      </c>
      <c r="I4289" s="255">
        <v>300</v>
      </c>
      <c r="J4289" s="255">
        <v>7413.0232599857718</v>
      </c>
      <c r="K4289" s="593">
        <f t="shared" si="83"/>
        <v>2223907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69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799"/>
    </row>
    <row r="4290" spans="1:27" s="210" customFormat="1" ht="15.75" customHeight="1">
      <c r="A4290" s="203" t="str">
        <f>IF(B4290&lt;&gt;"",IF(AND(B4290&gt;=_TM1,B4290&lt;=_TM2,OR(TH!L4290="1111",TH!M4290="1111")),TH!D4290,""),"")</f>
        <v/>
      </c>
      <c r="B4290" s="36">
        <f t="shared" si="81"/>
        <v>6</v>
      </c>
      <c r="C4290" s="183">
        <f t="shared" si="82"/>
        <v>42163</v>
      </c>
      <c r="D4290" s="190" t="s">
        <v>2015</v>
      </c>
      <c r="E4290" s="190">
        <v>42163</v>
      </c>
      <c r="F4290" s="191" t="s">
        <v>772</v>
      </c>
      <c r="G4290" s="482" t="s">
        <v>773</v>
      </c>
      <c r="H4290" s="192" t="s">
        <v>2016</v>
      </c>
      <c r="I4290" s="255">
        <v>502</v>
      </c>
      <c r="J4290" s="255">
        <v>3745.5275418875481</v>
      </c>
      <c r="K4290" s="593">
        <f t="shared" si="83"/>
        <v>1880255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69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799"/>
    </row>
    <row r="4291" spans="1:27" s="210" customFormat="1" ht="15.75" customHeight="1">
      <c r="A4291" s="203" t="str">
        <f>IF(B4291&lt;&gt;"",IF(AND(B4291&gt;=_TM1,B4291&lt;=_TM2,OR(TH!L4291="1111",TH!M4291="1111")),TH!D4291,""),"")</f>
        <v/>
      </c>
      <c r="B4291" s="36">
        <f t="shared" si="81"/>
        <v>6</v>
      </c>
      <c r="C4291" s="183">
        <f t="shared" si="82"/>
        <v>42163</v>
      </c>
      <c r="D4291" s="190" t="s">
        <v>2015</v>
      </c>
      <c r="E4291" s="190">
        <v>42163</v>
      </c>
      <c r="F4291" s="191" t="s">
        <v>772</v>
      </c>
      <c r="G4291" s="482" t="s">
        <v>773</v>
      </c>
      <c r="H4291" s="192" t="s">
        <v>2016</v>
      </c>
      <c r="I4291" s="255">
        <v>516</v>
      </c>
      <c r="J4291" s="255">
        <v>3745.5275418875481</v>
      </c>
      <c r="K4291" s="593">
        <f t="shared" si="83"/>
        <v>1932692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69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799"/>
    </row>
    <row r="4292" spans="1:27" s="210" customFormat="1" ht="15.75" customHeight="1">
      <c r="A4292" s="203" t="str">
        <f>IF(B4292&lt;&gt;"",IF(AND(B4292&gt;=_TM1,B4292&lt;=_TM2,OR(TH!L4292="1111",TH!M4292="1111")),TH!D4292,""),"")</f>
        <v/>
      </c>
      <c r="B4292" s="36">
        <f t="shared" si="81"/>
        <v>6</v>
      </c>
      <c r="C4292" s="183">
        <f t="shared" si="82"/>
        <v>42167</v>
      </c>
      <c r="D4292" s="190" t="s">
        <v>2015</v>
      </c>
      <c r="E4292" s="190">
        <v>42167</v>
      </c>
      <c r="F4292" s="191" t="s">
        <v>494</v>
      </c>
      <c r="G4292" s="482" t="s">
        <v>775</v>
      </c>
      <c r="H4292" s="192" t="s">
        <v>2016</v>
      </c>
      <c r="I4292" s="255">
        <v>1080</v>
      </c>
      <c r="J4292" s="255">
        <v>5306.1640176740266</v>
      </c>
      <c r="K4292" s="593">
        <f t="shared" si="83"/>
        <v>5730657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69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799"/>
    </row>
    <row r="4293" spans="1:27" s="210" customFormat="1" ht="15.75" customHeight="1">
      <c r="A4293" s="203" t="str">
        <f>IF(B4293&lt;&gt;"",IF(AND(B4293&gt;=_TM1,B4293&lt;=_TM2,OR(TH!L4293="1111",TH!M4293="1111")),TH!D4293,""),"")</f>
        <v/>
      </c>
      <c r="B4293" s="36">
        <f t="shared" si="81"/>
        <v>6</v>
      </c>
      <c r="C4293" s="183">
        <f t="shared" si="82"/>
        <v>42170</v>
      </c>
      <c r="D4293" s="190" t="s">
        <v>2015</v>
      </c>
      <c r="E4293" s="190">
        <v>42170</v>
      </c>
      <c r="F4293" s="191" t="s">
        <v>474</v>
      </c>
      <c r="G4293" s="482" t="s">
        <v>776</v>
      </c>
      <c r="H4293" s="192" t="s">
        <v>2016</v>
      </c>
      <c r="I4293" s="255">
        <v>282</v>
      </c>
      <c r="J4293" s="255">
        <v>9441.8506785081936</v>
      </c>
      <c r="K4293" s="593">
        <f t="shared" si="83"/>
        <v>2662602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69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799"/>
    </row>
    <row r="4294" spans="1:27" s="210" customFormat="1" ht="15.75" customHeight="1">
      <c r="A4294" s="203" t="str">
        <f>IF(B4294&lt;&gt;"",IF(AND(B4294&gt;=_TM1,B4294&lt;=_TM2,OR(TH!L4294="1111",TH!M4294="1111")),TH!D4294,""),"")</f>
        <v/>
      </c>
      <c r="B4294" s="36">
        <f t="shared" si="81"/>
        <v>6</v>
      </c>
      <c r="C4294" s="183">
        <f t="shared" si="82"/>
        <v>42170</v>
      </c>
      <c r="D4294" s="190" t="s">
        <v>2015</v>
      </c>
      <c r="E4294" s="190">
        <v>42170</v>
      </c>
      <c r="F4294" s="191" t="s">
        <v>777</v>
      </c>
      <c r="G4294" s="482" t="s">
        <v>778</v>
      </c>
      <c r="H4294" s="192" t="s">
        <v>2016</v>
      </c>
      <c r="I4294" s="255">
        <v>500</v>
      </c>
      <c r="J4294" s="255">
        <v>7256.959612407125</v>
      </c>
      <c r="K4294" s="593">
        <f t="shared" si="83"/>
        <v>3628480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69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799"/>
    </row>
    <row r="4295" spans="1:27" s="210" customFormat="1" ht="15.75" customHeight="1">
      <c r="A4295" s="203" t="str">
        <f>IF(B4295&lt;&gt;"",IF(AND(B4295&gt;=_TM1,B4295&lt;=_TM2,OR(TH!L4295="1111",TH!M4295="1111")),TH!D4295,""),"")</f>
        <v/>
      </c>
      <c r="B4295" s="36">
        <f t="shared" si="81"/>
        <v>6</v>
      </c>
      <c r="C4295" s="183">
        <f t="shared" si="82"/>
        <v>42171</v>
      </c>
      <c r="D4295" s="190" t="s">
        <v>2015</v>
      </c>
      <c r="E4295" s="190">
        <v>42171</v>
      </c>
      <c r="F4295" s="191" t="s">
        <v>518</v>
      </c>
      <c r="G4295" s="482" t="s">
        <v>780</v>
      </c>
      <c r="H4295" s="192" t="s">
        <v>2016</v>
      </c>
      <c r="I4295" s="255">
        <v>205</v>
      </c>
      <c r="J4295" s="255">
        <v>8115.3096740896872</v>
      </c>
      <c r="K4295" s="593">
        <f t="shared" si="83"/>
        <v>1663638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69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799"/>
    </row>
    <row r="4296" spans="1:27" s="210" customFormat="1" ht="15.75" customHeight="1">
      <c r="A4296" s="203" t="str">
        <f>IF(B4296&lt;&gt;"",IF(AND(B4296&gt;=_TM1,B4296&lt;=_TM2,OR(TH!L4296="1111",TH!M4296="1111")),TH!D4296,""),"")</f>
        <v/>
      </c>
      <c r="B4296" s="36">
        <f t="shared" si="81"/>
        <v>6</v>
      </c>
      <c r="C4296" s="183">
        <f t="shared" si="82"/>
        <v>42171</v>
      </c>
      <c r="D4296" s="190" t="s">
        <v>2015</v>
      </c>
      <c r="E4296" s="190">
        <v>42171</v>
      </c>
      <c r="F4296" s="191" t="s">
        <v>1661</v>
      </c>
      <c r="G4296" s="482" t="s">
        <v>780</v>
      </c>
      <c r="H4296" s="192" t="s">
        <v>2016</v>
      </c>
      <c r="I4296" s="255">
        <v>205</v>
      </c>
      <c r="J4296" s="255">
        <v>468.19094273594351</v>
      </c>
      <c r="K4296" s="593">
        <f t="shared" si="83"/>
        <v>95979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69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799"/>
    </row>
    <row r="4297" spans="1:27" s="210" customFormat="1" ht="15.75" customHeight="1">
      <c r="A4297" s="203" t="str">
        <f>IF(B4297&lt;&gt;"",IF(AND(B4297&gt;=_TM1,B4297&lt;=_TM2,OR(TH!L4297="1111",TH!M4297="1111")),TH!D4297,""),"")</f>
        <v/>
      </c>
      <c r="B4297" s="36">
        <f t="shared" si="81"/>
        <v>6</v>
      </c>
      <c r="C4297" s="183">
        <f t="shared" si="82"/>
        <v>42171</v>
      </c>
      <c r="D4297" s="190" t="s">
        <v>2015</v>
      </c>
      <c r="E4297" s="190">
        <v>42171</v>
      </c>
      <c r="F4297" s="191" t="s">
        <v>781</v>
      </c>
      <c r="G4297" s="482" t="s">
        <v>782</v>
      </c>
      <c r="H4297" s="192" t="s">
        <v>2016</v>
      </c>
      <c r="I4297" s="255">
        <v>308</v>
      </c>
      <c r="J4297" s="255">
        <v>10846.423506716024</v>
      </c>
      <c r="K4297" s="593">
        <f t="shared" si="83"/>
        <v>3340698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69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799"/>
    </row>
    <row r="4298" spans="1:27" s="210" customFormat="1" ht="15.75" customHeight="1">
      <c r="A4298" s="203" t="str">
        <f>IF(B4298&lt;&gt;"",IF(AND(B4298&gt;=_TM1,B4298&lt;=_TM2,OR(TH!L4298="1111",TH!M4298="1111")),TH!D4298,""),"")</f>
        <v/>
      </c>
      <c r="B4298" s="36">
        <f t="shared" si="81"/>
        <v>6</v>
      </c>
      <c r="C4298" s="183">
        <f t="shared" si="82"/>
        <v>42172</v>
      </c>
      <c r="D4298" s="190" t="s">
        <v>2015</v>
      </c>
      <c r="E4298" s="190">
        <v>42172</v>
      </c>
      <c r="F4298" s="191" t="s">
        <v>784</v>
      </c>
      <c r="G4298" s="482" t="s">
        <v>785</v>
      </c>
      <c r="H4298" s="192" t="s">
        <v>2016</v>
      </c>
      <c r="I4298" s="255">
        <v>286</v>
      </c>
      <c r="J4298" s="255">
        <v>8271.3733216683358</v>
      </c>
      <c r="K4298" s="593">
        <f t="shared" si="83"/>
        <v>2365613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69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799"/>
    </row>
    <row r="4299" spans="1:27" s="210" customFormat="1" ht="15.75" customHeight="1">
      <c r="A4299" s="203" t="str">
        <f>IF(B4299&lt;&gt;"",IF(AND(B4299&gt;=_TM1,B4299&lt;=_TM2,OR(TH!L4299="1111",TH!M4299="1111")),TH!D4299,""),"")</f>
        <v/>
      </c>
      <c r="B4299" s="36">
        <f t="shared" si="81"/>
        <v>6</v>
      </c>
      <c r="C4299" s="183">
        <f t="shared" si="82"/>
        <v>42172</v>
      </c>
      <c r="D4299" s="190" t="s">
        <v>2015</v>
      </c>
      <c r="E4299" s="190">
        <v>42172</v>
      </c>
      <c r="F4299" s="191" t="s">
        <v>1732</v>
      </c>
      <c r="G4299" s="482" t="s">
        <v>787</v>
      </c>
      <c r="H4299" s="192" t="s">
        <v>2016</v>
      </c>
      <c r="I4299" s="255">
        <v>80</v>
      </c>
      <c r="J4299" s="255">
        <v>10768.3916829267</v>
      </c>
      <c r="K4299" s="593">
        <f t="shared" si="83"/>
        <v>861471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69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799"/>
    </row>
    <row r="4300" spans="1:27" s="210" customFormat="1" ht="15.75" customHeight="1">
      <c r="A4300" s="203" t="str">
        <f>IF(B4300&lt;&gt;"",IF(AND(B4300&gt;=_TM1,B4300&lt;=_TM2,OR(TH!L4300="1111",TH!M4300="1111")),TH!D4300,""),"")</f>
        <v/>
      </c>
      <c r="B4300" s="36">
        <f t="shared" si="81"/>
        <v>6</v>
      </c>
      <c r="C4300" s="183">
        <f t="shared" si="82"/>
        <v>42172</v>
      </c>
      <c r="D4300" s="190" t="s">
        <v>2015</v>
      </c>
      <c r="E4300" s="190">
        <v>42172</v>
      </c>
      <c r="F4300" s="191" t="s">
        <v>1733</v>
      </c>
      <c r="G4300" s="482" t="s">
        <v>787</v>
      </c>
      <c r="H4300" s="192" t="s">
        <v>2016</v>
      </c>
      <c r="I4300" s="255">
        <v>74</v>
      </c>
      <c r="J4300" s="255">
        <v>19664.019594909627</v>
      </c>
      <c r="K4300" s="593">
        <f t="shared" si="83"/>
        <v>1455137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69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799"/>
    </row>
    <row r="4301" spans="1:27" s="210" customFormat="1" ht="15.75" customHeight="1">
      <c r="A4301" s="203" t="str">
        <f>IF(B4301&lt;&gt;"",IF(AND(B4301&gt;=_TM1,B4301&lt;=_TM2,OR(TH!L4301="1111",TH!M4301="1111")),TH!D4301,""),"")</f>
        <v/>
      </c>
      <c r="B4301" s="36">
        <f t="shared" si="81"/>
        <v>6</v>
      </c>
      <c r="C4301" s="183">
        <f t="shared" si="82"/>
        <v>42172</v>
      </c>
      <c r="D4301" s="190" t="s">
        <v>2015</v>
      </c>
      <c r="E4301" s="190">
        <v>42172</v>
      </c>
      <c r="F4301" s="191" t="s">
        <v>1734</v>
      </c>
      <c r="G4301" s="482" t="s">
        <v>787</v>
      </c>
      <c r="H4301" s="192" t="s">
        <v>2016</v>
      </c>
      <c r="I4301" s="255">
        <v>205</v>
      </c>
      <c r="J4301" s="255">
        <v>13655.569163131686</v>
      </c>
      <c r="K4301" s="593">
        <f t="shared" si="83"/>
        <v>2799392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69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799"/>
    </row>
    <row r="4302" spans="1:27" s="210" customFormat="1" ht="15.75" customHeight="1">
      <c r="A4302" s="203" t="str">
        <f>IF(B4302&lt;&gt;"",IF(AND(B4302&gt;=_TM1,B4302&lt;=_TM2,OR(TH!L4302="1111",TH!M4302="1111")),TH!D4302,""),"")</f>
        <v/>
      </c>
      <c r="B4302" s="36">
        <f t="shared" si="81"/>
        <v>6</v>
      </c>
      <c r="C4302" s="183">
        <f t="shared" si="82"/>
        <v>42172</v>
      </c>
      <c r="D4302" s="190" t="s">
        <v>2015</v>
      </c>
      <c r="E4302" s="190">
        <v>42172</v>
      </c>
      <c r="F4302" s="191" t="s">
        <v>1735</v>
      </c>
      <c r="G4302" s="482" t="s">
        <v>788</v>
      </c>
      <c r="H4302" s="192" t="s">
        <v>2016</v>
      </c>
      <c r="I4302" s="255">
        <v>100</v>
      </c>
      <c r="J4302" s="255">
        <v>6710.7368458818564</v>
      </c>
      <c r="K4302" s="593">
        <f t="shared" si="83"/>
        <v>671074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69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799"/>
    </row>
    <row r="4303" spans="1:27" s="210" customFormat="1" ht="15.75" customHeight="1">
      <c r="A4303" s="203" t="str">
        <f>IF(B4303&lt;&gt;"",IF(AND(B4303&gt;=_TM1,B4303&lt;=_TM2,OR(TH!L4303="1111",TH!M4303="1111")),TH!D4303,""),"")</f>
        <v/>
      </c>
      <c r="B4303" s="36">
        <f t="shared" si="81"/>
        <v>6</v>
      </c>
      <c r="C4303" s="183">
        <f t="shared" si="82"/>
        <v>42172</v>
      </c>
      <c r="D4303" s="190" t="s">
        <v>2015</v>
      </c>
      <c r="E4303" s="190">
        <v>42172</v>
      </c>
      <c r="F4303" s="191" t="s">
        <v>741</v>
      </c>
      <c r="G4303" s="482" t="s">
        <v>788</v>
      </c>
      <c r="H4303" s="192" t="s">
        <v>2016</v>
      </c>
      <c r="I4303" s="255">
        <v>200</v>
      </c>
      <c r="J4303" s="255">
        <v>7725.1505551430673</v>
      </c>
      <c r="K4303" s="593">
        <f t="shared" si="83"/>
        <v>1545030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69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799"/>
    </row>
    <row r="4304" spans="1:27" s="210" customFormat="1" ht="15.75" customHeight="1">
      <c r="A4304" s="203" t="str">
        <f>IF(B4304&lt;&gt;"",IF(AND(B4304&gt;=_TM1,B4304&lt;=_TM2,OR(TH!L4304="1111",TH!M4304="1111")),TH!D4304,""),"")</f>
        <v/>
      </c>
      <c r="B4304" s="36">
        <f t="shared" si="81"/>
        <v>6</v>
      </c>
      <c r="C4304" s="183">
        <f t="shared" si="82"/>
        <v>42172</v>
      </c>
      <c r="D4304" s="190" t="s">
        <v>2015</v>
      </c>
      <c r="E4304" s="190">
        <v>42172</v>
      </c>
      <c r="F4304" s="191" t="s">
        <v>692</v>
      </c>
      <c r="G4304" s="482" t="s">
        <v>788</v>
      </c>
      <c r="H4304" s="192" t="s">
        <v>2016</v>
      </c>
      <c r="I4304" s="255">
        <v>75</v>
      </c>
      <c r="J4304" s="255">
        <v>13967.696458288981</v>
      </c>
      <c r="K4304" s="593">
        <f t="shared" si="83"/>
        <v>1047577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69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799"/>
    </row>
    <row r="4305" spans="1:27" s="210" customFormat="1" ht="15.75" customHeight="1">
      <c r="A4305" s="203" t="str">
        <f>IF(B4305&lt;&gt;"",IF(AND(B4305&gt;=_TM1,B4305&lt;=_TM2,OR(TH!L4305="1111",TH!M4305="1111")),TH!D4305,""),"")</f>
        <v/>
      </c>
      <c r="B4305" s="36">
        <f t="shared" si="81"/>
        <v>6</v>
      </c>
      <c r="C4305" s="183">
        <f t="shared" si="82"/>
        <v>42172</v>
      </c>
      <c r="D4305" s="190" t="s">
        <v>2015</v>
      </c>
      <c r="E4305" s="190">
        <v>42172</v>
      </c>
      <c r="F4305" s="191" t="s">
        <v>692</v>
      </c>
      <c r="G4305" s="482" t="s">
        <v>788</v>
      </c>
      <c r="H4305" s="192" t="s">
        <v>2016</v>
      </c>
      <c r="I4305" s="255">
        <v>30</v>
      </c>
      <c r="J4305" s="255">
        <v>13967.696458288981</v>
      </c>
      <c r="K4305" s="593">
        <f t="shared" si="83"/>
        <v>419031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69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799"/>
    </row>
    <row r="4306" spans="1:27" s="210" customFormat="1" ht="15.75" customHeight="1">
      <c r="A4306" s="203" t="str">
        <f>IF(B4306&lt;&gt;"",IF(AND(B4306&gt;=_TM1,B4306&lt;=_TM2,OR(TH!L4306="1111",TH!M4306="1111")),TH!D4306,""),"")</f>
        <v/>
      </c>
      <c r="B4306" s="36">
        <f t="shared" si="81"/>
        <v>6</v>
      </c>
      <c r="C4306" s="183">
        <f t="shared" si="82"/>
        <v>42172</v>
      </c>
      <c r="D4306" s="190" t="s">
        <v>2015</v>
      </c>
      <c r="E4306" s="190">
        <v>42172</v>
      </c>
      <c r="F4306" s="191" t="s">
        <v>1704</v>
      </c>
      <c r="G4306" s="482" t="s">
        <v>788</v>
      </c>
      <c r="H4306" s="192" t="s">
        <v>2016</v>
      </c>
      <c r="I4306" s="255">
        <v>25</v>
      </c>
      <c r="J4306" s="255">
        <v>12953.282749027769</v>
      </c>
      <c r="K4306" s="593">
        <f t="shared" si="83"/>
        <v>323832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69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799"/>
    </row>
    <row r="4307" spans="1:27" s="210" customFormat="1" ht="15.75" customHeight="1">
      <c r="A4307" s="203" t="str">
        <f>IF(B4307&lt;&gt;"",IF(AND(B4307&gt;=_TM1,B4307&lt;=_TM2,OR(TH!L4307="1111",TH!M4307="1111")),TH!D4307,""),"")</f>
        <v/>
      </c>
      <c r="B4307" s="36">
        <f t="shared" si="81"/>
        <v>6</v>
      </c>
      <c r="C4307" s="183">
        <f t="shared" si="82"/>
        <v>42172</v>
      </c>
      <c r="D4307" s="190" t="s">
        <v>2015</v>
      </c>
      <c r="E4307" s="190">
        <v>42172</v>
      </c>
      <c r="F4307" s="191" t="s">
        <v>1736</v>
      </c>
      <c r="G4307" s="482" t="s">
        <v>788</v>
      </c>
      <c r="H4307" s="192" t="s">
        <v>2016</v>
      </c>
      <c r="I4307" s="255">
        <v>40</v>
      </c>
      <c r="J4307" s="255">
        <v>14045.728282078306</v>
      </c>
      <c r="K4307" s="593">
        <f t="shared" si="83"/>
        <v>561829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69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799"/>
    </row>
    <row r="4308" spans="1:27" s="210" customFormat="1" ht="15.75" customHeight="1">
      <c r="A4308" s="203" t="str">
        <f>IF(B4308&lt;&gt;"",IF(AND(B4308&gt;=_TM1,B4308&lt;=_TM2,OR(TH!L4308="1111",TH!M4308="1111")),TH!D4308,""),"")</f>
        <v/>
      </c>
      <c r="B4308" s="36">
        <f t="shared" si="81"/>
        <v>6</v>
      </c>
      <c r="C4308" s="183">
        <f t="shared" si="82"/>
        <v>42172</v>
      </c>
      <c r="D4308" s="190" t="s">
        <v>2015</v>
      </c>
      <c r="E4308" s="190">
        <v>42172</v>
      </c>
      <c r="F4308" s="191" t="s">
        <v>695</v>
      </c>
      <c r="G4308" s="482" t="s">
        <v>788</v>
      </c>
      <c r="H4308" s="192" t="s">
        <v>2016</v>
      </c>
      <c r="I4308" s="255">
        <v>25</v>
      </c>
      <c r="J4308" s="255">
        <v>13733.60098692101</v>
      </c>
      <c r="K4308" s="593">
        <f t="shared" si="83"/>
        <v>343340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69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799"/>
    </row>
    <row r="4309" spans="1:27" s="210" customFormat="1" ht="15.75" customHeight="1">
      <c r="A4309" s="203" t="str">
        <f>IF(B4309&lt;&gt;"",IF(AND(B4309&gt;=_TM1,B4309&lt;=_TM2,OR(TH!L4309="1111",TH!M4309="1111")),TH!D4309,""),"")</f>
        <v/>
      </c>
      <c r="B4309" s="36">
        <f t="shared" si="81"/>
        <v>6</v>
      </c>
      <c r="C4309" s="183">
        <f t="shared" si="82"/>
        <v>42172</v>
      </c>
      <c r="D4309" s="190" t="s">
        <v>2015</v>
      </c>
      <c r="E4309" s="190">
        <v>42172</v>
      </c>
      <c r="F4309" s="191" t="s">
        <v>1737</v>
      </c>
      <c r="G4309" s="482" t="s">
        <v>788</v>
      </c>
      <c r="H4309" s="192" t="s">
        <v>2016</v>
      </c>
      <c r="I4309" s="255">
        <v>50</v>
      </c>
      <c r="J4309" s="255">
        <v>12875.250925238446</v>
      </c>
      <c r="K4309" s="593">
        <f t="shared" si="83"/>
        <v>643763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69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799"/>
    </row>
    <row r="4310" spans="1:27" s="210" customFormat="1" ht="15.75" customHeight="1">
      <c r="A4310" s="203" t="str">
        <f>IF(B4310&lt;&gt;"",IF(AND(B4310&gt;=_TM1,B4310&lt;=_TM2,OR(TH!L4310="1111",TH!M4310="1111")),TH!D4310,""),"")</f>
        <v/>
      </c>
      <c r="B4310" s="36">
        <f t="shared" si="81"/>
        <v>6</v>
      </c>
      <c r="C4310" s="183">
        <f t="shared" si="82"/>
        <v>42172</v>
      </c>
      <c r="D4310" s="190" t="s">
        <v>2015</v>
      </c>
      <c r="E4310" s="190">
        <v>42172</v>
      </c>
      <c r="F4310" s="191" t="s">
        <v>1738</v>
      </c>
      <c r="G4310" s="482" t="s">
        <v>788</v>
      </c>
      <c r="H4310" s="192" t="s">
        <v>2016</v>
      </c>
      <c r="I4310" s="255">
        <v>25</v>
      </c>
      <c r="J4310" s="255">
        <v>10300.200740190758</v>
      </c>
      <c r="K4310" s="593">
        <f t="shared" si="83"/>
        <v>257505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69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799"/>
    </row>
    <row r="4311" spans="1:27" s="210" customFormat="1" ht="15.75" customHeight="1">
      <c r="A4311" s="203" t="str">
        <f>IF(B4311&lt;&gt;"",IF(AND(B4311&gt;=_TM1,B4311&lt;=_TM2,OR(TH!L4311="1111",TH!M4311="1111")),TH!D4311,""),"")</f>
        <v/>
      </c>
      <c r="B4311" s="36">
        <f t="shared" si="81"/>
        <v>6</v>
      </c>
      <c r="C4311" s="183">
        <f t="shared" si="82"/>
        <v>42172</v>
      </c>
      <c r="D4311" s="190" t="s">
        <v>2015</v>
      </c>
      <c r="E4311" s="190">
        <v>42172</v>
      </c>
      <c r="F4311" s="191" t="s">
        <v>1705</v>
      </c>
      <c r="G4311" s="482" t="s">
        <v>788</v>
      </c>
      <c r="H4311" s="192" t="s">
        <v>2016</v>
      </c>
      <c r="I4311" s="255">
        <v>100</v>
      </c>
      <c r="J4311" s="255">
        <v>7100.8959648284763</v>
      </c>
      <c r="K4311" s="593">
        <f t="shared" si="83"/>
        <v>710090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69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799"/>
    </row>
    <row r="4312" spans="1:27" s="210" customFormat="1" ht="15.75" customHeight="1">
      <c r="A4312" s="203" t="str">
        <f>IF(B4312&lt;&gt;"",IF(AND(B4312&gt;=_TM1,B4312&lt;=_TM2,OR(TH!L4312="1111",TH!M4312="1111")),TH!D4312,""),"")</f>
        <v/>
      </c>
      <c r="B4312" s="36">
        <f t="shared" si="81"/>
        <v>6</v>
      </c>
      <c r="C4312" s="183">
        <f t="shared" si="82"/>
        <v>42173</v>
      </c>
      <c r="D4312" s="190" t="s">
        <v>2015</v>
      </c>
      <c r="E4312" s="190">
        <v>42173</v>
      </c>
      <c r="F4312" s="191" t="s">
        <v>1739</v>
      </c>
      <c r="G4312" s="482" t="s">
        <v>789</v>
      </c>
      <c r="H4312" s="192" t="s">
        <v>2016</v>
      </c>
      <c r="I4312" s="255">
        <v>17</v>
      </c>
      <c r="J4312" s="255">
        <v>10456.264387769406</v>
      </c>
      <c r="K4312" s="593">
        <f t="shared" si="83"/>
        <v>177756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69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799"/>
    </row>
    <row r="4313" spans="1:27" s="210" customFormat="1" ht="15.75" customHeight="1">
      <c r="A4313" s="203" t="str">
        <f>IF(B4313&lt;&gt;"",IF(AND(B4313&gt;=_TM1,B4313&lt;=_TM2,OR(TH!L4313="1111",TH!M4313="1111")),TH!D4313,""),"")</f>
        <v/>
      </c>
      <c r="B4313" s="36">
        <f t="shared" si="81"/>
        <v>6</v>
      </c>
      <c r="C4313" s="183">
        <f t="shared" si="82"/>
        <v>42173</v>
      </c>
      <c r="D4313" s="190" t="s">
        <v>2015</v>
      </c>
      <c r="E4313" s="190">
        <v>42173</v>
      </c>
      <c r="F4313" s="191" t="s">
        <v>1715</v>
      </c>
      <c r="G4313" s="482" t="s">
        <v>789</v>
      </c>
      <c r="H4313" s="192" t="s">
        <v>2016</v>
      </c>
      <c r="I4313" s="255">
        <v>200</v>
      </c>
      <c r="J4313" s="255">
        <v>11626.741744609264</v>
      </c>
      <c r="K4313" s="593">
        <f t="shared" si="83"/>
        <v>2325348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69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799"/>
    </row>
    <row r="4314" spans="1:27" s="210" customFormat="1" ht="15.75" customHeight="1">
      <c r="A4314" s="203" t="str">
        <f>IF(B4314&lt;&gt;"",IF(AND(B4314&gt;=_TM1,B4314&lt;=_TM2,OR(TH!L4314="1111",TH!M4314="1111")),TH!D4314,""),"")</f>
        <v/>
      </c>
      <c r="B4314" s="36">
        <f t="shared" si="81"/>
        <v>6</v>
      </c>
      <c r="C4314" s="183">
        <f t="shared" si="82"/>
        <v>42173</v>
      </c>
      <c r="D4314" s="190" t="s">
        <v>2015</v>
      </c>
      <c r="E4314" s="190">
        <v>42173</v>
      </c>
      <c r="F4314" s="191" t="s">
        <v>1740</v>
      </c>
      <c r="G4314" s="482" t="s">
        <v>789</v>
      </c>
      <c r="H4314" s="192" t="s">
        <v>2016</v>
      </c>
      <c r="I4314" s="255">
        <v>85</v>
      </c>
      <c r="J4314" s="255">
        <v>9207.7552071402224</v>
      </c>
      <c r="K4314" s="593">
        <f t="shared" si="83"/>
        <v>782659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69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799"/>
    </row>
    <row r="4315" spans="1:27" s="210" customFormat="1" ht="15.75" customHeight="1">
      <c r="A4315" s="203" t="str">
        <f>IF(B4315&lt;&gt;"",IF(AND(B4315&gt;=_TM1,B4315&lt;=_TM2,OR(TH!L4315="1111",TH!M4315="1111")),TH!D4315,""),"")</f>
        <v/>
      </c>
      <c r="B4315" s="36">
        <f t="shared" si="81"/>
        <v>6</v>
      </c>
      <c r="C4315" s="183">
        <f t="shared" si="82"/>
        <v>42173</v>
      </c>
      <c r="D4315" s="190" t="s">
        <v>2015</v>
      </c>
      <c r="E4315" s="190">
        <v>42173</v>
      </c>
      <c r="F4315" s="191" t="s">
        <v>687</v>
      </c>
      <c r="G4315" s="482" t="s">
        <v>789</v>
      </c>
      <c r="H4315" s="192" t="s">
        <v>2016</v>
      </c>
      <c r="I4315" s="255">
        <v>360</v>
      </c>
      <c r="J4315" s="255">
        <v>10222.168916401433</v>
      </c>
      <c r="K4315" s="593">
        <f t="shared" si="83"/>
        <v>3679981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69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799"/>
    </row>
    <row r="4316" spans="1:27" s="210" customFormat="1" ht="15.75" customHeight="1">
      <c r="A4316" s="203" t="str">
        <f>IF(B4316&lt;&gt;"",IF(AND(B4316&gt;=_TM1,B4316&lt;=_TM2,OR(TH!L4316="1111",TH!M4316="1111")),TH!D4316,""),"")</f>
        <v/>
      </c>
      <c r="B4316" s="36">
        <f t="shared" si="81"/>
        <v>6</v>
      </c>
      <c r="C4316" s="183">
        <f t="shared" si="82"/>
        <v>42173</v>
      </c>
      <c r="D4316" s="190" t="s">
        <v>2015</v>
      </c>
      <c r="E4316" s="190">
        <v>42173</v>
      </c>
      <c r="F4316" s="191" t="s">
        <v>1741</v>
      </c>
      <c r="G4316" s="482" t="s">
        <v>789</v>
      </c>
      <c r="H4316" s="192" t="s">
        <v>2016</v>
      </c>
      <c r="I4316" s="255">
        <v>25</v>
      </c>
      <c r="J4316" s="255">
        <v>8661.5324406149557</v>
      </c>
      <c r="K4316" s="593">
        <f t="shared" si="83"/>
        <v>216538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69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799"/>
    </row>
    <row r="4317" spans="1:27" s="210" customFormat="1" ht="15.75" customHeight="1">
      <c r="A4317" s="203" t="str">
        <f>IF(B4317&lt;&gt;"",IF(AND(B4317&gt;=_TM1,B4317&lt;=_TM2,OR(TH!L4317="1111",TH!M4317="1111")),TH!D4317,""),"")</f>
        <v/>
      </c>
      <c r="B4317" s="36">
        <f t="shared" si="81"/>
        <v>6</v>
      </c>
      <c r="C4317" s="183">
        <f t="shared" si="82"/>
        <v>42173</v>
      </c>
      <c r="D4317" s="190" t="s">
        <v>2015</v>
      </c>
      <c r="E4317" s="190">
        <v>42173</v>
      </c>
      <c r="F4317" s="191" t="s">
        <v>668</v>
      </c>
      <c r="G4317" s="482" t="s">
        <v>789</v>
      </c>
      <c r="H4317" s="192" t="s">
        <v>2016</v>
      </c>
      <c r="I4317" s="255">
        <v>50</v>
      </c>
      <c r="J4317" s="255">
        <v>17401.096705019234</v>
      </c>
      <c r="K4317" s="593">
        <f t="shared" si="83"/>
        <v>870055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69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799"/>
    </row>
    <row r="4318" spans="1:27" s="210" customFormat="1" ht="15.75" customHeight="1">
      <c r="A4318" s="203" t="str">
        <f>IF(B4318&lt;&gt;"",IF(AND(B4318&gt;=_TM1,B4318&lt;=_TM2,OR(TH!L4318="1111",TH!M4318="1111")),TH!D4318,""),"")</f>
        <v/>
      </c>
      <c r="B4318" s="36">
        <f t="shared" si="81"/>
        <v>6</v>
      </c>
      <c r="C4318" s="183">
        <f t="shared" si="82"/>
        <v>42173</v>
      </c>
      <c r="D4318" s="190" t="s">
        <v>2015</v>
      </c>
      <c r="E4318" s="190">
        <v>42173</v>
      </c>
      <c r="F4318" s="191" t="s">
        <v>690</v>
      </c>
      <c r="G4318" s="482" t="s">
        <v>789</v>
      </c>
      <c r="H4318" s="192" t="s">
        <v>2016</v>
      </c>
      <c r="I4318" s="255">
        <v>30</v>
      </c>
      <c r="J4318" s="255">
        <v>15606.364757864783</v>
      </c>
      <c r="K4318" s="593">
        <f t="shared" si="83"/>
        <v>468191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69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799"/>
    </row>
    <row r="4319" spans="1:27" s="210" customFormat="1" ht="15.75" customHeight="1">
      <c r="A4319" s="203" t="str">
        <f>IF(B4319&lt;&gt;"",IF(AND(B4319&gt;=_TM1,B4319&lt;=_TM2,OR(TH!L4319="1111",TH!M4319="1111")),TH!D4319,""),"")</f>
        <v/>
      </c>
      <c r="B4319" s="36">
        <f t="shared" si="81"/>
        <v>6</v>
      </c>
      <c r="C4319" s="183">
        <f t="shared" si="82"/>
        <v>42173</v>
      </c>
      <c r="D4319" s="190" t="s">
        <v>2015</v>
      </c>
      <c r="E4319" s="190">
        <v>42173</v>
      </c>
      <c r="F4319" s="191" t="s">
        <v>1742</v>
      </c>
      <c r="G4319" s="482" t="s">
        <v>789</v>
      </c>
      <c r="H4319" s="192" t="s">
        <v>2016</v>
      </c>
      <c r="I4319" s="255">
        <v>25</v>
      </c>
      <c r="J4319" s="255">
        <v>10378.232563980082</v>
      </c>
      <c r="K4319" s="593">
        <f t="shared" si="83"/>
        <v>259456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69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799"/>
    </row>
    <row r="4320" spans="1:27" s="210" customFormat="1" ht="15.75" customHeight="1">
      <c r="A4320" s="203" t="str">
        <f>IF(B4320&lt;&gt;"",IF(AND(B4320&gt;=_TM1,B4320&lt;=_TM2,OR(TH!L4320="1111",TH!M4320="1111")),TH!D4320,""),"")</f>
        <v/>
      </c>
      <c r="B4320" s="36">
        <f t="shared" si="81"/>
        <v>6</v>
      </c>
      <c r="C4320" s="183">
        <f t="shared" si="82"/>
        <v>42173</v>
      </c>
      <c r="D4320" s="190" t="s">
        <v>2015</v>
      </c>
      <c r="E4320" s="190">
        <v>42173</v>
      </c>
      <c r="F4320" s="191" t="s">
        <v>742</v>
      </c>
      <c r="G4320" s="482" t="s">
        <v>789</v>
      </c>
      <c r="H4320" s="192" t="s">
        <v>2016</v>
      </c>
      <c r="I4320" s="255">
        <v>50</v>
      </c>
      <c r="J4320" s="255">
        <v>15294.237462707488</v>
      </c>
      <c r="K4320" s="593">
        <f t="shared" si="83"/>
        <v>764712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69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799"/>
    </row>
    <row r="4321" spans="1:27" s="210" customFormat="1" ht="15.75" customHeight="1">
      <c r="A4321" s="203" t="str">
        <f>IF(B4321&lt;&gt;"",IF(AND(B4321&gt;=_TM1,B4321&lt;=_TM2,OR(TH!L4321="1111",TH!M4321="1111")),TH!D4321,""),"")</f>
        <v/>
      </c>
      <c r="B4321" s="36">
        <f t="shared" si="81"/>
        <v>6</v>
      </c>
      <c r="C4321" s="183">
        <f t="shared" si="82"/>
        <v>42173</v>
      </c>
      <c r="D4321" s="190" t="s">
        <v>2015</v>
      </c>
      <c r="E4321" s="190">
        <v>42173</v>
      </c>
      <c r="F4321" s="191" t="s">
        <v>1743</v>
      </c>
      <c r="G4321" s="482" t="s">
        <v>789</v>
      </c>
      <c r="H4321" s="192" t="s">
        <v>2016</v>
      </c>
      <c r="I4321" s="255">
        <v>85</v>
      </c>
      <c r="J4321" s="255">
        <v>6710.7368458818564</v>
      </c>
      <c r="K4321" s="593">
        <f t="shared" si="83"/>
        <v>570413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69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799"/>
    </row>
    <row r="4322" spans="1:27" s="210" customFormat="1" ht="15.75" customHeight="1">
      <c r="A4322" s="203" t="str">
        <f>IF(B4322&lt;&gt;"",IF(AND(B4322&gt;=_TM1,B4322&lt;=_TM2,OR(TH!L4322="1111",TH!M4322="1111")),TH!D4322,""),"")</f>
        <v/>
      </c>
      <c r="B4322" s="36">
        <f t="shared" si="81"/>
        <v>6</v>
      </c>
      <c r="C4322" s="183">
        <f t="shared" si="82"/>
        <v>42173</v>
      </c>
      <c r="D4322" s="190" t="s">
        <v>2015</v>
      </c>
      <c r="E4322" s="190">
        <v>42173</v>
      </c>
      <c r="F4322" s="191" t="s">
        <v>403</v>
      </c>
      <c r="G4322" s="482" t="s">
        <v>790</v>
      </c>
      <c r="H4322" s="192" t="s">
        <v>2016</v>
      </c>
      <c r="I4322" s="255">
        <v>1206</v>
      </c>
      <c r="J4322" s="255">
        <v>7022.8641410391529</v>
      </c>
      <c r="K4322" s="593">
        <f t="shared" si="83"/>
        <v>8469574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69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799"/>
    </row>
    <row r="4323" spans="1:27" s="210" customFormat="1" ht="15.75" customHeight="1">
      <c r="A4323" s="203" t="str">
        <f>IF(B4323&lt;&gt;"",IF(AND(B4323&gt;=_TM1,B4323&lt;=_TM2,OR(TH!L4323="1111",TH!M4323="1111")),TH!D4323,""),"")</f>
        <v/>
      </c>
      <c r="B4323" s="36">
        <f t="shared" si="81"/>
        <v>6</v>
      </c>
      <c r="C4323" s="183">
        <f t="shared" si="82"/>
        <v>42174</v>
      </c>
      <c r="D4323" s="190" t="s">
        <v>2015</v>
      </c>
      <c r="E4323" s="190">
        <v>42174</v>
      </c>
      <c r="F4323" s="191" t="s">
        <v>791</v>
      </c>
      <c r="G4323" s="482" t="s">
        <v>792</v>
      </c>
      <c r="H4323" s="192" t="s">
        <v>2016</v>
      </c>
      <c r="I4323" s="255">
        <v>252</v>
      </c>
      <c r="J4323" s="255">
        <v>9285.7870309295449</v>
      </c>
      <c r="K4323" s="593">
        <f t="shared" si="83"/>
        <v>2340018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69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799"/>
    </row>
    <row r="4324" spans="1:27" s="210" customFormat="1" ht="15.75" customHeight="1">
      <c r="A4324" s="203" t="str">
        <f>IF(B4324&lt;&gt;"",IF(AND(B4324&gt;=_TM1,B4324&lt;=_TM2,OR(TH!L4324="1111",TH!M4324="1111")),TH!D4324,""),"")</f>
        <v/>
      </c>
      <c r="B4324" s="36">
        <f t="shared" si="81"/>
        <v>6</v>
      </c>
      <c r="C4324" s="183">
        <f t="shared" si="82"/>
        <v>42174</v>
      </c>
      <c r="D4324" s="190" t="s">
        <v>2015</v>
      </c>
      <c r="E4324" s="190">
        <v>42174</v>
      </c>
      <c r="F4324" s="191" t="s">
        <v>1667</v>
      </c>
      <c r="G4324" s="482" t="s">
        <v>792</v>
      </c>
      <c r="H4324" s="192" t="s">
        <v>2016</v>
      </c>
      <c r="I4324" s="255">
        <v>504</v>
      </c>
      <c r="J4324" s="255">
        <v>1638.6682995758022</v>
      </c>
      <c r="K4324" s="593">
        <f t="shared" si="83"/>
        <v>825889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69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799"/>
    </row>
    <row r="4325" spans="1:27" s="210" customFormat="1" ht="15.75" customHeight="1">
      <c r="A4325" s="203" t="str">
        <f>IF(B4325&lt;&gt;"",IF(AND(B4325&gt;=_TM1,B4325&lt;=_TM2,OR(TH!L4325="1111",TH!M4325="1111")),TH!D4325,""),"")</f>
        <v/>
      </c>
      <c r="B4325" s="36">
        <f t="shared" si="81"/>
        <v>6</v>
      </c>
      <c r="C4325" s="183">
        <f t="shared" si="82"/>
        <v>42174</v>
      </c>
      <c r="D4325" s="190" t="s">
        <v>2015</v>
      </c>
      <c r="E4325" s="190">
        <v>42174</v>
      </c>
      <c r="F4325" s="191" t="s">
        <v>646</v>
      </c>
      <c r="G4325" s="482" t="s">
        <v>792</v>
      </c>
      <c r="H4325" s="192" t="s">
        <v>2016</v>
      </c>
      <c r="I4325" s="255">
        <v>100</v>
      </c>
      <c r="J4325" s="255">
        <v>6788.7686696711808</v>
      </c>
      <c r="K4325" s="593">
        <f t="shared" si="83"/>
        <v>678877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69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799"/>
    </row>
    <row r="4326" spans="1:27" s="210" customFormat="1" ht="15.75" customHeight="1">
      <c r="A4326" s="203" t="str">
        <f>IF(B4326&lt;&gt;"",IF(AND(B4326&gt;=_TM1,B4326&lt;=_TM2,OR(TH!L4326="1111",TH!M4326="1111")),TH!D4326,""),"")</f>
        <v/>
      </c>
      <c r="B4326" s="36">
        <f t="shared" si="81"/>
        <v>6</v>
      </c>
      <c r="C4326" s="183">
        <f t="shared" si="82"/>
        <v>42174</v>
      </c>
      <c r="D4326" s="190" t="s">
        <v>2015</v>
      </c>
      <c r="E4326" s="190">
        <v>42174</v>
      </c>
      <c r="F4326" s="191" t="s">
        <v>1668</v>
      </c>
      <c r="G4326" s="482" t="s">
        <v>792</v>
      </c>
      <c r="H4326" s="192" t="s">
        <v>2016</v>
      </c>
      <c r="I4326" s="255">
        <v>200</v>
      </c>
      <c r="J4326" s="255">
        <v>1092.445533050535</v>
      </c>
      <c r="K4326" s="593">
        <f t="shared" si="83"/>
        <v>218489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69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799"/>
    </row>
    <row r="4327" spans="1:27" s="210" customFormat="1" ht="15.75" customHeight="1">
      <c r="A4327" s="203" t="str">
        <f>IF(B4327&lt;&gt;"",IF(AND(B4327&gt;=_TM1,B4327&lt;=_TM2,OR(TH!L4327="1111",TH!M4327="1111")),TH!D4327,""),"")</f>
        <v/>
      </c>
      <c r="B4327" s="36">
        <f t="shared" si="81"/>
        <v>6</v>
      </c>
      <c r="C4327" s="183">
        <f t="shared" si="82"/>
        <v>42174</v>
      </c>
      <c r="D4327" s="190" t="s">
        <v>2015</v>
      </c>
      <c r="E4327" s="190">
        <v>42174</v>
      </c>
      <c r="F4327" s="191" t="s">
        <v>794</v>
      </c>
      <c r="G4327" s="482" t="s">
        <v>792</v>
      </c>
      <c r="H4327" s="192" t="s">
        <v>2016</v>
      </c>
      <c r="I4327" s="255">
        <v>160</v>
      </c>
      <c r="J4327" s="255">
        <v>8973.6597357722494</v>
      </c>
      <c r="K4327" s="593">
        <f t="shared" si="83"/>
        <v>1435786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69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799"/>
    </row>
    <row r="4328" spans="1:27" s="210" customFormat="1" ht="15.75" customHeight="1">
      <c r="A4328" s="203" t="str">
        <f>IF(B4328&lt;&gt;"",IF(AND(B4328&gt;=_TM1,B4328&lt;=_TM2,OR(TH!L4328="1111",TH!M4328="1111")),TH!D4328,""),"")</f>
        <v/>
      </c>
      <c r="B4328" s="36">
        <f t="shared" si="81"/>
        <v>6</v>
      </c>
      <c r="C4328" s="183">
        <f t="shared" si="82"/>
        <v>42174</v>
      </c>
      <c r="D4328" s="190" t="s">
        <v>2015</v>
      </c>
      <c r="E4328" s="190">
        <v>42174</v>
      </c>
      <c r="F4328" s="191" t="s">
        <v>1669</v>
      </c>
      <c r="G4328" s="482" t="s">
        <v>792</v>
      </c>
      <c r="H4328" s="192" t="s">
        <v>2016</v>
      </c>
      <c r="I4328" s="255">
        <v>320</v>
      </c>
      <c r="J4328" s="255">
        <v>1404.5728282078305</v>
      </c>
      <c r="K4328" s="593">
        <f t="shared" si="83"/>
        <v>449463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69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799"/>
    </row>
    <row r="4329" spans="1:27" s="210" customFormat="1" ht="15.75" customHeight="1">
      <c r="A4329" s="203" t="str">
        <f>IF(B4329&lt;&gt;"",IF(AND(B4329&gt;=_TM1,B4329&lt;=_TM2,OR(TH!L4329="1111",TH!M4329="1111")),TH!D4329,""),"")</f>
        <v/>
      </c>
      <c r="B4329" s="36">
        <f t="shared" si="81"/>
        <v>6</v>
      </c>
      <c r="C4329" s="183">
        <f t="shared" si="82"/>
        <v>42174</v>
      </c>
      <c r="D4329" s="190" t="s">
        <v>2015</v>
      </c>
      <c r="E4329" s="190">
        <v>42174</v>
      </c>
      <c r="F4329" s="191" t="s">
        <v>795</v>
      </c>
      <c r="G4329" s="482" t="s">
        <v>792</v>
      </c>
      <c r="H4329" s="192" t="s">
        <v>2016</v>
      </c>
      <c r="I4329" s="255">
        <v>160</v>
      </c>
      <c r="J4329" s="255">
        <v>11392.646273241291</v>
      </c>
      <c r="K4329" s="593">
        <f t="shared" si="83"/>
        <v>1822823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69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799"/>
    </row>
    <row r="4330" spans="1:27" s="210" customFormat="1" ht="15.75" customHeight="1">
      <c r="A4330" s="203" t="str">
        <f>IF(B4330&lt;&gt;"",IF(AND(B4330&gt;=_TM1,B4330&lt;=_TM2,OR(TH!L4330="1111",TH!M4330="1111")),TH!D4330,""),"")</f>
        <v/>
      </c>
      <c r="B4330" s="36">
        <f t="shared" si="81"/>
        <v>6</v>
      </c>
      <c r="C4330" s="183">
        <f t="shared" si="82"/>
        <v>42174</v>
      </c>
      <c r="D4330" s="190" t="s">
        <v>2015</v>
      </c>
      <c r="E4330" s="190">
        <v>42174</v>
      </c>
      <c r="F4330" s="191" t="s">
        <v>1670</v>
      </c>
      <c r="G4330" s="482" t="s">
        <v>792</v>
      </c>
      <c r="H4330" s="192" t="s">
        <v>2016</v>
      </c>
      <c r="I4330" s="255">
        <v>320</v>
      </c>
      <c r="J4330" s="255">
        <v>2028.8274185224218</v>
      </c>
      <c r="K4330" s="593">
        <f t="shared" si="83"/>
        <v>649225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69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799"/>
    </row>
    <row r="4331" spans="1:27" s="210" customFormat="1" ht="15.75" customHeight="1">
      <c r="A4331" s="203" t="str">
        <f>IF(B4331&lt;&gt;"",IF(AND(B4331&gt;=_TM1,B4331&lt;=_TM2,OR(TH!L4331="1111",TH!M4331="1111")),TH!D4331,""),"")</f>
        <v/>
      </c>
      <c r="B4331" s="36">
        <f t="shared" si="81"/>
        <v>6</v>
      </c>
      <c r="C4331" s="183">
        <f t="shared" si="82"/>
        <v>42174</v>
      </c>
      <c r="D4331" s="190" t="s">
        <v>2015</v>
      </c>
      <c r="E4331" s="190">
        <v>42174</v>
      </c>
      <c r="F4331" s="191" t="s">
        <v>696</v>
      </c>
      <c r="G4331" s="482" t="s">
        <v>796</v>
      </c>
      <c r="H4331" s="192" t="s">
        <v>2016</v>
      </c>
      <c r="I4331" s="255">
        <v>1050</v>
      </c>
      <c r="J4331" s="255">
        <v>13343.44186797439</v>
      </c>
      <c r="K4331" s="593">
        <f t="shared" si="83"/>
        <v>14010614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69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799"/>
    </row>
    <row r="4332" spans="1:27" s="210" customFormat="1" ht="15.75" customHeight="1">
      <c r="A4332" s="203" t="str">
        <f>IF(B4332&lt;&gt;"",IF(AND(B4332&gt;=_TM1,B4332&lt;=_TM2,OR(TH!L4332="1111",TH!M4332="1111")),TH!D4332,""),"")</f>
        <v/>
      </c>
      <c r="B4332" s="36">
        <f t="shared" si="81"/>
        <v>6</v>
      </c>
      <c r="C4332" s="183">
        <f t="shared" si="82"/>
        <v>42174</v>
      </c>
      <c r="D4332" s="190" t="s">
        <v>2015</v>
      </c>
      <c r="E4332" s="190">
        <v>42174</v>
      </c>
      <c r="F4332" s="191" t="s">
        <v>1733</v>
      </c>
      <c r="G4332" s="482" t="s">
        <v>796</v>
      </c>
      <c r="H4332" s="192" t="s">
        <v>2016</v>
      </c>
      <c r="I4332" s="255">
        <v>200</v>
      </c>
      <c r="J4332" s="255">
        <v>19664.019594909627</v>
      </c>
      <c r="K4332" s="593">
        <f t="shared" si="83"/>
        <v>3932804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69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799"/>
    </row>
    <row r="4333" spans="1:27" s="210" customFormat="1" ht="15.75" customHeight="1">
      <c r="A4333" s="203" t="str">
        <f>IF(B4333&lt;&gt;"",IF(AND(B4333&gt;=_TM1,B4333&lt;=_TM2,OR(TH!L4333="1111",TH!M4333="1111")),TH!D4333,""),"")</f>
        <v/>
      </c>
      <c r="B4333" s="36">
        <f t="shared" si="81"/>
        <v>6</v>
      </c>
      <c r="C4333" s="183">
        <f t="shared" si="82"/>
        <v>42174</v>
      </c>
      <c r="D4333" s="190" t="s">
        <v>2015</v>
      </c>
      <c r="E4333" s="190">
        <v>42174</v>
      </c>
      <c r="F4333" s="191" t="s">
        <v>797</v>
      </c>
      <c r="G4333" s="482" t="s">
        <v>798</v>
      </c>
      <c r="H4333" s="192" t="s">
        <v>2016</v>
      </c>
      <c r="I4333" s="255">
        <v>29</v>
      </c>
      <c r="J4333" s="255">
        <v>19117.796828384362</v>
      </c>
      <c r="K4333" s="593">
        <f t="shared" si="83"/>
        <v>554416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69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799"/>
    </row>
    <row r="4334" spans="1:27" s="210" customFormat="1" ht="15.75" customHeight="1">
      <c r="A4334" s="203" t="str">
        <f>IF(B4334&lt;&gt;"",IF(AND(B4334&gt;=_TM1,B4334&lt;=_TM2,OR(TH!L4334="1111",TH!M4334="1111")),TH!D4334,""),"")</f>
        <v/>
      </c>
      <c r="B4334" s="36">
        <f t="shared" si="81"/>
        <v>6</v>
      </c>
      <c r="C4334" s="183">
        <f t="shared" si="82"/>
        <v>42174</v>
      </c>
      <c r="D4334" s="190" t="s">
        <v>2015</v>
      </c>
      <c r="E4334" s="190">
        <v>42174</v>
      </c>
      <c r="F4334" s="191" t="s">
        <v>800</v>
      </c>
      <c r="G4334" s="482" t="s">
        <v>798</v>
      </c>
      <c r="H4334" s="192" t="s">
        <v>2016</v>
      </c>
      <c r="I4334" s="255">
        <v>30</v>
      </c>
      <c r="J4334" s="255">
        <v>23877.738079533119</v>
      </c>
      <c r="K4334" s="593">
        <f t="shared" si="83"/>
        <v>716332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69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799"/>
    </row>
    <row r="4335" spans="1:27" s="210" customFormat="1" ht="15.75" customHeight="1">
      <c r="A4335" s="203" t="str">
        <f>IF(B4335&lt;&gt;"",IF(AND(B4335&gt;=_TM1,B4335&lt;=_TM2,OR(TH!L4335="1111",TH!M4335="1111")),TH!D4335,""),"")</f>
        <v/>
      </c>
      <c r="B4335" s="36">
        <f t="shared" si="81"/>
        <v>6</v>
      </c>
      <c r="C4335" s="183">
        <f t="shared" si="82"/>
        <v>42174</v>
      </c>
      <c r="D4335" s="190" t="s">
        <v>2015</v>
      </c>
      <c r="E4335" s="190">
        <v>42174</v>
      </c>
      <c r="F4335" s="191" t="s">
        <v>801</v>
      </c>
      <c r="G4335" s="482" t="s">
        <v>798</v>
      </c>
      <c r="H4335" s="192" t="s">
        <v>2016</v>
      </c>
      <c r="I4335" s="255">
        <v>30</v>
      </c>
      <c r="J4335" s="255">
        <v>19820.083242488276</v>
      </c>
      <c r="K4335" s="593">
        <f t="shared" si="83"/>
        <v>594602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69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799"/>
    </row>
    <row r="4336" spans="1:27" s="210" customFormat="1" ht="15.75" customHeight="1">
      <c r="A4336" s="203" t="str">
        <f>IF(B4336&lt;&gt;"",IF(AND(B4336&gt;=_TM1,B4336&lt;=_TM2,OR(TH!L4336="1111",TH!M4336="1111")),TH!D4336,""),"")</f>
        <v/>
      </c>
      <c r="B4336" s="36">
        <f t="shared" si="81"/>
        <v>6</v>
      </c>
      <c r="C4336" s="183">
        <f t="shared" si="82"/>
        <v>42174</v>
      </c>
      <c r="D4336" s="190" t="s">
        <v>2015</v>
      </c>
      <c r="E4336" s="190">
        <v>42174</v>
      </c>
      <c r="F4336" s="191" t="s">
        <v>802</v>
      </c>
      <c r="G4336" s="482" t="s">
        <v>798</v>
      </c>
      <c r="H4336" s="192" t="s">
        <v>2016</v>
      </c>
      <c r="I4336" s="255">
        <v>104</v>
      </c>
      <c r="J4336" s="255">
        <v>7647.1187313537439</v>
      </c>
      <c r="K4336" s="593">
        <f t="shared" si="83"/>
        <v>795300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69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799"/>
    </row>
    <row r="4337" spans="1:27" s="210" customFormat="1" ht="15.75" customHeight="1">
      <c r="A4337" s="203" t="str">
        <f>IF(B4337&lt;&gt;"",IF(AND(B4337&gt;=_TM1,B4337&lt;=_TM2,OR(TH!L4337="1111",TH!M4337="1111")),TH!D4337,""),"")</f>
        <v/>
      </c>
      <c r="B4337" s="36">
        <f t="shared" si="81"/>
        <v>6</v>
      </c>
      <c r="C4337" s="183">
        <f t="shared" si="82"/>
        <v>42174</v>
      </c>
      <c r="D4337" s="190" t="s">
        <v>2015</v>
      </c>
      <c r="E4337" s="190">
        <v>42174</v>
      </c>
      <c r="F4337" s="191" t="s">
        <v>741</v>
      </c>
      <c r="G4337" s="482" t="s">
        <v>798</v>
      </c>
      <c r="H4337" s="192" t="s">
        <v>2016</v>
      </c>
      <c r="I4337" s="255">
        <v>263</v>
      </c>
      <c r="J4337" s="255">
        <v>7725.1505551430673</v>
      </c>
      <c r="K4337" s="593">
        <f t="shared" si="83"/>
        <v>2031715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69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799"/>
    </row>
    <row r="4338" spans="1:27" s="210" customFormat="1" ht="15.75" customHeight="1">
      <c r="A4338" s="203" t="str">
        <f>IF(B4338&lt;&gt;"",IF(AND(B4338&gt;=_TM1,B4338&lt;=_TM2,OR(TH!L4338="1111",TH!M4338="1111")),TH!D4338,""),"")</f>
        <v/>
      </c>
      <c r="B4338" s="36">
        <f t="shared" si="81"/>
        <v>6</v>
      </c>
      <c r="C4338" s="183">
        <f t="shared" si="82"/>
        <v>42174</v>
      </c>
      <c r="D4338" s="190" t="s">
        <v>2015</v>
      </c>
      <c r="E4338" s="190">
        <v>42174</v>
      </c>
      <c r="F4338" s="191" t="s">
        <v>803</v>
      </c>
      <c r="G4338" s="482" t="s">
        <v>798</v>
      </c>
      <c r="H4338" s="192" t="s">
        <v>2016</v>
      </c>
      <c r="I4338" s="255">
        <v>51</v>
      </c>
      <c r="J4338" s="255">
        <v>8661.5324406149557</v>
      </c>
      <c r="K4338" s="593">
        <f t="shared" si="83"/>
        <v>441738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69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799"/>
    </row>
    <row r="4339" spans="1:27" s="210" customFormat="1" ht="15.75" customHeight="1">
      <c r="A4339" s="203" t="str">
        <f>IF(B4339&lt;&gt;"",IF(AND(B4339&gt;=_TM1,B4339&lt;=_TM2,OR(TH!L4339="1111",TH!M4339="1111")),TH!D4339,""),"")</f>
        <v/>
      </c>
      <c r="B4339" s="36">
        <f t="shared" si="81"/>
        <v>6</v>
      </c>
      <c r="C4339" s="183">
        <f t="shared" si="82"/>
        <v>42174</v>
      </c>
      <c r="D4339" s="190" t="s">
        <v>2015</v>
      </c>
      <c r="E4339" s="190">
        <v>42174</v>
      </c>
      <c r="F4339" s="191" t="s">
        <v>804</v>
      </c>
      <c r="G4339" s="482" t="s">
        <v>798</v>
      </c>
      <c r="H4339" s="192" t="s">
        <v>2016</v>
      </c>
      <c r="I4339" s="255">
        <v>55</v>
      </c>
      <c r="J4339" s="255">
        <v>11782.805392187911</v>
      </c>
      <c r="K4339" s="593">
        <f t="shared" si="83"/>
        <v>648054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69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799"/>
    </row>
    <row r="4340" spans="1:27" s="210" customFormat="1" ht="15.75" customHeight="1">
      <c r="A4340" s="203" t="str">
        <f>IF(B4340&lt;&gt;"",IF(AND(B4340&gt;=_TM1,B4340&lt;=_TM2,OR(TH!L4340="1111",TH!M4340="1111")),TH!D4340,""),"")</f>
        <v/>
      </c>
      <c r="B4340" s="36">
        <f t="shared" si="81"/>
        <v>6</v>
      </c>
      <c r="C4340" s="183">
        <f t="shared" si="82"/>
        <v>42174</v>
      </c>
      <c r="D4340" s="190" t="s">
        <v>2015</v>
      </c>
      <c r="E4340" s="190">
        <v>42174</v>
      </c>
      <c r="F4340" s="191" t="s">
        <v>805</v>
      </c>
      <c r="G4340" s="482" t="s">
        <v>798</v>
      </c>
      <c r="H4340" s="192" t="s">
        <v>2016</v>
      </c>
      <c r="I4340" s="255">
        <v>50</v>
      </c>
      <c r="J4340" s="255">
        <v>12485.091806291828</v>
      </c>
      <c r="K4340" s="593">
        <f t="shared" si="83"/>
        <v>624255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69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799"/>
    </row>
    <row r="4341" spans="1:27" s="210" customFormat="1" ht="15.75" customHeight="1">
      <c r="A4341" s="203" t="str">
        <f>IF(B4341&lt;&gt;"",IF(AND(B4341&gt;=_TM1,B4341&lt;=_TM2,OR(TH!L4341="1111",TH!M4341="1111")),TH!D4341,""),"")</f>
        <v/>
      </c>
      <c r="B4341" s="36">
        <f t="shared" si="81"/>
        <v>6</v>
      </c>
      <c r="C4341" s="183">
        <f t="shared" si="82"/>
        <v>42174</v>
      </c>
      <c r="D4341" s="190" t="s">
        <v>2015</v>
      </c>
      <c r="E4341" s="190">
        <v>42174</v>
      </c>
      <c r="F4341" s="191" t="s">
        <v>806</v>
      </c>
      <c r="G4341" s="482" t="s">
        <v>798</v>
      </c>
      <c r="H4341" s="192" t="s">
        <v>2016</v>
      </c>
      <c r="I4341" s="255">
        <v>30</v>
      </c>
      <c r="J4341" s="255">
        <v>27779.329268999314</v>
      </c>
      <c r="K4341" s="593">
        <f t="shared" si="83"/>
        <v>833380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69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799"/>
    </row>
    <row r="4342" spans="1:27" s="210" customFormat="1" ht="15.75" customHeight="1">
      <c r="A4342" s="203" t="str">
        <f>IF(B4342&lt;&gt;"",IF(AND(B4342&gt;=_TM1,B4342&lt;=_TM2,OR(TH!L4342="1111",TH!M4342="1111")),TH!D4342,""),"")</f>
        <v/>
      </c>
      <c r="B4342" s="36">
        <f t="shared" si="81"/>
        <v>6</v>
      </c>
      <c r="C4342" s="183">
        <f t="shared" si="82"/>
        <v>42174</v>
      </c>
      <c r="D4342" s="190" t="s">
        <v>2015</v>
      </c>
      <c r="E4342" s="190">
        <v>42174</v>
      </c>
      <c r="F4342" s="191" t="s">
        <v>807</v>
      </c>
      <c r="G4342" s="482" t="s">
        <v>798</v>
      </c>
      <c r="H4342" s="192" t="s">
        <v>2016</v>
      </c>
      <c r="I4342" s="255">
        <v>31</v>
      </c>
      <c r="J4342" s="255">
        <v>32227.143224990778</v>
      </c>
      <c r="K4342" s="593">
        <f t="shared" si="83"/>
        <v>999041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69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799"/>
    </row>
    <row r="4343" spans="1:27" s="210" customFormat="1" ht="15.75" customHeight="1">
      <c r="A4343" s="203" t="str">
        <f>IF(B4343&lt;&gt;"",IF(AND(B4343&gt;=_TM1,B4343&lt;=_TM2,OR(TH!L4343="1111",TH!M4343="1111")),TH!D4343,""),"")</f>
        <v/>
      </c>
      <c r="B4343" s="36">
        <f t="shared" si="81"/>
        <v>6</v>
      </c>
      <c r="C4343" s="183">
        <f t="shared" si="82"/>
        <v>42175</v>
      </c>
      <c r="D4343" s="190" t="s">
        <v>2015</v>
      </c>
      <c r="E4343" s="190">
        <v>42175</v>
      </c>
      <c r="F4343" s="191" t="s">
        <v>808</v>
      </c>
      <c r="G4343" s="482" t="s">
        <v>809</v>
      </c>
      <c r="H4343" s="192" t="s">
        <v>2016</v>
      </c>
      <c r="I4343" s="255">
        <v>206</v>
      </c>
      <c r="J4343" s="255">
        <v>17010.937586072614</v>
      </c>
      <c r="K4343" s="593">
        <f t="shared" si="83"/>
        <v>3504253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69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799"/>
    </row>
    <row r="4344" spans="1:27" s="210" customFormat="1" ht="15.75" customHeight="1">
      <c r="A4344" s="203" t="str">
        <f>IF(B4344&lt;&gt;"",IF(AND(B4344&gt;=_TM1,B4344&lt;=_TM2,OR(TH!L4344="1111",TH!M4344="1111")),TH!D4344,""),"")</f>
        <v/>
      </c>
      <c r="B4344" s="36">
        <f t="shared" si="81"/>
        <v>6</v>
      </c>
      <c r="C4344" s="183">
        <f t="shared" si="82"/>
        <v>42175</v>
      </c>
      <c r="D4344" s="190" t="s">
        <v>2015</v>
      </c>
      <c r="E4344" s="190">
        <v>42175</v>
      </c>
      <c r="F4344" s="191" t="s">
        <v>810</v>
      </c>
      <c r="G4344" s="482" t="s">
        <v>809</v>
      </c>
      <c r="H4344" s="192" t="s">
        <v>2016</v>
      </c>
      <c r="I4344" s="255">
        <v>20</v>
      </c>
      <c r="J4344" s="255">
        <v>55636.690361787951</v>
      </c>
      <c r="K4344" s="593">
        <f t="shared" si="83"/>
        <v>1112734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69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799"/>
    </row>
    <row r="4345" spans="1:27" s="210" customFormat="1" ht="15.75" customHeight="1">
      <c r="A4345" s="203" t="str">
        <f>IF(B4345&lt;&gt;"",IF(AND(B4345&gt;=_TM1,B4345&lt;=_TM2,OR(TH!L4345="1111",TH!M4345="1111")),TH!D4345,""),"")</f>
        <v/>
      </c>
      <c r="B4345" s="36">
        <f t="shared" si="81"/>
        <v>6</v>
      </c>
      <c r="C4345" s="183">
        <f t="shared" si="82"/>
        <v>42175</v>
      </c>
      <c r="D4345" s="190" t="s">
        <v>2015</v>
      </c>
      <c r="E4345" s="190">
        <v>42175</v>
      </c>
      <c r="F4345" s="191" t="s">
        <v>811</v>
      </c>
      <c r="G4345" s="482" t="s">
        <v>809</v>
      </c>
      <c r="H4345" s="192" t="s">
        <v>2016</v>
      </c>
      <c r="I4345" s="255">
        <v>20</v>
      </c>
      <c r="J4345" s="255">
        <v>72257.468828913945</v>
      </c>
      <c r="K4345" s="593">
        <f t="shared" si="83"/>
        <v>1445149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69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799"/>
    </row>
    <row r="4346" spans="1:27" s="210" customFormat="1" ht="15.75" customHeight="1">
      <c r="A4346" s="203" t="str">
        <f>IF(B4346&lt;&gt;"",IF(AND(B4346&gt;=_TM1,B4346&lt;=_TM2,OR(TH!L4346="1111",TH!M4346="1111")),TH!D4346,""),"")</f>
        <v/>
      </c>
      <c r="B4346" s="36">
        <f t="shared" si="81"/>
        <v>6</v>
      </c>
      <c r="C4346" s="183">
        <f t="shared" si="82"/>
        <v>42175</v>
      </c>
      <c r="D4346" s="190" t="s">
        <v>2015</v>
      </c>
      <c r="E4346" s="190">
        <v>42175</v>
      </c>
      <c r="F4346" s="191" t="s">
        <v>812</v>
      </c>
      <c r="G4346" s="482" t="s">
        <v>809</v>
      </c>
      <c r="H4346" s="192" t="s">
        <v>2016</v>
      </c>
      <c r="I4346" s="255">
        <v>20</v>
      </c>
      <c r="J4346" s="255">
        <v>64454.286449981555</v>
      </c>
      <c r="K4346" s="593">
        <f t="shared" si="83"/>
        <v>1289086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69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799"/>
    </row>
    <row r="4347" spans="1:27" s="210" customFormat="1" ht="15.75" customHeight="1">
      <c r="A4347" s="203" t="str">
        <f>IF(B4347&lt;&gt;"",IF(AND(B4347&gt;=_TM1,B4347&lt;=_TM2,OR(TH!L4347="1111",TH!M4347="1111")),TH!D4347,""),"")</f>
        <v/>
      </c>
      <c r="B4347" s="36">
        <f t="shared" si="81"/>
        <v>6</v>
      </c>
      <c r="C4347" s="183">
        <f t="shared" si="82"/>
        <v>42175</v>
      </c>
      <c r="D4347" s="190" t="s">
        <v>2015</v>
      </c>
      <c r="E4347" s="190">
        <v>42175</v>
      </c>
      <c r="F4347" s="191" t="s">
        <v>813</v>
      </c>
      <c r="G4347" s="482" t="s">
        <v>809</v>
      </c>
      <c r="H4347" s="192" t="s">
        <v>2016</v>
      </c>
      <c r="I4347" s="255">
        <v>30</v>
      </c>
      <c r="J4347" s="255">
        <v>25438.374555319595</v>
      </c>
      <c r="K4347" s="593">
        <f t="shared" si="83"/>
        <v>763151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69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799"/>
    </row>
    <row r="4348" spans="1:27" s="210" customFormat="1" ht="15.75" customHeight="1">
      <c r="A4348" s="203" t="str">
        <f>IF(B4348&lt;&gt;"",IF(AND(B4348&gt;=_TM1,B4348&lt;=_TM2,OR(TH!L4348="1111",TH!M4348="1111")),TH!D4348,""),"")</f>
        <v/>
      </c>
      <c r="B4348" s="36">
        <f t="shared" si="81"/>
        <v>6</v>
      </c>
      <c r="C4348" s="183">
        <f t="shared" si="82"/>
        <v>42175</v>
      </c>
      <c r="D4348" s="190" t="s">
        <v>2015</v>
      </c>
      <c r="E4348" s="190">
        <v>42175</v>
      </c>
      <c r="F4348" s="191" t="s">
        <v>814</v>
      </c>
      <c r="G4348" s="482" t="s">
        <v>809</v>
      </c>
      <c r="H4348" s="192" t="s">
        <v>2016</v>
      </c>
      <c r="I4348" s="255">
        <v>251</v>
      </c>
      <c r="J4348" s="255">
        <v>1092.445533050535</v>
      </c>
      <c r="K4348" s="593">
        <f t="shared" si="83"/>
        <v>274204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69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799"/>
    </row>
    <row r="4349" spans="1:27" s="210" customFormat="1" ht="15.75" customHeight="1">
      <c r="A4349" s="203" t="str">
        <f>IF(B4349&lt;&gt;"",IF(AND(B4349&gt;=_TM1,B4349&lt;=_TM2,OR(TH!L4349="1111",TH!M4349="1111")),TH!D4349,""),"")</f>
        <v/>
      </c>
      <c r="B4349" s="36">
        <f t="shared" si="81"/>
        <v>6</v>
      </c>
      <c r="C4349" s="183">
        <f t="shared" si="82"/>
        <v>42175</v>
      </c>
      <c r="D4349" s="190" t="s">
        <v>2015</v>
      </c>
      <c r="E4349" s="190">
        <v>42175</v>
      </c>
      <c r="F4349" s="191" t="s">
        <v>815</v>
      </c>
      <c r="G4349" s="482" t="s">
        <v>809</v>
      </c>
      <c r="H4349" s="192" t="s">
        <v>2016</v>
      </c>
      <c r="I4349" s="255">
        <v>31</v>
      </c>
      <c r="J4349" s="255">
        <v>36284.798062035625</v>
      </c>
      <c r="K4349" s="593">
        <f t="shared" si="83"/>
        <v>1124829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69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799"/>
    </row>
    <row r="4350" spans="1:27" s="210" customFormat="1" ht="15.75" customHeight="1">
      <c r="A4350" s="203" t="str">
        <f>IF(B4350&lt;&gt;"",IF(AND(B4350&gt;=_TM1,B4350&lt;=_TM2,OR(TH!L4350="1111",TH!M4350="1111")),TH!D4350,""),"")</f>
        <v/>
      </c>
      <c r="B4350" s="36">
        <f t="shared" si="81"/>
        <v>6</v>
      </c>
      <c r="C4350" s="183">
        <f t="shared" si="82"/>
        <v>42175</v>
      </c>
      <c r="D4350" s="190" t="s">
        <v>2015</v>
      </c>
      <c r="E4350" s="190">
        <v>42175</v>
      </c>
      <c r="F4350" s="191" t="s">
        <v>816</v>
      </c>
      <c r="G4350" s="482" t="s">
        <v>809</v>
      </c>
      <c r="H4350" s="192" t="s">
        <v>2016</v>
      </c>
      <c r="I4350" s="255">
        <v>30</v>
      </c>
      <c r="J4350" s="255">
        <v>33163.525110462666</v>
      </c>
      <c r="K4350" s="593">
        <f t="shared" si="83"/>
        <v>994906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69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799"/>
    </row>
    <row r="4351" spans="1:27" s="210" customFormat="1" ht="15.75" customHeight="1">
      <c r="A4351" s="203" t="str">
        <f>IF(B4351&lt;&gt;"",IF(AND(B4351&gt;=_TM1,B4351&lt;=_TM2,OR(TH!L4351="1111",TH!M4351="1111")),TH!D4351,""),"")</f>
        <v/>
      </c>
      <c r="B4351" s="36">
        <f t="shared" si="81"/>
        <v>6</v>
      </c>
      <c r="C4351" s="183">
        <f t="shared" si="82"/>
        <v>42175</v>
      </c>
      <c r="D4351" s="190" t="s">
        <v>2015</v>
      </c>
      <c r="E4351" s="190">
        <v>42175</v>
      </c>
      <c r="F4351" s="191" t="s">
        <v>817</v>
      </c>
      <c r="G4351" s="482" t="s">
        <v>809</v>
      </c>
      <c r="H4351" s="192" t="s">
        <v>2016</v>
      </c>
      <c r="I4351" s="255">
        <v>207</v>
      </c>
      <c r="J4351" s="255">
        <v>12485.091806291828</v>
      </c>
      <c r="K4351" s="593">
        <f t="shared" si="83"/>
        <v>2584414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69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799"/>
    </row>
    <row r="4352" spans="1:27" s="210" customFormat="1" ht="15.75" customHeight="1">
      <c r="A4352" s="203" t="str">
        <f>IF(B4352&lt;&gt;"",IF(AND(B4352&gt;=_TM1,B4352&lt;=_TM2,OR(TH!L4352="1111",TH!M4352="1111")),TH!D4352,""),"")</f>
        <v/>
      </c>
      <c r="B4352" s="36">
        <f t="shared" si="81"/>
        <v>6</v>
      </c>
      <c r="C4352" s="183">
        <f t="shared" si="82"/>
        <v>42175</v>
      </c>
      <c r="D4352" s="190" t="s">
        <v>2015</v>
      </c>
      <c r="E4352" s="190">
        <v>42175</v>
      </c>
      <c r="F4352" s="191" t="s">
        <v>818</v>
      </c>
      <c r="G4352" s="482" t="s">
        <v>809</v>
      </c>
      <c r="H4352" s="192" t="s">
        <v>2016</v>
      </c>
      <c r="I4352" s="255">
        <v>103</v>
      </c>
      <c r="J4352" s="255">
        <v>9753.9779736654891</v>
      </c>
      <c r="K4352" s="593">
        <f t="shared" si="83"/>
        <v>1004660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69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799"/>
    </row>
    <row r="4353" spans="1:27" s="210" customFormat="1" ht="15.75" customHeight="1">
      <c r="A4353" s="203" t="str">
        <f>IF(B4353&lt;&gt;"",IF(AND(B4353&gt;=_TM1,B4353&lt;=_TM2,OR(TH!L4353="1111",TH!M4353="1111")),TH!D4353,""),"")</f>
        <v/>
      </c>
      <c r="B4353" s="36">
        <f t="shared" si="81"/>
        <v>6</v>
      </c>
      <c r="C4353" s="183">
        <f t="shared" si="82"/>
        <v>42177</v>
      </c>
      <c r="D4353" s="190" t="s">
        <v>2015</v>
      </c>
      <c r="E4353" s="190">
        <v>42177</v>
      </c>
      <c r="F4353" s="191" t="s">
        <v>398</v>
      </c>
      <c r="G4353" s="482" t="s">
        <v>819</v>
      </c>
      <c r="H4353" s="192" t="s">
        <v>2016</v>
      </c>
      <c r="I4353" s="255">
        <v>905</v>
      </c>
      <c r="J4353" s="255">
        <v>6398.6095507245609</v>
      </c>
      <c r="K4353" s="593">
        <f t="shared" si="83"/>
        <v>5790742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69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799"/>
    </row>
    <row r="4354" spans="1:27" s="210" customFormat="1" ht="15.75" customHeight="1">
      <c r="A4354" s="203" t="str">
        <f>IF(B4354&lt;&gt;"",IF(AND(B4354&gt;=_TM1,B4354&lt;=_TM2,OR(TH!L4354="1111",TH!M4354="1111")),TH!D4354,""),"")</f>
        <v/>
      </c>
      <c r="B4354" s="36">
        <f t="shared" si="81"/>
        <v>6</v>
      </c>
      <c r="C4354" s="183">
        <f t="shared" si="82"/>
        <v>42177</v>
      </c>
      <c r="D4354" s="190" t="s">
        <v>2015</v>
      </c>
      <c r="E4354" s="190">
        <v>42177</v>
      </c>
      <c r="F4354" s="191" t="s">
        <v>446</v>
      </c>
      <c r="G4354" s="482" t="s">
        <v>819</v>
      </c>
      <c r="H4354" s="192" t="s">
        <v>2016</v>
      </c>
      <c r="I4354" s="255">
        <v>307</v>
      </c>
      <c r="J4354" s="255">
        <v>7100.8959648284763</v>
      </c>
      <c r="K4354" s="593">
        <f t="shared" si="83"/>
        <v>2179975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69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799"/>
    </row>
    <row r="4355" spans="1:27" s="210" customFormat="1" ht="15.75" customHeight="1">
      <c r="A4355" s="203" t="str">
        <f>IF(B4355&lt;&gt;"",IF(AND(B4355&gt;=_TM1,B4355&lt;=_TM2,OR(TH!L4355="1111",TH!M4355="1111")),TH!D4355,""),"")</f>
        <v/>
      </c>
      <c r="B4355" s="36">
        <f t="shared" si="81"/>
        <v>6</v>
      </c>
      <c r="C4355" s="183">
        <f t="shared" si="82"/>
        <v>42177</v>
      </c>
      <c r="D4355" s="190" t="s">
        <v>2015</v>
      </c>
      <c r="E4355" s="190">
        <v>42177</v>
      </c>
      <c r="F4355" s="191" t="s">
        <v>501</v>
      </c>
      <c r="G4355" s="482" t="s">
        <v>819</v>
      </c>
      <c r="H4355" s="192" t="s">
        <v>2016</v>
      </c>
      <c r="I4355" s="255">
        <v>134</v>
      </c>
      <c r="J4355" s="255">
        <v>12329.028158713179</v>
      </c>
      <c r="K4355" s="593">
        <f t="shared" si="83"/>
        <v>1652090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69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799"/>
    </row>
    <row r="4356" spans="1:27" s="210" customFormat="1" ht="15.75" customHeight="1">
      <c r="A4356" s="203" t="str">
        <f>IF(B4356&lt;&gt;"",IF(AND(B4356&gt;=_TM1,B4356&lt;=_TM2,OR(TH!L4356="1111",TH!M4356="1111")),TH!D4356,""),"")</f>
        <v/>
      </c>
      <c r="B4356" s="36">
        <f t="shared" si="81"/>
        <v>6</v>
      </c>
      <c r="C4356" s="183">
        <f t="shared" si="82"/>
        <v>42177</v>
      </c>
      <c r="D4356" s="190" t="s">
        <v>2015</v>
      </c>
      <c r="E4356" s="190">
        <v>42177</v>
      </c>
      <c r="F4356" s="191" t="s">
        <v>1744</v>
      </c>
      <c r="G4356" s="482" t="s">
        <v>820</v>
      </c>
      <c r="H4356" s="192" t="s">
        <v>2016</v>
      </c>
      <c r="I4356" s="255">
        <v>85</v>
      </c>
      <c r="J4356" s="255">
        <v>6164.5140793565897</v>
      </c>
      <c r="K4356" s="593">
        <f t="shared" si="83"/>
        <v>523984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69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799"/>
    </row>
    <row r="4357" spans="1:27" s="210" customFormat="1" ht="15.75" customHeight="1">
      <c r="A4357" s="203" t="str">
        <f>IF(B4357&lt;&gt;"",IF(AND(B4357&gt;=_TM1,B4357&lt;=_TM2,OR(TH!L4357="1111",TH!M4357="1111")),TH!D4357,""),"")</f>
        <v/>
      </c>
      <c r="B4357" s="36">
        <f t="shared" si="81"/>
        <v>6</v>
      </c>
      <c r="C4357" s="183">
        <f t="shared" si="82"/>
        <v>42177</v>
      </c>
      <c r="D4357" s="190" t="s">
        <v>2015</v>
      </c>
      <c r="E4357" s="190">
        <v>42177</v>
      </c>
      <c r="F4357" s="191" t="s">
        <v>1745</v>
      </c>
      <c r="G4357" s="482" t="s">
        <v>820</v>
      </c>
      <c r="H4357" s="192" t="s">
        <v>2016</v>
      </c>
      <c r="I4357" s="255">
        <v>185</v>
      </c>
      <c r="J4357" s="255">
        <v>9051.6915595615737</v>
      </c>
      <c r="K4357" s="593">
        <f t="shared" si="83"/>
        <v>1674563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69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799"/>
    </row>
    <row r="4358" spans="1:27" s="210" customFormat="1" ht="15.75" customHeight="1">
      <c r="A4358" s="203" t="str">
        <f>IF(B4358&lt;&gt;"",IF(AND(B4358&gt;=_TM1,B4358&lt;=_TM2,OR(TH!L4358="1111",TH!M4358="1111")),TH!D4358,""),"")</f>
        <v/>
      </c>
      <c r="B4358" s="36">
        <f t="shared" si="81"/>
        <v>6</v>
      </c>
      <c r="C4358" s="183">
        <f t="shared" si="82"/>
        <v>42177</v>
      </c>
      <c r="D4358" s="190" t="s">
        <v>2015</v>
      </c>
      <c r="E4358" s="190">
        <v>42177</v>
      </c>
      <c r="F4358" s="191" t="s">
        <v>1746</v>
      </c>
      <c r="G4358" s="482" t="s">
        <v>820</v>
      </c>
      <c r="H4358" s="192" t="s">
        <v>2016</v>
      </c>
      <c r="I4358" s="255">
        <v>185</v>
      </c>
      <c r="J4358" s="255">
        <v>8349.4051454576602</v>
      </c>
      <c r="K4358" s="593">
        <f t="shared" si="83"/>
        <v>1544640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69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799"/>
    </row>
    <row r="4359" spans="1:27" s="210" customFormat="1" ht="15.75" customHeight="1">
      <c r="A4359" s="203" t="str">
        <f>IF(B4359&lt;&gt;"",IF(AND(B4359&gt;=_TM1,B4359&lt;=_TM2,OR(TH!L4359="1111",TH!M4359="1111")),TH!D4359,""),"")</f>
        <v/>
      </c>
      <c r="B4359" s="36">
        <f t="shared" si="81"/>
        <v>6</v>
      </c>
      <c r="C4359" s="183">
        <f t="shared" si="82"/>
        <v>42177</v>
      </c>
      <c r="D4359" s="190" t="s">
        <v>2015</v>
      </c>
      <c r="E4359" s="190">
        <v>42177</v>
      </c>
      <c r="F4359" s="191" t="s">
        <v>1715</v>
      </c>
      <c r="G4359" s="482" t="s">
        <v>820</v>
      </c>
      <c r="H4359" s="192" t="s">
        <v>2016</v>
      </c>
      <c r="I4359" s="255">
        <v>500</v>
      </c>
      <c r="J4359" s="255">
        <v>11626.741744609264</v>
      </c>
      <c r="K4359" s="593">
        <f t="shared" si="83"/>
        <v>5813371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69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799"/>
    </row>
    <row r="4360" spans="1:27" s="210" customFormat="1" ht="15.75" customHeight="1">
      <c r="A4360" s="203" t="str">
        <f>IF(B4360&lt;&gt;"",IF(AND(B4360&gt;=_TM1,B4360&lt;=_TM2,OR(TH!L4360="1111",TH!M4360="1111")),TH!D4360,""),"")</f>
        <v/>
      </c>
      <c r="B4360" s="36">
        <f t="shared" si="81"/>
        <v>6</v>
      </c>
      <c r="C4360" s="183">
        <f t="shared" si="82"/>
        <v>42177</v>
      </c>
      <c r="D4360" s="190" t="s">
        <v>2015</v>
      </c>
      <c r="E4360" s="190">
        <v>42177</v>
      </c>
      <c r="F4360" s="191" t="s">
        <v>1747</v>
      </c>
      <c r="G4360" s="482" t="s">
        <v>820</v>
      </c>
      <c r="H4360" s="192" t="s">
        <v>2016</v>
      </c>
      <c r="I4360" s="255">
        <v>50</v>
      </c>
      <c r="J4360" s="255">
        <v>5540.2594890419978</v>
      </c>
      <c r="K4360" s="593">
        <f t="shared" si="83"/>
        <v>277013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69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799"/>
    </row>
    <row r="4361" spans="1:27" s="210" customFormat="1" ht="15.75" customHeight="1">
      <c r="A4361" s="203" t="str">
        <f>IF(B4361&lt;&gt;"",IF(AND(B4361&gt;=_TM1,B4361&lt;=_TM2,OR(TH!L4361="1111",TH!M4361="1111")),TH!D4361,""),"")</f>
        <v/>
      </c>
      <c r="B4361" s="36">
        <f t="shared" si="81"/>
        <v>6</v>
      </c>
      <c r="C4361" s="183">
        <f t="shared" si="82"/>
        <v>42177</v>
      </c>
      <c r="D4361" s="190" t="s">
        <v>2015</v>
      </c>
      <c r="E4361" s="190">
        <v>42177</v>
      </c>
      <c r="F4361" s="191" t="s">
        <v>1748</v>
      </c>
      <c r="G4361" s="482" t="s">
        <v>820</v>
      </c>
      <c r="H4361" s="192" t="s">
        <v>2016</v>
      </c>
      <c r="I4361" s="255">
        <v>150</v>
      </c>
      <c r="J4361" s="255">
        <v>9051.6915595615737</v>
      </c>
      <c r="K4361" s="593">
        <f t="shared" si="83"/>
        <v>1357754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69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799"/>
    </row>
    <row r="4362" spans="1:27" s="210" customFormat="1" ht="15.75" customHeight="1">
      <c r="A4362" s="203" t="str">
        <f>IF(B4362&lt;&gt;"",IF(AND(B4362&gt;=_TM1,B4362&lt;=_TM2,OR(TH!L4362="1111",TH!M4362="1111")),TH!D4362,""),"")</f>
        <v/>
      </c>
      <c r="B4362" s="36">
        <f t="shared" si="81"/>
        <v>6</v>
      </c>
      <c r="C4362" s="183">
        <f t="shared" si="82"/>
        <v>42177</v>
      </c>
      <c r="D4362" s="190" t="s">
        <v>2015</v>
      </c>
      <c r="E4362" s="190">
        <v>42177</v>
      </c>
      <c r="F4362" s="191" t="s">
        <v>821</v>
      </c>
      <c r="G4362" s="482" t="s">
        <v>822</v>
      </c>
      <c r="H4362" s="192" t="s">
        <v>2016</v>
      </c>
      <c r="I4362" s="255">
        <v>107</v>
      </c>
      <c r="J4362" s="255">
        <v>7022.8641410391529</v>
      </c>
      <c r="K4362" s="593">
        <f t="shared" si="83"/>
        <v>751446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69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799"/>
    </row>
    <row r="4363" spans="1:27" s="210" customFormat="1" ht="15.75" customHeight="1">
      <c r="A4363" s="203" t="str">
        <f>IF(B4363&lt;&gt;"",IF(AND(B4363&gt;=_TM1,B4363&lt;=_TM2,OR(TH!L4363="1111",TH!M4363="1111")),TH!D4363,""),"")</f>
        <v/>
      </c>
      <c r="B4363" s="36">
        <f t="shared" si="81"/>
        <v>6</v>
      </c>
      <c r="C4363" s="183">
        <f t="shared" si="82"/>
        <v>42177</v>
      </c>
      <c r="D4363" s="190" t="s">
        <v>2015</v>
      </c>
      <c r="E4363" s="190">
        <v>42177</v>
      </c>
      <c r="F4363" s="191" t="s">
        <v>823</v>
      </c>
      <c r="G4363" s="482" t="s">
        <v>822</v>
      </c>
      <c r="H4363" s="192" t="s">
        <v>2016</v>
      </c>
      <c r="I4363" s="255">
        <v>31</v>
      </c>
      <c r="J4363" s="255">
        <v>40186.389251501823</v>
      </c>
      <c r="K4363" s="593">
        <f t="shared" si="83"/>
        <v>1245778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69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799"/>
    </row>
    <row r="4364" spans="1:27" s="210" customFormat="1" ht="15.75" customHeight="1">
      <c r="A4364" s="203" t="str">
        <f>IF(B4364&lt;&gt;"",IF(AND(B4364&gt;=_TM1,B4364&lt;=_TM2,OR(TH!L4364="1111",TH!M4364="1111")),TH!D4364,""),"")</f>
        <v/>
      </c>
      <c r="B4364" s="36">
        <f t="shared" si="81"/>
        <v>6</v>
      </c>
      <c r="C4364" s="183">
        <f t="shared" si="82"/>
        <v>42177</v>
      </c>
      <c r="D4364" s="190" t="s">
        <v>2015</v>
      </c>
      <c r="E4364" s="190">
        <v>42177</v>
      </c>
      <c r="F4364" s="191" t="s">
        <v>824</v>
      </c>
      <c r="G4364" s="482" t="s">
        <v>822</v>
      </c>
      <c r="H4364" s="192" t="s">
        <v>2016</v>
      </c>
      <c r="I4364" s="255">
        <v>31</v>
      </c>
      <c r="J4364" s="255">
        <v>47209.253392540966</v>
      </c>
      <c r="K4364" s="593">
        <f t="shared" si="83"/>
        <v>1463487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69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799"/>
    </row>
    <row r="4365" spans="1:27" s="210" customFormat="1" ht="15.75" customHeight="1">
      <c r="A4365" s="203" t="str">
        <f>IF(B4365&lt;&gt;"",IF(AND(B4365&gt;=_TM1,B4365&lt;=_TM2,OR(TH!L4365="1111",TH!M4365="1111")),TH!D4365,""),"")</f>
        <v/>
      </c>
      <c r="B4365" s="36">
        <f t="shared" si="81"/>
        <v>6</v>
      </c>
      <c r="C4365" s="183">
        <f t="shared" si="82"/>
        <v>42177</v>
      </c>
      <c r="D4365" s="190" t="s">
        <v>2015</v>
      </c>
      <c r="E4365" s="190">
        <v>42177</v>
      </c>
      <c r="F4365" s="191" t="s">
        <v>825</v>
      </c>
      <c r="G4365" s="482" t="s">
        <v>822</v>
      </c>
      <c r="H4365" s="192" t="s">
        <v>2016</v>
      </c>
      <c r="I4365" s="255">
        <v>60</v>
      </c>
      <c r="J4365" s="255">
        <v>1950.7955947330979</v>
      </c>
      <c r="K4365" s="593">
        <f t="shared" si="83"/>
        <v>117048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69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799"/>
    </row>
    <row r="4366" spans="1:27" s="210" customFormat="1" ht="15.75" customHeight="1">
      <c r="A4366" s="203" t="str">
        <f>IF(B4366&lt;&gt;"",IF(AND(B4366&gt;=_TM1,B4366&lt;=_TM2,OR(TH!L4366="1111",TH!M4366="1111")),TH!D4366,""),"")</f>
        <v/>
      </c>
      <c r="B4366" s="36">
        <f t="shared" si="81"/>
        <v>6</v>
      </c>
      <c r="C4366" s="183">
        <f t="shared" si="82"/>
        <v>42177</v>
      </c>
      <c r="D4366" s="190" t="s">
        <v>2015</v>
      </c>
      <c r="E4366" s="190">
        <v>42177</v>
      </c>
      <c r="F4366" s="191" t="s">
        <v>826</v>
      </c>
      <c r="G4366" s="482" t="s">
        <v>822</v>
      </c>
      <c r="H4366" s="192" t="s">
        <v>2016</v>
      </c>
      <c r="I4366" s="255">
        <v>20</v>
      </c>
      <c r="J4366" s="255">
        <v>63986.095507245605</v>
      </c>
      <c r="K4366" s="593">
        <f t="shared" si="83"/>
        <v>1279722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69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799"/>
    </row>
    <row r="4367" spans="1:27" s="210" customFormat="1" ht="15.75" customHeight="1">
      <c r="A4367" s="203" t="str">
        <f>IF(B4367&lt;&gt;"",IF(AND(B4367&gt;=_TM1,B4367&lt;=_TM2,OR(TH!L4367="1111",TH!M4367="1111")),TH!D4367,""),"")</f>
        <v/>
      </c>
      <c r="B4367" s="36">
        <f t="shared" si="81"/>
        <v>6</v>
      </c>
      <c r="C4367" s="183">
        <f t="shared" si="82"/>
        <v>42177</v>
      </c>
      <c r="D4367" s="190" t="s">
        <v>2015</v>
      </c>
      <c r="E4367" s="190">
        <v>42177</v>
      </c>
      <c r="F4367" s="191" t="s">
        <v>827</v>
      </c>
      <c r="G4367" s="482" t="s">
        <v>822</v>
      </c>
      <c r="H4367" s="192" t="s">
        <v>2016</v>
      </c>
      <c r="I4367" s="255">
        <v>10</v>
      </c>
      <c r="J4367" s="255">
        <v>57041.263189995778</v>
      </c>
      <c r="K4367" s="593">
        <f t="shared" si="83"/>
        <v>570413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69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799"/>
    </row>
    <row r="4368" spans="1:27" s="210" customFormat="1" ht="15.75" customHeight="1">
      <c r="A4368" s="203" t="str">
        <f>IF(B4368&lt;&gt;"",IF(AND(B4368&gt;=_TM1,B4368&lt;=_TM2,OR(TH!L4368="1111",TH!M4368="1111")),TH!D4368,""),"")</f>
        <v/>
      </c>
      <c r="B4368" s="36">
        <f t="shared" si="81"/>
        <v>6</v>
      </c>
      <c r="C4368" s="183">
        <f t="shared" si="82"/>
        <v>42177</v>
      </c>
      <c r="D4368" s="190" t="s">
        <v>2015</v>
      </c>
      <c r="E4368" s="190">
        <v>42177</v>
      </c>
      <c r="F4368" s="191" t="s">
        <v>827</v>
      </c>
      <c r="G4368" s="482" t="s">
        <v>822</v>
      </c>
      <c r="H4368" s="192" t="s">
        <v>2016</v>
      </c>
      <c r="I4368" s="255">
        <v>10</v>
      </c>
      <c r="J4368" s="255">
        <v>57041.263189995778</v>
      </c>
      <c r="K4368" s="593">
        <f t="shared" si="83"/>
        <v>570413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69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799"/>
    </row>
    <row r="4369" spans="1:27" s="210" customFormat="1" ht="15.75" customHeight="1">
      <c r="A4369" s="203" t="str">
        <f>IF(B4369&lt;&gt;"",IF(AND(B4369&gt;=_TM1,B4369&lt;=_TM2,OR(TH!L4369="1111",TH!M4369="1111")),TH!D4369,""),"")</f>
        <v/>
      </c>
      <c r="B4369" s="36">
        <f t="shared" si="81"/>
        <v>6</v>
      </c>
      <c r="C4369" s="183">
        <f t="shared" si="82"/>
        <v>42177</v>
      </c>
      <c r="D4369" s="190" t="s">
        <v>2015</v>
      </c>
      <c r="E4369" s="190">
        <v>42177</v>
      </c>
      <c r="F4369" s="191" t="s">
        <v>826</v>
      </c>
      <c r="G4369" s="482" t="s">
        <v>822</v>
      </c>
      <c r="H4369" s="192" t="s">
        <v>2016</v>
      </c>
      <c r="I4369" s="255">
        <v>223</v>
      </c>
      <c r="J4369" s="255">
        <v>63986.095507245605</v>
      </c>
      <c r="K4369" s="593">
        <f t="shared" si="83"/>
        <v>14268899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69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799"/>
    </row>
    <row r="4370" spans="1:27" s="210" customFormat="1" ht="15.75" customHeight="1">
      <c r="A4370" s="203" t="str">
        <f>IF(B4370&lt;&gt;"",IF(AND(B4370&gt;=_TM1,B4370&lt;=_TM2,OR(TH!L4370="1111",TH!M4370="1111")),TH!D4370,""),"")</f>
        <v/>
      </c>
      <c r="B4370" s="36">
        <f t="shared" si="81"/>
        <v>6</v>
      </c>
      <c r="C4370" s="183">
        <f t="shared" si="82"/>
        <v>42177</v>
      </c>
      <c r="D4370" s="190" t="s">
        <v>2015</v>
      </c>
      <c r="E4370" s="190">
        <v>42177</v>
      </c>
      <c r="F4370" s="191" t="s">
        <v>827</v>
      </c>
      <c r="G4370" s="482" t="s">
        <v>822</v>
      </c>
      <c r="H4370" s="192" t="s">
        <v>2016</v>
      </c>
      <c r="I4370" s="255">
        <v>15</v>
      </c>
      <c r="J4370" s="255">
        <v>57041.263189995778</v>
      </c>
      <c r="K4370" s="593">
        <f t="shared" si="83"/>
        <v>855619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69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799"/>
    </row>
    <row r="4371" spans="1:27" s="210" customFormat="1" ht="15.75" customHeight="1">
      <c r="A4371" s="203" t="str">
        <f>IF(B4371&lt;&gt;"",IF(AND(B4371&gt;=_TM1,B4371&lt;=_TM2,OR(TH!L4371="1111",TH!M4371="1111")),TH!D4371,""),"")</f>
        <v/>
      </c>
      <c r="B4371" s="36">
        <f t="shared" si="81"/>
        <v>6</v>
      </c>
      <c r="C4371" s="183">
        <f t="shared" si="82"/>
        <v>42177</v>
      </c>
      <c r="D4371" s="190" t="s">
        <v>2015</v>
      </c>
      <c r="E4371" s="190">
        <v>42177</v>
      </c>
      <c r="F4371" s="191" t="s">
        <v>828</v>
      </c>
      <c r="G4371" s="482" t="s">
        <v>822</v>
      </c>
      <c r="H4371" s="192" t="s">
        <v>2016</v>
      </c>
      <c r="I4371" s="255">
        <v>21</v>
      </c>
      <c r="J4371" s="255">
        <v>53373.767471897561</v>
      </c>
      <c r="K4371" s="593">
        <f t="shared" si="83"/>
        <v>1120849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69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799"/>
    </row>
    <row r="4372" spans="1:27" s="210" customFormat="1" ht="15.75" customHeight="1">
      <c r="A4372" s="203" t="str">
        <f>IF(B4372&lt;&gt;"",IF(AND(B4372&gt;=_TM1,B4372&lt;=_TM2,OR(TH!L4372="1111",TH!M4372="1111")),TH!D4372,""),"")</f>
        <v/>
      </c>
      <c r="B4372" s="36">
        <f t="shared" si="81"/>
        <v>6</v>
      </c>
      <c r="C4372" s="183">
        <f t="shared" si="82"/>
        <v>42178</v>
      </c>
      <c r="D4372" s="190" t="s">
        <v>2015</v>
      </c>
      <c r="E4372" s="190">
        <v>42178</v>
      </c>
      <c r="F4372" s="191" t="s">
        <v>595</v>
      </c>
      <c r="G4372" s="482" t="s">
        <v>829</v>
      </c>
      <c r="H4372" s="192" t="s">
        <v>2016</v>
      </c>
      <c r="I4372" s="255">
        <v>205</v>
      </c>
      <c r="J4372" s="255">
        <v>7256.959612407125</v>
      </c>
      <c r="K4372" s="593">
        <f t="shared" si="83"/>
        <v>1487677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69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799"/>
    </row>
    <row r="4373" spans="1:27" s="210" customFormat="1" ht="15.75" customHeight="1">
      <c r="A4373" s="203" t="str">
        <f>IF(B4373&lt;&gt;"",IF(AND(B4373&gt;=_TM1,B4373&lt;=_TM2,OR(TH!L4373="1111",TH!M4373="1111")),TH!D4373,""),"")</f>
        <v/>
      </c>
      <c r="B4373" s="36">
        <f t="shared" si="81"/>
        <v>6</v>
      </c>
      <c r="C4373" s="183">
        <f t="shared" si="82"/>
        <v>42179</v>
      </c>
      <c r="D4373" s="190" t="s">
        <v>2015</v>
      </c>
      <c r="E4373" s="190">
        <v>42179</v>
      </c>
      <c r="F4373" s="191" t="s">
        <v>830</v>
      </c>
      <c r="G4373" s="482" t="s">
        <v>831</v>
      </c>
      <c r="H4373" s="192" t="s">
        <v>2016</v>
      </c>
      <c r="I4373" s="255">
        <v>280</v>
      </c>
      <c r="J4373" s="255">
        <v>11080.518978083996</v>
      </c>
      <c r="K4373" s="593">
        <f t="shared" si="83"/>
        <v>3102545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69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799"/>
    </row>
    <row r="4374" spans="1:27" s="210" customFormat="1" ht="15.75" customHeight="1">
      <c r="A4374" s="203" t="str">
        <f>IF(B4374&lt;&gt;"",IF(AND(B4374&gt;=_TM1,B4374&lt;=_TM2,OR(TH!L4374="1111",TH!M4374="1111")),TH!D4374,""),"")</f>
        <v/>
      </c>
      <c r="B4374" s="36">
        <f t="shared" si="81"/>
        <v>6</v>
      </c>
      <c r="C4374" s="183">
        <f t="shared" si="82"/>
        <v>42180</v>
      </c>
      <c r="D4374" s="190" t="s">
        <v>2015</v>
      </c>
      <c r="E4374" s="190">
        <v>42180</v>
      </c>
      <c r="F4374" s="191" t="s">
        <v>494</v>
      </c>
      <c r="G4374" s="482" t="s">
        <v>833</v>
      </c>
      <c r="H4374" s="192" t="s">
        <v>2016</v>
      </c>
      <c r="I4374" s="255">
        <v>502</v>
      </c>
      <c r="J4374" s="255">
        <v>5306.1640176740266</v>
      </c>
      <c r="K4374" s="593">
        <f t="shared" si="83"/>
        <v>2663694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69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799"/>
    </row>
    <row r="4375" spans="1:27" s="210" customFormat="1" ht="15.75" customHeight="1">
      <c r="A4375" s="203" t="str">
        <f>IF(B4375&lt;&gt;"",IF(AND(B4375&gt;=_TM1,B4375&lt;=_TM2,OR(TH!L4375="1111",TH!M4375="1111")),TH!D4375,""),"")</f>
        <v/>
      </c>
      <c r="B4375" s="36">
        <f t="shared" si="81"/>
        <v>6</v>
      </c>
      <c r="C4375" s="183">
        <f t="shared" si="82"/>
        <v>42180</v>
      </c>
      <c r="D4375" s="190" t="s">
        <v>2015</v>
      </c>
      <c r="E4375" s="190">
        <v>42180</v>
      </c>
      <c r="F4375" s="191" t="s">
        <v>494</v>
      </c>
      <c r="G4375" s="482" t="s">
        <v>833</v>
      </c>
      <c r="H4375" s="192" t="s">
        <v>2016</v>
      </c>
      <c r="I4375" s="255">
        <v>504</v>
      </c>
      <c r="J4375" s="255">
        <v>5306.1640176740266</v>
      </c>
      <c r="K4375" s="593">
        <f t="shared" si="83"/>
        <v>2674307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69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799"/>
    </row>
    <row r="4376" spans="1:27" s="210" customFormat="1" ht="15.75" customHeight="1">
      <c r="A4376" s="203" t="str">
        <f>IF(B4376&lt;&gt;"",IF(AND(B4376&gt;=_TM1,B4376&lt;=_TM2,OR(TH!L4376="1111",TH!M4376="1111")),TH!D4376,""),"")</f>
        <v/>
      </c>
      <c r="B4376" s="36">
        <f t="shared" si="81"/>
        <v>6</v>
      </c>
      <c r="C4376" s="183">
        <f t="shared" si="82"/>
        <v>42180</v>
      </c>
      <c r="D4376" s="190" t="s">
        <v>2015</v>
      </c>
      <c r="E4376" s="190">
        <v>42180</v>
      </c>
      <c r="F4376" s="191" t="s">
        <v>1935</v>
      </c>
      <c r="G4376" s="482" t="s">
        <v>835</v>
      </c>
      <c r="H4376" s="192" t="s">
        <v>2016</v>
      </c>
      <c r="I4376" s="255">
        <v>5457</v>
      </c>
      <c r="J4376" s="255">
        <v>5852.3867841992942</v>
      </c>
      <c r="K4376" s="593">
        <f t="shared" si="83"/>
        <v>31936475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69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799"/>
    </row>
    <row r="4377" spans="1:27" s="210" customFormat="1" ht="15.75" customHeight="1">
      <c r="A4377" s="203" t="str">
        <f>IF(B4377&lt;&gt;"",IF(AND(B4377&gt;=_TM1,B4377&lt;=_TM2,OR(TH!L4377="1111",TH!M4377="1111")),TH!D4377,""),"")</f>
        <v/>
      </c>
      <c r="B4377" s="36">
        <f t="shared" si="81"/>
        <v>6</v>
      </c>
      <c r="C4377" s="183">
        <f t="shared" si="82"/>
        <v>42180</v>
      </c>
      <c r="D4377" s="190" t="s">
        <v>2015</v>
      </c>
      <c r="E4377" s="190">
        <v>42180</v>
      </c>
      <c r="F4377" s="191" t="s">
        <v>409</v>
      </c>
      <c r="G4377" s="482" t="s">
        <v>836</v>
      </c>
      <c r="H4377" s="192" t="s">
        <v>2016</v>
      </c>
      <c r="I4377" s="255">
        <v>1000</v>
      </c>
      <c r="J4377" s="255">
        <v>5774.3549604099699</v>
      </c>
      <c r="K4377" s="593">
        <f t="shared" si="83"/>
        <v>5774355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69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799"/>
    </row>
    <row r="4378" spans="1:27" s="210" customFormat="1" ht="15.75" customHeight="1">
      <c r="A4378" s="203" t="str">
        <f>IF(B4378&lt;&gt;"",IF(AND(B4378&gt;=_TM1,B4378&lt;=_TM2,OR(TH!L4378="1111",TH!M4378="1111")),TH!D4378,""),"")</f>
        <v/>
      </c>
      <c r="B4378" s="36">
        <f t="shared" si="81"/>
        <v>6</v>
      </c>
      <c r="C4378" s="183">
        <f t="shared" si="82"/>
        <v>42180</v>
      </c>
      <c r="D4378" s="190" t="s">
        <v>2015</v>
      </c>
      <c r="E4378" s="190">
        <v>42180</v>
      </c>
      <c r="F4378" s="191" t="s">
        <v>1702</v>
      </c>
      <c r="G4378" s="482" t="s">
        <v>838</v>
      </c>
      <c r="H4378" s="192" t="s">
        <v>2016</v>
      </c>
      <c r="I4378" s="255">
        <v>2000</v>
      </c>
      <c r="J4378" s="255">
        <v>9675.9461498761648</v>
      </c>
      <c r="K4378" s="593">
        <f t="shared" si="83"/>
        <v>19351892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69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799"/>
    </row>
    <row r="4379" spans="1:27" s="210" customFormat="1" ht="15.75" customHeight="1">
      <c r="A4379" s="203" t="str">
        <f>IF(B4379&lt;&gt;"",IF(AND(B4379&gt;=_TM1,B4379&lt;=_TM2,OR(TH!L4379="1111",TH!M4379="1111")),TH!D4379,""),"")</f>
        <v/>
      </c>
      <c r="B4379" s="36">
        <f t="shared" si="81"/>
        <v>6</v>
      </c>
      <c r="C4379" s="183">
        <f t="shared" si="82"/>
        <v>42180</v>
      </c>
      <c r="D4379" s="190" t="s">
        <v>2015</v>
      </c>
      <c r="E4379" s="190">
        <v>42180</v>
      </c>
      <c r="F4379" s="191" t="s">
        <v>839</v>
      </c>
      <c r="G4379" s="482" t="s">
        <v>840</v>
      </c>
      <c r="H4379" s="192" t="s">
        <v>2016</v>
      </c>
      <c r="I4379" s="255">
        <v>27</v>
      </c>
      <c r="J4379" s="255">
        <v>43541.757674442742</v>
      </c>
      <c r="K4379" s="593">
        <f t="shared" si="83"/>
        <v>1175627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69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799"/>
    </row>
    <row r="4380" spans="1:27" s="210" customFormat="1" ht="15.75" customHeight="1">
      <c r="A4380" s="203" t="str">
        <f>IF(B4380&lt;&gt;"",IF(AND(B4380&gt;=_TM1,B4380&lt;=_TM2,OR(TH!L4380="1111",TH!M4380="1111")),TH!D4380,""),"")</f>
        <v/>
      </c>
      <c r="B4380" s="36">
        <f t="shared" si="81"/>
        <v>6</v>
      </c>
      <c r="C4380" s="183">
        <f t="shared" si="82"/>
        <v>42180</v>
      </c>
      <c r="D4380" s="190" t="s">
        <v>2015</v>
      </c>
      <c r="E4380" s="190">
        <v>42180</v>
      </c>
      <c r="F4380" s="191" t="s">
        <v>841</v>
      </c>
      <c r="G4380" s="482" t="s">
        <v>840</v>
      </c>
      <c r="H4380" s="192" t="s">
        <v>2016</v>
      </c>
      <c r="I4380" s="255">
        <v>45</v>
      </c>
      <c r="J4380" s="255">
        <v>48301.69892559151</v>
      </c>
      <c r="K4380" s="593">
        <f t="shared" si="83"/>
        <v>2173576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69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799"/>
    </row>
    <row r="4381" spans="1:27" s="210" customFormat="1" ht="15.75" customHeight="1">
      <c r="A4381" s="203" t="str">
        <f>IF(B4381&lt;&gt;"",IF(AND(B4381&gt;=_TM1,B4381&lt;=_TM2,OR(TH!L4381="1111",TH!M4381="1111")),TH!D4381,""),"")</f>
        <v/>
      </c>
      <c r="B4381" s="36">
        <f t="shared" si="81"/>
        <v>6</v>
      </c>
      <c r="C4381" s="183">
        <f t="shared" si="82"/>
        <v>42180</v>
      </c>
      <c r="D4381" s="190" t="s">
        <v>2015</v>
      </c>
      <c r="E4381" s="190">
        <v>42180</v>
      </c>
      <c r="F4381" s="191" t="s">
        <v>454</v>
      </c>
      <c r="G4381" s="482" t="s">
        <v>840</v>
      </c>
      <c r="H4381" s="192" t="s">
        <v>2016</v>
      </c>
      <c r="I4381" s="255">
        <v>149</v>
      </c>
      <c r="J4381" s="255">
        <v>56573.072247259843</v>
      </c>
      <c r="K4381" s="593">
        <f t="shared" si="83"/>
        <v>8429388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69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799"/>
    </row>
    <row r="4382" spans="1:27" s="210" customFormat="1" ht="15.75" customHeight="1">
      <c r="A4382" s="203" t="str">
        <f>IF(B4382&lt;&gt;"",IF(AND(B4382&gt;=_TM1,B4382&lt;=_TM2,OR(TH!L4382="1111",TH!M4382="1111")),TH!D4382,""),"")</f>
        <v/>
      </c>
      <c r="B4382" s="36">
        <f t="shared" si="81"/>
        <v>6</v>
      </c>
      <c r="C4382" s="183">
        <f t="shared" si="82"/>
        <v>42180</v>
      </c>
      <c r="D4382" s="190" t="s">
        <v>2015</v>
      </c>
      <c r="E4382" s="190">
        <v>42180</v>
      </c>
      <c r="F4382" s="191" t="s">
        <v>842</v>
      </c>
      <c r="G4382" s="482" t="s">
        <v>840</v>
      </c>
      <c r="H4382" s="192" t="s">
        <v>2016</v>
      </c>
      <c r="I4382" s="255">
        <v>11</v>
      </c>
      <c r="J4382" s="255">
        <v>53061.640176740264</v>
      </c>
      <c r="K4382" s="593">
        <f t="shared" si="83"/>
        <v>583678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69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799"/>
    </row>
    <row r="4383" spans="1:27" s="210" customFormat="1" ht="15.75" customHeight="1">
      <c r="A4383" s="203" t="str">
        <f>IF(B4383&lt;&gt;"",IF(AND(B4383&gt;=_TM1,B4383&lt;=_TM2,OR(TH!L4383="1111",TH!M4383="1111")),TH!D4383,""),"")</f>
        <v/>
      </c>
      <c r="B4383" s="36">
        <f t="shared" si="81"/>
        <v>6</v>
      </c>
      <c r="C4383" s="183">
        <f t="shared" si="82"/>
        <v>42180</v>
      </c>
      <c r="D4383" s="190" t="s">
        <v>2015</v>
      </c>
      <c r="E4383" s="190">
        <v>42180</v>
      </c>
      <c r="F4383" s="191" t="s">
        <v>843</v>
      </c>
      <c r="G4383" s="482" t="s">
        <v>840</v>
      </c>
      <c r="H4383" s="192" t="s">
        <v>2016</v>
      </c>
      <c r="I4383" s="255">
        <v>30</v>
      </c>
      <c r="J4383" s="255">
        <v>37923.466361611427</v>
      </c>
      <c r="K4383" s="593">
        <f t="shared" si="83"/>
        <v>1137704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69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799"/>
    </row>
    <row r="4384" spans="1:27" s="210" customFormat="1" ht="15.75" customHeight="1">
      <c r="A4384" s="203" t="str">
        <f>IF(B4384&lt;&gt;"",IF(AND(B4384&gt;=_TM1,B4384&lt;=_TM2,OR(TH!L4384="1111",TH!M4384="1111")),TH!D4384,""),"")</f>
        <v/>
      </c>
      <c r="B4384" s="36">
        <f t="shared" si="81"/>
        <v>6</v>
      </c>
      <c r="C4384" s="183">
        <f t="shared" si="82"/>
        <v>42180</v>
      </c>
      <c r="D4384" s="190" t="s">
        <v>2015</v>
      </c>
      <c r="E4384" s="190">
        <v>42180</v>
      </c>
      <c r="F4384" s="191" t="s">
        <v>844</v>
      </c>
      <c r="G4384" s="482" t="s">
        <v>840</v>
      </c>
      <c r="H4384" s="192" t="s">
        <v>2016</v>
      </c>
      <c r="I4384" s="255">
        <v>383</v>
      </c>
      <c r="J4384" s="255">
        <v>8895.6279119829251</v>
      </c>
      <c r="K4384" s="593">
        <f t="shared" si="83"/>
        <v>3407025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69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799"/>
    </row>
    <row r="4385" spans="1:27" s="210" customFormat="1" ht="15.75" customHeight="1">
      <c r="A4385" s="203" t="str">
        <f>IF(B4385&lt;&gt;"",IF(AND(B4385&gt;=_TM1,B4385&lt;=_TM2,OR(TH!L4385="1111",TH!M4385="1111")),TH!D4385,""),"")</f>
        <v/>
      </c>
      <c r="B4385" s="36">
        <f t="shared" si="81"/>
        <v>6</v>
      </c>
      <c r="C4385" s="183">
        <f t="shared" si="82"/>
        <v>42180</v>
      </c>
      <c r="D4385" s="190" t="s">
        <v>2015</v>
      </c>
      <c r="E4385" s="190">
        <v>42180</v>
      </c>
      <c r="F4385" s="191" t="s">
        <v>845</v>
      </c>
      <c r="G4385" s="482" t="s">
        <v>840</v>
      </c>
      <c r="H4385" s="192" t="s">
        <v>2016</v>
      </c>
      <c r="I4385" s="255">
        <v>25</v>
      </c>
      <c r="J4385" s="255">
        <v>38547.720951926021</v>
      </c>
      <c r="K4385" s="593">
        <f t="shared" si="83"/>
        <v>963693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69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799"/>
    </row>
    <row r="4386" spans="1:27" s="210" customFormat="1" ht="15.75" customHeight="1">
      <c r="A4386" s="203" t="str">
        <f>IF(B4386&lt;&gt;"",IF(AND(B4386&gt;=_TM1,B4386&lt;=_TM2,OR(TH!L4386="1111",TH!M4386="1111")),TH!D4386,""),"")</f>
        <v/>
      </c>
      <c r="B4386" s="36">
        <f t="shared" si="81"/>
        <v>6</v>
      </c>
      <c r="C4386" s="183">
        <f t="shared" si="82"/>
        <v>42180</v>
      </c>
      <c r="D4386" s="190" t="s">
        <v>2015</v>
      </c>
      <c r="E4386" s="190">
        <v>42180</v>
      </c>
      <c r="F4386" s="191" t="s">
        <v>846</v>
      </c>
      <c r="G4386" s="482" t="s">
        <v>840</v>
      </c>
      <c r="H4386" s="192" t="s">
        <v>2016</v>
      </c>
      <c r="I4386" s="255">
        <v>11</v>
      </c>
      <c r="J4386" s="255">
        <v>51110.844582007165</v>
      </c>
      <c r="K4386" s="593">
        <f t="shared" si="83"/>
        <v>562219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69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799"/>
    </row>
    <row r="4387" spans="1:27" s="210" customFormat="1" ht="15.75" customHeight="1">
      <c r="A4387" s="203" t="str">
        <f>IF(B4387&lt;&gt;"",IF(AND(B4387&gt;=_TM1,B4387&lt;=_TM2,OR(TH!L4387="1111",TH!M4387="1111")),TH!D4387,""),"")</f>
        <v/>
      </c>
      <c r="B4387" s="36">
        <f t="shared" si="81"/>
        <v>6</v>
      </c>
      <c r="C4387" s="183">
        <f t="shared" si="82"/>
        <v>42180</v>
      </c>
      <c r="D4387" s="190" t="s">
        <v>2015</v>
      </c>
      <c r="E4387" s="190">
        <v>42180</v>
      </c>
      <c r="F4387" s="191" t="s">
        <v>847</v>
      </c>
      <c r="G4387" s="482" t="s">
        <v>840</v>
      </c>
      <c r="H4387" s="192" t="s">
        <v>2016</v>
      </c>
      <c r="I4387" s="255">
        <v>28</v>
      </c>
      <c r="J4387" s="255">
        <v>40342.452899080461</v>
      </c>
      <c r="K4387" s="593">
        <f t="shared" si="83"/>
        <v>1129589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69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799"/>
    </row>
    <row r="4388" spans="1:27" s="210" customFormat="1" ht="15.75" customHeight="1">
      <c r="A4388" s="203" t="str">
        <f>IF(B4388&lt;&gt;"",IF(AND(B4388&gt;=_TM1,B4388&lt;=_TM2,OR(TH!L4388="1111",TH!M4388="1111")),TH!D4388,""),"")</f>
        <v/>
      </c>
      <c r="B4388" s="36">
        <f t="shared" si="81"/>
        <v>6</v>
      </c>
      <c r="C4388" s="183">
        <f t="shared" si="82"/>
        <v>42181</v>
      </c>
      <c r="D4388" s="190" t="s">
        <v>2015</v>
      </c>
      <c r="E4388" s="190">
        <v>42181</v>
      </c>
      <c r="F4388" s="191" t="s">
        <v>1749</v>
      </c>
      <c r="G4388" s="482" t="s">
        <v>848</v>
      </c>
      <c r="H4388" s="192" t="s">
        <v>2016</v>
      </c>
      <c r="I4388" s="255">
        <v>354</v>
      </c>
      <c r="J4388" s="255">
        <v>14435.887401024926</v>
      </c>
      <c r="K4388" s="593">
        <f t="shared" si="83"/>
        <v>5110304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69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799"/>
    </row>
    <row r="4389" spans="1:27" s="210" customFormat="1" ht="15.75" customHeight="1">
      <c r="A4389" s="203" t="str">
        <f>IF(B4389&lt;&gt;"",IF(AND(B4389&gt;=_TM1,B4389&lt;=_TM2,OR(TH!L4389="1111",TH!M4389="1111")),TH!D4389,""),"")</f>
        <v/>
      </c>
      <c r="B4389" s="36">
        <f t="shared" si="81"/>
        <v>6</v>
      </c>
      <c r="C4389" s="183">
        <f t="shared" si="82"/>
        <v>42181</v>
      </c>
      <c r="D4389" s="190" t="s">
        <v>2015</v>
      </c>
      <c r="E4389" s="190">
        <v>42181</v>
      </c>
      <c r="F4389" s="191" t="s">
        <v>1748</v>
      </c>
      <c r="G4389" s="482" t="s">
        <v>848</v>
      </c>
      <c r="H4389" s="192" t="s">
        <v>2016</v>
      </c>
      <c r="I4389" s="255">
        <v>80</v>
      </c>
      <c r="J4389" s="255">
        <v>9051.6915595615737</v>
      </c>
      <c r="K4389" s="593">
        <f t="shared" si="83"/>
        <v>724135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69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799"/>
    </row>
    <row r="4390" spans="1:27" s="210" customFormat="1" ht="15.75" customHeight="1">
      <c r="A4390" s="203" t="str">
        <f>IF(B4390&lt;&gt;"",IF(AND(B4390&gt;=_TM1,B4390&lt;=_TM2,OR(TH!L4390="1111",TH!M4390="1111")),TH!D4390,""),"")</f>
        <v/>
      </c>
      <c r="B4390" s="36">
        <f t="shared" si="81"/>
        <v>6</v>
      </c>
      <c r="C4390" s="183">
        <f t="shared" si="82"/>
        <v>42183</v>
      </c>
      <c r="D4390" s="190" t="s">
        <v>2015</v>
      </c>
      <c r="E4390" s="190">
        <v>42183</v>
      </c>
      <c r="F4390" s="191" t="s">
        <v>849</v>
      </c>
      <c r="G4390" s="482" t="s">
        <v>850</v>
      </c>
      <c r="H4390" s="192" t="s">
        <v>2016</v>
      </c>
      <c r="I4390" s="255">
        <v>120</v>
      </c>
      <c r="J4390" s="255">
        <v>13031.314572817093</v>
      </c>
      <c r="K4390" s="593">
        <f t="shared" si="83"/>
        <v>1563758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69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799"/>
    </row>
    <row r="4391" spans="1:27" s="210" customFormat="1" ht="15.75" customHeight="1">
      <c r="A4391" s="203" t="str">
        <f>IF(B4391&lt;&gt;"",IF(AND(B4391&gt;=_TM1,B4391&lt;=_TM2,OR(TH!L4391="1111",TH!M4391="1111")),TH!D4391,""),"")</f>
        <v/>
      </c>
      <c r="B4391" s="36">
        <f t="shared" si="81"/>
        <v>6</v>
      </c>
      <c r="C4391" s="183">
        <f t="shared" si="82"/>
        <v>42183</v>
      </c>
      <c r="D4391" s="190" t="s">
        <v>2015</v>
      </c>
      <c r="E4391" s="190">
        <v>42183</v>
      </c>
      <c r="F4391" s="191" t="s">
        <v>852</v>
      </c>
      <c r="G4391" s="482" t="s">
        <v>850</v>
      </c>
      <c r="H4391" s="192" t="s">
        <v>2016</v>
      </c>
      <c r="I4391" s="255">
        <v>471</v>
      </c>
      <c r="J4391" s="255">
        <v>14904.078343760868</v>
      </c>
      <c r="K4391" s="593">
        <f t="shared" si="83"/>
        <v>7019821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69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799"/>
    </row>
    <row r="4392" spans="1:27" s="210" customFormat="1" ht="15.75" customHeight="1">
      <c r="A4392" s="203" t="str">
        <f>IF(B4392&lt;&gt;"",IF(AND(B4392&gt;=_TM1,B4392&lt;=_TM2,OR(TH!L4392="1111",TH!M4392="1111")),TH!D4392,""),"")</f>
        <v/>
      </c>
      <c r="B4392" s="36">
        <f t="shared" si="81"/>
        <v>6</v>
      </c>
      <c r="C4392" s="183">
        <f t="shared" si="82"/>
        <v>42183</v>
      </c>
      <c r="D4392" s="190" t="s">
        <v>2015</v>
      </c>
      <c r="E4392" s="190">
        <v>42183</v>
      </c>
      <c r="F4392" s="191" t="s">
        <v>853</v>
      </c>
      <c r="G4392" s="482" t="s">
        <v>850</v>
      </c>
      <c r="H4392" s="192" t="s">
        <v>2016</v>
      </c>
      <c r="I4392" s="255">
        <v>289</v>
      </c>
      <c r="J4392" s="255">
        <v>16698.81029091532</v>
      </c>
      <c r="K4392" s="593">
        <f t="shared" si="83"/>
        <v>4825956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69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799"/>
    </row>
    <row r="4393" spans="1:27" s="210" customFormat="1" ht="15.75" customHeight="1">
      <c r="A4393" s="203" t="str">
        <f>IF(B4393&lt;&gt;"",IF(AND(B4393&gt;=_TM1,B4393&lt;=_TM2,OR(TH!L4393="1111",TH!M4393="1111")),TH!D4393,""),"")</f>
        <v/>
      </c>
      <c r="B4393" s="36">
        <f t="shared" si="81"/>
        <v>6</v>
      </c>
      <c r="C4393" s="183">
        <f t="shared" si="82"/>
        <v>42183</v>
      </c>
      <c r="D4393" s="190" t="s">
        <v>2015</v>
      </c>
      <c r="E4393" s="190">
        <v>42183</v>
      </c>
      <c r="F4393" s="191" t="s">
        <v>854</v>
      </c>
      <c r="G4393" s="482" t="s">
        <v>850</v>
      </c>
      <c r="H4393" s="192" t="s">
        <v>2016</v>
      </c>
      <c r="I4393" s="255">
        <v>500</v>
      </c>
      <c r="J4393" s="255">
        <v>8973.6597357722494</v>
      </c>
      <c r="K4393" s="593">
        <f t="shared" si="83"/>
        <v>4486830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69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799"/>
    </row>
    <row r="4394" spans="1:27" s="210" customFormat="1" ht="15.75" customHeight="1">
      <c r="A4394" s="203" t="str">
        <f>IF(B4394&lt;&gt;"",IF(AND(B4394&gt;=_TM1,B4394&lt;=_TM2,OR(TH!L4394="1111",TH!M4394="1111")),TH!D4394,""),"")</f>
        <v/>
      </c>
      <c r="B4394" s="36">
        <f t="shared" si="81"/>
        <v>6</v>
      </c>
      <c r="C4394" s="183">
        <f t="shared" si="82"/>
        <v>42183</v>
      </c>
      <c r="D4394" s="190" t="s">
        <v>2015</v>
      </c>
      <c r="E4394" s="190">
        <v>42183</v>
      </c>
      <c r="F4394" s="191" t="s">
        <v>855</v>
      </c>
      <c r="G4394" s="482" t="s">
        <v>850</v>
      </c>
      <c r="H4394" s="192" t="s">
        <v>2016</v>
      </c>
      <c r="I4394" s="255">
        <v>500</v>
      </c>
      <c r="J4394" s="255">
        <v>10066.105268822785</v>
      </c>
      <c r="K4394" s="593">
        <f t="shared" si="83"/>
        <v>5033053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69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799"/>
    </row>
    <row r="4395" spans="1:27" s="210" customFormat="1" ht="15.75" customHeight="1">
      <c r="A4395" s="203" t="str">
        <f>IF(B4395&lt;&gt;"",IF(AND(B4395&gt;=_TM1,B4395&lt;=_TM2,OR(TH!L4395="1111",TH!M4395="1111")),TH!D4395,""),"")</f>
        <v/>
      </c>
      <c r="B4395" s="36">
        <f t="shared" si="81"/>
        <v>6</v>
      </c>
      <c r="C4395" s="183">
        <f t="shared" si="82"/>
        <v>42183</v>
      </c>
      <c r="D4395" s="190" t="s">
        <v>2015</v>
      </c>
      <c r="E4395" s="190">
        <v>42183</v>
      </c>
      <c r="F4395" s="191" t="s">
        <v>856</v>
      </c>
      <c r="G4395" s="482" t="s">
        <v>857</v>
      </c>
      <c r="H4395" s="192" t="s">
        <v>2016</v>
      </c>
      <c r="I4395" s="255">
        <v>365</v>
      </c>
      <c r="J4395" s="255">
        <v>11158.55080187332</v>
      </c>
      <c r="K4395" s="593">
        <f t="shared" si="83"/>
        <v>4072871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69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799"/>
    </row>
    <row r="4396" spans="1:27" s="210" customFormat="1" ht="15.75" customHeight="1">
      <c r="A4396" s="203" t="str">
        <f>IF(B4396&lt;&gt;"",IF(AND(B4396&gt;=_TM1,B4396&lt;=_TM2,OR(TH!L4396="1111",TH!M4396="1111")),TH!D4396,""),"")</f>
        <v/>
      </c>
      <c r="B4396" s="36">
        <f t="shared" si="81"/>
        <v>6</v>
      </c>
      <c r="C4396" s="183">
        <f t="shared" si="82"/>
        <v>42183</v>
      </c>
      <c r="D4396" s="190" t="s">
        <v>2015</v>
      </c>
      <c r="E4396" s="190">
        <v>42183</v>
      </c>
      <c r="F4396" s="191" t="s">
        <v>1664</v>
      </c>
      <c r="G4396" s="482" t="s">
        <v>857</v>
      </c>
      <c r="H4396" s="192" t="s">
        <v>2016</v>
      </c>
      <c r="I4396" s="255">
        <v>730</v>
      </c>
      <c r="J4396" s="255">
        <v>624.25459031459138</v>
      </c>
      <c r="K4396" s="593">
        <f t="shared" si="83"/>
        <v>455706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69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799"/>
    </row>
    <row r="4397" spans="1:27" s="210" customFormat="1" ht="15.75" customHeight="1">
      <c r="A4397" s="203" t="str">
        <f>IF(B4397&lt;&gt;"",IF(AND(B4397&gt;=_TM1,B4397&lt;=_TM2,OR(TH!L4397="1111",TH!M4397="1111")),TH!D4397,""),"")</f>
        <v/>
      </c>
      <c r="B4397" s="36">
        <f t="shared" si="81"/>
        <v>6</v>
      </c>
      <c r="C4397" s="183">
        <f t="shared" si="82"/>
        <v>42183</v>
      </c>
      <c r="D4397" s="190" t="s">
        <v>2015</v>
      </c>
      <c r="E4397" s="190">
        <v>42183</v>
      </c>
      <c r="F4397" s="191" t="s">
        <v>413</v>
      </c>
      <c r="G4397" s="482" t="s">
        <v>865</v>
      </c>
      <c r="H4397" s="192" t="s">
        <v>2016</v>
      </c>
      <c r="I4397" s="255">
        <v>632</v>
      </c>
      <c r="J4397" s="255">
        <v>7413.0232599857718</v>
      </c>
      <c r="K4397" s="593">
        <f t="shared" si="83"/>
        <v>4685031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69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799"/>
    </row>
    <row r="4398" spans="1:27" s="210" customFormat="1" ht="15.75" customHeight="1">
      <c r="A4398" s="203" t="str">
        <f>IF(B4398&lt;&gt;"",IF(AND(B4398&gt;=_TM1,B4398&lt;=_TM2,OR(TH!L4398="1111",TH!M4398="1111")),TH!D4398,""),"")</f>
        <v/>
      </c>
      <c r="B4398" s="36">
        <f t="shared" si="81"/>
        <v>6</v>
      </c>
      <c r="C4398" s="183">
        <f t="shared" si="82"/>
        <v>42184</v>
      </c>
      <c r="D4398" s="190" t="s">
        <v>2015</v>
      </c>
      <c r="E4398" s="190">
        <v>42184</v>
      </c>
      <c r="F4398" s="191" t="s">
        <v>858</v>
      </c>
      <c r="G4398" s="482" t="s">
        <v>859</v>
      </c>
      <c r="H4398" s="192" t="s">
        <v>2016</v>
      </c>
      <c r="I4398" s="255">
        <v>320</v>
      </c>
      <c r="J4398" s="255">
        <v>11002.487154294671</v>
      </c>
      <c r="K4398" s="593">
        <f t="shared" si="83"/>
        <v>3520796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69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799"/>
    </row>
    <row r="4399" spans="1:27" s="210" customFormat="1" ht="15.75" customHeight="1">
      <c r="A4399" s="203" t="str">
        <f>IF(B4399&lt;&gt;"",IF(AND(B4399&gt;=_TM1,B4399&lt;=_TM2,OR(TH!L4399="1111",TH!M4399="1111")),TH!D4399,""),"")</f>
        <v/>
      </c>
      <c r="B4399" s="36">
        <f t="shared" si="81"/>
        <v>6</v>
      </c>
      <c r="C4399" s="183">
        <f t="shared" si="82"/>
        <v>42184</v>
      </c>
      <c r="D4399" s="190" t="s">
        <v>2015</v>
      </c>
      <c r="E4399" s="190">
        <v>42184</v>
      </c>
      <c r="F4399" s="191" t="s">
        <v>860</v>
      </c>
      <c r="G4399" s="482" t="s">
        <v>859</v>
      </c>
      <c r="H4399" s="192" t="s">
        <v>2016</v>
      </c>
      <c r="I4399" s="255">
        <v>1371</v>
      </c>
      <c r="J4399" s="255">
        <v>9285.7870309295449</v>
      </c>
      <c r="K4399" s="593">
        <f t="shared" si="83"/>
        <v>12730814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69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799"/>
    </row>
    <row r="4400" spans="1:27" s="210" customFormat="1" ht="15.75" customHeight="1">
      <c r="A4400" s="203" t="str">
        <f>IF(B4400&lt;&gt;"",IF(AND(B4400&gt;=_TM1,B4400&lt;=_TM2,OR(TH!L4400="1111",TH!M4400="1111")),TH!D4400,""),"")</f>
        <v/>
      </c>
      <c r="B4400" s="36">
        <f t="shared" si="81"/>
        <v>6</v>
      </c>
      <c r="C4400" s="183">
        <f t="shared" si="82"/>
        <v>42184</v>
      </c>
      <c r="D4400" s="190" t="s">
        <v>2015</v>
      </c>
      <c r="E4400" s="190">
        <v>42184</v>
      </c>
      <c r="F4400" s="191" t="s">
        <v>861</v>
      </c>
      <c r="G4400" s="482" t="s">
        <v>859</v>
      </c>
      <c r="H4400" s="192" t="s">
        <v>2016</v>
      </c>
      <c r="I4400" s="255">
        <v>185</v>
      </c>
      <c r="J4400" s="255">
        <v>11860.837215977235</v>
      </c>
      <c r="K4400" s="593">
        <f t="shared" si="83"/>
        <v>2194255</v>
      </c>
      <c r="L4400" s="193" t="s">
        <v>172</v>
      </c>
      <c r="M4400" s="193" t="s">
        <v>167</v>
      </c>
      <c r="N4400" s="52" t="str">
        <f>IF(AND('331-CT'!$E$7=TH!H4400,OR(L4400="331",M4400="331")),"331",IF(AND(OR(L4400="131",M4400="131"),H4400='131-CT'!$E$7),"131",""))</f>
        <v/>
      </c>
      <c r="O4400" s="869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799"/>
    </row>
    <row r="4401" spans="1:27" s="210" customFormat="1" ht="15.75" customHeight="1">
      <c r="A4401" s="203" t="str">
        <f>IF(B4401&lt;&gt;"",IF(AND(B4401&gt;=_TM1,B4401&lt;=_TM2,OR(TH!L4401="1111",TH!M4401="1111")),TH!D4401,""),"")</f>
        <v/>
      </c>
      <c r="B4401" s="36">
        <f t="shared" si="81"/>
        <v>6</v>
      </c>
      <c r="C4401" s="183">
        <f t="shared" si="82"/>
        <v>42184</v>
      </c>
      <c r="D4401" s="190" t="s">
        <v>2015</v>
      </c>
      <c r="E4401" s="190">
        <v>42184</v>
      </c>
      <c r="F4401" s="191" t="s">
        <v>1671</v>
      </c>
      <c r="G4401" s="482" t="s">
        <v>859</v>
      </c>
      <c r="H4401" s="192" t="s">
        <v>2016</v>
      </c>
      <c r="I4401" s="255">
        <v>3752</v>
      </c>
      <c r="J4401" s="255">
        <v>546.2227665252675</v>
      </c>
      <c r="K4401" s="593">
        <f t="shared" si="83"/>
        <v>2049428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69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799"/>
    </row>
    <row r="4402" spans="1:27" s="210" customFormat="1" ht="15.75" customHeight="1">
      <c r="A4402" s="203" t="str">
        <f>IF(B4402&lt;&gt;"",IF(AND(B4402&gt;=_TM1,B4402&lt;=_TM2,OR(TH!L4402="1111",TH!M4402="1111")),TH!D4402,""),"")</f>
        <v/>
      </c>
      <c r="B4402" s="36">
        <f t="shared" si="81"/>
        <v>6</v>
      </c>
      <c r="C4402" s="183">
        <f t="shared" si="82"/>
        <v>42184</v>
      </c>
      <c r="D4402" s="190" t="s">
        <v>2015</v>
      </c>
      <c r="E4402" s="190">
        <v>42184</v>
      </c>
      <c r="F4402" s="191" t="s">
        <v>862</v>
      </c>
      <c r="G4402" s="482" t="s">
        <v>859</v>
      </c>
      <c r="H4402" s="192" t="s">
        <v>2016</v>
      </c>
      <c r="I4402" s="255">
        <v>201</v>
      </c>
      <c r="J4402" s="255">
        <v>7647.1187313537439</v>
      </c>
      <c r="K4402" s="593">
        <f t="shared" si="83"/>
        <v>1537071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69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799"/>
    </row>
    <row r="4403" spans="1:27" s="210" customFormat="1" ht="15.75" customHeight="1">
      <c r="A4403" s="203" t="str">
        <f>IF(B4403&lt;&gt;"",IF(AND(B4403&gt;=_TM1,B4403&lt;=_TM2,OR(TH!L4403="1111",TH!M4403="1111")),TH!D4403,""),"")</f>
        <v/>
      </c>
      <c r="B4403" s="36">
        <f t="shared" si="81"/>
        <v>6</v>
      </c>
      <c r="C4403" s="183">
        <f t="shared" si="82"/>
        <v>42184</v>
      </c>
      <c r="D4403" s="190" t="s">
        <v>2015</v>
      </c>
      <c r="E4403" s="190">
        <v>42184</v>
      </c>
      <c r="F4403" s="191" t="s">
        <v>863</v>
      </c>
      <c r="G4403" s="482" t="s">
        <v>859</v>
      </c>
      <c r="H4403" s="192" t="s">
        <v>2016</v>
      </c>
      <c r="I4403" s="255">
        <v>248</v>
      </c>
      <c r="J4403" s="255">
        <v>11314.614449451967</v>
      </c>
      <c r="K4403" s="593">
        <f t="shared" si="83"/>
        <v>2806024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69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799"/>
    </row>
    <row r="4404" spans="1:27" s="210" customFormat="1" ht="15.75" customHeight="1">
      <c r="A4404" s="203" t="str">
        <f>IF(B4404&lt;&gt;"",IF(AND(B4404&gt;=_TM1,B4404&lt;=_TM2,OR(TH!L4404="1111",TH!M4404="1111")),TH!D4404,""),"")</f>
        <v/>
      </c>
      <c r="B4404" s="36">
        <f t="shared" si="81"/>
        <v>6</v>
      </c>
      <c r="C4404" s="183">
        <f t="shared" si="82"/>
        <v>42184</v>
      </c>
      <c r="D4404" s="190" t="s">
        <v>2015</v>
      </c>
      <c r="E4404" s="190">
        <v>42184</v>
      </c>
      <c r="F4404" s="191" t="s">
        <v>1663</v>
      </c>
      <c r="G4404" s="482" t="s">
        <v>859</v>
      </c>
      <c r="H4404" s="192" t="s">
        <v>2016</v>
      </c>
      <c r="I4404" s="255">
        <v>402</v>
      </c>
      <c r="J4404" s="255">
        <v>312.12729515729569</v>
      </c>
      <c r="K4404" s="593">
        <f t="shared" si="83"/>
        <v>125475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69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799"/>
    </row>
    <row r="4405" spans="1:27" s="210" customFormat="1" ht="15.75" customHeight="1">
      <c r="A4405" s="203" t="str">
        <f>IF(B4405&lt;&gt;"",IF(AND(B4405&gt;=_TM1,B4405&lt;=_TM2,OR(TH!L4405="1111",TH!M4405="1111")),TH!D4405,""),"")</f>
        <v/>
      </c>
      <c r="B4405" s="36">
        <f t="shared" si="81"/>
        <v>6</v>
      </c>
      <c r="C4405" s="183">
        <f t="shared" si="82"/>
        <v>42184</v>
      </c>
      <c r="D4405" s="190" t="s">
        <v>2015</v>
      </c>
      <c r="E4405" s="190">
        <v>42184</v>
      </c>
      <c r="F4405" s="191" t="s">
        <v>1664</v>
      </c>
      <c r="G4405" s="482" t="s">
        <v>859</v>
      </c>
      <c r="H4405" s="192" t="s">
        <v>2016</v>
      </c>
      <c r="I4405" s="255">
        <v>496</v>
      </c>
      <c r="J4405" s="255">
        <v>624.25459031459138</v>
      </c>
      <c r="K4405" s="593">
        <f t="shared" si="83"/>
        <v>309630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69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799"/>
    </row>
    <row r="4406" spans="1:27" s="210" customFormat="1" ht="15.75" customHeight="1">
      <c r="A4406" s="203" t="str">
        <f>IF(B4406&lt;&gt;"",IF(AND(B4406&gt;=_TM1,B4406&lt;=_TM2,OR(TH!L4406="1111",TH!M4406="1111")),TH!D4406,""),"")</f>
        <v/>
      </c>
      <c r="B4406" s="36">
        <f t="shared" si="81"/>
        <v>6</v>
      </c>
      <c r="C4406" s="183">
        <f t="shared" si="82"/>
        <v>42184</v>
      </c>
      <c r="D4406" s="190" t="s">
        <v>2015</v>
      </c>
      <c r="E4406" s="190">
        <v>42184</v>
      </c>
      <c r="F4406" s="191" t="s">
        <v>1140</v>
      </c>
      <c r="G4406" s="482" t="s">
        <v>864</v>
      </c>
      <c r="H4406" s="192" t="s">
        <v>2016</v>
      </c>
      <c r="I4406" s="255">
        <v>1005</v>
      </c>
      <c r="J4406" s="255">
        <v>8895.6279119829251</v>
      </c>
      <c r="K4406" s="593">
        <f t="shared" si="83"/>
        <v>8940106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69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799"/>
    </row>
    <row r="4407" spans="1:27" s="210" customFormat="1" ht="15.75" customHeight="1">
      <c r="A4407" s="203" t="str">
        <f>IF(B4407&lt;&gt;"",IF(AND(B4407&gt;=_TM1,B4407&lt;=_TM2,OR(TH!L4407="1111",TH!M4407="1111")),TH!D4407,""),"")</f>
        <v/>
      </c>
      <c r="B4407" s="36">
        <f t="shared" si="81"/>
        <v>6</v>
      </c>
      <c r="C4407" s="183">
        <f t="shared" si="82"/>
        <v>42184</v>
      </c>
      <c r="D4407" s="190" t="s">
        <v>2015</v>
      </c>
      <c r="E4407" s="190">
        <v>42184</v>
      </c>
      <c r="F4407" s="191" t="s">
        <v>1140</v>
      </c>
      <c r="G4407" s="482" t="s">
        <v>864</v>
      </c>
      <c r="H4407" s="192" t="s">
        <v>2016</v>
      </c>
      <c r="I4407" s="255">
        <v>103</v>
      </c>
      <c r="J4407" s="255">
        <v>8895.6279119829251</v>
      </c>
      <c r="K4407" s="593">
        <f t="shared" si="83"/>
        <v>916250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69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799"/>
    </row>
    <row r="4408" spans="1:27" s="210" customFormat="1" ht="15.75" customHeight="1">
      <c r="A4408" s="203" t="str">
        <f>IF(B4408&lt;&gt;"",IF(AND(B4408&gt;=_TM1,B4408&lt;=_TM2,OR(TH!L4408="1111",TH!M4408="1111")),TH!D4408,""),"")</f>
        <v/>
      </c>
      <c r="B4408" s="36">
        <f t="shared" si="81"/>
        <v>6</v>
      </c>
      <c r="C4408" s="183">
        <f t="shared" si="82"/>
        <v>42184</v>
      </c>
      <c r="D4408" s="190" t="s">
        <v>2015</v>
      </c>
      <c r="E4408" s="190">
        <v>42184</v>
      </c>
      <c r="F4408" s="191" t="s">
        <v>1654</v>
      </c>
      <c r="G4408" s="482" t="s">
        <v>864</v>
      </c>
      <c r="H4408" s="192" t="s">
        <v>2016</v>
      </c>
      <c r="I4408" s="255">
        <v>2216</v>
      </c>
      <c r="J4408" s="255">
        <v>780.31823789323926</v>
      </c>
      <c r="K4408" s="593">
        <f t="shared" si="83"/>
        <v>1729185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69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799"/>
    </row>
    <row r="4409" spans="1:27" s="210" customFormat="1" ht="15.75" customHeight="1">
      <c r="A4409" s="203" t="str">
        <f>IF(B4409&lt;&gt;"",IF(AND(B4409&gt;=_TM1,B4409&lt;=_TM2,OR(TH!L4409="1111",TH!M4409="1111")),TH!D4409,""),"")</f>
        <v/>
      </c>
      <c r="B4409" s="36">
        <f t="shared" si="81"/>
        <v>6</v>
      </c>
      <c r="C4409" s="183">
        <f t="shared" si="82"/>
        <v>42184</v>
      </c>
      <c r="D4409" s="190" t="s">
        <v>2015</v>
      </c>
      <c r="E4409" s="190">
        <v>42184</v>
      </c>
      <c r="F4409" s="191" t="s">
        <v>1750</v>
      </c>
      <c r="G4409" s="482" t="s">
        <v>866</v>
      </c>
      <c r="H4409" s="192" t="s">
        <v>2016</v>
      </c>
      <c r="I4409" s="255">
        <v>230</v>
      </c>
      <c r="J4409" s="255">
        <v>11002.487154294671</v>
      </c>
      <c r="K4409" s="593">
        <f t="shared" si="83"/>
        <v>2530572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69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799"/>
    </row>
    <row r="4410" spans="1:27" s="210" customFormat="1" ht="15.75" customHeight="1">
      <c r="A4410" s="203" t="str">
        <f>IF(B4410&lt;&gt;"",IF(AND(B4410&gt;=_TM1,B4410&lt;=_TM2,OR(TH!L4410="1111",TH!M4410="1111")),TH!D4410,""),"")</f>
        <v/>
      </c>
      <c r="B4410" s="36">
        <f t="shared" si="81"/>
        <v>6</v>
      </c>
      <c r="C4410" s="183">
        <f t="shared" si="82"/>
        <v>42185</v>
      </c>
      <c r="D4410" s="190" t="s">
        <v>2015</v>
      </c>
      <c r="E4410" s="190">
        <v>42185</v>
      </c>
      <c r="F4410" s="191" t="s">
        <v>494</v>
      </c>
      <c r="G4410" s="482" t="s">
        <v>867</v>
      </c>
      <c r="H4410" s="192" t="s">
        <v>2016</v>
      </c>
      <c r="I4410" s="255">
        <v>2016</v>
      </c>
      <c r="J4410" s="255">
        <v>5306.1640176740266</v>
      </c>
      <c r="K4410" s="593">
        <f t="shared" si="83"/>
        <v>10697227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69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799"/>
    </row>
    <row r="4411" spans="1:27" s="210" customFormat="1" ht="15.75" customHeight="1">
      <c r="A4411" s="203" t="str">
        <f>IF(B4411&lt;&gt;"",IF(AND(B4411&gt;=_TM1,B4411&lt;=_TM2,OR(TH!L4411="1111",TH!M4411="1111")),TH!D4411,""),"")</f>
        <v/>
      </c>
      <c r="B4411" s="36">
        <f t="shared" si="81"/>
        <v>6</v>
      </c>
      <c r="C4411" s="183">
        <f t="shared" si="82"/>
        <v>42185</v>
      </c>
      <c r="D4411" s="190" t="s">
        <v>2015</v>
      </c>
      <c r="E4411" s="190">
        <v>42185</v>
      </c>
      <c r="F4411" s="191" t="s">
        <v>510</v>
      </c>
      <c r="G4411" s="482" t="s">
        <v>868</v>
      </c>
      <c r="H4411" s="192" t="s">
        <v>2016</v>
      </c>
      <c r="I4411" s="255">
        <v>250</v>
      </c>
      <c r="J4411" s="255">
        <v>8583.5006168256314</v>
      </c>
      <c r="K4411" s="593">
        <f t="shared" si="83"/>
        <v>2145875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69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799"/>
    </row>
    <row r="4412" spans="1:27" s="210" customFormat="1" ht="15.75" customHeight="1">
      <c r="A4412" s="203" t="str">
        <f>IF(B4412&lt;&gt;"",IF(AND(B4412&gt;=_TM1,B4412&lt;=_TM2,OR(TH!L4412="1111",TH!M4412="1111")),TH!D4412,""),"")</f>
        <v/>
      </c>
      <c r="B4412" s="36">
        <f t="shared" si="81"/>
        <v>6</v>
      </c>
      <c r="C4412" s="183">
        <f t="shared" si="82"/>
        <v>42185</v>
      </c>
      <c r="D4412" s="190" t="s">
        <v>2015</v>
      </c>
      <c r="E4412" s="190">
        <v>42185</v>
      </c>
      <c r="F4412" s="191" t="s">
        <v>512</v>
      </c>
      <c r="G4412" s="482" t="s">
        <v>868</v>
      </c>
      <c r="H4412" s="192" t="s">
        <v>2016</v>
      </c>
      <c r="I4412" s="255">
        <v>570</v>
      </c>
      <c r="J4412" s="255">
        <v>8817.5960881936026</v>
      </c>
      <c r="K4412" s="593">
        <f t="shared" si="83"/>
        <v>5026030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69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799"/>
    </row>
    <row r="4413" spans="1:27" s="210" customFormat="1" ht="15.75" customHeight="1">
      <c r="A4413" s="203" t="str">
        <f>IF(B4413&lt;&gt;"",IF(AND(B4413&gt;=_TM1,B4413&lt;=_TM2,OR(TH!L4413="1111",TH!M4413="1111")),TH!D4413,""),"")</f>
        <v/>
      </c>
      <c r="B4413" s="36">
        <f t="shared" si="81"/>
        <v>6</v>
      </c>
      <c r="C4413" s="183">
        <f t="shared" si="82"/>
        <v>42185</v>
      </c>
      <c r="D4413" s="190" t="s">
        <v>2015</v>
      </c>
      <c r="E4413" s="190">
        <v>42185</v>
      </c>
      <c r="F4413" s="191" t="s">
        <v>513</v>
      </c>
      <c r="G4413" s="482" t="s">
        <v>868</v>
      </c>
      <c r="H4413" s="192" t="s">
        <v>2016</v>
      </c>
      <c r="I4413" s="255">
        <v>1050</v>
      </c>
      <c r="J4413" s="255">
        <v>8973.6597357722494</v>
      </c>
      <c r="K4413" s="593">
        <f t="shared" si="83"/>
        <v>9422343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69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799"/>
    </row>
    <row r="4414" spans="1:27" s="210" customFormat="1" ht="15.75" customHeight="1">
      <c r="A4414" s="203" t="str">
        <f>IF(B4414&lt;&gt;"",IF(AND(B4414&gt;=_TM1,B4414&lt;=_TM2,OR(TH!L4414="1111",TH!M4414="1111")),TH!D4414,""),"")</f>
        <v/>
      </c>
      <c r="B4414" s="36">
        <f t="shared" si="81"/>
        <v>6</v>
      </c>
      <c r="C4414" s="183">
        <f t="shared" si="82"/>
        <v>42185</v>
      </c>
      <c r="D4414" s="190" t="s">
        <v>2015</v>
      </c>
      <c r="E4414" s="190">
        <v>42185</v>
      </c>
      <c r="F4414" s="191" t="s">
        <v>514</v>
      </c>
      <c r="G4414" s="482" t="s">
        <v>868</v>
      </c>
      <c r="H4414" s="192" t="s">
        <v>2016</v>
      </c>
      <c r="I4414" s="255">
        <v>537</v>
      </c>
      <c r="J4414" s="255">
        <v>7491.0550837750961</v>
      </c>
      <c r="K4414" s="593">
        <f t="shared" si="83"/>
        <v>4022697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69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799"/>
    </row>
    <row r="4415" spans="1:27" s="210" customFormat="1" ht="15.75" customHeight="1">
      <c r="A4415" s="203" t="str">
        <f>IF(B4415&lt;&gt;"",IF(AND(B4415&gt;=_TM1,B4415&lt;=_TM2,OR(TH!L4415="1111",TH!M4415="1111")),TH!D4415,""),"")</f>
        <v/>
      </c>
      <c r="B4415" s="36">
        <f t="shared" si="81"/>
        <v>6</v>
      </c>
      <c r="C4415" s="183">
        <f t="shared" si="82"/>
        <v>42185</v>
      </c>
      <c r="D4415" s="190" t="s">
        <v>2015</v>
      </c>
      <c r="E4415" s="190">
        <v>42185</v>
      </c>
      <c r="F4415" s="191" t="s">
        <v>510</v>
      </c>
      <c r="G4415" s="482" t="s">
        <v>868</v>
      </c>
      <c r="H4415" s="192" t="s">
        <v>2016</v>
      </c>
      <c r="I4415" s="255">
        <v>150</v>
      </c>
      <c r="J4415" s="255">
        <v>8583.5006168256314</v>
      </c>
      <c r="K4415" s="593">
        <f t="shared" si="83"/>
        <v>1287525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69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799"/>
    </row>
    <row r="4416" spans="1:27" s="210" customFormat="1" ht="15.75" customHeight="1">
      <c r="A4416" s="203" t="str">
        <f>IF(B4416&lt;&gt;"",IF(AND(B4416&gt;=_TM1,B4416&lt;=_TM2,OR(TH!L4416="1111",TH!M4416="1111")),TH!D4416,""),"")</f>
        <v/>
      </c>
      <c r="B4416" s="36">
        <f t="shared" si="81"/>
        <v>6</v>
      </c>
      <c r="C4416" s="183">
        <f t="shared" si="82"/>
        <v>42185</v>
      </c>
      <c r="D4416" s="190" t="s">
        <v>2015</v>
      </c>
      <c r="E4416" s="190">
        <v>42185</v>
      </c>
      <c r="F4416" s="191" t="s">
        <v>512</v>
      </c>
      <c r="G4416" s="482" t="s">
        <v>868</v>
      </c>
      <c r="H4416" s="192" t="s">
        <v>2016</v>
      </c>
      <c r="I4416" s="255">
        <v>980</v>
      </c>
      <c r="J4416" s="255">
        <v>8817.5960881936026</v>
      </c>
      <c r="K4416" s="593">
        <f t="shared" si="83"/>
        <v>8641244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69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799"/>
    </row>
    <row r="4417" spans="1:27" s="210" customFormat="1" ht="15.75" customHeight="1">
      <c r="A4417" s="203" t="str">
        <f>IF(B4417&lt;&gt;"",IF(AND(B4417&gt;=_TM1,B4417&lt;=_TM2,OR(TH!L4417="1111",TH!M4417="1111")),TH!D4417,""),"")</f>
        <v/>
      </c>
      <c r="B4417" s="36">
        <f t="shared" si="81"/>
        <v>6</v>
      </c>
      <c r="C4417" s="183">
        <f t="shared" si="82"/>
        <v>42185</v>
      </c>
      <c r="D4417" s="190" t="s">
        <v>2015</v>
      </c>
      <c r="E4417" s="190">
        <v>42185</v>
      </c>
      <c r="F4417" s="191" t="s">
        <v>513</v>
      </c>
      <c r="G4417" s="482" t="s">
        <v>868</v>
      </c>
      <c r="H4417" s="192" t="s">
        <v>2016</v>
      </c>
      <c r="I4417" s="255">
        <v>290</v>
      </c>
      <c r="J4417" s="255">
        <v>8973.6597357722494</v>
      </c>
      <c r="K4417" s="593">
        <f t="shared" si="83"/>
        <v>2602361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69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799"/>
    </row>
    <row r="4418" spans="1:27" s="210" customFormat="1" ht="15.75" customHeight="1">
      <c r="A4418" s="203" t="str">
        <f>IF(B4418&lt;&gt;"",IF(AND(B4418&gt;=_TM1,B4418&lt;=_TM2,OR(TH!L4418="1111",TH!M4418="1111")),TH!D4418,""),"")</f>
        <v/>
      </c>
      <c r="B4418" s="36">
        <f t="shared" si="81"/>
        <v>6</v>
      </c>
      <c r="C4418" s="183">
        <f t="shared" si="82"/>
        <v>42185</v>
      </c>
      <c r="D4418" s="190" t="s">
        <v>2015</v>
      </c>
      <c r="E4418" s="190">
        <v>42185</v>
      </c>
      <c r="F4418" s="191" t="s">
        <v>514</v>
      </c>
      <c r="G4418" s="482" t="s">
        <v>868</v>
      </c>
      <c r="H4418" s="192" t="s">
        <v>2016</v>
      </c>
      <c r="I4418" s="255">
        <v>409</v>
      </c>
      <c r="J4418" s="255">
        <v>7491.0550837750961</v>
      </c>
      <c r="K4418" s="593">
        <f t="shared" si="83"/>
        <v>3063842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69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799"/>
    </row>
    <row r="4419" spans="1:27" s="210" customFormat="1" ht="15.75" customHeight="1">
      <c r="A4419" s="203" t="str">
        <f>IF(B4419&lt;&gt;"",IF(AND(B4419&gt;=_TM1,B4419&lt;=_TM2,OR(TH!L4419="1111",TH!M4419="1111")),TH!D4419,""),"")</f>
        <v/>
      </c>
      <c r="B4419" s="36">
        <f t="shared" si="81"/>
        <v>6</v>
      </c>
      <c r="C4419" s="183">
        <f t="shared" si="82"/>
        <v>42185</v>
      </c>
      <c r="D4419" s="190" t="s">
        <v>2015</v>
      </c>
      <c r="E4419" s="190">
        <v>42185</v>
      </c>
      <c r="F4419" s="191" t="s">
        <v>510</v>
      </c>
      <c r="G4419" s="482" t="s">
        <v>868</v>
      </c>
      <c r="H4419" s="192" t="s">
        <v>2016</v>
      </c>
      <c r="I4419" s="255">
        <v>400</v>
      </c>
      <c r="J4419" s="255">
        <v>8583.5006168256314</v>
      </c>
      <c r="K4419" s="593">
        <f t="shared" si="83"/>
        <v>3433400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69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799"/>
    </row>
    <row r="4420" spans="1:27" s="210" customFormat="1" ht="15.75" customHeight="1">
      <c r="A4420" s="203" t="str">
        <f>IF(B4420&lt;&gt;"",IF(AND(B4420&gt;=_TM1,B4420&lt;=_TM2,OR(TH!L4420="1111",TH!M4420="1111")),TH!D4420,""),"")</f>
        <v/>
      </c>
      <c r="B4420" s="36">
        <f t="shared" si="81"/>
        <v>6</v>
      </c>
      <c r="C4420" s="183">
        <f t="shared" si="82"/>
        <v>42185</v>
      </c>
      <c r="D4420" s="190" t="s">
        <v>2015</v>
      </c>
      <c r="E4420" s="190">
        <v>42185</v>
      </c>
      <c r="F4420" s="191" t="s">
        <v>512</v>
      </c>
      <c r="G4420" s="482" t="s">
        <v>868</v>
      </c>
      <c r="H4420" s="192" t="s">
        <v>2016</v>
      </c>
      <c r="I4420" s="255">
        <v>120</v>
      </c>
      <c r="J4420" s="255">
        <v>8817.5960881936026</v>
      </c>
      <c r="K4420" s="593">
        <f t="shared" si="83"/>
        <v>1058112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69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799"/>
    </row>
    <row r="4421" spans="1:27" s="836" customFormat="1" ht="15.75" customHeight="1">
      <c r="A4421" s="884" t="str">
        <f>IF(B4421&lt;&gt;"",IF(AND(B4421&gt;=_TM1,B4421&lt;=_TM2,OR(TH!L4421="1111",TH!M4421="1111")),TH!D4421,""),"")</f>
        <v/>
      </c>
      <c r="B4421" s="826">
        <f t="shared" si="81"/>
        <v>7</v>
      </c>
      <c r="C4421" s="827">
        <f t="shared" si="82"/>
        <v>42186</v>
      </c>
      <c r="D4421" s="828" t="s">
        <v>2015</v>
      </c>
      <c r="E4421" s="828">
        <v>42186</v>
      </c>
      <c r="F4421" s="829" t="s">
        <v>870</v>
      </c>
      <c r="G4421" s="830" t="s">
        <v>871</v>
      </c>
      <c r="H4421" s="838" t="s">
        <v>2016</v>
      </c>
      <c r="I4421" s="832">
        <v>22</v>
      </c>
      <c r="J4421" s="832">
        <v>5299.563299459076</v>
      </c>
      <c r="K4421" s="833">
        <f t="shared" si="83"/>
        <v>116590</v>
      </c>
      <c r="L4421" s="886" t="s">
        <v>172</v>
      </c>
      <c r="M4421" s="886" t="s">
        <v>167</v>
      </c>
      <c r="N4421" s="52" t="str">
        <f>IF(AND('331-CT'!$E$7=TH!H4421,OR(L4421="331",M4421="331")),"331",IF(AND(OR(L4421="131",M4421="131"),H4421='131-CT'!$E$7),"131",""))</f>
        <v/>
      </c>
      <c r="O4421" s="869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>x</v>
      </c>
      <c r="AA4421" s="835"/>
    </row>
    <row r="4422" spans="1:27" s="210" customFormat="1" ht="15.75" customHeight="1">
      <c r="A4422" s="203" t="str">
        <f>IF(B4422&lt;&gt;"",IF(AND(B4422&gt;=_TM1,B4422&lt;=_TM2,OR(TH!L4422="1111",TH!M4422="1111")),TH!D4422,""),"")</f>
        <v/>
      </c>
      <c r="B4422" s="36">
        <f t="shared" si="81"/>
        <v>7</v>
      </c>
      <c r="C4422" s="183">
        <f t="shared" si="82"/>
        <v>42186</v>
      </c>
      <c r="D4422" s="190" t="s">
        <v>2015</v>
      </c>
      <c r="E4422" s="190">
        <v>42186</v>
      </c>
      <c r="F4422" s="191" t="s">
        <v>873</v>
      </c>
      <c r="G4422" s="482" t="s">
        <v>871</v>
      </c>
      <c r="H4422" s="192" t="s">
        <v>2016</v>
      </c>
      <c r="I4422" s="255">
        <v>11</v>
      </c>
      <c r="J4422" s="255">
        <v>7949.3449491886131</v>
      </c>
      <c r="K4422" s="593">
        <f t="shared" si="83"/>
        <v>87443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69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>x</v>
      </c>
      <c r="AA4422" s="799"/>
    </row>
    <row r="4423" spans="1:27" s="210" customFormat="1" ht="15.75" customHeight="1">
      <c r="A4423" s="203" t="str">
        <f>IF(B4423&lt;&gt;"",IF(AND(B4423&gt;=_TM1,B4423&lt;=_TM2,OR(TH!L4423="1111",TH!M4423="1111")),TH!D4423,""),"")</f>
        <v/>
      </c>
      <c r="B4423" s="36">
        <f t="shared" si="81"/>
        <v>7</v>
      </c>
      <c r="C4423" s="183">
        <f t="shared" si="82"/>
        <v>42186</v>
      </c>
      <c r="D4423" s="190" t="s">
        <v>2015</v>
      </c>
      <c r="E4423" s="190">
        <v>42186</v>
      </c>
      <c r="F4423" s="191" t="s">
        <v>870</v>
      </c>
      <c r="G4423" s="482" t="s">
        <v>871</v>
      </c>
      <c r="H4423" s="192" t="s">
        <v>2016</v>
      </c>
      <c r="I4423" s="255">
        <v>75</v>
      </c>
      <c r="J4423" s="255">
        <v>5299.563299459076</v>
      </c>
      <c r="K4423" s="593">
        <f t="shared" si="83"/>
        <v>397467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69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>x</v>
      </c>
      <c r="AA4423" s="799"/>
    </row>
    <row r="4424" spans="1:27" s="210" customFormat="1" ht="15.75" customHeight="1">
      <c r="A4424" s="203" t="str">
        <f>IF(B4424&lt;&gt;"",IF(AND(B4424&gt;=_TM1,B4424&lt;=_TM2,OR(TH!L4424="1111",TH!M4424="1111")),TH!D4424,""),"")</f>
        <v/>
      </c>
      <c r="B4424" s="36">
        <f t="shared" si="81"/>
        <v>7</v>
      </c>
      <c r="C4424" s="183">
        <f t="shared" si="82"/>
        <v>42186</v>
      </c>
      <c r="D4424" s="190" t="s">
        <v>2015</v>
      </c>
      <c r="E4424" s="190">
        <v>42186</v>
      </c>
      <c r="F4424" s="191" t="s">
        <v>874</v>
      </c>
      <c r="G4424" s="482" t="s">
        <v>871</v>
      </c>
      <c r="H4424" s="192" t="s">
        <v>2016</v>
      </c>
      <c r="I4424" s="255">
        <v>5</v>
      </c>
      <c r="J4424" s="255">
        <v>7066.0843992787677</v>
      </c>
      <c r="K4424" s="593">
        <f t="shared" si="83"/>
        <v>35330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69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>x</v>
      </c>
      <c r="AA4424" s="799"/>
    </row>
    <row r="4425" spans="1:27" s="210" customFormat="1" ht="15.75" customHeight="1">
      <c r="A4425" s="203" t="str">
        <f>IF(B4425&lt;&gt;"",IF(AND(B4425&gt;=_TM1,B4425&lt;=_TM2,OR(TH!L4425="1111",TH!M4425="1111")),TH!D4425,""),"")</f>
        <v/>
      </c>
      <c r="B4425" s="36">
        <f t="shared" si="81"/>
        <v>7</v>
      </c>
      <c r="C4425" s="183">
        <f t="shared" si="82"/>
        <v>42186</v>
      </c>
      <c r="D4425" s="190" t="s">
        <v>2015</v>
      </c>
      <c r="E4425" s="190">
        <v>42186</v>
      </c>
      <c r="F4425" s="191" t="s">
        <v>875</v>
      </c>
      <c r="G4425" s="482" t="s">
        <v>871</v>
      </c>
      <c r="H4425" s="192" t="s">
        <v>2016</v>
      </c>
      <c r="I4425" s="255">
        <v>5</v>
      </c>
      <c r="J4425" s="255">
        <v>6182.8238493689214</v>
      </c>
      <c r="K4425" s="593">
        <f t="shared" si="83"/>
        <v>30914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69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>x</v>
      </c>
      <c r="AA4425" s="799"/>
    </row>
    <row r="4426" spans="1:27" s="210" customFormat="1" ht="15.75" customHeight="1">
      <c r="A4426" s="203" t="str">
        <f>IF(B4426&lt;&gt;"",IF(AND(B4426&gt;=_TM1,B4426&lt;=_TM2,OR(TH!L4426="1111",TH!M4426="1111")),TH!D4426,""),"")</f>
        <v/>
      </c>
      <c r="B4426" s="36">
        <f t="shared" si="81"/>
        <v>7</v>
      </c>
      <c r="C4426" s="183">
        <f t="shared" si="82"/>
        <v>42186</v>
      </c>
      <c r="D4426" s="190" t="s">
        <v>2015</v>
      </c>
      <c r="E4426" s="190">
        <v>42186</v>
      </c>
      <c r="F4426" s="191" t="s">
        <v>873</v>
      </c>
      <c r="G4426" s="482" t="s">
        <v>871</v>
      </c>
      <c r="H4426" s="192" t="s">
        <v>2016</v>
      </c>
      <c r="I4426" s="255">
        <v>55</v>
      </c>
      <c r="J4426" s="255">
        <v>7949.3449491886131</v>
      </c>
      <c r="K4426" s="593">
        <f t="shared" si="83"/>
        <v>437214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69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>x</v>
      </c>
      <c r="AA4426" s="799"/>
    </row>
    <row r="4427" spans="1:27" s="210" customFormat="1" ht="15.75" customHeight="1">
      <c r="A4427" s="203" t="str">
        <f>IF(B4427&lt;&gt;"",IF(AND(B4427&gt;=_TM1,B4427&lt;=_TM2,OR(TH!L4427="1111",TH!M4427="1111")),TH!D4427,""),"")</f>
        <v/>
      </c>
      <c r="B4427" s="36">
        <f t="shared" si="81"/>
        <v>7</v>
      </c>
      <c r="C4427" s="183">
        <f t="shared" si="82"/>
        <v>42186</v>
      </c>
      <c r="D4427" s="190" t="s">
        <v>2015</v>
      </c>
      <c r="E4427" s="190">
        <v>42186</v>
      </c>
      <c r="F4427" s="191" t="s">
        <v>876</v>
      </c>
      <c r="G4427" s="482" t="s">
        <v>877</v>
      </c>
      <c r="H4427" s="192" t="s">
        <v>2016</v>
      </c>
      <c r="I4427" s="255">
        <v>510</v>
      </c>
      <c r="J4427" s="255">
        <v>7949.3449491886131</v>
      </c>
      <c r="K4427" s="593">
        <f t="shared" si="83"/>
        <v>4054166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69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>x</v>
      </c>
      <c r="AA4427" s="799"/>
    </row>
    <row r="4428" spans="1:27" s="210" customFormat="1" ht="15.75" customHeight="1">
      <c r="A4428" s="203" t="str">
        <f>IF(B4428&lt;&gt;"",IF(AND(B4428&gt;=_TM1,B4428&lt;=_TM2,OR(TH!L4428="1111",TH!M4428="1111")),TH!D4428,""),"")</f>
        <v/>
      </c>
      <c r="B4428" s="36">
        <f t="shared" si="81"/>
        <v>7</v>
      </c>
      <c r="C4428" s="183">
        <f t="shared" si="82"/>
        <v>42186</v>
      </c>
      <c r="D4428" s="190" t="s">
        <v>2015</v>
      </c>
      <c r="E4428" s="190">
        <v>42186</v>
      </c>
      <c r="F4428" s="191" t="s">
        <v>439</v>
      </c>
      <c r="G4428" s="482" t="s">
        <v>878</v>
      </c>
      <c r="H4428" s="192" t="s">
        <v>2016</v>
      </c>
      <c r="I4428" s="255">
        <v>508</v>
      </c>
      <c r="J4428" s="255">
        <v>5138.97047220274</v>
      </c>
      <c r="K4428" s="593">
        <f t="shared" si="83"/>
        <v>2610597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69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>x</v>
      </c>
      <c r="AA4428" s="799"/>
    </row>
    <row r="4429" spans="1:27" s="210" customFormat="1" ht="15.75" customHeight="1">
      <c r="A4429" s="203" t="str">
        <f>IF(B4429&lt;&gt;"",IF(AND(B4429&gt;=_TM1,B4429&lt;=_TM2,OR(TH!L4429="1111",TH!M4429="1111")),TH!D4429,""),"")</f>
        <v/>
      </c>
      <c r="B4429" s="36">
        <f t="shared" si="81"/>
        <v>7</v>
      </c>
      <c r="C4429" s="183">
        <f t="shared" si="82"/>
        <v>42186</v>
      </c>
      <c r="D4429" s="190" t="s">
        <v>2015</v>
      </c>
      <c r="E4429" s="190">
        <v>42186</v>
      </c>
      <c r="F4429" s="191" t="s">
        <v>441</v>
      </c>
      <c r="G4429" s="482" t="s">
        <v>878</v>
      </c>
      <c r="H4429" s="192" t="s">
        <v>2016</v>
      </c>
      <c r="I4429" s="255">
        <v>998</v>
      </c>
      <c r="J4429" s="255">
        <v>4095.1170950365586</v>
      </c>
      <c r="K4429" s="593">
        <f t="shared" si="83"/>
        <v>4086927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69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>x</v>
      </c>
      <c r="AA4429" s="799"/>
    </row>
    <row r="4430" spans="1:27" s="210" customFormat="1" ht="15.75" customHeight="1">
      <c r="A4430" s="203" t="str">
        <f>IF(B4430&lt;&gt;"",IF(AND(B4430&gt;=_TM1,B4430&lt;=_TM2,OR(TH!L4430="1111",TH!M4430="1111")),TH!D4430,""),"")</f>
        <v/>
      </c>
      <c r="B4430" s="36">
        <f t="shared" si="81"/>
        <v>7</v>
      </c>
      <c r="C4430" s="183">
        <f t="shared" si="82"/>
        <v>42186</v>
      </c>
      <c r="D4430" s="190" t="s">
        <v>2015</v>
      </c>
      <c r="E4430" s="190">
        <v>42186</v>
      </c>
      <c r="F4430" s="191" t="s">
        <v>879</v>
      </c>
      <c r="G4430" s="482" t="s">
        <v>878</v>
      </c>
      <c r="H4430" s="192" t="s">
        <v>2016</v>
      </c>
      <c r="I4430" s="255">
        <v>430</v>
      </c>
      <c r="J4430" s="255">
        <v>4737.4884040619008</v>
      </c>
      <c r="K4430" s="593">
        <f t="shared" si="83"/>
        <v>2037120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69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>x</v>
      </c>
      <c r="AA4430" s="799"/>
    </row>
    <row r="4431" spans="1:27" s="210" customFormat="1" ht="15.75" customHeight="1">
      <c r="A4431" s="203" t="str">
        <f>IF(B4431&lt;&gt;"",IF(AND(B4431&gt;=_TM1,B4431&lt;=_TM2,OR(TH!L4431="1111",TH!M4431="1111")),TH!D4431,""),"")</f>
        <v/>
      </c>
      <c r="B4431" s="36">
        <f t="shared" si="81"/>
        <v>7</v>
      </c>
      <c r="C4431" s="183">
        <f t="shared" si="82"/>
        <v>42186</v>
      </c>
      <c r="D4431" s="190" t="s">
        <v>2015</v>
      </c>
      <c r="E4431" s="190">
        <v>42186</v>
      </c>
      <c r="F4431" s="191" t="s">
        <v>880</v>
      </c>
      <c r="G4431" s="482" t="s">
        <v>881</v>
      </c>
      <c r="H4431" s="192" t="s">
        <v>2016</v>
      </c>
      <c r="I4431" s="255">
        <v>209</v>
      </c>
      <c r="J4431" s="255">
        <v>8109.9377764449491</v>
      </c>
      <c r="K4431" s="593">
        <f t="shared" si="83"/>
        <v>1694977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69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>x</v>
      </c>
      <c r="AA4431" s="799"/>
    </row>
    <row r="4432" spans="1:27" s="210" customFormat="1" ht="15.75" customHeight="1">
      <c r="A4432" s="203" t="str">
        <f>IF(B4432&lt;&gt;"",IF(AND(B4432&gt;=_TM1,B4432&lt;=_TM2,OR(TH!L4432="1111",TH!M4432="1111")),TH!D4432,""),"")</f>
        <v/>
      </c>
      <c r="B4432" s="36">
        <f t="shared" si="81"/>
        <v>7</v>
      </c>
      <c r="C4432" s="183">
        <f t="shared" si="82"/>
        <v>42186</v>
      </c>
      <c r="D4432" s="190" t="s">
        <v>2015</v>
      </c>
      <c r="E4432" s="190">
        <v>42186</v>
      </c>
      <c r="F4432" s="191" t="s">
        <v>1672</v>
      </c>
      <c r="G4432" s="482" t="s">
        <v>881</v>
      </c>
      <c r="H4432" s="192" t="s">
        <v>2016</v>
      </c>
      <c r="I4432" s="255">
        <v>209</v>
      </c>
      <c r="J4432" s="255">
        <v>1445.3354453070206</v>
      </c>
      <c r="K4432" s="593">
        <f t="shared" si="83"/>
        <v>302075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69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>x</v>
      </c>
      <c r="AA4432" s="799"/>
    </row>
    <row r="4433" spans="1:27" s="210" customFormat="1" ht="15.75" customHeight="1">
      <c r="A4433" s="203" t="str">
        <f>IF(B4433&lt;&gt;"",IF(AND(B4433&gt;=_TM1,B4433&lt;=_TM2,OR(TH!L4433="1111",TH!M4433="1111")),TH!D4433,""),"")</f>
        <v/>
      </c>
      <c r="B4433" s="36">
        <f t="shared" si="81"/>
        <v>7</v>
      </c>
      <c r="C4433" s="183">
        <f t="shared" si="82"/>
        <v>42187</v>
      </c>
      <c r="D4433" s="190" t="s">
        <v>2015</v>
      </c>
      <c r="E4433" s="190">
        <v>42187</v>
      </c>
      <c r="F4433" s="191" t="s">
        <v>882</v>
      </c>
      <c r="G4433" s="482" t="s">
        <v>883</v>
      </c>
      <c r="H4433" s="192" t="s">
        <v>2016</v>
      </c>
      <c r="I4433" s="255">
        <v>380</v>
      </c>
      <c r="J4433" s="255">
        <v>4014.8206814083906</v>
      </c>
      <c r="K4433" s="593">
        <f t="shared" si="83"/>
        <v>1525632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69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>x</v>
      </c>
      <c r="AA4433" s="799"/>
    </row>
    <row r="4434" spans="1:27" s="210" customFormat="1" ht="15.75" customHeight="1">
      <c r="A4434" s="203" t="str">
        <f>IF(B4434&lt;&gt;"",IF(AND(B4434&gt;=_TM1,B4434&lt;=_TM2,OR(TH!L4434="1111",TH!M4434="1111")),TH!D4434,""),"")</f>
        <v/>
      </c>
      <c r="B4434" s="36">
        <f t="shared" si="81"/>
        <v>7</v>
      </c>
      <c r="C4434" s="183">
        <f t="shared" si="82"/>
        <v>42187</v>
      </c>
      <c r="D4434" s="190" t="s">
        <v>2015</v>
      </c>
      <c r="E4434" s="190">
        <v>42187</v>
      </c>
      <c r="F4434" s="191" t="s">
        <v>413</v>
      </c>
      <c r="G4434" s="482" t="s">
        <v>884</v>
      </c>
      <c r="H4434" s="192" t="s">
        <v>2016</v>
      </c>
      <c r="I4434" s="255">
        <v>205</v>
      </c>
      <c r="J4434" s="255">
        <v>7628.159294675942</v>
      </c>
      <c r="K4434" s="593">
        <f t="shared" si="83"/>
        <v>1563773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69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>x</v>
      </c>
      <c r="AA4434" s="799"/>
    </row>
    <row r="4435" spans="1:27" s="210" customFormat="1" ht="15.75" customHeight="1">
      <c r="A4435" s="203" t="str">
        <f>IF(B4435&lt;&gt;"",IF(AND(B4435&gt;=_TM1,B4435&lt;=_TM2,OR(TH!L4435="1111",TH!M4435="1111")),TH!D4435,""),"")</f>
        <v/>
      </c>
      <c r="B4435" s="36">
        <f t="shared" si="81"/>
        <v>7</v>
      </c>
      <c r="C4435" s="183">
        <f t="shared" si="82"/>
        <v>42189</v>
      </c>
      <c r="D4435" s="190" t="s">
        <v>2015</v>
      </c>
      <c r="E4435" s="190">
        <v>42189</v>
      </c>
      <c r="F4435" s="191" t="s">
        <v>446</v>
      </c>
      <c r="G4435" s="482" t="s">
        <v>885</v>
      </c>
      <c r="H4435" s="192" t="s">
        <v>2016</v>
      </c>
      <c r="I4435" s="255">
        <v>299</v>
      </c>
      <c r="J4435" s="255">
        <v>7306.9736401632708</v>
      </c>
      <c r="K4435" s="593">
        <f t="shared" si="83"/>
        <v>2184785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69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>x</v>
      </c>
      <c r="AA4435" s="799"/>
    </row>
    <row r="4436" spans="1:27" s="210" customFormat="1" ht="15.75" customHeight="1">
      <c r="A4436" s="203" t="str">
        <f>IF(B4436&lt;&gt;"",IF(AND(B4436&gt;=_TM1,B4436&lt;=_TM2,OR(TH!L4436="1111",TH!M4436="1111")),TH!D4436,""),"")</f>
        <v/>
      </c>
      <c r="B4436" s="36">
        <f t="shared" si="81"/>
        <v>7</v>
      </c>
      <c r="C4436" s="183">
        <f t="shared" si="82"/>
        <v>42189</v>
      </c>
      <c r="D4436" s="190" t="s">
        <v>2015</v>
      </c>
      <c r="E4436" s="190">
        <v>42189</v>
      </c>
      <c r="F4436" s="191" t="s">
        <v>401</v>
      </c>
      <c r="G4436" s="482" t="s">
        <v>885</v>
      </c>
      <c r="H4436" s="192" t="s">
        <v>2016</v>
      </c>
      <c r="I4436" s="255">
        <v>312</v>
      </c>
      <c r="J4436" s="255">
        <v>7788.7521219322771</v>
      </c>
      <c r="K4436" s="593">
        <f t="shared" si="83"/>
        <v>2430091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69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>x</v>
      </c>
      <c r="AA4436" s="799"/>
    </row>
    <row r="4437" spans="1:27" s="210" customFormat="1" ht="15.75" customHeight="1">
      <c r="A4437" s="203" t="str">
        <f>IF(B4437&lt;&gt;"",IF(AND(B4437&gt;=_TM1,B4437&lt;=_TM2,OR(TH!L4437="1111",TH!M4437="1111")),TH!D4437,""),"")</f>
        <v/>
      </c>
      <c r="B4437" s="36">
        <f t="shared" si="81"/>
        <v>7</v>
      </c>
      <c r="C4437" s="183">
        <f t="shared" si="82"/>
        <v>42189</v>
      </c>
      <c r="D4437" s="190" t="s">
        <v>2015</v>
      </c>
      <c r="E4437" s="190">
        <v>42189</v>
      </c>
      <c r="F4437" s="191" t="s">
        <v>398</v>
      </c>
      <c r="G4437" s="482" t="s">
        <v>885</v>
      </c>
      <c r="H4437" s="192" t="s">
        <v>2016</v>
      </c>
      <c r="I4437" s="255">
        <v>585</v>
      </c>
      <c r="J4437" s="255">
        <v>6584.3059175097605</v>
      </c>
      <c r="K4437" s="593">
        <f t="shared" si="83"/>
        <v>3851819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69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>x</v>
      </c>
      <c r="AA4437" s="799"/>
    </row>
    <row r="4438" spans="1:27" s="210" customFormat="1" ht="15.75" customHeight="1">
      <c r="A4438" s="203" t="str">
        <f>IF(B4438&lt;&gt;"",IF(AND(B4438&gt;=_TM1,B4438&lt;=_TM2,OR(TH!L4438="1111",TH!M4438="1111")),TH!D4438,""),"")</f>
        <v/>
      </c>
      <c r="B4438" s="36">
        <f t="shared" si="81"/>
        <v>7</v>
      </c>
      <c r="C4438" s="183">
        <f t="shared" si="82"/>
        <v>42189</v>
      </c>
      <c r="D4438" s="190" t="s">
        <v>2015</v>
      </c>
      <c r="E4438" s="190">
        <v>42189</v>
      </c>
      <c r="F4438" s="191" t="s">
        <v>501</v>
      </c>
      <c r="G4438" s="482" t="s">
        <v>885</v>
      </c>
      <c r="H4438" s="192" t="s">
        <v>2016</v>
      </c>
      <c r="I4438" s="255">
        <v>207</v>
      </c>
      <c r="J4438" s="255">
        <v>12686.833353250515</v>
      </c>
      <c r="K4438" s="593">
        <f t="shared" si="83"/>
        <v>2626175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69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>x</v>
      </c>
      <c r="AA4438" s="799"/>
    </row>
    <row r="4439" spans="1:27" s="210" customFormat="1" ht="15.75" customHeight="1">
      <c r="A4439" s="203" t="str">
        <f>IF(B4439&lt;&gt;"",IF(AND(B4439&gt;=_TM1,B4439&lt;=_TM2,OR(TH!L4439="1111",TH!M4439="1111")),TH!D4439,""),"")</f>
        <v/>
      </c>
      <c r="B4439" s="36">
        <f t="shared" si="81"/>
        <v>7</v>
      </c>
      <c r="C4439" s="183">
        <f t="shared" si="82"/>
        <v>42189</v>
      </c>
      <c r="D4439" s="190" t="s">
        <v>2015</v>
      </c>
      <c r="E4439" s="190">
        <v>42189</v>
      </c>
      <c r="F4439" s="191" t="s">
        <v>830</v>
      </c>
      <c r="G4439" s="482" t="s">
        <v>886</v>
      </c>
      <c r="H4439" s="192" t="s">
        <v>2016</v>
      </c>
      <c r="I4439" s="255">
        <v>50</v>
      </c>
      <c r="J4439" s="255">
        <v>11402.090735199828</v>
      </c>
      <c r="K4439" s="593">
        <f t="shared" si="83"/>
        <v>570105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69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>x</v>
      </c>
      <c r="AA4439" s="799"/>
    </row>
    <row r="4440" spans="1:27" s="210" customFormat="1" ht="15.75" customHeight="1">
      <c r="A4440" s="203" t="str">
        <f>IF(B4440&lt;&gt;"",IF(AND(B4440&gt;=_TM1,B4440&lt;=_TM2,OR(TH!L4440="1111",TH!M4440="1111")),TH!D4440,""),"")</f>
        <v/>
      </c>
      <c r="B4440" s="36">
        <f t="shared" si="81"/>
        <v>7</v>
      </c>
      <c r="C4440" s="183">
        <f t="shared" si="82"/>
        <v>42192</v>
      </c>
      <c r="D4440" s="190" t="s">
        <v>2015</v>
      </c>
      <c r="E4440" s="190">
        <v>42192</v>
      </c>
      <c r="F4440" s="191" t="s">
        <v>887</v>
      </c>
      <c r="G4440" s="482" t="s">
        <v>888</v>
      </c>
      <c r="H4440" s="192" t="s">
        <v>2016</v>
      </c>
      <c r="I4440" s="255">
        <v>380</v>
      </c>
      <c r="J4440" s="255">
        <v>4014.8206814083906</v>
      </c>
      <c r="K4440" s="593">
        <f t="shared" si="83"/>
        <v>1525632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69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>x</v>
      </c>
      <c r="AA4440" s="799"/>
    </row>
    <row r="4441" spans="1:27" s="210" customFormat="1" ht="15.75" customHeight="1">
      <c r="A4441" s="203" t="str">
        <f>IF(B4441&lt;&gt;"",IF(AND(B4441&gt;=_TM1,B4441&lt;=_TM2,OR(TH!L4441="1111",TH!M4441="1111")),TH!D4441,""),"")</f>
        <v/>
      </c>
      <c r="B4441" s="36">
        <f t="shared" si="81"/>
        <v>7</v>
      </c>
      <c r="C4441" s="183">
        <f t="shared" si="82"/>
        <v>42193</v>
      </c>
      <c r="D4441" s="190" t="s">
        <v>2015</v>
      </c>
      <c r="E4441" s="190">
        <v>42193</v>
      </c>
      <c r="F4441" s="191" t="s">
        <v>1673</v>
      </c>
      <c r="G4441" s="482" t="s">
        <v>889</v>
      </c>
      <c r="H4441" s="192" t="s">
        <v>2016</v>
      </c>
      <c r="I4441" s="255">
        <v>100</v>
      </c>
      <c r="J4441" s="255">
        <v>4817.7848176900688</v>
      </c>
      <c r="K4441" s="593">
        <f t="shared" si="83"/>
        <v>481778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69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>x</v>
      </c>
      <c r="AA4441" s="799"/>
    </row>
    <row r="4442" spans="1:27" s="210" customFormat="1" ht="15.75" customHeight="1">
      <c r="A4442" s="203" t="str">
        <f>IF(B4442&lt;&gt;"",IF(AND(B4442&gt;=_TM1,B4442&lt;=_TM2,OR(TH!L4442="1111",TH!M4442="1111")),TH!D4442,""),"")</f>
        <v/>
      </c>
      <c r="B4442" s="36">
        <f t="shared" si="81"/>
        <v>7</v>
      </c>
      <c r="C4442" s="183">
        <f t="shared" si="82"/>
        <v>42195</v>
      </c>
      <c r="D4442" s="190" t="s">
        <v>2015</v>
      </c>
      <c r="E4442" s="190">
        <v>42195</v>
      </c>
      <c r="F4442" s="191" t="s">
        <v>494</v>
      </c>
      <c r="G4442" s="482" t="s">
        <v>890</v>
      </c>
      <c r="H4442" s="192" t="s">
        <v>2016</v>
      </c>
      <c r="I4442" s="255">
        <v>1194</v>
      </c>
      <c r="J4442" s="255">
        <v>5460.1561267154111</v>
      </c>
      <c r="K4442" s="593">
        <f t="shared" si="83"/>
        <v>6519426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69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>x</v>
      </c>
      <c r="AA4442" s="799"/>
    </row>
    <row r="4443" spans="1:27" s="210" customFormat="1" ht="15.75" customHeight="1">
      <c r="A4443" s="203" t="str">
        <f>IF(B4443&lt;&gt;"",IF(AND(B4443&gt;=_TM1,B4443&lt;=_TM2,OR(TH!L4443="1111",TH!M4443="1111")),TH!D4443,""),"")</f>
        <v/>
      </c>
      <c r="B4443" s="36">
        <f t="shared" si="81"/>
        <v>7</v>
      </c>
      <c r="C4443" s="183">
        <f t="shared" si="82"/>
        <v>42195</v>
      </c>
      <c r="D4443" s="190" t="s">
        <v>2015</v>
      </c>
      <c r="E4443" s="190">
        <v>42195</v>
      </c>
      <c r="F4443" s="191" t="s">
        <v>678</v>
      </c>
      <c r="G4443" s="482" t="s">
        <v>891</v>
      </c>
      <c r="H4443" s="192" t="s">
        <v>2016</v>
      </c>
      <c r="I4443" s="255">
        <v>261</v>
      </c>
      <c r="J4443" s="255">
        <v>5861.6381948562503</v>
      </c>
      <c r="K4443" s="593">
        <f t="shared" si="83"/>
        <v>1529888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69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>x</v>
      </c>
      <c r="AA4443" s="799"/>
    </row>
    <row r="4444" spans="1:27" s="210" customFormat="1" ht="15.75" customHeight="1">
      <c r="A4444" s="203" t="str">
        <f>IF(B4444&lt;&gt;"",IF(AND(B4444&gt;=_TM1,B4444&lt;=_TM2,OR(TH!L4444="1111",TH!M4444="1111")),TH!D4444,""),"")</f>
        <v/>
      </c>
      <c r="B4444" s="36">
        <f t="shared" si="81"/>
        <v>7</v>
      </c>
      <c r="C4444" s="183">
        <f t="shared" si="82"/>
        <v>42195</v>
      </c>
      <c r="D4444" s="190" t="s">
        <v>2015</v>
      </c>
      <c r="E4444" s="190">
        <v>42195</v>
      </c>
      <c r="F4444" s="191" t="s">
        <v>892</v>
      </c>
      <c r="G4444" s="482" t="s">
        <v>893</v>
      </c>
      <c r="H4444" s="192" t="s">
        <v>2016</v>
      </c>
      <c r="I4444" s="255">
        <v>303</v>
      </c>
      <c r="J4444" s="255">
        <v>4978.377644946404</v>
      </c>
      <c r="K4444" s="593">
        <f t="shared" si="83"/>
        <v>1508448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69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>x</v>
      </c>
      <c r="AA4444" s="799"/>
    </row>
    <row r="4445" spans="1:27" s="210" customFormat="1" ht="15.75" customHeight="1">
      <c r="A4445" s="203" t="str">
        <f>IF(B4445&lt;&gt;"",IF(AND(B4445&gt;=_TM1,B4445&lt;=_TM2,OR(TH!L4445="1111",TH!M4445="1111")),TH!D4445,""),"")</f>
        <v/>
      </c>
      <c r="B4445" s="36">
        <f t="shared" si="81"/>
        <v>7</v>
      </c>
      <c r="C4445" s="183">
        <f t="shared" si="82"/>
        <v>42195</v>
      </c>
      <c r="D4445" s="190" t="s">
        <v>2015</v>
      </c>
      <c r="E4445" s="190">
        <v>42195</v>
      </c>
      <c r="F4445" s="191" t="s">
        <v>522</v>
      </c>
      <c r="G4445" s="482" t="s">
        <v>894</v>
      </c>
      <c r="H4445" s="192" t="s">
        <v>2016</v>
      </c>
      <c r="I4445" s="255">
        <v>532</v>
      </c>
      <c r="J4445" s="255">
        <v>4336.0063359210617</v>
      </c>
      <c r="K4445" s="593">
        <f t="shared" si="83"/>
        <v>2306755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69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>x</v>
      </c>
      <c r="AA4445" s="799"/>
    </row>
    <row r="4446" spans="1:27" s="210" customFormat="1" ht="15.75" customHeight="1">
      <c r="A4446" s="203" t="str">
        <f>IF(B4446&lt;&gt;"",IF(AND(B4446&gt;=_TM1,B4446&lt;=_TM2,OR(TH!L4446="1111",TH!M4446="1111")),TH!D4446,""),"")</f>
        <v/>
      </c>
      <c r="B4446" s="36">
        <f t="shared" si="81"/>
        <v>7</v>
      </c>
      <c r="C4446" s="183">
        <f t="shared" si="82"/>
        <v>42195</v>
      </c>
      <c r="D4446" s="190" t="s">
        <v>2015</v>
      </c>
      <c r="E4446" s="190">
        <v>42195</v>
      </c>
      <c r="F4446" s="191" t="s">
        <v>895</v>
      </c>
      <c r="G4446" s="482" t="s">
        <v>894</v>
      </c>
      <c r="H4446" s="192" t="s">
        <v>2016</v>
      </c>
      <c r="I4446" s="255">
        <v>161</v>
      </c>
      <c r="J4446" s="255">
        <v>6102.5274357407534</v>
      </c>
      <c r="K4446" s="593">
        <f t="shared" si="83"/>
        <v>982507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69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>x</v>
      </c>
      <c r="AA4446" s="799"/>
    </row>
    <row r="4447" spans="1:27" s="210" customFormat="1" ht="15.75" customHeight="1">
      <c r="A4447" s="203" t="str">
        <f>IF(B4447&lt;&gt;"",IF(AND(B4447&gt;=_TM1,B4447&lt;=_TM2,OR(TH!L4447="1111",TH!M4447="1111")),TH!D4447,""),"")</f>
        <v/>
      </c>
      <c r="B4447" s="36">
        <f t="shared" ref="B4447:B4456" si="84">IF(C4447&lt;&gt;"",MONTH(C4447),"")</f>
        <v>7</v>
      </c>
      <c r="C4447" s="183">
        <f t="shared" ref="C4447:C4456" si="85">E4447</f>
        <v>42195</v>
      </c>
      <c r="D4447" s="190" t="s">
        <v>2015</v>
      </c>
      <c r="E4447" s="190">
        <v>42195</v>
      </c>
      <c r="F4447" s="191" t="s">
        <v>896</v>
      </c>
      <c r="G4447" s="482" t="s">
        <v>894</v>
      </c>
      <c r="H4447" s="192" t="s">
        <v>2016</v>
      </c>
      <c r="I4447" s="255">
        <v>150</v>
      </c>
      <c r="J4447" s="255">
        <v>6504.0095038815934</v>
      </c>
      <c r="K4447" s="593">
        <f t="shared" ref="K4447:K4456" si="86">ROUND(I4447*J4447,0)</f>
        <v>975601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69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>x</v>
      </c>
      <c r="AA4447" s="799"/>
    </row>
    <row r="4448" spans="1:27" s="210" customFormat="1" ht="15.75" customHeight="1">
      <c r="A4448" s="203" t="str">
        <f>IF(B4448&lt;&gt;"",IF(AND(B4448&gt;=_TM1,B4448&lt;=_TM2,OR(TH!L4448="1111",TH!M4448="1111")),TH!D4448,""),"")</f>
        <v/>
      </c>
      <c r="B4448" s="36">
        <f t="shared" si="84"/>
        <v>7</v>
      </c>
      <c r="C4448" s="183">
        <f t="shared" si="85"/>
        <v>42199</v>
      </c>
      <c r="D4448" s="190" t="s">
        <v>2015</v>
      </c>
      <c r="E4448" s="190">
        <v>42199</v>
      </c>
      <c r="F4448" s="191" t="s">
        <v>897</v>
      </c>
      <c r="G4448" s="482" t="s">
        <v>898</v>
      </c>
      <c r="H4448" s="192" t="s">
        <v>2016</v>
      </c>
      <c r="I4448" s="255">
        <v>2020</v>
      </c>
      <c r="J4448" s="255">
        <v>5941.9346084844183</v>
      </c>
      <c r="K4448" s="593">
        <f t="shared" si="86"/>
        <v>12002708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69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>x</v>
      </c>
      <c r="AA4448" s="799"/>
    </row>
    <row r="4449" spans="1:27" s="210" customFormat="1" ht="15.75" customHeight="1">
      <c r="A4449" s="203" t="str">
        <f>IF(B4449&lt;&gt;"",IF(AND(B4449&gt;=_TM1,B4449&lt;=_TM2,OR(TH!L4449="1111",TH!M4449="1111")),TH!D4449,""),"")</f>
        <v/>
      </c>
      <c r="B4449" s="36">
        <f t="shared" si="84"/>
        <v>7</v>
      </c>
      <c r="C4449" s="183">
        <f t="shared" si="85"/>
        <v>42199</v>
      </c>
      <c r="D4449" s="190" t="s">
        <v>2015</v>
      </c>
      <c r="E4449" s="190">
        <v>42199</v>
      </c>
      <c r="F4449" s="191" t="s">
        <v>522</v>
      </c>
      <c r="G4449" s="482" t="s">
        <v>899</v>
      </c>
      <c r="H4449" s="192" t="s">
        <v>2016</v>
      </c>
      <c r="I4449" s="255">
        <v>532</v>
      </c>
      <c r="J4449" s="255">
        <v>4336.0063359210617</v>
      </c>
      <c r="K4449" s="593">
        <f t="shared" si="86"/>
        <v>2306755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69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>x</v>
      </c>
      <c r="AA4449" s="799"/>
    </row>
    <row r="4450" spans="1:27" s="210" customFormat="1" ht="15.75" customHeight="1">
      <c r="A4450" s="203" t="str">
        <f>IF(B4450&lt;&gt;"",IF(AND(B4450&gt;=_TM1,B4450&lt;=_TM2,OR(TH!L4450="1111",TH!M4450="1111")),TH!D4450,""),"")</f>
        <v/>
      </c>
      <c r="B4450" s="36">
        <f t="shared" si="84"/>
        <v>7</v>
      </c>
      <c r="C4450" s="183">
        <f t="shared" si="85"/>
        <v>42200</v>
      </c>
      <c r="D4450" s="190" t="s">
        <v>2015</v>
      </c>
      <c r="E4450" s="190">
        <v>42200</v>
      </c>
      <c r="F4450" s="191" t="s">
        <v>711</v>
      </c>
      <c r="G4450" s="482" t="s">
        <v>900</v>
      </c>
      <c r="H4450" s="192" t="s">
        <v>2016</v>
      </c>
      <c r="I4450" s="255">
        <v>156</v>
      </c>
      <c r="J4450" s="255">
        <v>11241.497907943492</v>
      </c>
      <c r="K4450" s="593">
        <f t="shared" si="86"/>
        <v>1753674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69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>x</v>
      </c>
      <c r="AA4450" s="799"/>
    </row>
    <row r="4451" spans="1:27" s="210" customFormat="1" ht="15.75" customHeight="1">
      <c r="A4451" s="203" t="str">
        <f>IF(B4451&lt;&gt;"",IF(AND(B4451&gt;=_TM1,B4451&lt;=_TM2,OR(TH!L4451="1111",TH!M4451="1111")),TH!D4451,""),"")</f>
        <v/>
      </c>
      <c r="B4451" s="36">
        <f t="shared" si="84"/>
        <v>7</v>
      </c>
      <c r="C4451" s="183">
        <f t="shared" si="85"/>
        <v>42200</v>
      </c>
      <c r="D4451" s="190" t="s">
        <v>2015</v>
      </c>
      <c r="E4451" s="190">
        <v>42200</v>
      </c>
      <c r="F4451" s="191" t="s">
        <v>494</v>
      </c>
      <c r="G4451" s="482" t="s">
        <v>901</v>
      </c>
      <c r="H4451" s="192" t="s">
        <v>2016</v>
      </c>
      <c r="I4451" s="255">
        <v>1225</v>
      </c>
      <c r="J4451" s="255">
        <v>5460.1561267154111</v>
      </c>
      <c r="K4451" s="593">
        <f t="shared" si="86"/>
        <v>6688691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69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>x</v>
      </c>
      <c r="AA4451" s="799"/>
    </row>
    <row r="4452" spans="1:27" s="210" customFormat="1" ht="15.75" customHeight="1">
      <c r="A4452" s="203" t="str">
        <f>IF(B4452&lt;&gt;"",IF(AND(B4452&gt;=_TM1,B4452&lt;=_TM2,OR(TH!L4452="1111",TH!M4452="1111")),TH!D4452,""),"")</f>
        <v/>
      </c>
      <c r="B4452" s="36">
        <f t="shared" si="84"/>
        <v>7</v>
      </c>
      <c r="C4452" s="183">
        <f t="shared" si="85"/>
        <v>42200</v>
      </c>
      <c r="D4452" s="190" t="s">
        <v>2015</v>
      </c>
      <c r="E4452" s="190">
        <v>42200</v>
      </c>
      <c r="F4452" s="191" t="s">
        <v>474</v>
      </c>
      <c r="G4452" s="482" t="s">
        <v>902</v>
      </c>
      <c r="H4452" s="192" t="s">
        <v>2016</v>
      </c>
      <c r="I4452" s="255">
        <v>342</v>
      </c>
      <c r="J4452" s="255">
        <v>9715.8660490083057</v>
      </c>
      <c r="K4452" s="593">
        <f t="shared" si="86"/>
        <v>3322826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69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>x</v>
      </c>
      <c r="AA4452" s="799"/>
    </row>
    <row r="4453" spans="1:27" s="210" customFormat="1" ht="15.75" customHeight="1">
      <c r="A4453" s="203" t="str">
        <f>IF(B4453&lt;&gt;"",IF(AND(B4453&gt;=_TM1,B4453&lt;=_TM2,OR(TH!L4453="1111",TH!M4453="1111")),TH!D4453,""),"")</f>
        <v/>
      </c>
      <c r="B4453" s="36">
        <f t="shared" si="84"/>
        <v>7</v>
      </c>
      <c r="C4453" s="183">
        <f t="shared" si="85"/>
        <v>42200</v>
      </c>
      <c r="D4453" s="190" t="s">
        <v>2015</v>
      </c>
      <c r="E4453" s="190">
        <v>42200</v>
      </c>
      <c r="F4453" s="191" t="s">
        <v>903</v>
      </c>
      <c r="G4453" s="482" t="s">
        <v>904</v>
      </c>
      <c r="H4453" s="192" t="s">
        <v>2016</v>
      </c>
      <c r="I4453" s="255">
        <v>300</v>
      </c>
      <c r="J4453" s="255">
        <v>33242.715242061473</v>
      </c>
      <c r="K4453" s="593">
        <f t="shared" si="86"/>
        <v>9972815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69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>x</v>
      </c>
      <c r="AA4453" s="799"/>
    </row>
    <row r="4454" spans="1:27" s="210" customFormat="1" ht="15.75" customHeight="1">
      <c r="A4454" s="203" t="str">
        <f>IF(B4454&lt;&gt;"",IF(AND(B4454&gt;=_TM1,B4454&lt;=_TM2,OR(TH!L4454="1111",TH!M4454="1111")),TH!D4454,""),"")</f>
        <v/>
      </c>
      <c r="B4454" s="36">
        <f t="shared" si="84"/>
        <v>7</v>
      </c>
      <c r="C4454" s="183">
        <f t="shared" si="85"/>
        <v>42200</v>
      </c>
      <c r="D4454" s="190" t="s">
        <v>2015</v>
      </c>
      <c r="E4454" s="190">
        <v>42200</v>
      </c>
      <c r="F4454" s="191" t="s">
        <v>728</v>
      </c>
      <c r="G4454" s="482" t="s">
        <v>905</v>
      </c>
      <c r="H4454" s="192" t="s">
        <v>2016</v>
      </c>
      <c r="I4454" s="255">
        <v>200</v>
      </c>
      <c r="J4454" s="255">
        <v>13650.390316788527</v>
      </c>
      <c r="K4454" s="593">
        <f t="shared" si="86"/>
        <v>2730078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69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>x</v>
      </c>
      <c r="AA4454" s="799"/>
    </row>
    <row r="4455" spans="1:27" s="210" customFormat="1" ht="15.75" customHeight="1">
      <c r="A4455" s="203" t="str">
        <f>IF(B4455&lt;&gt;"",IF(AND(B4455&gt;=_TM1,B4455&lt;=_TM2,OR(TH!L4455="1111",TH!M4455="1111")),TH!D4455,""),"")</f>
        <v/>
      </c>
      <c r="B4455" s="36">
        <f t="shared" si="84"/>
        <v>7</v>
      </c>
      <c r="C4455" s="183">
        <f t="shared" si="85"/>
        <v>42200</v>
      </c>
      <c r="D4455" s="190" t="s">
        <v>2015</v>
      </c>
      <c r="E4455" s="190">
        <v>42200</v>
      </c>
      <c r="F4455" s="191" t="s">
        <v>1751</v>
      </c>
      <c r="G4455" s="482" t="s">
        <v>905</v>
      </c>
      <c r="H4455" s="192" t="s">
        <v>2016</v>
      </c>
      <c r="I4455" s="255">
        <v>150</v>
      </c>
      <c r="J4455" s="255">
        <v>12927.722594135019</v>
      </c>
      <c r="K4455" s="593">
        <f t="shared" si="86"/>
        <v>1939158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69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>x</v>
      </c>
      <c r="AA4455" s="799"/>
    </row>
    <row r="4456" spans="1:27" s="210" customFormat="1" ht="15.75" customHeight="1">
      <c r="A4456" s="203" t="str">
        <f>IF(B4456&lt;&gt;"",IF(AND(B4456&gt;=_TM1,B4456&lt;=_TM2,OR(TH!L4456="1111",TH!M4456="1111")),TH!D4456,""),"")</f>
        <v/>
      </c>
      <c r="B4456" s="36">
        <f t="shared" si="84"/>
        <v>7</v>
      </c>
      <c r="C4456" s="183">
        <f t="shared" si="85"/>
        <v>42200</v>
      </c>
      <c r="D4456" s="190" t="s">
        <v>2015</v>
      </c>
      <c r="E4456" s="190">
        <v>42200</v>
      </c>
      <c r="F4456" s="191" t="s">
        <v>1752</v>
      </c>
      <c r="G4456" s="482" t="s">
        <v>905</v>
      </c>
      <c r="H4456" s="192" t="s">
        <v>2016</v>
      </c>
      <c r="I4456" s="255">
        <v>75</v>
      </c>
      <c r="J4456" s="255">
        <v>12686.833353250515</v>
      </c>
      <c r="K4456" s="593">
        <f t="shared" si="86"/>
        <v>951513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69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>x</v>
      </c>
      <c r="AA4456" s="799"/>
    </row>
    <row r="4457" spans="1:27" s="210" customFormat="1" ht="15.75" customHeight="1">
      <c r="A4457" s="203" t="str">
        <f>IF(B4457&lt;&gt;"",IF(AND(B4457&gt;=_TM1,B4457&lt;=_TM2,OR(TH!L4457="1111",TH!M4457="1111")),TH!D4457,""),"")</f>
        <v/>
      </c>
      <c r="B4457" s="36">
        <f t="shared" ref="B4457:B4711" si="87">IF(C4457&lt;&gt;"",MONTH(C4457),"")</f>
        <v>7</v>
      </c>
      <c r="C4457" s="183">
        <f t="shared" ref="C4457:C4711" si="88">E4457</f>
        <v>42200</v>
      </c>
      <c r="D4457" s="190" t="s">
        <v>2015</v>
      </c>
      <c r="E4457" s="190">
        <v>42200</v>
      </c>
      <c r="F4457" s="191" t="s">
        <v>1704</v>
      </c>
      <c r="G4457" s="482" t="s">
        <v>905</v>
      </c>
      <c r="H4457" s="192" t="s">
        <v>2016</v>
      </c>
      <c r="I4457" s="255">
        <v>25</v>
      </c>
      <c r="J4457" s="255">
        <v>13329.204662275855</v>
      </c>
      <c r="K4457" s="593">
        <f t="shared" ref="K4457:K4711" si="89">ROUND(I4457*J4457,0)</f>
        <v>333230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69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>x</v>
      </c>
      <c r="AA4457" s="799"/>
    </row>
    <row r="4458" spans="1:27" s="210" customFormat="1" ht="15.75" customHeight="1">
      <c r="A4458" s="203" t="str">
        <f>IF(B4458&lt;&gt;"",IF(AND(B4458&gt;=_TM1,B4458&lt;=_TM2,OR(TH!L4458="1111",TH!M4458="1111")),TH!D4458,""),"")</f>
        <v/>
      </c>
      <c r="B4458" s="36">
        <f t="shared" si="87"/>
        <v>7</v>
      </c>
      <c r="C4458" s="183">
        <f t="shared" si="88"/>
        <v>42200</v>
      </c>
      <c r="D4458" s="190" t="s">
        <v>2015</v>
      </c>
      <c r="E4458" s="190">
        <v>42200</v>
      </c>
      <c r="F4458" s="191" t="s">
        <v>668</v>
      </c>
      <c r="G4458" s="482" t="s">
        <v>905</v>
      </c>
      <c r="H4458" s="192" t="s">
        <v>2016</v>
      </c>
      <c r="I4458" s="255">
        <v>25</v>
      </c>
      <c r="J4458" s="255">
        <v>17906.100239081421</v>
      </c>
      <c r="K4458" s="593">
        <f t="shared" si="89"/>
        <v>447653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69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>x</v>
      </c>
      <c r="AA4458" s="799"/>
    </row>
    <row r="4459" spans="1:27" s="210" customFormat="1" ht="15.75" customHeight="1">
      <c r="A4459" s="203" t="str">
        <f>IF(B4459&lt;&gt;"",IF(AND(B4459&gt;=_TM1,B4459&lt;=_TM2,OR(TH!L4459="1111",TH!M4459="1111")),TH!D4459,""),"")</f>
        <v/>
      </c>
      <c r="B4459" s="36">
        <f t="shared" si="87"/>
        <v>7</v>
      </c>
      <c r="C4459" s="183">
        <f t="shared" si="88"/>
        <v>42200</v>
      </c>
      <c r="D4459" s="190" t="s">
        <v>2015</v>
      </c>
      <c r="E4459" s="190">
        <v>42200</v>
      </c>
      <c r="F4459" s="191" t="s">
        <v>1753</v>
      </c>
      <c r="G4459" s="482" t="s">
        <v>905</v>
      </c>
      <c r="H4459" s="192" t="s">
        <v>2016</v>
      </c>
      <c r="I4459" s="255">
        <v>50</v>
      </c>
      <c r="J4459" s="255">
        <v>14694.24369395471</v>
      </c>
      <c r="K4459" s="593">
        <f t="shared" si="89"/>
        <v>734712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69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>x</v>
      </c>
      <c r="AA4459" s="799"/>
    </row>
    <row r="4460" spans="1:27" s="210" customFormat="1" ht="15.75" customHeight="1">
      <c r="A4460" s="203" t="str">
        <f>IF(B4460&lt;&gt;"",IF(AND(B4460&gt;=_TM1,B4460&lt;=_TM2,OR(TH!L4460="1111",TH!M4460="1111")),TH!D4460,""),"")</f>
        <v/>
      </c>
      <c r="B4460" s="36">
        <f t="shared" si="87"/>
        <v>7</v>
      </c>
      <c r="C4460" s="183">
        <f t="shared" si="88"/>
        <v>42200</v>
      </c>
      <c r="D4460" s="190" t="s">
        <v>2015</v>
      </c>
      <c r="E4460" s="190">
        <v>42200</v>
      </c>
      <c r="F4460" s="191" t="s">
        <v>1754</v>
      </c>
      <c r="G4460" s="482" t="s">
        <v>905</v>
      </c>
      <c r="H4460" s="192" t="s">
        <v>2016</v>
      </c>
      <c r="I4460" s="255">
        <v>25</v>
      </c>
      <c r="J4460" s="255">
        <v>18066.693066337757</v>
      </c>
      <c r="K4460" s="593">
        <f t="shared" si="89"/>
        <v>451667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69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>x</v>
      </c>
      <c r="AA4460" s="799"/>
    </row>
    <row r="4461" spans="1:27" s="210" customFormat="1" ht="15.75" customHeight="1">
      <c r="A4461" s="203" t="str">
        <f>IF(B4461&lt;&gt;"",IF(AND(B4461&gt;=_TM1,B4461&lt;=_TM2,OR(TH!L4461="1111",TH!M4461="1111")),TH!D4461,""),"")</f>
        <v/>
      </c>
      <c r="B4461" s="36">
        <f t="shared" si="87"/>
        <v>7</v>
      </c>
      <c r="C4461" s="183">
        <f t="shared" si="88"/>
        <v>42200</v>
      </c>
      <c r="D4461" s="190" t="s">
        <v>2015</v>
      </c>
      <c r="E4461" s="190">
        <v>42200</v>
      </c>
      <c r="F4461" s="191" t="s">
        <v>1755</v>
      </c>
      <c r="G4461" s="482" t="s">
        <v>905</v>
      </c>
      <c r="H4461" s="192" t="s">
        <v>2016</v>
      </c>
      <c r="I4461" s="255">
        <v>247</v>
      </c>
      <c r="J4461" s="255">
        <v>12285.351285109675</v>
      </c>
      <c r="K4461" s="593">
        <f t="shared" si="89"/>
        <v>3034482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69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>x</v>
      </c>
      <c r="AA4461" s="799"/>
    </row>
    <row r="4462" spans="1:27" s="210" customFormat="1" ht="15.75" customHeight="1">
      <c r="A4462" s="203" t="str">
        <f>IF(B4462&lt;&gt;"",IF(AND(B4462&gt;=_TM1,B4462&lt;=_TM2,OR(TH!L4462="1111",TH!M4462="1111")),TH!D4462,""),"")</f>
        <v/>
      </c>
      <c r="B4462" s="36">
        <f t="shared" si="87"/>
        <v>7</v>
      </c>
      <c r="C4462" s="183">
        <f t="shared" si="88"/>
        <v>42200</v>
      </c>
      <c r="D4462" s="190" t="s">
        <v>2015</v>
      </c>
      <c r="E4462" s="190">
        <v>42200</v>
      </c>
      <c r="F4462" s="191" t="s">
        <v>741</v>
      </c>
      <c r="G4462" s="482" t="s">
        <v>905</v>
      </c>
      <c r="H4462" s="192" t="s">
        <v>2016</v>
      </c>
      <c r="I4462" s="255">
        <v>240</v>
      </c>
      <c r="J4462" s="255">
        <v>7949.3449491886131</v>
      </c>
      <c r="K4462" s="593">
        <f t="shared" si="89"/>
        <v>1907843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69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>x</v>
      </c>
      <c r="AA4462" s="799"/>
    </row>
    <row r="4463" spans="1:27" s="210" customFormat="1" ht="15.75" customHeight="1">
      <c r="A4463" s="203" t="str">
        <f>IF(B4463&lt;&gt;"",IF(AND(B4463&gt;=_TM1,B4463&lt;=_TM2,OR(TH!L4463="1111",TH!M4463="1111")),TH!D4463,""),"")</f>
        <v/>
      </c>
      <c r="B4463" s="36">
        <f t="shared" si="87"/>
        <v>7</v>
      </c>
      <c r="C4463" s="183">
        <f t="shared" si="88"/>
        <v>42200</v>
      </c>
      <c r="D4463" s="190" t="s">
        <v>2015</v>
      </c>
      <c r="E4463" s="190">
        <v>42200</v>
      </c>
      <c r="F4463" s="191" t="s">
        <v>687</v>
      </c>
      <c r="G4463" s="482" t="s">
        <v>905</v>
      </c>
      <c r="H4463" s="192" t="s">
        <v>2016</v>
      </c>
      <c r="I4463" s="255">
        <v>280</v>
      </c>
      <c r="J4463" s="255">
        <v>10518.830185289984</v>
      </c>
      <c r="K4463" s="593">
        <f t="shared" si="89"/>
        <v>2945272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69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>x</v>
      </c>
      <c r="AA4463" s="799"/>
    </row>
    <row r="4464" spans="1:27" s="210" customFormat="1" ht="15.75" customHeight="1">
      <c r="A4464" s="203" t="str">
        <f>IF(B4464&lt;&gt;"",IF(AND(B4464&gt;=_TM1,B4464&lt;=_TM2,OR(TH!L4464="1111",TH!M4464="1111")),TH!D4464,""),"")</f>
        <v/>
      </c>
      <c r="B4464" s="36">
        <f t="shared" si="87"/>
        <v>7</v>
      </c>
      <c r="C4464" s="183">
        <f t="shared" si="88"/>
        <v>42202</v>
      </c>
      <c r="D4464" s="190" t="s">
        <v>2015</v>
      </c>
      <c r="E4464" s="190">
        <v>42202</v>
      </c>
      <c r="F4464" s="191" t="s">
        <v>906</v>
      </c>
      <c r="G4464" s="482" t="s">
        <v>907</v>
      </c>
      <c r="H4464" s="192" t="s">
        <v>2016</v>
      </c>
      <c r="I4464" s="255">
        <v>250</v>
      </c>
      <c r="J4464" s="255">
        <v>7306.9736401632708</v>
      </c>
      <c r="K4464" s="593">
        <f t="shared" si="89"/>
        <v>1826743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69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>x</v>
      </c>
      <c r="AA4464" s="799"/>
    </row>
    <row r="4465" spans="1:27" s="210" customFormat="1" ht="15.75" customHeight="1">
      <c r="A4465" s="203" t="str">
        <f>IF(B4465&lt;&gt;"",IF(AND(B4465&gt;=_TM1,B4465&lt;=_TM2,OR(TH!L4465="1111",TH!M4465="1111")),TH!D4465,""),"")</f>
        <v/>
      </c>
      <c r="B4465" s="36">
        <f t="shared" si="87"/>
        <v>7</v>
      </c>
      <c r="C4465" s="183">
        <f t="shared" si="88"/>
        <v>42202</v>
      </c>
      <c r="D4465" s="190" t="s">
        <v>2015</v>
      </c>
      <c r="E4465" s="190">
        <v>42202</v>
      </c>
      <c r="F4465" s="191" t="s">
        <v>906</v>
      </c>
      <c r="G4465" s="482" t="s">
        <v>907</v>
      </c>
      <c r="H4465" s="192" t="s">
        <v>2016</v>
      </c>
      <c r="I4465" s="255">
        <v>252</v>
      </c>
      <c r="J4465" s="255">
        <v>7306.9736401632708</v>
      </c>
      <c r="K4465" s="593">
        <f t="shared" si="89"/>
        <v>1841357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69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>x</v>
      </c>
      <c r="AA4465" s="799"/>
    </row>
    <row r="4466" spans="1:27" s="210" customFormat="1" ht="15.75" customHeight="1">
      <c r="A4466" s="203" t="str">
        <f>IF(B4466&lt;&gt;"",IF(AND(B4466&gt;=_TM1,B4466&lt;=_TM2,OR(TH!L4466="1111",TH!M4466="1111")),TH!D4466,""),"")</f>
        <v/>
      </c>
      <c r="B4466" s="36">
        <f t="shared" si="87"/>
        <v>7</v>
      </c>
      <c r="C4466" s="183">
        <f t="shared" si="88"/>
        <v>42202</v>
      </c>
      <c r="D4466" s="190" t="s">
        <v>2015</v>
      </c>
      <c r="E4466" s="190">
        <v>42202</v>
      </c>
      <c r="F4466" s="191" t="s">
        <v>614</v>
      </c>
      <c r="G4466" s="482" t="s">
        <v>907</v>
      </c>
      <c r="H4466" s="192" t="s">
        <v>2016</v>
      </c>
      <c r="I4466" s="255">
        <v>247</v>
      </c>
      <c r="J4466" s="255">
        <v>5299.563299459076</v>
      </c>
      <c r="K4466" s="593">
        <f t="shared" si="89"/>
        <v>1308992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69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>x</v>
      </c>
      <c r="AA4466" s="799"/>
    </row>
    <row r="4467" spans="1:27" s="210" customFormat="1" ht="15.75" customHeight="1">
      <c r="A4467" s="203" t="str">
        <f>IF(B4467&lt;&gt;"",IF(AND(B4467&gt;=_TM1,B4467&lt;=_TM2,OR(TH!L4467="1111",TH!M4467="1111")),TH!D4467,""),"")</f>
        <v/>
      </c>
      <c r="B4467" s="36">
        <f t="shared" si="87"/>
        <v>7</v>
      </c>
      <c r="C4467" s="183">
        <f t="shared" si="88"/>
        <v>42202</v>
      </c>
      <c r="D4467" s="190" t="s">
        <v>2015</v>
      </c>
      <c r="E4467" s="190">
        <v>42202</v>
      </c>
      <c r="F4467" s="191" t="s">
        <v>614</v>
      </c>
      <c r="G4467" s="482" t="s">
        <v>907</v>
      </c>
      <c r="H4467" s="192" t="s">
        <v>2016</v>
      </c>
      <c r="I4467" s="255">
        <v>248</v>
      </c>
      <c r="J4467" s="255">
        <v>5299.563299459076</v>
      </c>
      <c r="K4467" s="593">
        <f t="shared" si="89"/>
        <v>1314292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69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>x</v>
      </c>
      <c r="AA4467" s="799"/>
    </row>
    <row r="4468" spans="1:27" s="210" customFormat="1" ht="15.75" customHeight="1">
      <c r="A4468" s="203" t="str">
        <f>IF(B4468&lt;&gt;"",IF(AND(B4468&gt;=_TM1,B4468&lt;=_TM2,OR(TH!L4468="1111",TH!M4468="1111")),TH!D4468,""),"")</f>
        <v/>
      </c>
      <c r="B4468" s="36">
        <f t="shared" si="87"/>
        <v>7</v>
      </c>
      <c r="C4468" s="183">
        <f t="shared" si="88"/>
        <v>42202</v>
      </c>
      <c r="D4468" s="190" t="s">
        <v>2015</v>
      </c>
      <c r="E4468" s="190">
        <v>42202</v>
      </c>
      <c r="F4468" s="191" t="s">
        <v>616</v>
      </c>
      <c r="G4468" s="482" t="s">
        <v>907</v>
      </c>
      <c r="H4468" s="192" t="s">
        <v>2016</v>
      </c>
      <c r="I4468" s="255">
        <v>503</v>
      </c>
      <c r="J4468" s="255">
        <v>5299.563299459076</v>
      </c>
      <c r="K4468" s="593">
        <f t="shared" si="89"/>
        <v>2665680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69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>x</v>
      </c>
      <c r="AA4468" s="799"/>
    </row>
    <row r="4469" spans="1:27" s="210" customFormat="1" ht="15.75" customHeight="1">
      <c r="A4469" s="203" t="str">
        <f>IF(B4469&lt;&gt;"",IF(AND(B4469&gt;=_TM1,B4469&lt;=_TM2,OR(TH!L4469="1111",TH!M4469="1111")),TH!D4469,""),"")</f>
        <v/>
      </c>
      <c r="B4469" s="36">
        <f t="shared" si="87"/>
        <v>7</v>
      </c>
      <c r="C4469" s="183">
        <f t="shared" si="88"/>
        <v>42202</v>
      </c>
      <c r="D4469" s="190" t="s">
        <v>2015</v>
      </c>
      <c r="E4469" s="190">
        <v>42202</v>
      </c>
      <c r="F4469" s="191" t="s">
        <v>616</v>
      </c>
      <c r="G4469" s="482" t="s">
        <v>907</v>
      </c>
      <c r="H4469" s="192" t="s">
        <v>2016</v>
      </c>
      <c r="I4469" s="255">
        <v>495</v>
      </c>
      <c r="J4469" s="255">
        <v>5299.563299459076</v>
      </c>
      <c r="K4469" s="593">
        <f t="shared" si="89"/>
        <v>2623284</v>
      </c>
      <c r="L4469" s="193" t="s">
        <v>172</v>
      </c>
      <c r="M4469" s="193" t="s">
        <v>167</v>
      </c>
      <c r="N4469" s="52" t="str">
        <f>IF(AND('331-CT'!$E$7=TH!H4469,OR(L4469="331",M4469="331")),"331",IF(AND(OR(L4469="131",M4469="131"),H4469='131-CT'!$E$7),"131",""))</f>
        <v/>
      </c>
      <c r="O4469" s="869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>x</v>
      </c>
      <c r="AA4469" s="799"/>
    </row>
    <row r="4470" spans="1:27" s="210" customFormat="1" ht="15.75" customHeight="1">
      <c r="A4470" s="203" t="str">
        <f>IF(B4470&lt;&gt;"",IF(AND(B4470&gt;=_TM1,B4470&lt;=_TM2,OR(TH!L4470="1111",TH!M4470="1111")),TH!D4470,""),"")</f>
        <v/>
      </c>
      <c r="B4470" s="36">
        <f t="shared" si="87"/>
        <v>7</v>
      </c>
      <c r="C4470" s="183">
        <f t="shared" si="88"/>
        <v>42202</v>
      </c>
      <c r="D4470" s="190" t="s">
        <v>2015</v>
      </c>
      <c r="E4470" s="190">
        <v>42202</v>
      </c>
      <c r="F4470" s="191" t="s">
        <v>614</v>
      </c>
      <c r="G4470" s="482" t="s">
        <v>907</v>
      </c>
      <c r="H4470" s="192" t="s">
        <v>2016</v>
      </c>
      <c r="I4470" s="255">
        <v>268</v>
      </c>
      <c r="J4470" s="255">
        <v>5299.563299459076</v>
      </c>
      <c r="K4470" s="593">
        <f t="shared" si="89"/>
        <v>1420283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69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>x</v>
      </c>
      <c r="AA4470" s="799"/>
    </row>
    <row r="4471" spans="1:27" s="210" customFormat="1" ht="15.75" customHeight="1">
      <c r="A4471" s="203" t="str">
        <f>IF(B4471&lt;&gt;"",IF(AND(B4471&gt;=_TM1,B4471&lt;=_TM2,OR(TH!L4471="1111",TH!M4471="1111")),TH!D4471,""),"")</f>
        <v/>
      </c>
      <c r="B4471" s="36">
        <f t="shared" si="87"/>
        <v>7</v>
      </c>
      <c r="C4471" s="183">
        <f t="shared" si="88"/>
        <v>42202</v>
      </c>
      <c r="D4471" s="190" t="s">
        <v>2015</v>
      </c>
      <c r="E4471" s="190">
        <v>42202</v>
      </c>
      <c r="F4471" s="191" t="s">
        <v>614</v>
      </c>
      <c r="G4471" s="482" t="s">
        <v>907</v>
      </c>
      <c r="H4471" s="192" t="s">
        <v>2016</v>
      </c>
      <c r="I4471" s="255">
        <v>273</v>
      </c>
      <c r="J4471" s="255">
        <v>5299.563299459076</v>
      </c>
      <c r="K4471" s="593">
        <f t="shared" si="89"/>
        <v>1446781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69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>x</v>
      </c>
      <c r="AA4471" s="799"/>
    </row>
    <row r="4472" spans="1:27" s="210" customFormat="1" ht="15.75" customHeight="1">
      <c r="A4472" s="203" t="str">
        <f>IF(B4472&lt;&gt;"",IF(AND(B4472&gt;=_TM1,B4472&lt;=_TM2,OR(TH!L4472="1111",TH!M4472="1111")),TH!D4472,""),"")</f>
        <v/>
      </c>
      <c r="B4472" s="36">
        <f t="shared" si="87"/>
        <v>7</v>
      </c>
      <c r="C4472" s="183">
        <f t="shared" si="88"/>
        <v>42202</v>
      </c>
      <c r="D4472" s="190" t="s">
        <v>2015</v>
      </c>
      <c r="E4472" s="190">
        <v>42202</v>
      </c>
      <c r="F4472" s="191" t="s">
        <v>1756</v>
      </c>
      <c r="G4472" s="482" t="s">
        <v>908</v>
      </c>
      <c r="H4472" s="192" t="s">
        <v>2016</v>
      </c>
      <c r="I4472" s="255">
        <v>25</v>
      </c>
      <c r="J4472" s="255">
        <v>12686.833353250515</v>
      </c>
      <c r="K4472" s="593">
        <f t="shared" si="89"/>
        <v>317171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69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>x</v>
      </c>
      <c r="AA4472" s="799"/>
    </row>
    <row r="4473" spans="1:27" s="210" customFormat="1" ht="15.75" customHeight="1">
      <c r="A4473" s="203" t="str">
        <f>IF(B4473&lt;&gt;"",IF(AND(B4473&gt;=_TM1,B4473&lt;=_TM2,OR(TH!L4473="1111",TH!M4473="1111")),TH!D4473,""),"")</f>
        <v/>
      </c>
      <c r="B4473" s="36">
        <f t="shared" si="87"/>
        <v>7</v>
      </c>
      <c r="C4473" s="183">
        <f t="shared" si="88"/>
        <v>42202</v>
      </c>
      <c r="D4473" s="190" t="s">
        <v>2015</v>
      </c>
      <c r="E4473" s="190">
        <v>42202</v>
      </c>
      <c r="F4473" s="191" t="s">
        <v>1741</v>
      </c>
      <c r="G4473" s="482" t="s">
        <v>908</v>
      </c>
      <c r="H4473" s="192" t="s">
        <v>2016</v>
      </c>
      <c r="I4473" s="255">
        <v>45</v>
      </c>
      <c r="J4473" s="255">
        <v>8912.9019127266274</v>
      </c>
      <c r="K4473" s="593">
        <f t="shared" si="89"/>
        <v>401081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69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>x</v>
      </c>
      <c r="AA4473" s="799"/>
    </row>
    <row r="4474" spans="1:27" s="210" customFormat="1" ht="15.75" customHeight="1">
      <c r="A4474" s="203" t="str">
        <f>IF(B4474&lt;&gt;"",IF(AND(B4474&gt;=_TM1,B4474&lt;=_TM2,OR(TH!L4474="1111",TH!M4474="1111")),TH!D4474,""),"")</f>
        <v/>
      </c>
      <c r="B4474" s="36">
        <f t="shared" si="87"/>
        <v>7</v>
      </c>
      <c r="C4474" s="183">
        <f t="shared" si="88"/>
        <v>42202</v>
      </c>
      <c r="D4474" s="190" t="s">
        <v>2015</v>
      </c>
      <c r="E4474" s="190">
        <v>42202</v>
      </c>
      <c r="F4474" s="191" t="s">
        <v>1736</v>
      </c>
      <c r="G4474" s="482" t="s">
        <v>908</v>
      </c>
      <c r="H4474" s="192" t="s">
        <v>2016</v>
      </c>
      <c r="I4474" s="255">
        <v>25</v>
      </c>
      <c r="J4474" s="255">
        <v>14453.354453070206</v>
      </c>
      <c r="K4474" s="593">
        <f t="shared" si="89"/>
        <v>361334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69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>x</v>
      </c>
      <c r="AA4474" s="799"/>
    </row>
    <row r="4475" spans="1:27" s="210" customFormat="1" ht="15.75" customHeight="1">
      <c r="A4475" s="203" t="str">
        <f>IF(B4475&lt;&gt;"",IF(AND(B4475&gt;=_TM1,B4475&lt;=_TM2,OR(TH!L4475="1111",TH!M4475="1111")),TH!D4475,""),"")</f>
        <v/>
      </c>
      <c r="B4475" s="36">
        <f t="shared" si="87"/>
        <v>7</v>
      </c>
      <c r="C4475" s="183">
        <f t="shared" si="88"/>
        <v>42202</v>
      </c>
      <c r="D4475" s="190" t="s">
        <v>2015</v>
      </c>
      <c r="E4475" s="190">
        <v>42202</v>
      </c>
      <c r="F4475" s="191" t="s">
        <v>690</v>
      </c>
      <c r="G4475" s="482" t="s">
        <v>908</v>
      </c>
      <c r="H4475" s="192" t="s">
        <v>2016</v>
      </c>
      <c r="I4475" s="255">
        <v>25</v>
      </c>
      <c r="J4475" s="255">
        <v>16059.282725633562</v>
      </c>
      <c r="K4475" s="593">
        <f t="shared" si="89"/>
        <v>401482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69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>x</v>
      </c>
      <c r="AA4475" s="799"/>
    </row>
    <row r="4476" spans="1:27" s="210" customFormat="1" ht="15.75" customHeight="1">
      <c r="A4476" s="203" t="str">
        <f>IF(B4476&lt;&gt;"",IF(AND(B4476&gt;=_TM1,B4476&lt;=_TM2,OR(TH!L4476="1111",TH!M4476="1111")),TH!D4476,""),"")</f>
        <v/>
      </c>
      <c r="B4476" s="36">
        <f t="shared" si="87"/>
        <v>7</v>
      </c>
      <c r="C4476" s="183">
        <f t="shared" si="88"/>
        <v>42202</v>
      </c>
      <c r="D4476" s="190" t="s">
        <v>2015</v>
      </c>
      <c r="E4476" s="190">
        <v>42202</v>
      </c>
      <c r="F4476" s="191" t="s">
        <v>1705</v>
      </c>
      <c r="G4476" s="482" t="s">
        <v>908</v>
      </c>
      <c r="H4476" s="192" t="s">
        <v>2016</v>
      </c>
      <c r="I4476" s="255">
        <v>100</v>
      </c>
      <c r="J4476" s="255">
        <v>7306.9736401632708</v>
      </c>
      <c r="K4476" s="593">
        <f t="shared" si="89"/>
        <v>730697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69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>x</v>
      </c>
      <c r="AA4476" s="799"/>
    </row>
    <row r="4477" spans="1:27" s="210" customFormat="1" ht="15.75" customHeight="1">
      <c r="A4477" s="203" t="str">
        <f>IF(B4477&lt;&gt;"",IF(AND(B4477&gt;=_TM1,B4477&lt;=_TM2,OR(TH!L4477="1111",TH!M4477="1111")),TH!D4477,""),"")</f>
        <v/>
      </c>
      <c r="B4477" s="36">
        <f t="shared" si="87"/>
        <v>7</v>
      </c>
      <c r="C4477" s="183">
        <f t="shared" si="88"/>
        <v>42202</v>
      </c>
      <c r="D4477" s="190" t="s">
        <v>2015</v>
      </c>
      <c r="E4477" s="190">
        <v>42202</v>
      </c>
      <c r="F4477" s="191" t="s">
        <v>1757</v>
      </c>
      <c r="G4477" s="482" t="s">
        <v>908</v>
      </c>
      <c r="H4477" s="192" t="s">
        <v>2016</v>
      </c>
      <c r="I4477" s="255">
        <v>220</v>
      </c>
      <c r="J4477" s="255">
        <v>7788.7521219322771</v>
      </c>
      <c r="K4477" s="593">
        <f t="shared" si="89"/>
        <v>1713525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69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>x</v>
      </c>
      <c r="AA4477" s="799"/>
    </row>
    <row r="4478" spans="1:27" s="210" customFormat="1" ht="15.75" customHeight="1">
      <c r="A4478" s="203" t="str">
        <f>IF(B4478&lt;&gt;"",IF(AND(B4478&gt;=_TM1,B4478&lt;=_TM2,OR(TH!L4478="1111",TH!M4478="1111")),TH!D4478,""),"")</f>
        <v/>
      </c>
      <c r="B4478" s="36">
        <f t="shared" si="87"/>
        <v>7</v>
      </c>
      <c r="C4478" s="183">
        <f t="shared" si="88"/>
        <v>42202</v>
      </c>
      <c r="D4478" s="190" t="s">
        <v>2015</v>
      </c>
      <c r="E4478" s="190">
        <v>42202</v>
      </c>
      <c r="F4478" s="191" t="s">
        <v>1758</v>
      </c>
      <c r="G4478" s="482" t="s">
        <v>908</v>
      </c>
      <c r="H4478" s="192" t="s">
        <v>2016</v>
      </c>
      <c r="I4478" s="255">
        <v>160</v>
      </c>
      <c r="J4478" s="255">
        <v>12285.351285109675</v>
      </c>
      <c r="K4478" s="593">
        <f t="shared" si="89"/>
        <v>1965656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69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>x</v>
      </c>
      <c r="AA4478" s="799"/>
    </row>
    <row r="4479" spans="1:27" s="210" customFormat="1" ht="15.75" customHeight="1">
      <c r="A4479" s="203" t="str">
        <f>IF(B4479&lt;&gt;"",IF(AND(B4479&gt;=_TM1,B4479&lt;=_TM2,OR(TH!L4479="1111",TH!M4479="1111")),TH!D4479,""),"")</f>
        <v/>
      </c>
      <c r="B4479" s="36">
        <f t="shared" si="87"/>
        <v>7</v>
      </c>
      <c r="C4479" s="183">
        <f t="shared" si="88"/>
        <v>42202</v>
      </c>
      <c r="D4479" s="190" t="s">
        <v>2015</v>
      </c>
      <c r="E4479" s="190">
        <v>42202</v>
      </c>
      <c r="F4479" s="191" t="s">
        <v>1759</v>
      </c>
      <c r="G4479" s="482" t="s">
        <v>908</v>
      </c>
      <c r="H4479" s="192" t="s">
        <v>2016</v>
      </c>
      <c r="I4479" s="255">
        <v>270</v>
      </c>
      <c r="J4479" s="255">
        <v>9073.4947399829616</v>
      </c>
      <c r="K4479" s="593">
        <f t="shared" si="89"/>
        <v>2449844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69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>x</v>
      </c>
      <c r="AA4479" s="799"/>
    </row>
    <row r="4480" spans="1:27" s="210" customFormat="1" ht="15.75" customHeight="1">
      <c r="A4480" s="203" t="str">
        <f>IF(B4480&lt;&gt;"",IF(AND(B4480&gt;=_TM1,B4480&lt;=_TM2,OR(TH!L4480="1111",TH!M4480="1111")),TH!D4480,""),"")</f>
        <v/>
      </c>
      <c r="B4480" s="36">
        <f t="shared" si="87"/>
        <v>7</v>
      </c>
      <c r="C4480" s="183">
        <f t="shared" si="88"/>
        <v>42202</v>
      </c>
      <c r="D4480" s="190" t="s">
        <v>2015</v>
      </c>
      <c r="E4480" s="190">
        <v>42202</v>
      </c>
      <c r="F4480" s="191" t="s">
        <v>1760</v>
      </c>
      <c r="G4480" s="482" t="s">
        <v>908</v>
      </c>
      <c r="H4480" s="192" t="s">
        <v>2016</v>
      </c>
      <c r="I4480" s="255">
        <v>190</v>
      </c>
      <c r="J4480" s="255">
        <v>10599.126598918152</v>
      </c>
      <c r="K4480" s="593">
        <f t="shared" si="89"/>
        <v>2013834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69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>x</v>
      </c>
      <c r="AA4480" s="799"/>
    </row>
    <row r="4481" spans="1:27" s="210" customFormat="1" ht="15.75" customHeight="1">
      <c r="A4481" s="203" t="str">
        <f>IF(B4481&lt;&gt;"",IF(AND(B4481&gt;=_TM1,B4481&lt;=_TM2,OR(TH!L4481="1111",TH!M4481="1111")),TH!D4481,""),"")</f>
        <v/>
      </c>
      <c r="B4481" s="36">
        <f t="shared" si="87"/>
        <v>7</v>
      </c>
      <c r="C4481" s="183">
        <f t="shared" si="88"/>
        <v>42205</v>
      </c>
      <c r="D4481" s="190" t="s">
        <v>2015</v>
      </c>
      <c r="E4481" s="190">
        <v>42205</v>
      </c>
      <c r="F4481" s="191" t="s">
        <v>413</v>
      </c>
      <c r="G4481" s="482" t="s">
        <v>909</v>
      </c>
      <c r="H4481" s="192" t="s">
        <v>2016</v>
      </c>
      <c r="I4481" s="255">
        <v>311</v>
      </c>
      <c r="J4481" s="255">
        <v>7628.159294675942</v>
      </c>
      <c r="K4481" s="593">
        <f t="shared" si="89"/>
        <v>2372358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69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>x</v>
      </c>
      <c r="AA4481" s="799"/>
    </row>
    <row r="4482" spans="1:27" s="210" customFormat="1" ht="15.75" customHeight="1">
      <c r="A4482" s="203" t="str">
        <f>IF(B4482&lt;&gt;"",IF(AND(B4482&gt;=_TM1,B4482&lt;=_TM2,OR(TH!L4482="1111",TH!M4482="1111")),TH!D4482,""),"")</f>
        <v/>
      </c>
      <c r="B4482" s="36">
        <f t="shared" si="87"/>
        <v>7</v>
      </c>
      <c r="C4482" s="183">
        <f t="shared" si="88"/>
        <v>42205</v>
      </c>
      <c r="D4482" s="190" t="s">
        <v>2015</v>
      </c>
      <c r="E4482" s="190">
        <v>42205</v>
      </c>
      <c r="F4482" s="191" t="s">
        <v>413</v>
      </c>
      <c r="G4482" s="482" t="s">
        <v>909</v>
      </c>
      <c r="H4482" s="192" t="s">
        <v>2016</v>
      </c>
      <c r="I4482" s="255">
        <v>497</v>
      </c>
      <c r="J4482" s="255">
        <v>7628.159294675942</v>
      </c>
      <c r="K4482" s="593">
        <f t="shared" si="89"/>
        <v>3791195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69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>x</v>
      </c>
      <c r="AA4482" s="799"/>
    </row>
    <row r="4483" spans="1:27" s="210" customFormat="1" ht="15.75" customHeight="1">
      <c r="A4483" s="203" t="str">
        <f>IF(B4483&lt;&gt;"",IF(AND(B4483&gt;=_TM1,B4483&lt;=_TM2,OR(TH!L4483="1111",TH!M4483="1111")),TH!D4483,""),"")</f>
        <v/>
      </c>
      <c r="B4483" s="36">
        <f t="shared" si="87"/>
        <v>7</v>
      </c>
      <c r="C4483" s="183">
        <f t="shared" si="88"/>
        <v>42205</v>
      </c>
      <c r="D4483" s="190" t="s">
        <v>2015</v>
      </c>
      <c r="E4483" s="190">
        <v>42205</v>
      </c>
      <c r="F4483" s="191" t="s">
        <v>910</v>
      </c>
      <c r="G4483" s="482" t="s">
        <v>911</v>
      </c>
      <c r="H4483" s="192" t="s">
        <v>2016</v>
      </c>
      <c r="I4483" s="255">
        <v>574</v>
      </c>
      <c r="J4483" s="255">
        <v>5379.859713087244</v>
      </c>
      <c r="K4483" s="593">
        <f t="shared" si="89"/>
        <v>3088039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69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>x</v>
      </c>
      <c r="AA4483" s="799"/>
    </row>
    <row r="4484" spans="1:27" s="210" customFormat="1" ht="15.75" customHeight="1">
      <c r="A4484" s="203" t="str">
        <f>IF(B4484&lt;&gt;"",IF(AND(B4484&gt;=_TM1,B4484&lt;=_TM2,OR(TH!L4484="1111",TH!M4484="1111")),TH!D4484,""),"")</f>
        <v/>
      </c>
      <c r="B4484" s="36">
        <f t="shared" si="87"/>
        <v>7</v>
      </c>
      <c r="C4484" s="183">
        <f t="shared" si="88"/>
        <v>42205</v>
      </c>
      <c r="D4484" s="190" t="s">
        <v>2015</v>
      </c>
      <c r="E4484" s="190">
        <v>42205</v>
      </c>
      <c r="F4484" s="191" t="s">
        <v>910</v>
      </c>
      <c r="G4484" s="482" t="s">
        <v>911</v>
      </c>
      <c r="H4484" s="192" t="s">
        <v>2016</v>
      </c>
      <c r="I4484" s="255">
        <v>588</v>
      </c>
      <c r="J4484" s="255">
        <v>5379.859713087244</v>
      </c>
      <c r="K4484" s="593">
        <f t="shared" si="89"/>
        <v>3163358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69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>x</v>
      </c>
      <c r="AA4484" s="799"/>
    </row>
    <row r="4485" spans="1:27" s="210" customFormat="1" ht="15.75" customHeight="1">
      <c r="A4485" s="203" t="str">
        <f>IF(B4485&lt;&gt;"",IF(AND(B4485&gt;=_TM1,B4485&lt;=_TM2,OR(TH!L4485="1111",TH!M4485="1111")),TH!D4485,""),"")</f>
        <v/>
      </c>
      <c r="B4485" s="36">
        <f t="shared" si="87"/>
        <v>7</v>
      </c>
      <c r="C4485" s="183">
        <f t="shared" si="88"/>
        <v>42205</v>
      </c>
      <c r="D4485" s="190" t="s">
        <v>2015</v>
      </c>
      <c r="E4485" s="190">
        <v>42205</v>
      </c>
      <c r="F4485" s="191" t="s">
        <v>830</v>
      </c>
      <c r="G4485" s="482" t="s">
        <v>912</v>
      </c>
      <c r="H4485" s="192" t="s">
        <v>2016</v>
      </c>
      <c r="I4485" s="255">
        <v>280</v>
      </c>
      <c r="J4485" s="255">
        <v>11402.090735199828</v>
      </c>
      <c r="K4485" s="593">
        <f t="shared" si="89"/>
        <v>3192585</v>
      </c>
      <c r="L4485" s="193" t="s">
        <v>172</v>
      </c>
      <c r="M4485" s="193" t="s">
        <v>167</v>
      </c>
      <c r="N4485" s="52" t="str">
        <f>IF(AND('331-CT'!$E$7=TH!H4485,OR(L4485="331",M4485="331")),"331",IF(AND(OR(L4485="131",M4485="131"),H4485='131-CT'!$E$7),"131",""))</f>
        <v/>
      </c>
      <c r="O4485" s="869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>x</v>
      </c>
      <c r="AA4485" s="799"/>
    </row>
    <row r="4486" spans="1:27" s="210" customFormat="1" ht="15.75" customHeight="1">
      <c r="A4486" s="203" t="str">
        <f>IF(B4486&lt;&gt;"",IF(AND(B4486&gt;=_TM1,B4486&lt;=_TM2,OR(TH!L4486="1111",TH!M4486="1111")),TH!D4486,""),"")</f>
        <v/>
      </c>
      <c r="B4486" s="36">
        <f t="shared" si="87"/>
        <v>7</v>
      </c>
      <c r="C4486" s="183">
        <f t="shared" si="88"/>
        <v>42205</v>
      </c>
      <c r="D4486" s="190" t="s">
        <v>2015</v>
      </c>
      <c r="E4486" s="190">
        <v>42205</v>
      </c>
      <c r="F4486" s="191" t="s">
        <v>852</v>
      </c>
      <c r="G4486" s="482" t="s">
        <v>913</v>
      </c>
      <c r="H4486" s="192" t="s">
        <v>2016</v>
      </c>
      <c r="I4486" s="255">
        <v>465</v>
      </c>
      <c r="J4486" s="255">
        <v>15336.615002980052</v>
      </c>
      <c r="K4486" s="593">
        <f t="shared" si="89"/>
        <v>7131526</v>
      </c>
      <c r="L4486" s="193" t="s">
        <v>172</v>
      </c>
      <c r="M4486" s="193" t="s">
        <v>167</v>
      </c>
      <c r="N4486" s="52" t="str">
        <f>IF(AND('331-CT'!$E$7=TH!H4486,OR(L4486="331",M4486="331")),"331",IF(AND(OR(L4486="131",M4486="131"),H4486='131-CT'!$E$7),"131",""))</f>
        <v/>
      </c>
      <c r="O4486" s="869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799"/>
    </row>
    <row r="4487" spans="1:27" s="210" customFormat="1" ht="15.75" customHeight="1">
      <c r="A4487" s="203" t="str">
        <f>IF(B4487&lt;&gt;"",IF(AND(B4487&gt;=_TM1,B4487&lt;=_TM2,OR(TH!L4487="1111",TH!M4487="1111")),TH!D4487,""),"")</f>
        <v/>
      </c>
      <c r="B4487" s="36">
        <f t="shared" si="87"/>
        <v>7</v>
      </c>
      <c r="C4487" s="183">
        <f t="shared" si="88"/>
        <v>42205</v>
      </c>
      <c r="D4487" s="190" t="s">
        <v>2015</v>
      </c>
      <c r="E4487" s="190">
        <v>42205</v>
      </c>
      <c r="F4487" s="191" t="s">
        <v>849</v>
      </c>
      <c r="G4487" s="482" t="s">
        <v>913</v>
      </c>
      <c r="H4487" s="192" t="s">
        <v>2016</v>
      </c>
      <c r="I4487" s="255">
        <v>92</v>
      </c>
      <c r="J4487" s="255">
        <v>13409.501075904023</v>
      </c>
      <c r="K4487" s="593">
        <f t="shared" si="89"/>
        <v>1233674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69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799"/>
    </row>
    <row r="4488" spans="1:27" s="210" customFormat="1" ht="15.75" customHeight="1">
      <c r="A4488" s="203" t="str">
        <f>IF(B4488&lt;&gt;"",IF(AND(B4488&gt;=_TM1,B4488&lt;=_TM2,OR(TH!L4488="1111",TH!M4488="1111")),TH!D4488,""),"")</f>
        <v/>
      </c>
      <c r="B4488" s="36">
        <f t="shared" si="87"/>
        <v>7</v>
      </c>
      <c r="C4488" s="183">
        <f t="shared" si="88"/>
        <v>42205</v>
      </c>
      <c r="D4488" s="190" t="s">
        <v>2015</v>
      </c>
      <c r="E4488" s="190">
        <v>42205</v>
      </c>
      <c r="F4488" s="191" t="s">
        <v>853</v>
      </c>
      <c r="G4488" s="482" t="s">
        <v>913</v>
      </c>
      <c r="H4488" s="192" t="s">
        <v>2016</v>
      </c>
      <c r="I4488" s="255">
        <v>268</v>
      </c>
      <c r="J4488" s="255">
        <v>17183.432516427914</v>
      </c>
      <c r="K4488" s="593">
        <f t="shared" si="89"/>
        <v>4605160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69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799"/>
    </row>
    <row r="4489" spans="1:27" s="210" customFormat="1" ht="15.75" customHeight="1">
      <c r="A4489" s="203" t="str">
        <f>IF(B4489&lt;&gt;"",IF(AND(B4489&gt;=_TM1,B4489&lt;=_TM2,OR(TH!L4489="1111",TH!M4489="1111")),TH!D4489,""),"")</f>
        <v/>
      </c>
      <c r="B4489" s="36">
        <f t="shared" si="87"/>
        <v>7</v>
      </c>
      <c r="C4489" s="183">
        <f t="shared" si="88"/>
        <v>42205</v>
      </c>
      <c r="D4489" s="190" t="s">
        <v>2015</v>
      </c>
      <c r="E4489" s="190">
        <v>42205</v>
      </c>
      <c r="F4489" s="191" t="s">
        <v>914</v>
      </c>
      <c r="G4489" s="482" t="s">
        <v>915</v>
      </c>
      <c r="H4489" s="192" t="s">
        <v>2016</v>
      </c>
      <c r="I4489" s="255">
        <v>80</v>
      </c>
      <c r="J4489" s="255">
        <v>22482.995815886985</v>
      </c>
      <c r="K4489" s="593">
        <f t="shared" si="89"/>
        <v>1798640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69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799"/>
    </row>
    <row r="4490" spans="1:27" s="210" customFormat="1" ht="15.75" customHeight="1">
      <c r="A4490" s="203" t="str">
        <f>IF(B4490&lt;&gt;"",IF(AND(B4490&gt;=_TM1,B4490&lt;=_TM2,OR(TH!L4490="1111",TH!M4490="1111")),TH!D4490,""),"")</f>
        <v/>
      </c>
      <c r="B4490" s="36">
        <f t="shared" si="87"/>
        <v>7</v>
      </c>
      <c r="C4490" s="183">
        <f t="shared" si="88"/>
        <v>42205</v>
      </c>
      <c r="D4490" s="190" t="s">
        <v>2015</v>
      </c>
      <c r="E4490" s="190">
        <v>42205</v>
      </c>
      <c r="F4490" s="191" t="s">
        <v>1674</v>
      </c>
      <c r="G4490" s="482" t="s">
        <v>915</v>
      </c>
      <c r="H4490" s="192" t="s">
        <v>2016</v>
      </c>
      <c r="I4490" s="255">
        <v>160</v>
      </c>
      <c r="J4490" s="255">
        <v>963.55696353801375</v>
      </c>
      <c r="K4490" s="593">
        <f t="shared" si="89"/>
        <v>154169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69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799"/>
    </row>
    <row r="4491" spans="1:27" s="210" customFormat="1" ht="15.75" customHeight="1">
      <c r="A4491" s="203" t="str">
        <f>IF(B4491&lt;&gt;"",IF(AND(B4491&gt;=_TM1,B4491&lt;=_TM2,OR(TH!L4491="1111",TH!M4491="1111")),TH!D4491,""),"")</f>
        <v/>
      </c>
      <c r="B4491" s="36">
        <f t="shared" si="87"/>
        <v>7</v>
      </c>
      <c r="C4491" s="183">
        <f t="shared" si="88"/>
        <v>42205</v>
      </c>
      <c r="D4491" s="190" t="s">
        <v>2015</v>
      </c>
      <c r="E4491" s="190">
        <v>42205</v>
      </c>
      <c r="F4491" s="191" t="s">
        <v>916</v>
      </c>
      <c r="G4491" s="482" t="s">
        <v>917</v>
      </c>
      <c r="H4491" s="192" t="s">
        <v>2016</v>
      </c>
      <c r="I4491" s="255">
        <v>300</v>
      </c>
      <c r="J4491" s="255">
        <v>19030.250029875773</v>
      </c>
      <c r="K4491" s="593">
        <f t="shared" si="89"/>
        <v>5709075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69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799"/>
    </row>
    <row r="4492" spans="1:27" s="210" customFormat="1" ht="15.75" customHeight="1">
      <c r="A4492" s="203" t="str">
        <f>IF(B4492&lt;&gt;"",IF(AND(B4492&gt;=_TM1,B4492&lt;=_TM2,OR(TH!L4492="1111",TH!M4492="1111")),TH!D4492,""),"")</f>
        <v/>
      </c>
      <c r="B4492" s="36">
        <f t="shared" si="87"/>
        <v>7</v>
      </c>
      <c r="C4492" s="183">
        <f t="shared" si="88"/>
        <v>42205</v>
      </c>
      <c r="D4492" s="190" t="s">
        <v>2015</v>
      </c>
      <c r="E4492" s="190">
        <v>42205</v>
      </c>
      <c r="F4492" s="191" t="s">
        <v>1664</v>
      </c>
      <c r="G4492" s="482" t="s">
        <v>917</v>
      </c>
      <c r="H4492" s="192" t="s">
        <v>2016</v>
      </c>
      <c r="I4492" s="255">
        <v>600</v>
      </c>
      <c r="J4492" s="255">
        <v>642.3713090253425</v>
      </c>
      <c r="K4492" s="593">
        <f t="shared" si="89"/>
        <v>385423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69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799"/>
    </row>
    <row r="4493" spans="1:27" s="210" customFormat="1" ht="15.75" customHeight="1">
      <c r="A4493" s="203" t="str">
        <f>IF(B4493&lt;&gt;"",IF(AND(B4493&gt;=_TM1,B4493&lt;=_TM2,OR(TH!L4493="1111",TH!M4493="1111")),TH!D4493,""),"")</f>
        <v/>
      </c>
      <c r="B4493" s="36">
        <f t="shared" si="87"/>
        <v>7</v>
      </c>
      <c r="C4493" s="183">
        <f t="shared" si="88"/>
        <v>42205</v>
      </c>
      <c r="D4493" s="190" t="s">
        <v>2015</v>
      </c>
      <c r="E4493" s="190">
        <v>42205</v>
      </c>
      <c r="F4493" s="191" t="s">
        <v>398</v>
      </c>
      <c r="G4493" s="482" t="s">
        <v>918</v>
      </c>
      <c r="H4493" s="192" t="s">
        <v>2016</v>
      </c>
      <c r="I4493" s="255">
        <v>607</v>
      </c>
      <c r="J4493" s="255">
        <v>6584.3059175097605</v>
      </c>
      <c r="K4493" s="593">
        <f t="shared" si="89"/>
        <v>3996674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69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799"/>
    </row>
    <row r="4494" spans="1:27" s="210" customFormat="1" ht="15.75" customHeight="1">
      <c r="A4494" s="203" t="str">
        <f>IF(B4494&lt;&gt;"",IF(AND(B4494&gt;=_TM1,B4494&lt;=_TM2,OR(TH!L4494="1111",TH!M4494="1111")),TH!D4494,""),"")</f>
        <v/>
      </c>
      <c r="B4494" s="36">
        <f t="shared" si="87"/>
        <v>7</v>
      </c>
      <c r="C4494" s="183">
        <f t="shared" si="88"/>
        <v>42205</v>
      </c>
      <c r="D4494" s="190" t="s">
        <v>2015</v>
      </c>
      <c r="E4494" s="190">
        <v>42205</v>
      </c>
      <c r="F4494" s="191" t="s">
        <v>501</v>
      </c>
      <c r="G4494" s="482" t="s">
        <v>918</v>
      </c>
      <c r="H4494" s="192" t="s">
        <v>2016</v>
      </c>
      <c r="I4494" s="255">
        <v>310</v>
      </c>
      <c r="J4494" s="255">
        <v>12686.833353250515</v>
      </c>
      <c r="K4494" s="593">
        <f t="shared" si="89"/>
        <v>3932918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69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799"/>
    </row>
    <row r="4495" spans="1:27" s="210" customFormat="1" ht="15.75" customHeight="1">
      <c r="A4495" s="203" t="str">
        <f>IF(B4495&lt;&gt;"",IF(AND(B4495&gt;=_TM1,B4495&lt;=_TM2,OR(TH!L4495="1111",TH!M4495="1111")),TH!D4495,""),"")</f>
        <v/>
      </c>
      <c r="B4495" s="36">
        <f t="shared" si="87"/>
        <v>7</v>
      </c>
      <c r="C4495" s="183">
        <f t="shared" si="88"/>
        <v>42205</v>
      </c>
      <c r="D4495" s="190" t="s">
        <v>2015</v>
      </c>
      <c r="E4495" s="190">
        <v>42205</v>
      </c>
      <c r="F4495" s="191" t="s">
        <v>919</v>
      </c>
      <c r="G4495" s="482" t="s">
        <v>918</v>
      </c>
      <c r="H4495" s="192" t="s">
        <v>2016</v>
      </c>
      <c r="I4495" s="255">
        <v>295</v>
      </c>
      <c r="J4495" s="255">
        <v>7226.6772265351028</v>
      </c>
      <c r="K4495" s="593">
        <f t="shared" si="89"/>
        <v>2131870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69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799"/>
    </row>
    <row r="4496" spans="1:27" s="210" customFormat="1" ht="15.75" customHeight="1">
      <c r="A4496" s="203" t="str">
        <f>IF(B4496&lt;&gt;"",IF(AND(B4496&gt;=_TM1,B4496&lt;=_TM2,OR(TH!L4496="1111",TH!M4496="1111")),TH!D4496,""),"")</f>
        <v/>
      </c>
      <c r="B4496" s="36">
        <f t="shared" si="87"/>
        <v>7</v>
      </c>
      <c r="C4496" s="183">
        <f t="shared" si="88"/>
        <v>42205</v>
      </c>
      <c r="D4496" s="190" t="s">
        <v>2015</v>
      </c>
      <c r="E4496" s="190">
        <v>42205</v>
      </c>
      <c r="F4496" s="191" t="s">
        <v>1761</v>
      </c>
      <c r="G4496" s="482" t="s">
        <v>920</v>
      </c>
      <c r="H4496" s="192" t="s">
        <v>2016</v>
      </c>
      <c r="I4496" s="255">
        <v>40</v>
      </c>
      <c r="J4496" s="255">
        <v>11642.979976084333</v>
      </c>
      <c r="K4496" s="593">
        <f t="shared" si="89"/>
        <v>465719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69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799"/>
    </row>
    <row r="4497" spans="1:27" s="210" customFormat="1" ht="15.75" customHeight="1">
      <c r="A4497" s="203" t="str">
        <f>IF(B4497&lt;&gt;"",IF(AND(B4497&gt;=_TM1,B4497&lt;=_TM2,OR(TH!L4497="1111",TH!M4497="1111")),TH!D4497,""),"")</f>
        <v/>
      </c>
      <c r="B4497" s="36">
        <f t="shared" si="87"/>
        <v>7</v>
      </c>
      <c r="C4497" s="183">
        <f t="shared" si="88"/>
        <v>42205</v>
      </c>
      <c r="D4497" s="190" t="s">
        <v>2015</v>
      </c>
      <c r="E4497" s="190">
        <v>42205</v>
      </c>
      <c r="F4497" s="191" t="s">
        <v>742</v>
      </c>
      <c r="G4497" s="482" t="s">
        <v>920</v>
      </c>
      <c r="H4497" s="192" t="s">
        <v>2016</v>
      </c>
      <c r="I4497" s="255">
        <v>65</v>
      </c>
      <c r="J4497" s="255">
        <v>15738.09707112089</v>
      </c>
      <c r="K4497" s="593">
        <f t="shared" si="89"/>
        <v>1022976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69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799"/>
    </row>
    <row r="4498" spans="1:27" s="210" customFormat="1" ht="15.75" customHeight="1">
      <c r="A4498" s="203" t="str">
        <f>IF(B4498&lt;&gt;"",IF(AND(B4498&gt;=_TM1,B4498&lt;=_TM2,OR(TH!L4498="1111",TH!M4498="1111")),TH!D4498,""),"")</f>
        <v/>
      </c>
      <c r="B4498" s="36">
        <f t="shared" si="87"/>
        <v>7</v>
      </c>
      <c r="C4498" s="183">
        <f t="shared" si="88"/>
        <v>42205</v>
      </c>
      <c r="D4498" s="190" t="s">
        <v>2015</v>
      </c>
      <c r="E4498" s="190">
        <v>42205</v>
      </c>
      <c r="F4498" s="191" t="s">
        <v>1762</v>
      </c>
      <c r="G4498" s="482" t="s">
        <v>920</v>
      </c>
      <c r="H4498" s="192" t="s">
        <v>2016</v>
      </c>
      <c r="I4498" s="255">
        <v>35</v>
      </c>
      <c r="J4498" s="255">
        <v>11000.60866705899</v>
      </c>
      <c r="K4498" s="593">
        <f t="shared" si="89"/>
        <v>385021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69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799"/>
    </row>
    <row r="4499" spans="1:27" s="210" customFormat="1" ht="15.75" customHeight="1">
      <c r="A4499" s="203" t="str">
        <f>IF(B4499&lt;&gt;"",IF(AND(B4499&gt;=_TM1,B4499&lt;=_TM2,OR(TH!L4499="1111",TH!M4499="1111")),TH!D4499,""),"")</f>
        <v/>
      </c>
      <c r="B4499" s="36">
        <f t="shared" si="87"/>
        <v>7</v>
      </c>
      <c r="C4499" s="183">
        <f t="shared" si="88"/>
        <v>42205</v>
      </c>
      <c r="D4499" s="190" t="s">
        <v>2015</v>
      </c>
      <c r="E4499" s="190">
        <v>42205</v>
      </c>
      <c r="F4499" s="191" t="s">
        <v>1763</v>
      </c>
      <c r="G4499" s="482" t="s">
        <v>920</v>
      </c>
      <c r="H4499" s="192" t="s">
        <v>2016</v>
      </c>
      <c r="I4499" s="255">
        <v>35</v>
      </c>
      <c r="J4499" s="255">
        <v>10277.94094440548</v>
      </c>
      <c r="K4499" s="593">
        <f t="shared" si="89"/>
        <v>359728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69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799"/>
    </row>
    <row r="4500" spans="1:27" s="210" customFormat="1" ht="15.75" customHeight="1">
      <c r="A4500" s="203" t="str">
        <f>IF(B4500&lt;&gt;"",IF(AND(B4500&gt;=_TM1,B4500&lt;=_TM2,OR(TH!L4500="1111",TH!M4500="1111")),TH!D4500,""),"")</f>
        <v/>
      </c>
      <c r="B4500" s="36">
        <f t="shared" si="87"/>
        <v>7</v>
      </c>
      <c r="C4500" s="183">
        <f t="shared" si="88"/>
        <v>42205</v>
      </c>
      <c r="D4500" s="190" t="s">
        <v>2015</v>
      </c>
      <c r="E4500" s="190">
        <v>42205</v>
      </c>
      <c r="F4500" s="191" t="s">
        <v>1764</v>
      </c>
      <c r="G4500" s="482" t="s">
        <v>920</v>
      </c>
      <c r="H4500" s="192" t="s">
        <v>2016</v>
      </c>
      <c r="I4500" s="255">
        <v>335</v>
      </c>
      <c r="J4500" s="255">
        <v>17103.136102799745</v>
      </c>
      <c r="K4500" s="593">
        <f t="shared" si="89"/>
        <v>5729551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69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799"/>
    </row>
    <row r="4501" spans="1:27" s="210" customFormat="1" ht="15.75" customHeight="1">
      <c r="A4501" s="203" t="str">
        <f>IF(B4501&lt;&gt;"",IF(AND(B4501&gt;=_TM1,B4501&lt;=_TM2,OR(TH!L4501="1111",TH!M4501="1111")),TH!D4501,""),"")</f>
        <v/>
      </c>
      <c r="B4501" s="36">
        <f t="shared" si="87"/>
        <v>7</v>
      </c>
      <c r="C4501" s="183">
        <f t="shared" si="88"/>
        <v>42205</v>
      </c>
      <c r="D4501" s="190" t="s">
        <v>2015</v>
      </c>
      <c r="E4501" s="190">
        <v>42205</v>
      </c>
      <c r="F4501" s="191" t="s">
        <v>1760</v>
      </c>
      <c r="G4501" s="482" t="s">
        <v>920</v>
      </c>
      <c r="H4501" s="192" t="s">
        <v>2016</v>
      </c>
      <c r="I4501" s="255">
        <v>25</v>
      </c>
      <c r="J4501" s="255">
        <v>10599.126598918152</v>
      </c>
      <c r="K4501" s="593">
        <f t="shared" si="89"/>
        <v>264978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69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799"/>
    </row>
    <row r="4502" spans="1:27" s="210" customFormat="1" ht="15.75" customHeight="1">
      <c r="A4502" s="203" t="str">
        <f>IF(B4502&lt;&gt;"",IF(AND(B4502&gt;=_TM1,B4502&lt;=_TM2,OR(TH!L4502="1111",TH!M4502="1111")),TH!D4502,""),"")</f>
        <v/>
      </c>
      <c r="B4502" s="36">
        <f t="shared" si="87"/>
        <v>7</v>
      </c>
      <c r="C4502" s="183">
        <f t="shared" si="88"/>
        <v>42205</v>
      </c>
      <c r="D4502" s="190" t="s">
        <v>2015</v>
      </c>
      <c r="E4502" s="190">
        <v>42205</v>
      </c>
      <c r="F4502" s="191" t="s">
        <v>1765</v>
      </c>
      <c r="G4502" s="482" t="s">
        <v>920</v>
      </c>
      <c r="H4502" s="192" t="s">
        <v>2016</v>
      </c>
      <c r="I4502" s="255">
        <v>600</v>
      </c>
      <c r="J4502" s="255">
        <v>8350.8270173294532</v>
      </c>
      <c r="K4502" s="593">
        <f t="shared" si="89"/>
        <v>5010496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69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799"/>
    </row>
    <row r="4503" spans="1:27" s="210" customFormat="1" ht="15.75" customHeight="1">
      <c r="A4503" s="203" t="str">
        <f>IF(B4503&lt;&gt;"",IF(AND(B4503&gt;=_TM1,B4503&lt;=_TM2,OR(TH!L4503="1111",TH!M4503="1111")),TH!D4503,""),"")</f>
        <v/>
      </c>
      <c r="B4503" s="36">
        <f t="shared" si="87"/>
        <v>7</v>
      </c>
      <c r="C4503" s="183">
        <f t="shared" si="88"/>
        <v>42205</v>
      </c>
      <c r="D4503" s="190" t="s">
        <v>2015</v>
      </c>
      <c r="E4503" s="190">
        <v>42205</v>
      </c>
      <c r="F4503" s="191" t="s">
        <v>695</v>
      </c>
      <c r="G4503" s="482" t="s">
        <v>920</v>
      </c>
      <c r="H4503" s="192" t="s">
        <v>2016</v>
      </c>
      <c r="I4503" s="255">
        <v>63</v>
      </c>
      <c r="J4503" s="255">
        <v>14132.168798557535</v>
      </c>
      <c r="K4503" s="593">
        <f t="shared" si="89"/>
        <v>890327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69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799"/>
    </row>
    <row r="4504" spans="1:27" s="210" customFormat="1" ht="15.75" customHeight="1">
      <c r="A4504" s="203" t="str">
        <f>IF(B4504&lt;&gt;"",IF(AND(B4504&gt;=_TM1,B4504&lt;=_TM2,OR(TH!L4504="1111",TH!M4504="1111")),TH!D4504,""),"")</f>
        <v/>
      </c>
      <c r="B4504" s="36">
        <f t="shared" si="87"/>
        <v>7</v>
      </c>
      <c r="C4504" s="183">
        <f t="shared" si="88"/>
        <v>42205</v>
      </c>
      <c r="D4504" s="190" t="s">
        <v>2015</v>
      </c>
      <c r="E4504" s="190">
        <v>42205</v>
      </c>
      <c r="F4504" s="191" t="s">
        <v>720</v>
      </c>
      <c r="G4504" s="482" t="s">
        <v>920</v>
      </c>
      <c r="H4504" s="192" t="s">
        <v>2016</v>
      </c>
      <c r="I4504" s="255">
        <v>84</v>
      </c>
      <c r="J4504" s="255">
        <v>14051.872384929367</v>
      </c>
      <c r="K4504" s="593">
        <f t="shared" si="89"/>
        <v>1180357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69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799"/>
    </row>
    <row r="4505" spans="1:27" s="210" customFormat="1" ht="15.75" customHeight="1">
      <c r="A4505" s="203" t="str">
        <f>IF(B4505&lt;&gt;"",IF(AND(B4505&gt;=_TM1,B4505&lt;=_TM2,OR(TH!L4505="1111",TH!M4505="1111")),TH!D4505,""),"")</f>
        <v/>
      </c>
      <c r="B4505" s="36">
        <f t="shared" si="87"/>
        <v>7</v>
      </c>
      <c r="C4505" s="183">
        <f t="shared" si="88"/>
        <v>42205</v>
      </c>
      <c r="D4505" s="190" t="s">
        <v>2015</v>
      </c>
      <c r="E4505" s="190">
        <v>42205</v>
      </c>
      <c r="F4505" s="191" t="s">
        <v>722</v>
      </c>
      <c r="G4505" s="482" t="s">
        <v>920</v>
      </c>
      <c r="H4505" s="192" t="s">
        <v>2016</v>
      </c>
      <c r="I4505" s="255">
        <v>57</v>
      </c>
      <c r="J4505" s="255">
        <v>11562.683562456165</v>
      </c>
      <c r="K4505" s="593">
        <f t="shared" si="89"/>
        <v>659073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69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799"/>
    </row>
    <row r="4506" spans="1:27" s="210" customFormat="1" ht="15.75" customHeight="1">
      <c r="A4506" s="203" t="str">
        <f>IF(B4506&lt;&gt;"",IF(AND(B4506&gt;=_TM1,B4506&lt;=_TM2,OR(TH!L4506="1111",TH!M4506="1111")),TH!D4506,""),"")</f>
        <v/>
      </c>
      <c r="B4506" s="36">
        <f t="shared" si="87"/>
        <v>7</v>
      </c>
      <c r="C4506" s="183">
        <f t="shared" si="88"/>
        <v>42205</v>
      </c>
      <c r="D4506" s="190" t="s">
        <v>2015</v>
      </c>
      <c r="E4506" s="190">
        <v>42205</v>
      </c>
      <c r="F4506" s="191" t="s">
        <v>921</v>
      </c>
      <c r="G4506" s="482" t="s">
        <v>922</v>
      </c>
      <c r="H4506" s="192" t="s">
        <v>2016</v>
      </c>
      <c r="I4506" s="255">
        <v>31</v>
      </c>
      <c r="J4506" s="255">
        <v>15818.393484749058</v>
      </c>
      <c r="K4506" s="593">
        <f t="shared" si="89"/>
        <v>490370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69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799"/>
    </row>
    <row r="4507" spans="1:27" s="210" customFormat="1" ht="15.75" customHeight="1">
      <c r="A4507" s="203" t="str">
        <f>IF(B4507&lt;&gt;"",IF(AND(B4507&gt;=_TM1,B4507&lt;=_TM2,OR(TH!L4507="1111",TH!M4507="1111")),TH!D4507,""),"")</f>
        <v/>
      </c>
      <c r="B4507" s="36">
        <f t="shared" si="87"/>
        <v>7</v>
      </c>
      <c r="C4507" s="183">
        <f t="shared" si="88"/>
        <v>42205</v>
      </c>
      <c r="D4507" s="190" t="s">
        <v>2015</v>
      </c>
      <c r="E4507" s="190">
        <v>42205</v>
      </c>
      <c r="F4507" s="191" t="s">
        <v>923</v>
      </c>
      <c r="G4507" s="482" t="s">
        <v>922</v>
      </c>
      <c r="H4507" s="192" t="s">
        <v>2016</v>
      </c>
      <c r="I4507" s="255">
        <v>23</v>
      </c>
      <c r="J4507" s="255">
        <v>26417.520083667208</v>
      </c>
      <c r="K4507" s="593">
        <f t="shared" si="89"/>
        <v>607603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69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799"/>
    </row>
    <row r="4508" spans="1:27" s="210" customFormat="1" ht="15.75" customHeight="1">
      <c r="A4508" s="203" t="str">
        <f>IF(B4508&lt;&gt;"",IF(AND(B4508&gt;=_TM1,B4508&lt;=_TM2,OR(TH!L4508="1111",TH!M4508="1111")),TH!D4508,""),"")</f>
        <v/>
      </c>
      <c r="B4508" s="36">
        <f t="shared" si="87"/>
        <v>7</v>
      </c>
      <c r="C4508" s="183">
        <f t="shared" si="88"/>
        <v>42205</v>
      </c>
      <c r="D4508" s="190" t="s">
        <v>2015</v>
      </c>
      <c r="E4508" s="190">
        <v>42205</v>
      </c>
      <c r="F4508" s="191" t="s">
        <v>924</v>
      </c>
      <c r="G4508" s="482" t="s">
        <v>922</v>
      </c>
      <c r="H4508" s="192" t="s">
        <v>2016</v>
      </c>
      <c r="I4508" s="255">
        <v>100</v>
      </c>
      <c r="J4508" s="255">
        <v>47936.958936016184</v>
      </c>
      <c r="K4508" s="593">
        <f t="shared" si="89"/>
        <v>4793696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69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799"/>
    </row>
    <row r="4509" spans="1:27" s="210" customFormat="1" ht="15.75" customHeight="1">
      <c r="A4509" s="203" t="str">
        <f>IF(B4509&lt;&gt;"",IF(AND(B4509&gt;=_TM1,B4509&lt;=_TM2,OR(TH!L4509="1111",TH!M4509="1111")),TH!D4509,""),"")</f>
        <v/>
      </c>
      <c r="B4509" s="36">
        <f t="shared" si="87"/>
        <v>7</v>
      </c>
      <c r="C4509" s="183">
        <f t="shared" si="88"/>
        <v>42205</v>
      </c>
      <c r="D4509" s="190" t="s">
        <v>2015</v>
      </c>
      <c r="E4509" s="190">
        <v>42205</v>
      </c>
      <c r="F4509" s="191" t="s">
        <v>925</v>
      </c>
      <c r="G4509" s="482" t="s">
        <v>922</v>
      </c>
      <c r="H4509" s="192" t="s">
        <v>2016</v>
      </c>
      <c r="I4509" s="255">
        <v>10</v>
      </c>
      <c r="J4509" s="255">
        <v>31717.083383126286</v>
      </c>
      <c r="K4509" s="593">
        <f t="shared" si="89"/>
        <v>317171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69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799"/>
    </row>
    <row r="4510" spans="1:27" s="210" customFormat="1" ht="15.75" customHeight="1">
      <c r="A4510" s="203" t="str">
        <f>IF(B4510&lt;&gt;"",IF(AND(B4510&gt;=_TM1,B4510&lt;=_TM2,OR(TH!L4510="1111",TH!M4510="1111")),TH!D4510,""),"")</f>
        <v/>
      </c>
      <c r="B4510" s="36">
        <f t="shared" si="87"/>
        <v>7</v>
      </c>
      <c r="C4510" s="183">
        <f t="shared" si="88"/>
        <v>42205</v>
      </c>
      <c r="D4510" s="190" t="s">
        <v>2015</v>
      </c>
      <c r="E4510" s="190">
        <v>42205</v>
      </c>
      <c r="F4510" s="191" t="s">
        <v>926</v>
      </c>
      <c r="G4510" s="482" t="s">
        <v>922</v>
      </c>
      <c r="H4510" s="192" t="s">
        <v>2016</v>
      </c>
      <c r="I4510" s="255">
        <v>26</v>
      </c>
      <c r="J4510" s="255">
        <v>37819.610818867041</v>
      </c>
      <c r="K4510" s="593">
        <f t="shared" si="89"/>
        <v>983310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69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799"/>
    </row>
    <row r="4511" spans="1:27" s="210" customFormat="1" ht="15.75" customHeight="1">
      <c r="A4511" s="203" t="str">
        <f>IF(B4511&lt;&gt;"",IF(AND(B4511&gt;=_TM1,B4511&lt;=_TM2,OR(TH!L4511="1111",TH!M4511="1111")),TH!D4511,""),"")</f>
        <v/>
      </c>
      <c r="B4511" s="36">
        <f t="shared" si="87"/>
        <v>7</v>
      </c>
      <c r="C4511" s="183">
        <f t="shared" si="88"/>
        <v>42205</v>
      </c>
      <c r="D4511" s="190" t="s">
        <v>2015</v>
      </c>
      <c r="E4511" s="190">
        <v>42205</v>
      </c>
      <c r="F4511" s="191" t="s">
        <v>927</v>
      </c>
      <c r="G4511" s="482" t="s">
        <v>922</v>
      </c>
      <c r="H4511" s="192" t="s">
        <v>2016</v>
      </c>
      <c r="I4511" s="255">
        <v>116</v>
      </c>
      <c r="J4511" s="255">
        <v>68733.730065711658</v>
      </c>
      <c r="K4511" s="593">
        <f t="shared" si="89"/>
        <v>7973113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69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799"/>
    </row>
    <row r="4512" spans="1:27" s="210" customFormat="1" ht="15.75" customHeight="1">
      <c r="A4512" s="203" t="str">
        <f>IF(B4512&lt;&gt;"",IF(AND(B4512&gt;=_TM1,B4512&lt;=_TM2,OR(TH!L4512="1111",TH!M4512="1111")),TH!D4512,""),"")</f>
        <v/>
      </c>
      <c r="B4512" s="36">
        <f t="shared" si="87"/>
        <v>7</v>
      </c>
      <c r="C4512" s="183">
        <f t="shared" si="88"/>
        <v>42206</v>
      </c>
      <c r="D4512" s="190" t="s">
        <v>2015</v>
      </c>
      <c r="E4512" s="190">
        <v>42206</v>
      </c>
      <c r="F4512" s="191" t="s">
        <v>1766</v>
      </c>
      <c r="G4512" s="482" t="s">
        <v>928</v>
      </c>
      <c r="H4512" s="192" t="s">
        <v>2016</v>
      </c>
      <c r="I4512" s="255">
        <v>550</v>
      </c>
      <c r="J4512" s="255">
        <v>10037.051703520976</v>
      </c>
      <c r="K4512" s="593">
        <f t="shared" si="89"/>
        <v>5520378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69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799"/>
    </row>
    <row r="4513" spans="1:27" s="210" customFormat="1" ht="15.75" customHeight="1">
      <c r="A4513" s="203" t="str">
        <f>IF(B4513&lt;&gt;"",IF(AND(B4513&gt;=_TM1,B4513&lt;=_TM2,OR(TH!L4513="1111",TH!M4513="1111")),TH!D4513,""),"")</f>
        <v/>
      </c>
      <c r="B4513" s="36">
        <f t="shared" si="87"/>
        <v>7</v>
      </c>
      <c r="C4513" s="183">
        <f t="shared" si="88"/>
        <v>42206</v>
      </c>
      <c r="D4513" s="190" t="s">
        <v>2015</v>
      </c>
      <c r="E4513" s="190">
        <v>42206</v>
      </c>
      <c r="F4513" s="191" t="s">
        <v>1806</v>
      </c>
      <c r="G4513" s="482" t="s">
        <v>928</v>
      </c>
      <c r="H4513" s="192" t="s">
        <v>2016</v>
      </c>
      <c r="I4513" s="255">
        <v>200</v>
      </c>
      <c r="J4513" s="255">
        <v>9796.1624626364719</v>
      </c>
      <c r="K4513" s="593">
        <f t="shared" si="89"/>
        <v>1959232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69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799"/>
    </row>
    <row r="4514" spans="1:27" s="210" customFormat="1" ht="15.75" customHeight="1">
      <c r="A4514" s="203" t="str">
        <f>IF(B4514&lt;&gt;"",IF(AND(B4514&gt;=_TM1,B4514&lt;=_TM2,OR(TH!L4514="1111",TH!M4514="1111")),TH!D4514,""),"")</f>
        <v/>
      </c>
      <c r="B4514" s="36">
        <f t="shared" si="87"/>
        <v>7</v>
      </c>
      <c r="C4514" s="183">
        <f t="shared" si="88"/>
        <v>42206</v>
      </c>
      <c r="D4514" s="190" t="s">
        <v>2015</v>
      </c>
      <c r="E4514" s="190">
        <v>42206</v>
      </c>
      <c r="F4514" s="191" t="s">
        <v>1741</v>
      </c>
      <c r="G4514" s="482" t="s">
        <v>928</v>
      </c>
      <c r="H4514" s="192" t="s">
        <v>2016</v>
      </c>
      <c r="I4514" s="255">
        <v>270</v>
      </c>
      <c r="J4514" s="255">
        <v>8912.9019127266274</v>
      </c>
      <c r="K4514" s="593">
        <f t="shared" si="89"/>
        <v>2406484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69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799"/>
    </row>
    <row r="4515" spans="1:27" s="210" customFormat="1" ht="15.75" customHeight="1">
      <c r="A4515" s="203" t="str">
        <f>IF(B4515&lt;&gt;"",IF(AND(B4515&gt;=_TM1,B4515&lt;=_TM2,OR(TH!L4515="1111",TH!M4515="1111")),TH!D4515,""),"")</f>
        <v/>
      </c>
      <c r="B4515" s="36">
        <f t="shared" si="87"/>
        <v>7</v>
      </c>
      <c r="C4515" s="183">
        <f t="shared" si="88"/>
        <v>42206</v>
      </c>
      <c r="D4515" s="190" t="s">
        <v>2015</v>
      </c>
      <c r="E4515" s="190">
        <v>42206</v>
      </c>
      <c r="F4515" s="191" t="s">
        <v>725</v>
      </c>
      <c r="G4515" s="482" t="s">
        <v>928</v>
      </c>
      <c r="H4515" s="192" t="s">
        <v>2016</v>
      </c>
      <c r="I4515" s="255">
        <v>500</v>
      </c>
      <c r="J4515" s="255">
        <v>13248.908248647687</v>
      </c>
      <c r="K4515" s="593">
        <f t="shared" si="89"/>
        <v>6624454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69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799"/>
    </row>
    <row r="4516" spans="1:27" s="210" customFormat="1" ht="15.75" customHeight="1">
      <c r="A4516" s="203" t="str">
        <f>IF(B4516&lt;&gt;"",IF(AND(B4516&gt;=_TM1,B4516&lt;=_TM2,OR(TH!L4516="1111",TH!M4516="1111")),TH!D4516,""),"")</f>
        <v/>
      </c>
      <c r="B4516" s="36">
        <f t="shared" si="87"/>
        <v>7</v>
      </c>
      <c r="C4516" s="183">
        <f t="shared" si="88"/>
        <v>42206</v>
      </c>
      <c r="D4516" s="190" t="s">
        <v>2015</v>
      </c>
      <c r="E4516" s="190">
        <v>42206</v>
      </c>
      <c r="F4516" s="191" t="s">
        <v>672</v>
      </c>
      <c r="G4516" s="482" t="s">
        <v>928</v>
      </c>
      <c r="H4516" s="192" t="s">
        <v>2016</v>
      </c>
      <c r="I4516" s="255">
        <v>60</v>
      </c>
      <c r="J4516" s="255">
        <v>12044.462044225173</v>
      </c>
      <c r="K4516" s="593">
        <f t="shared" si="89"/>
        <v>722668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69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799"/>
    </row>
    <row r="4517" spans="1:27" s="210" customFormat="1" ht="15.75" customHeight="1">
      <c r="A4517" s="203" t="str">
        <f>IF(B4517&lt;&gt;"",IF(AND(B4517&gt;=_TM1,B4517&lt;=_TM2,OR(TH!L4517="1111",TH!M4517="1111")),TH!D4517,""),"")</f>
        <v/>
      </c>
      <c r="B4517" s="36">
        <f t="shared" si="87"/>
        <v>7</v>
      </c>
      <c r="C4517" s="183">
        <f t="shared" si="88"/>
        <v>42206</v>
      </c>
      <c r="D4517" s="190" t="s">
        <v>2015</v>
      </c>
      <c r="E4517" s="190">
        <v>42206</v>
      </c>
      <c r="F4517" s="191" t="s">
        <v>1845</v>
      </c>
      <c r="G4517" s="482" t="s">
        <v>928</v>
      </c>
      <c r="H4517" s="192" t="s">
        <v>2016</v>
      </c>
      <c r="I4517" s="255">
        <v>50</v>
      </c>
      <c r="J4517" s="255">
        <v>7869.0485355604451</v>
      </c>
      <c r="K4517" s="593">
        <f t="shared" si="89"/>
        <v>393452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69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799"/>
    </row>
    <row r="4518" spans="1:27" s="210" customFormat="1" ht="15.75" customHeight="1">
      <c r="A4518" s="203" t="str">
        <f>IF(B4518&lt;&gt;"",IF(AND(B4518&gt;=_TM1,B4518&lt;=_TM2,OR(TH!L4518="1111",TH!M4518="1111")),TH!D4518,""),"")</f>
        <v/>
      </c>
      <c r="B4518" s="36">
        <f t="shared" si="87"/>
        <v>7</v>
      </c>
      <c r="C4518" s="183">
        <f t="shared" si="88"/>
        <v>42206</v>
      </c>
      <c r="D4518" s="190" t="s">
        <v>2015</v>
      </c>
      <c r="E4518" s="190">
        <v>42206</v>
      </c>
      <c r="F4518" s="191" t="s">
        <v>1709</v>
      </c>
      <c r="G4518" s="482" t="s">
        <v>928</v>
      </c>
      <c r="H4518" s="192" t="s">
        <v>2016</v>
      </c>
      <c r="I4518" s="255">
        <v>80</v>
      </c>
      <c r="J4518" s="255">
        <v>6744.8987447660957</v>
      </c>
      <c r="K4518" s="593">
        <f t="shared" si="89"/>
        <v>539592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69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799"/>
    </row>
    <row r="4519" spans="1:27" s="210" customFormat="1" ht="15.75" customHeight="1">
      <c r="A4519" s="203" t="str">
        <f>IF(B4519&lt;&gt;"",IF(AND(B4519&gt;=_TM1,B4519&lt;=_TM2,OR(TH!L4519="1111",TH!M4519="1111")),TH!D4519,""),"")</f>
        <v/>
      </c>
      <c r="B4519" s="36">
        <f t="shared" si="87"/>
        <v>7</v>
      </c>
      <c r="C4519" s="183">
        <f t="shared" si="88"/>
        <v>42206</v>
      </c>
      <c r="D4519" s="190" t="s">
        <v>2015</v>
      </c>
      <c r="E4519" s="190">
        <v>42206</v>
      </c>
      <c r="F4519" s="191" t="s">
        <v>1769</v>
      </c>
      <c r="G4519" s="482" t="s">
        <v>928</v>
      </c>
      <c r="H4519" s="192" t="s">
        <v>2016</v>
      </c>
      <c r="I4519" s="255">
        <v>120</v>
      </c>
      <c r="J4519" s="255">
        <v>12526.240525994179</v>
      </c>
      <c r="K4519" s="593">
        <f t="shared" si="89"/>
        <v>1503149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69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799"/>
    </row>
    <row r="4520" spans="1:27" s="210" customFormat="1" ht="15.75" customHeight="1">
      <c r="A4520" s="203" t="str">
        <f>IF(B4520&lt;&gt;"",IF(AND(B4520&gt;=_TM1,B4520&lt;=_TM2,OR(TH!L4520="1111",TH!M4520="1111")),TH!D4520,""),"")</f>
        <v/>
      </c>
      <c r="B4520" s="36">
        <f t="shared" si="87"/>
        <v>7</v>
      </c>
      <c r="C4520" s="183">
        <f t="shared" si="88"/>
        <v>42208</v>
      </c>
      <c r="D4520" s="190" t="s">
        <v>2015</v>
      </c>
      <c r="E4520" s="190">
        <v>42208</v>
      </c>
      <c r="F4520" s="191" t="s">
        <v>929</v>
      </c>
      <c r="G4520" s="482" t="s">
        <v>930</v>
      </c>
      <c r="H4520" s="192" t="s">
        <v>2016</v>
      </c>
      <c r="I4520" s="255">
        <v>301</v>
      </c>
      <c r="J4520" s="255">
        <v>10759.719426174488</v>
      </c>
      <c r="K4520" s="593">
        <f t="shared" si="89"/>
        <v>3238676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69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799"/>
    </row>
    <row r="4521" spans="1:27" s="210" customFormat="1" ht="15.75" customHeight="1">
      <c r="A4521" s="203" t="str">
        <f>IF(B4521&lt;&gt;"",IF(AND(B4521&gt;=_TM1,B4521&lt;=_TM2,OR(TH!L4521="1111",TH!M4521="1111")),TH!D4521,""),"")</f>
        <v/>
      </c>
      <c r="B4521" s="36">
        <f t="shared" si="87"/>
        <v>7</v>
      </c>
      <c r="C4521" s="183">
        <f t="shared" si="88"/>
        <v>42208</v>
      </c>
      <c r="D4521" s="190" t="s">
        <v>2015</v>
      </c>
      <c r="E4521" s="190">
        <v>42208</v>
      </c>
      <c r="F4521" s="191" t="s">
        <v>931</v>
      </c>
      <c r="G4521" s="482" t="s">
        <v>930</v>
      </c>
      <c r="H4521" s="192" t="s">
        <v>2016</v>
      </c>
      <c r="I4521" s="255">
        <v>200</v>
      </c>
      <c r="J4521" s="255">
        <v>7788.7521219322771</v>
      </c>
      <c r="K4521" s="593">
        <f t="shared" si="89"/>
        <v>1557750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69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799"/>
    </row>
    <row r="4522" spans="1:27" s="210" customFormat="1" ht="15.75" customHeight="1">
      <c r="A4522" s="203" t="str">
        <f>IF(B4522&lt;&gt;"",IF(AND(B4522&gt;=_TM1,B4522&lt;=_TM2,OR(TH!L4522="1111",TH!M4522="1111")),TH!D4522,""),"")</f>
        <v/>
      </c>
      <c r="B4522" s="36">
        <f t="shared" si="87"/>
        <v>7</v>
      </c>
      <c r="C4522" s="183">
        <f t="shared" si="88"/>
        <v>42208</v>
      </c>
      <c r="D4522" s="190" t="s">
        <v>2015</v>
      </c>
      <c r="E4522" s="190">
        <v>42208</v>
      </c>
      <c r="F4522" s="191" t="s">
        <v>540</v>
      </c>
      <c r="G4522" s="482" t="s">
        <v>930</v>
      </c>
      <c r="H4522" s="192" t="s">
        <v>2016</v>
      </c>
      <c r="I4522" s="255">
        <v>204</v>
      </c>
      <c r="J4522" s="255">
        <v>6985.7879856505997</v>
      </c>
      <c r="K4522" s="593">
        <f t="shared" si="89"/>
        <v>1425101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69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799"/>
    </row>
    <row r="4523" spans="1:27" s="210" customFormat="1" ht="15.75" customHeight="1">
      <c r="A4523" s="203" t="str">
        <f>IF(B4523&lt;&gt;"",IF(AND(B4523&gt;=_TM1,B4523&lt;=_TM2,OR(TH!L4523="1111",TH!M4523="1111")),TH!D4523,""),"")</f>
        <v/>
      </c>
      <c r="B4523" s="36">
        <f t="shared" si="87"/>
        <v>7</v>
      </c>
      <c r="C4523" s="183">
        <f t="shared" si="88"/>
        <v>42208</v>
      </c>
      <c r="D4523" s="190" t="s">
        <v>2015</v>
      </c>
      <c r="E4523" s="190">
        <v>42208</v>
      </c>
      <c r="F4523" s="191" t="s">
        <v>781</v>
      </c>
      <c r="G4523" s="482" t="s">
        <v>932</v>
      </c>
      <c r="H4523" s="192" t="s">
        <v>2016</v>
      </c>
      <c r="I4523" s="255">
        <v>500</v>
      </c>
      <c r="J4523" s="255">
        <v>11161.201494315324</v>
      </c>
      <c r="K4523" s="593">
        <f t="shared" si="89"/>
        <v>5580601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69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799"/>
    </row>
    <row r="4524" spans="1:27" s="210" customFormat="1" ht="15.75" customHeight="1">
      <c r="A4524" s="203" t="str">
        <f>IF(B4524&lt;&gt;"",IF(AND(B4524&gt;=_TM1,B4524&lt;=_TM2,OR(TH!L4524="1111",TH!M4524="1111")),TH!D4524,""),"")</f>
        <v/>
      </c>
      <c r="B4524" s="36">
        <f t="shared" si="87"/>
        <v>7</v>
      </c>
      <c r="C4524" s="183">
        <f t="shared" si="88"/>
        <v>42208</v>
      </c>
      <c r="D4524" s="190" t="s">
        <v>2015</v>
      </c>
      <c r="E4524" s="190">
        <v>42208</v>
      </c>
      <c r="F4524" s="191" t="s">
        <v>1767</v>
      </c>
      <c r="G4524" s="482" t="s">
        <v>933</v>
      </c>
      <c r="H4524" s="192" t="s">
        <v>2016</v>
      </c>
      <c r="I4524" s="255">
        <v>100</v>
      </c>
      <c r="J4524" s="255">
        <v>19913.510579785616</v>
      </c>
      <c r="K4524" s="593">
        <f t="shared" si="89"/>
        <v>1991351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69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799"/>
    </row>
    <row r="4525" spans="1:27" s="210" customFormat="1" ht="15.75" customHeight="1">
      <c r="A4525" s="203" t="str">
        <f>IF(B4525&lt;&gt;"",IF(AND(B4525&gt;=_TM1,B4525&lt;=_TM2,OR(TH!L4525="1111",TH!M4525="1111")),TH!D4525,""),"")</f>
        <v/>
      </c>
      <c r="B4525" s="36">
        <f t="shared" si="87"/>
        <v>7</v>
      </c>
      <c r="C4525" s="183">
        <f t="shared" si="88"/>
        <v>42208</v>
      </c>
      <c r="D4525" s="190" t="s">
        <v>2015</v>
      </c>
      <c r="E4525" s="190">
        <v>42208</v>
      </c>
      <c r="F4525" s="191" t="s">
        <v>1768</v>
      </c>
      <c r="G4525" s="482" t="s">
        <v>932</v>
      </c>
      <c r="H4525" s="192" t="s">
        <v>2016</v>
      </c>
      <c r="I4525" s="255">
        <v>100</v>
      </c>
      <c r="J4525" s="255">
        <v>13088.315421391353</v>
      </c>
      <c r="K4525" s="593">
        <f t="shared" si="89"/>
        <v>1308832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69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799"/>
    </row>
    <row r="4526" spans="1:27" s="210" customFormat="1" ht="15.75" customHeight="1">
      <c r="A4526" s="203" t="str">
        <f>IF(B4526&lt;&gt;"",IF(AND(B4526&gt;=_TM1,B4526&lt;=_TM2,OR(TH!L4526="1111",TH!M4526="1111")),TH!D4526,""),"")</f>
        <v/>
      </c>
      <c r="B4526" s="36">
        <f t="shared" si="87"/>
        <v>7</v>
      </c>
      <c r="C4526" s="183">
        <f t="shared" si="88"/>
        <v>42208</v>
      </c>
      <c r="D4526" s="190" t="s">
        <v>2015</v>
      </c>
      <c r="E4526" s="190">
        <v>42208</v>
      </c>
      <c r="F4526" s="191" t="s">
        <v>694</v>
      </c>
      <c r="G4526" s="482" t="s">
        <v>933</v>
      </c>
      <c r="H4526" s="192" t="s">
        <v>2016</v>
      </c>
      <c r="I4526" s="255">
        <v>70</v>
      </c>
      <c r="J4526" s="255">
        <v>11803.572803340669</v>
      </c>
      <c r="K4526" s="593">
        <f t="shared" si="89"/>
        <v>826250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69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799"/>
    </row>
    <row r="4527" spans="1:27" s="210" customFormat="1" ht="15.75" customHeight="1">
      <c r="A4527" s="203" t="str">
        <f>IF(B4527&lt;&gt;"",IF(AND(B4527&gt;=_TM1,B4527&lt;=_TM2,OR(TH!L4527="1111",TH!M4527="1111")),TH!D4527,""),"")</f>
        <v/>
      </c>
      <c r="B4527" s="36">
        <f t="shared" si="87"/>
        <v>7</v>
      </c>
      <c r="C4527" s="183">
        <f t="shared" si="88"/>
        <v>42208</v>
      </c>
      <c r="D4527" s="190" t="s">
        <v>2015</v>
      </c>
      <c r="E4527" s="190">
        <v>42208</v>
      </c>
      <c r="F4527" s="191" t="s">
        <v>1769</v>
      </c>
      <c r="G4527" s="482" t="s">
        <v>932</v>
      </c>
      <c r="H4527" s="192" t="s">
        <v>2016</v>
      </c>
      <c r="I4527" s="255">
        <v>25</v>
      </c>
      <c r="J4527" s="255">
        <v>12526.240525994179</v>
      </c>
      <c r="K4527" s="593">
        <f t="shared" si="89"/>
        <v>313156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69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799"/>
    </row>
    <row r="4528" spans="1:27" s="210" customFormat="1" ht="15.75" customHeight="1">
      <c r="A4528" s="203" t="str">
        <f>IF(B4528&lt;&gt;"",IF(AND(B4528&gt;=_TM1,B4528&lt;=_TM2,OR(TH!L4528="1111",TH!M4528="1111")),TH!D4528,""),"")</f>
        <v/>
      </c>
      <c r="B4528" s="36">
        <f t="shared" si="87"/>
        <v>7</v>
      </c>
      <c r="C4528" s="183">
        <f t="shared" si="88"/>
        <v>42208</v>
      </c>
      <c r="D4528" s="190" t="s">
        <v>2015</v>
      </c>
      <c r="E4528" s="190">
        <v>42208</v>
      </c>
      <c r="F4528" s="191" t="s">
        <v>1770</v>
      </c>
      <c r="G4528" s="482" t="s">
        <v>933</v>
      </c>
      <c r="H4528" s="192" t="s">
        <v>2016</v>
      </c>
      <c r="I4528" s="255">
        <v>50</v>
      </c>
      <c r="J4528" s="255">
        <v>11723.276389712501</v>
      </c>
      <c r="K4528" s="593">
        <f t="shared" si="89"/>
        <v>586164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69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799"/>
    </row>
    <row r="4529" spans="1:27" s="210" customFormat="1" ht="15.75" customHeight="1">
      <c r="A4529" s="203" t="str">
        <f>IF(B4529&lt;&gt;"",IF(AND(B4529&gt;=_TM1,B4529&lt;=_TM2,OR(TH!L4529="1111",TH!M4529="1111")),TH!D4529,""),"")</f>
        <v/>
      </c>
      <c r="B4529" s="36">
        <f t="shared" si="87"/>
        <v>7</v>
      </c>
      <c r="C4529" s="183">
        <f t="shared" si="88"/>
        <v>42208</v>
      </c>
      <c r="D4529" s="190" t="s">
        <v>2015</v>
      </c>
      <c r="E4529" s="190">
        <v>42208</v>
      </c>
      <c r="F4529" s="191" t="s">
        <v>1771</v>
      </c>
      <c r="G4529" s="482" t="s">
        <v>932</v>
      </c>
      <c r="H4529" s="192" t="s">
        <v>2016</v>
      </c>
      <c r="I4529" s="255">
        <v>575</v>
      </c>
      <c r="J4529" s="255">
        <v>1043.8533771661816</v>
      </c>
      <c r="K4529" s="593">
        <f t="shared" si="89"/>
        <v>600216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69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799"/>
    </row>
    <row r="4530" spans="1:27" s="210" customFormat="1" ht="15.75" customHeight="1">
      <c r="A4530" s="203" t="str">
        <f>IF(B4530&lt;&gt;"",IF(AND(B4530&gt;=_TM1,B4530&lt;=_TM2,OR(TH!L4530="1111",TH!M4530="1111")),TH!D4530,""),"")</f>
        <v/>
      </c>
      <c r="B4530" s="36">
        <f t="shared" si="87"/>
        <v>7</v>
      </c>
      <c r="C4530" s="183">
        <f t="shared" si="88"/>
        <v>42208</v>
      </c>
      <c r="D4530" s="190" t="s">
        <v>2015</v>
      </c>
      <c r="E4530" s="190">
        <v>42208</v>
      </c>
      <c r="F4530" s="191" t="s">
        <v>1772</v>
      </c>
      <c r="G4530" s="482" t="s">
        <v>933</v>
      </c>
      <c r="H4530" s="192" t="s">
        <v>2016</v>
      </c>
      <c r="I4530" s="255">
        <v>500</v>
      </c>
      <c r="J4530" s="255">
        <v>8029.6413628167811</v>
      </c>
      <c r="K4530" s="593">
        <f t="shared" si="89"/>
        <v>4014821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69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799"/>
    </row>
    <row r="4531" spans="1:27" s="210" customFormat="1" ht="15.75" customHeight="1">
      <c r="A4531" s="203" t="str">
        <f>IF(B4531&lt;&gt;"",IF(AND(B4531&gt;=_TM1,B4531&lt;=_TM2,OR(TH!L4531="1111",TH!M4531="1111")),TH!D4531,""),"")</f>
        <v/>
      </c>
      <c r="B4531" s="36">
        <f t="shared" si="87"/>
        <v>7</v>
      </c>
      <c r="C4531" s="183">
        <f t="shared" si="88"/>
        <v>42208</v>
      </c>
      <c r="D4531" s="190" t="s">
        <v>2015</v>
      </c>
      <c r="E4531" s="190">
        <v>42208</v>
      </c>
      <c r="F4531" s="191" t="s">
        <v>1766</v>
      </c>
      <c r="G4531" s="482" t="s">
        <v>932</v>
      </c>
      <c r="H4531" s="192" t="s">
        <v>2016</v>
      </c>
      <c r="I4531" s="255">
        <v>900</v>
      </c>
      <c r="J4531" s="255">
        <v>10037.051703520976</v>
      </c>
      <c r="K4531" s="593">
        <f t="shared" si="89"/>
        <v>9033347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69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799"/>
    </row>
    <row r="4532" spans="1:27" s="210" customFormat="1" ht="15.75" customHeight="1">
      <c r="A4532" s="203" t="str">
        <f>IF(B4532&lt;&gt;"",IF(AND(B4532&gt;=_TM1,B4532&lt;=_TM2,OR(TH!L4532="1111",TH!M4532="1111")),TH!D4532,""),"")</f>
        <v/>
      </c>
      <c r="B4532" s="36">
        <f t="shared" si="87"/>
        <v>7</v>
      </c>
      <c r="C4532" s="183">
        <f t="shared" si="88"/>
        <v>42209</v>
      </c>
      <c r="D4532" s="190" t="s">
        <v>2015</v>
      </c>
      <c r="E4532" s="190">
        <v>42209</v>
      </c>
      <c r="F4532" s="191" t="s">
        <v>746</v>
      </c>
      <c r="G4532" s="482" t="s">
        <v>934</v>
      </c>
      <c r="H4532" s="192" t="s">
        <v>2016</v>
      </c>
      <c r="I4532" s="255">
        <v>1000</v>
      </c>
      <c r="J4532" s="255">
        <v>18548.471548106765</v>
      </c>
      <c r="K4532" s="593">
        <f t="shared" si="89"/>
        <v>18548472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69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799"/>
    </row>
    <row r="4533" spans="1:27" s="210" customFormat="1" ht="15.75" customHeight="1">
      <c r="A4533" s="203" t="str">
        <f>IF(B4533&lt;&gt;"",IF(AND(B4533&gt;=_TM1,B4533&lt;=_TM2,OR(TH!L4533="1111",TH!M4533="1111")),TH!D4533,""),"")</f>
        <v/>
      </c>
      <c r="B4533" s="36">
        <f t="shared" si="87"/>
        <v>7</v>
      </c>
      <c r="C4533" s="183">
        <f t="shared" si="88"/>
        <v>42209</v>
      </c>
      <c r="D4533" s="190" t="s">
        <v>2015</v>
      </c>
      <c r="E4533" s="190">
        <v>42209</v>
      </c>
      <c r="F4533" s="191" t="s">
        <v>1766</v>
      </c>
      <c r="G4533" s="482" t="s">
        <v>934</v>
      </c>
      <c r="H4533" s="192" t="s">
        <v>2016</v>
      </c>
      <c r="I4533" s="255">
        <v>550</v>
      </c>
      <c r="J4533" s="255">
        <v>10037.051703520976</v>
      </c>
      <c r="K4533" s="593">
        <f t="shared" si="89"/>
        <v>5520378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69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799"/>
    </row>
    <row r="4534" spans="1:27" s="210" customFormat="1" ht="15.75" customHeight="1">
      <c r="A4534" s="203" t="str">
        <f>IF(B4534&lt;&gt;"",IF(AND(B4534&gt;=_TM1,B4534&lt;=_TM2,OR(TH!L4534="1111",TH!M4534="1111")),TH!D4534,""),"")</f>
        <v/>
      </c>
      <c r="B4534" s="36">
        <f t="shared" si="87"/>
        <v>7</v>
      </c>
      <c r="C4534" s="183">
        <f t="shared" si="88"/>
        <v>42209</v>
      </c>
      <c r="D4534" s="190" t="s">
        <v>2015</v>
      </c>
      <c r="E4534" s="190">
        <v>42209</v>
      </c>
      <c r="F4534" s="191" t="s">
        <v>781</v>
      </c>
      <c r="G4534" s="482" t="s">
        <v>935</v>
      </c>
      <c r="H4534" s="192" t="s">
        <v>2016</v>
      </c>
      <c r="I4534" s="255">
        <v>498</v>
      </c>
      <c r="J4534" s="255">
        <v>11161.201494315324</v>
      </c>
      <c r="K4534" s="593">
        <f t="shared" si="89"/>
        <v>5558278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69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799"/>
    </row>
    <row r="4535" spans="1:27" s="210" customFormat="1" ht="15.75" customHeight="1">
      <c r="A4535" s="203" t="str">
        <f>IF(B4535&lt;&gt;"",IF(AND(B4535&gt;=_TM1,B4535&lt;=_TM2,OR(TH!L4535="1111",TH!M4535="1111")),TH!D4535,""),"")</f>
        <v/>
      </c>
      <c r="B4535" s="36">
        <f t="shared" si="87"/>
        <v>7</v>
      </c>
      <c r="C4535" s="183">
        <f t="shared" si="88"/>
        <v>42209</v>
      </c>
      <c r="D4535" s="190" t="s">
        <v>2015</v>
      </c>
      <c r="E4535" s="190">
        <v>42209</v>
      </c>
      <c r="F4535" s="191" t="s">
        <v>398</v>
      </c>
      <c r="G4535" s="482" t="s">
        <v>936</v>
      </c>
      <c r="H4535" s="192" t="s">
        <v>2016</v>
      </c>
      <c r="I4535" s="255">
        <v>600</v>
      </c>
      <c r="J4535" s="255">
        <v>6584.3059175097605</v>
      </c>
      <c r="K4535" s="593">
        <f t="shared" si="89"/>
        <v>3950584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69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799"/>
    </row>
    <row r="4536" spans="1:27" s="210" customFormat="1" ht="15.75" customHeight="1">
      <c r="A4536" s="203" t="str">
        <f>IF(B4536&lt;&gt;"",IF(AND(B4536&gt;=_TM1,B4536&lt;=_TM2,OR(TH!L4536="1111",TH!M4536="1111")),TH!D4536,""),"")</f>
        <v/>
      </c>
      <c r="B4536" s="36">
        <f t="shared" si="87"/>
        <v>7</v>
      </c>
      <c r="C4536" s="183">
        <f t="shared" si="88"/>
        <v>42209</v>
      </c>
      <c r="D4536" s="190" t="s">
        <v>2015</v>
      </c>
      <c r="E4536" s="190">
        <v>42209</v>
      </c>
      <c r="F4536" s="191" t="s">
        <v>446</v>
      </c>
      <c r="G4536" s="482" t="s">
        <v>936</v>
      </c>
      <c r="H4536" s="192" t="s">
        <v>2016</v>
      </c>
      <c r="I4536" s="255">
        <v>299</v>
      </c>
      <c r="J4536" s="255">
        <v>7306.9736401632708</v>
      </c>
      <c r="K4536" s="593">
        <f t="shared" si="89"/>
        <v>2184785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69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799"/>
    </row>
    <row r="4537" spans="1:27" s="210" customFormat="1" ht="15.75" customHeight="1">
      <c r="A4537" s="203" t="str">
        <f>IF(B4537&lt;&gt;"",IF(AND(B4537&gt;=_TM1,B4537&lt;=_TM2,OR(TH!L4537="1111",TH!M4537="1111")),TH!D4537,""),"")</f>
        <v/>
      </c>
      <c r="B4537" s="36">
        <f t="shared" si="87"/>
        <v>7</v>
      </c>
      <c r="C4537" s="183">
        <f t="shared" si="88"/>
        <v>42209</v>
      </c>
      <c r="D4537" s="190" t="s">
        <v>2015</v>
      </c>
      <c r="E4537" s="190">
        <v>42209</v>
      </c>
      <c r="F4537" s="191" t="s">
        <v>501</v>
      </c>
      <c r="G4537" s="482" t="s">
        <v>936</v>
      </c>
      <c r="H4537" s="192" t="s">
        <v>2016</v>
      </c>
      <c r="I4537" s="255">
        <v>614</v>
      </c>
      <c r="J4537" s="255">
        <v>12686.833353250515</v>
      </c>
      <c r="K4537" s="593">
        <f t="shared" si="89"/>
        <v>7789716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69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799"/>
    </row>
    <row r="4538" spans="1:27" s="210" customFormat="1" ht="15.75" customHeight="1">
      <c r="A4538" s="203" t="str">
        <f>IF(B4538&lt;&gt;"",IF(AND(B4538&gt;=_TM1,B4538&lt;=_TM2,OR(TH!L4538="1111",TH!M4538="1111")),TH!D4538,""),"")</f>
        <v/>
      </c>
      <c r="B4538" s="36">
        <f t="shared" si="87"/>
        <v>7</v>
      </c>
      <c r="C4538" s="183">
        <f t="shared" si="88"/>
        <v>42209</v>
      </c>
      <c r="D4538" s="190" t="s">
        <v>2015</v>
      </c>
      <c r="E4538" s="190">
        <v>42209</v>
      </c>
      <c r="F4538" s="191" t="s">
        <v>398</v>
      </c>
      <c r="G4538" s="482" t="s">
        <v>937</v>
      </c>
      <c r="H4538" s="192" t="s">
        <v>2016</v>
      </c>
      <c r="I4538" s="255">
        <v>460</v>
      </c>
      <c r="J4538" s="255">
        <v>6584.3059175097605</v>
      </c>
      <c r="K4538" s="593">
        <f t="shared" si="89"/>
        <v>3028781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69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799"/>
    </row>
    <row r="4539" spans="1:27" s="210" customFormat="1" ht="15.75" customHeight="1">
      <c r="A4539" s="203" t="str">
        <f>IF(B4539&lt;&gt;"",IF(AND(B4539&gt;=_TM1,B4539&lt;=_TM2,OR(TH!L4539="1111",TH!M4539="1111")),TH!D4539,""),"")</f>
        <v/>
      </c>
      <c r="B4539" s="36">
        <f t="shared" si="87"/>
        <v>7</v>
      </c>
      <c r="C4539" s="183">
        <f t="shared" si="88"/>
        <v>42212</v>
      </c>
      <c r="D4539" s="190" t="s">
        <v>2015</v>
      </c>
      <c r="E4539" s="190">
        <v>42212</v>
      </c>
      <c r="F4539" s="191" t="s">
        <v>510</v>
      </c>
      <c r="G4539" s="482" t="s">
        <v>938</v>
      </c>
      <c r="H4539" s="192" t="s">
        <v>2016</v>
      </c>
      <c r="I4539" s="255">
        <v>48</v>
      </c>
      <c r="J4539" s="255">
        <v>8832.6054990984594</v>
      </c>
      <c r="K4539" s="593">
        <f t="shared" si="89"/>
        <v>423965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69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799"/>
    </row>
    <row r="4540" spans="1:27" s="210" customFormat="1" ht="15.75" customHeight="1">
      <c r="A4540" s="203" t="str">
        <f>IF(B4540&lt;&gt;"",IF(AND(B4540&gt;=_TM1,B4540&lt;=_TM2,OR(TH!L4540="1111",TH!M4540="1111")),TH!D4540,""),"")</f>
        <v/>
      </c>
      <c r="B4540" s="36">
        <f t="shared" si="87"/>
        <v>7</v>
      </c>
      <c r="C4540" s="183">
        <f t="shared" si="88"/>
        <v>42212</v>
      </c>
      <c r="D4540" s="190" t="s">
        <v>2015</v>
      </c>
      <c r="E4540" s="190">
        <v>42212</v>
      </c>
      <c r="F4540" s="191" t="s">
        <v>512</v>
      </c>
      <c r="G4540" s="482" t="s">
        <v>938</v>
      </c>
      <c r="H4540" s="192" t="s">
        <v>2016</v>
      </c>
      <c r="I4540" s="255">
        <v>150</v>
      </c>
      <c r="J4540" s="255">
        <v>9073.4947399829616</v>
      </c>
      <c r="K4540" s="593">
        <f t="shared" si="89"/>
        <v>1361024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69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799"/>
    </row>
    <row r="4541" spans="1:27" s="210" customFormat="1" ht="15.75" customHeight="1">
      <c r="A4541" s="203" t="str">
        <f>IF(B4541&lt;&gt;"",IF(AND(B4541&gt;=_TM1,B4541&lt;=_TM2,OR(TH!L4541="1111",TH!M4541="1111")),TH!D4541,""),"")</f>
        <v/>
      </c>
      <c r="B4541" s="36">
        <f t="shared" si="87"/>
        <v>7</v>
      </c>
      <c r="C4541" s="183">
        <f t="shared" si="88"/>
        <v>42212</v>
      </c>
      <c r="D4541" s="190" t="s">
        <v>2015</v>
      </c>
      <c r="E4541" s="190">
        <v>42212</v>
      </c>
      <c r="F4541" s="191" t="s">
        <v>513</v>
      </c>
      <c r="G4541" s="482" t="s">
        <v>938</v>
      </c>
      <c r="H4541" s="192" t="s">
        <v>2016</v>
      </c>
      <c r="I4541" s="255">
        <v>450</v>
      </c>
      <c r="J4541" s="255">
        <v>9234.0875672392976</v>
      </c>
      <c r="K4541" s="593">
        <f t="shared" si="89"/>
        <v>4155339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69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799"/>
    </row>
    <row r="4542" spans="1:27" s="210" customFormat="1" ht="15.75" customHeight="1">
      <c r="A4542" s="203" t="str">
        <f>IF(B4542&lt;&gt;"",IF(AND(B4542&gt;=_TM1,B4542&lt;=_TM2,OR(TH!L4542="1111",TH!M4542="1111")),TH!D4542,""),"")</f>
        <v/>
      </c>
      <c r="B4542" s="36">
        <f t="shared" si="87"/>
        <v>7</v>
      </c>
      <c r="C4542" s="183">
        <f t="shared" si="88"/>
        <v>42212</v>
      </c>
      <c r="D4542" s="190" t="s">
        <v>2015</v>
      </c>
      <c r="E4542" s="190">
        <v>42212</v>
      </c>
      <c r="F4542" s="191" t="s">
        <v>514</v>
      </c>
      <c r="G4542" s="482" t="s">
        <v>938</v>
      </c>
      <c r="H4542" s="192" t="s">
        <v>2016</v>
      </c>
      <c r="I4542" s="255">
        <v>390</v>
      </c>
      <c r="J4542" s="255">
        <v>7708.45570830411</v>
      </c>
      <c r="K4542" s="593">
        <f t="shared" si="89"/>
        <v>3006298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69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799"/>
    </row>
    <row r="4543" spans="1:27" s="210" customFormat="1" ht="15.75" customHeight="1">
      <c r="A4543" s="203" t="str">
        <f>IF(B4543&lt;&gt;"",IF(AND(B4543&gt;=_TM1,B4543&lt;=_TM2,OR(TH!L4543="1111",TH!M4543="1111")),TH!D4543,""),"")</f>
        <v/>
      </c>
      <c r="B4543" s="36">
        <f t="shared" si="87"/>
        <v>7</v>
      </c>
      <c r="C4543" s="183">
        <f t="shared" si="88"/>
        <v>42212</v>
      </c>
      <c r="D4543" s="190" t="s">
        <v>2015</v>
      </c>
      <c r="E4543" s="190">
        <v>42212</v>
      </c>
      <c r="F4543" s="191" t="s">
        <v>510</v>
      </c>
      <c r="G4543" s="482" t="s">
        <v>938</v>
      </c>
      <c r="H4543" s="192" t="s">
        <v>2016</v>
      </c>
      <c r="I4543" s="255">
        <v>80</v>
      </c>
      <c r="J4543" s="255">
        <v>8832.6054990984594</v>
      </c>
      <c r="K4543" s="593">
        <f t="shared" si="89"/>
        <v>706608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69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799"/>
    </row>
    <row r="4544" spans="1:27" s="210" customFormat="1" ht="15.75" customHeight="1">
      <c r="A4544" s="203" t="str">
        <f>IF(B4544&lt;&gt;"",IF(AND(B4544&gt;=_TM1,B4544&lt;=_TM2,OR(TH!L4544="1111",TH!M4544="1111")),TH!D4544,""),"")</f>
        <v/>
      </c>
      <c r="B4544" s="36">
        <f t="shared" si="87"/>
        <v>7</v>
      </c>
      <c r="C4544" s="183">
        <f t="shared" si="88"/>
        <v>42212</v>
      </c>
      <c r="D4544" s="190" t="s">
        <v>2015</v>
      </c>
      <c r="E4544" s="190">
        <v>42212</v>
      </c>
      <c r="F4544" s="191" t="s">
        <v>512</v>
      </c>
      <c r="G4544" s="482" t="s">
        <v>938</v>
      </c>
      <c r="H4544" s="192" t="s">
        <v>2016</v>
      </c>
      <c r="I4544" s="255">
        <v>470</v>
      </c>
      <c r="J4544" s="255">
        <v>9073.4947399829616</v>
      </c>
      <c r="K4544" s="593">
        <f t="shared" si="89"/>
        <v>4264543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69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799"/>
    </row>
    <row r="4545" spans="1:27" s="210" customFormat="1" ht="15.75" customHeight="1">
      <c r="A4545" s="203" t="str">
        <f>IF(B4545&lt;&gt;"",IF(AND(B4545&gt;=_TM1,B4545&lt;=_TM2,OR(TH!L4545="1111",TH!M4545="1111")),TH!D4545,""),"")</f>
        <v/>
      </c>
      <c r="B4545" s="36">
        <f t="shared" si="87"/>
        <v>7</v>
      </c>
      <c r="C4545" s="183">
        <f t="shared" si="88"/>
        <v>42212</v>
      </c>
      <c r="D4545" s="190" t="s">
        <v>2015</v>
      </c>
      <c r="E4545" s="190">
        <v>42212</v>
      </c>
      <c r="F4545" s="191" t="s">
        <v>513</v>
      </c>
      <c r="G4545" s="482" t="s">
        <v>938</v>
      </c>
      <c r="H4545" s="192" t="s">
        <v>2016</v>
      </c>
      <c r="I4545" s="255">
        <v>350</v>
      </c>
      <c r="J4545" s="255">
        <v>9234.0875672392976</v>
      </c>
      <c r="K4545" s="593">
        <f t="shared" si="89"/>
        <v>3231931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69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799"/>
    </row>
    <row r="4546" spans="1:27" s="210" customFormat="1" ht="15.75" customHeight="1">
      <c r="A4546" s="203" t="str">
        <f>IF(B4546&lt;&gt;"",IF(AND(B4546&gt;=_TM1,B4546&lt;=_TM2,OR(TH!L4546="1111",TH!M4546="1111")),TH!D4546,""),"")</f>
        <v/>
      </c>
      <c r="B4546" s="36">
        <f t="shared" si="87"/>
        <v>7</v>
      </c>
      <c r="C4546" s="183">
        <f t="shared" si="88"/>
        <v>42212</v>
      </c>
      <c r="D4546" s="190" t="s">
        <v>2015</v>
      </c>
      <c r="E4546" s="190">
        <v>42212</v>
      </c>
      <c r="F4546" s="191" t="s">
        <v>514</v>
      </c>
      <c r="G4546" s="482" t="s">
        <v>938</v>
      </c>
      <c r="H4546" s="192" t="s">
        <v>2016</v>
      </c>
      <c r="I4546" s="255">
        <v>251</v>
      </c>
      <c r="J4546" s="255">
        <v>7708.45570830411</v>
      </c>
      <c r="K4546" s="593">
        <f t="shared" si="89"/>
        <v>1934822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69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799"/>
    </row>
    <row r="4547" spans="1:27" s="210" customFormat="1" ht="15.75" customHeight="1">
      <c r="A4547" s="203" t="str">
        <f>IF(B4547&lt;&gt;"",IF(AND(B4547&gt;=_TM1,B4547&lt;=_TM2,OR(TH!L4547="1111",TH!M4547="1111")),TH!D4547,""),"")</f>
        <v/>
      </c>
      <c r="B4547" s="36">
        <f t="shared" si="87"/>
        <v>7</v>
      </c>
      <c r="C4547" s="183">
        <f t="shared" si="88"/>
        <v>42212</v>
      </c>
      <c r="D4547" s="190" t="s">
        <v>2015</v>
      </c>
      <c r="E4547" s="190">
        <v>42212</v>
      </c>
      <c r="F4547" s="191" t="s">
        <v>510</v>
      </c>
      <c r="G4547" s="482" t="s">
        <v>938</v>
      </c>
      <c r="H4547" s="192" t="s">
        <v>2016</v>
      </c>
      <c r="I4547" s="255">
        <v>150</v>
      </c>
      <c r="J4547" s="255">
        <v>8832.6054990984594</v>
      </c>
      <c r="K4547" s="593">
        <f t="shared" si="89"/>
        <v>1324891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69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799"/>
    </row>
    <row r="4548" spans="1:27" s="210" customFormat="1" ht="15.75" customHeight="1">
      <c r="A4548" s="203" t="str">
        <f>IF(B4548&lt;&gt;"",IF(AND(B4548&gt;=_TM1,B4548&lt;=_TM2,OR(TH!L4548="1111",TH!M4548="1111")),TH!D4548,""),"")</f>
        <v/>
      </c>
      <c r="B4548" s="36">
        <f t="shared" si="87"/>
        <v>7</v>
      </c>
      <c r="C4548" s="183">
        <f t="shared" si="88"/>
        <v>42212</v>
      </c>
      <c r="D4548" s="190" t="s">
        <v>2015</v>
      </c>
      <c r="E4548" s="190">
        <v>42212</v>
      </c>
      <c r="F4548" s="191" t="s">
        <v>512</v>
      </c>
      <c r="G4548" s="482" t="s">
        <v>938</v>
      </c>
      <c r="H4548" s="192" t="s">
        <v>2016</v>
      </c>
      <c r="I4548" s="255">
        <v>200</v>
      </c>
      <c r="J4548" s="255">
        <v>9073.4947399829616</v>
      </c>
      <c r="K4548" s="593">
        <f t="shared" si="89"/>
        <v>1814699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69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799"/>
    </row>
    <row r="4549" spans="1:27" s="210" customFormat="1" ht="15.75" customHeight="1">
      <c r="A4549" s="203" t="str">
        <f>IF(B4549&lt;&gt;"",IF(AND(B4549&gt;=_TM1,B4549&lt;=_TM2,OR(TH!L4549="1111",TH!M4549="1111")),TH!D4549,""),"")</f>
        <v/>
      </c>
      <c r="B4549" s="36">
        <f t="shared" si="87"/>
        <v>7</v>
      </c>
      <c r="C4549" s="183">
        <f t="shared" si="88"/>
        <v>42212</v>
      </c>
      <c r="D4549" s="190" t="s">
        <v>2015</v>
      </c>
      <c r="E4549" s="190">
        <v>42212</v>
      </c>
      <c r="F4549" s="191" t="s">
        <v>682</v>
      </c>
      <c r="G4549" s="482" t="s">
        <v>939</v>
      </c>
      <c r="H4549" s="192" t="s">
        <v>2016</v>
      </c>
      <c r="I4549" s="255">
        <v>222</v>
      </c>
      <c r="J4549" s="255">
        <v>4255.7099222928946</v>
      </c>
      <c r="K4549" s="593">
        <f t="shared" si="89"/>
        <v>944768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69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799"/>
    </row>
    <row r="4550" spans="1:27" s="210" customFormat="1" ht="15.75" customHeight="1">
      <c r="A4550" s="203" t="str">
        <f>IF(B4550&lt;&gt;"",IF(AND(B4550&gt;=_TM1,B4550&lt;=_TM2,OR(TH!L4550="1111",TH!M4550="1111")),TH!D4550,""),"")</f>
        <v/>
      </c>
      <c r="B4550" s="36">
        <f t="shared" si="87"/>
        <v>7</v>
      </c>
      <c r="C4550" s="183">
        <f t="shared" si="88"/>
        <v>42212</v>
      </c>
      <c r="D4550" s="190" t="s">
        <v>2015</v>
      </c>
      <c r="E4550" s="190">
        <v>42212</v>
      </c>
      <c r="F4550" s="191" t="s">
        <v>910</v>
      </c>
      <c r="G4550" s="482" t="s">
        <v>939</v>
      </c>
      <c r="H4550" s="192" t="s">
        <v>2016</v>
      </c>
      <c r="I4550" s="255">
        <v>494</v>
      </c>
      <c r="J4550" s="255">
        <v>5379.859713087244</v>
      </c>
      <c r="K4550" s="593">
        <f t="shared" si="89"/>
        <v>2657651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69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799"/>
    </row>
    <row r="4551" spans="1:27" s="210" customFormat="1" ht="15.75" customHeight="1">
      <c r="A4551" s="203" t="str">
        <f>IF(B4551&lt;&gt;"",IF(AND(B4551&gt;=_TM1,B4551&lt;=_TM2,OR(TH!L4551="1111",TH!M4551="1111")),TH!D4551,""),"")</f>
        <v/>
      </c>
      <c r="B4551" s="36">
        <f t="shared" si="87"/>
        <v>7</v>
      </c>
      <c r="C4551" s="183">
        <f t="shared" si="88"/>
        <v>42214</v>
      </c>
      <c r="D4551" s="190" t="s">
        <v>2015</v>
      </c>
      <c r="E4551" s="190">
        <v>42214</v>
      </c>
      <c r="F4551" s="191" t="s">
        <v>1692</v>
      </c>
      <c r="G4551" s="482" t="s">
        <v>940</v>
      </c>
      <c r="H4551" s="192" t="s">
        <v>2016</v>
      </c>
      <c r="I4551" s="255">
        <v>400</v>
      </c>
      <c r="J4551" s="255">
        <v>642.3713090253425</v>
      </c>
      <c r="K4551" s="593">
        <f t="shared" si="89"/>
        <v>256949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69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799"/>
    </row>
    <row r="4552" spans="1:27" s="210" customFormat="1" ht="15.75" customHeight="1">
      <c r="A4552" s="203" t="str">
        <f>IF(B4552&lt;&gt;"",IF(AND(B4552&gt;=_TM1,B4552&lt;=_TM2,OR(TH!L4552="1111",TH!M4552="1111")),TH!D4552,""),"")</f>
        <v/>
      </c>
      <c r="B4552" s="36">
        <f t="shared" si="87"/>
        <v>7</v>
      </c>
      <c r="C4552" s="183">
        <f t="shared" si="88"/>
        <v>42216</v>
      </c>
      <c r="D4552" s="190" t="s">
        <v>2015</v>
      </c>
      <c r="E4552" s="190">
        <v>42216</v>
      </c>
      <c r="F4552" s="191" t="s">
        <v>892</v>
      </c>
      <c r="G4552" s="482" t="s">
        <v>941</v>
      </c>
      <c r="H4552" s="192" t="s">
        <v>2016</v>
      </c>
      <c r="I4552" s="255">
        <v>308</v>
      </c>
      <c r="J4552" s="255">
        <v>4978.377644946404</v>
      </c>
      <c r="K4552" s="593">
        <f t="shared" si="89"/>
        <v>1533340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69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799"/>
    </row>
    <row r="4553" spans="1:27" s="210" customFormat="1" ht="15.75" customHeight="1">
      <c r="A4553" s="203" t="str">
        <f>IF(B4553&lt;&gt;"",IF(AND(B4553&gt;=_TM1,B4553&lt;=_TM2,OR(TH!L4553="1111",TH!M4553="1111")),TH!D4553,""),"")</f>
        <v/>
      </c>
      <c r="B4553" s="36">
        <f t="shared" si="87"/>
        <v>7</v>
      </c>
      <c r="C4553" s="183">
        <f t="shared" si="88"/>
        <v>42216</v>
      </c>
      <c r="D4553" s="190" t="s">
        <v>2015</v>
      </c>
      <c r="E4553" s="190">
        <v>42216</v>
      </c>
      <c r="F4553" s="191" t="s">
        <v>596</v>
      </c>
      <c r="G4553" s="482" t="s">
        <v>942</v>
      </c>
      <c r="H4553" s="192" t="s">
        <v>2016</v>
      </c>
      <c r="I4553" s="255">
        <v>196</v>
      </c>
      <c r="J4553" s="255">
        <v>12767.129766878683</v>
      </c>
      <c r="K4553" s="593">
        <f t="shared" si="89"/>
        <v>2502357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69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799"/>
    </row>
    <row r="4554" spans="1:27" s="210" customFormat="1" ht="15.75" customHeight="1">
      <c r="A4554" s="203" t="str">
        <f>IF(B4554&lt;&gt;"",IF(AND(B4554&gt;=_TM1,B4554&lt;=_TM2,OR(TH!L4554="1111",TH!M4554="1111")),TH!D4554,""),"")</f>
        <v/>
      </c>
      <c r="B4554" s="36">
        <f t="shared" si="87"/>
        <v>7</v>
      </c>
      <c r="C4554" s="183">
        <f t="shared" si="88"/>
        <v>42216</v>
      </c>
      <c r="D4554" s="190" t="s">
        <v>2015</v>
      </c>
      <c r="E4554" s="190">
        <v>42216</v>
      </c>
      <c r="F4554" s="191" t="s">
        <v>1675</v>
      </c>
      <c r="G4554" s="482" t="s">
        <v>942</v>
      </c>
      <c r="H4554" s="192" t="s">
        <v>2016</v>
      </c>
      <c r="I4554" s="255">
        <v>500</v>
      </c>
      <c r="J4554" s="255">
        <v>1927.1139270760275</v>
      </c>
      <c r="K4554" s="593">
        <f t="shared" si="89"/>
        <v>963557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69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799"/>
    </row>
    <row r="4555" spans="1:27" s="210" customFormat="1" ht="15.75" customHeight="1">
      <c r="A4555" s="203" t="str">
        <f>IF(B4555&lt;&gt;"",IF(AND(B4555&gt;=_TM1,B4555&lt;=_TM2,OR(TH!L4555="1111",TH!M4555="1111")),TH!D4555,""),"")</f>
        <v/>
      </c>
      <c r="B4555" s="36">
        <f t="shared" si="87"/>
        <v>7</v>
      </c>
      <c r="C4555" s="183">
        <f t="shared" si="88"/>
        <v>42216</v>
      </c>
      <c r="D4555" s="190" t="s">
        <v>2015</v>
      </c>
      <c r="E4555" s="190">
        <v>42216</v>
      </c>
      <c r="F4555" s="191" t="s">
        <v>943</v>
      </c>
      <c r="G4555" s="482" t="s">
        <v>944</v>
      </c>
      <c r="H4555" s="192" t="s">
        <v>2016</v>
      </c>
      <c r="I4555" s="255">
        <v>61</v>
      </c>
      <c r="J4555" s="255">
        <v>16300.171966518064</v>
      </c>
      <c r="K4555" s="593">
        <f t="shared" si="89"/>
        <v>994310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69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799"/>
    </row>
    <row r="4556" spans="1:27" s="210" customFormat="1" ht="15.75" customHeight="1">
      <c r="A4556" s="203" t="str">
        <f>IF(B4556&lt;&gt;"",IF(AND(B4556&gt;=_TM1,B4556&lt;=_TM2,OR(TH!L4556="1111",TH!M4556="1111")),TH!D4556,""),"")</f>
        <v/>
      </c>
      <c r="B4556" s="36">
        <f t="shared" si="87"/>
        <v>7</v>
      </c>
      <c r="C4556" s="183">
        <f t="shared" si="88"/>
        <v>42216</v>
      </c>
      <c r="D4556" s="190" t="s">
        <v>2015</v>
      </c>
      <c r="E4556" s="190">
        <v>42216</v>
      </c>
      <c r="F4556" s="191" t="s">
        <v>539</v>
      </c>
      <c r="G4556" s="482" t="s">
        <v>944</v>
      </c>
      <c r="H4556" s="192" t="s">
        <v>2016</v>
      </c>
      <c r="I4556" s="255">
        <v>316</v>
      </c>
      <c r="J4556" s="255">
        <v>7547.862881047774</v>
      </c>
      <c r="K4556" s="593">
        <f t="shared" si="89"/>
        <v>2385125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69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799"/>
    </row>
    <row r="4557" spans="1:27" s="210" customFormat="1" ht="15.75" customHeight="1">
      <c r="A4557" s="203" t="str">
        <f>IF(B4557&lt;&gt;"",IF(AND(B4557&gt;=_TM1,B4557&lt;=_TM2,OR(TH!L4557="1111",TH!M4557="1111")),TH!D4557,""),"")</f>
        <v/>
      </c>
      <c r="B4557" s="36">
        <f t="shared" si="87"/>
        <v>8</v>
      </c>
      <c r="C4557" s="183">
        <f t="shared" si="88"/>
        <v>42219</v>
      </c>
      <c r="D4557" s="190" t="s">
        <v>2015</v>
      </c>
      <c r="E4557" s="190">
        <v>42219</v>
      </c>
      <c r="F4557" s="191" t="s">
        <v>439</v>
      </c>
      <c r="G4557" s="482" t="s">
        <v>945</v>
      </c>
      <c r="H4557" s="192" t="s">
        <v>2016</v>
      </c>
      <c r="I4557" s="255">
        <v>517</v>
      </c>
      <c r="J4557" s="255">
        <v>5138.97047220274</v>
      </c>
      <c r="K4557" s="593">
        <f t="shared" si="89"/>
        <v>2656848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69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799"/>
    </row>
    <row r="4558" spans="1:27" s="210" customFormat="1" ht="15.75" customHeight="1">
      <c r="A4558" s="203" t="str">
        <f>IF(B4558&lt;&gt;"",IF(AND(B4558&gt;=_TM1,B4558&lt;=_TM2,OR(TH!L4558="1111",TH!M4558="1111")),TH!D4558,""),"")</f>
        <v/>
      </c>
      <c r="B4558" s="36">
        <f t="shared" si="87"/>
        <v>8</v>
      </c>
      <c r="C4558" s="183">
        <f t="shared" si="88"/>
        <v>42219</v>
      </c>
      <c r="D4558" s="190" t="s">
        <v>2015</v>
      </c>
      <c r="E4558" s="190">
        <v>42219</v>
      </c>
      <c r="F4558" s="191" t="s">
        <v>522</v>
      </c>
      <c r="G4558" s="482" t="s">
        <v>945</v>
      </c>
      <c r="H4558" s="192" t="s">
        <v>2016</v>
      </c>
      <c r="I4558" s="255">
        <v>296</v>
      </c>
      <c r="J4558" s="255">
        <v>4336.0063359210617</v>
      </c>
      <c r="K4558" s="593">
        <f t="shared" si="89"/>
        <v>1283458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69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799"/>
    </row>
    <row r="4559" spans="1:27" s="210" customFormat="1" ht="15.75" customHeight="1">
      <c r="A4559" s="203" t="str">
        <f>IF(B4559&lt;&gt;"",IF(AND(B4559&gt;=_TM1,B4559&lt;=_TM2,OR(TH!L4559="1111",TH!M4559="1111")),TH!D4559,""),"")</f>
        <v/>
      </c>
      <c r="B4559" s="36">
        <f t="shared" si="87"/>
        <v>8</v>
      </c>
      <c r="C4559" s="183">
        <f t="shared" si="88"/>
        <v>42219</v>
      </c>
      <c r="D4559" s="190" t="s">
        <v>2015</v>
      </c>
      <c r="E4559" s="190">
        <v>42219</v>
      </c>
      <c r="F4559" s="191" t="s">
        <v>441</v>
      </c>
      <c r="G4559" s="482" t="s">
        <v>945</v>
      </c>
      <c r="H4559" s="192" t="s">
        <v>2016</v>
      </c>
      <c r="I4559" s="255">
        <v>518</v>
      </c>
      <c r="J4559" s="255">
        <v>4095.1170950365586</v>
      </c>
      <c r="K4559" s="593">
        <f t="shared" si="89"/>
        <v>2121271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69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799"/>
    </row>
    <row r="4560" spans="1:27" s="210" customFormat="1" ht="15.75" customHeight="1">
      <c r="A4560" s="203" t="str">
        <f>IF(B4560&lt;&gt;"",IF(AND(B4560&gt;=_TM1,B4560&lt;=_TM2,OR(TH!L4560="1111",TH!M4560="1111")),TH!D4560,""),"")</f>
        <v/>
      </c>
      <c r="B4560" s="36">
        <f t="shared" si="87"/>
        <v>8</v>
      </c>
      <c r="C4560" s="183">
        <f t="shared" si="88"/>
        <v>42219</v>
      </c>
      <c r="D4560" s="190" t="s">
        <v>2015</v>
      </c>
      <c r="E4560" s="190">
        <v>42219</v>
      </c>
      <c r="F4560" s="191" t="s">
        <v>946</v>
      </c>
      <c r="G4560" s="482" t="s">
        <v>945</v>
      </c>
      <c r="H4560" s="192" t="s">
        <v>2016</v>
      </c>
      <c r="I4560" s="255">
        <v>514</v>
      </c>
      <c r="J4560" s="255">
        <v>5941.9346084844183</v>
      </c>
      <c r="K4560" s="593">
        <f t="shared" si="89"/>
        <v>3054154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69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799"/>
    </row>
    <row r="4561" spans="1:27" s="210" customFormat="1" ht="15.75" customHeight="1">
      <c r="A4561" s="203" t="str">
        <f>IF(B4561&lt;&gt;"",IF(AND(B4561&gt;=_TM1,B4561&lt;=_TM2,OR(TH!L4561="1111",TH!M4561="1111")),TH!D4561,""),"")</f>
        <v/>
      </c>
      <c r="B4561" s="36">
        <f t="shared" si="87"/>
        <v>8</v>
      </c>
      <c r="C4561" s="183">
        <f t="shared" si="88"/>
        <v>42219</v>
      </c>
      <c r="D4561" s="190" t="s">
        <v>2015</v>
      </c>
      <c r="E4561" s="190">
        <v>42219</v>
      </c>
      <c r="F4561" s="191" t="s">
        <v>947</v>
      </c>
      <c r="G4561" s="482" t="s">
        <v>945</v>
      </c>
      <c r="H4561" s="192" t="s">
        <v>2016</v>
      </c>
      <c r="I4561" s="255">
        <v>106</v>
      </c>
      <c r="J4561" s="255">
        <v>19592.324925272944</v>
      </c>
      <c r="K4561" s="593">
        <f t="shared" si="89"/>
        <v>2076786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69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799"/>
    </row>
    <row r="4562" spans="1:27" s="210" customFormat="1" ht="15.75" customHeight="1">
      <c r="A4562" s="203" t="str">
        <f>IF(B4562&lt;&gt;"",IF(AND(B4562&gt;=_TM1,B4562&lt;=_TM2,OR(TH!L4562="1111",TH!M4562="1111")),TH!D4562,""),"")</f>
        <v/>
      </c>
      <c r="B4562" s="36">
        <f t="shared" si="87"/>
        <v>8</v>
      </c>
      <c r="C4562" s="183">
        <f t="shared" si="88"/>
        <v>42219</v>
      </c>
      <c r="D4562" s="190" t="s">
        <v>2015</v>
      </c>
      <c r="E4562" s="190">
        <v>42219</v>
      </c>
      <c r="F4562" s="191" t="s">
        <v>948</v>
      </c>
      <c r="G4562" s="482" t="s">
        <v>945</v>
      </c>
      <c r="H4562" s="192" t="s">
        <v>2016</v>
      </c>
      <c r="I4562" s="255">
        <v>116</v>
      </c>
      <c r="J4562" s="255">
        <v>5379.859713087244</v>
      </c>
      <c r="K4562" s="593">
        <f t="shared" si="89"/>
        <v>624064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69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799"/>
    </row>
    <row r="4563" spans="1:27" s="210" customFormat="1" ht="15.75" customHeight="1">
      <c r="A4563" s="203" t="str">
        <f>IF(B4563&lt;&gt;"",IF(AND(B4563&gt;=_TM1,B4563&lt;=_TM2,OR(TH!L4563="1111",TH!M4563="1111")),TH!D4563,""),"")</f>
        <v/>
      </c>
      <c r="B4563" s="36">
        <f t="shared" si="87"/>
        <v>8</v>
      </c>
      <c r="C4563" s="183">
        <f t="shared" si="88"/>
        <v>42219</v>
      </c>
      <c r="D4563" s="190" t="s">
        <v>2015</v>
      </c>
      <c r="E4563" s="190">
        <v>42219</v>
      </c>
      <c r="F4563" s="191" t="s">
        <v>602</v>
      </c>
      <c r="G4563" s="482" t="s">
        <v>949</v>
      </c>
      <c r="H4563" s="192" t="s">
        <v>2016</v>
      </c>
      <c r="I4563" s="255">
        <v>1131</v>
      </c>
      <c r="J4563" s="255">
        <v>10117.348117149144</v>
      </c>
      <c r="K4563" s="593">
        <f t="shared" si="89"/>
        <v>11442721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69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799"/>
    </row>
    <row r="4564" spans="1:27" s="210" customFormat="1" ht="15.75" customHeight="1">
      <c r="A4564" s="203" t="str">
        <f>IF(B4564&lt;&gt;"",IF(AND(B4564&gt;=_TM1,B4564&lt;=_TM2,OR(TH!L4564="1111",TH!M4564="1111")),TH!D4564,""),"")</f>
        <v/>
      </c>
      <c r="B4564" s="36">
        <f t="shared" si="87"/>
        <v>8</v>
      </c>
      <c r="C4564" s="183">
        <f t="shared" si="88"/>
        <v>42219</v>
      </c>
      <c r="D4564" s="190" t="s">
        <v>2015</v>
      </c>
      <c r="E4564" s="190">
        <v>42219</v>
      </c>
      <c r="F4564" s="191" t="s">
        <v>951</v>
      </c>
      <c r="G4564" s="482" t="s">
        <v>949</v>
      </c>
      <c r="H4564" s="192" t="s">
        <v>2016</v>
      </c>
      <c r="I4564" s="255">
        <v>210</v>
      </c>
      <c r="J4564" s="255">
        <v>10117.348117149144</v>
      </c>
      <c r="K4564" s="593">
        <f t="shared" si="89"/>
        <v>2124643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69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799"/>
    </row>
    <row r="4565" spans="1:27" s="210" customFormat="1" ht="15.75" customHeight="1">
      <c r="A4565" s="203" t="str">
        <f>IF(B4565&lt;&gt;"",IF(AND(B4565&gt;=_TM1,B4565&lt;=_TM2,OR(TH!L4565="1111",TH!M4565="1111")),TH!D4565,""),"")</f>
        <v/>
      </c>
      <c r="B4565" s="36">
        <f t="shared" si="87"/>
        <v>8</v>
      </c>
      <c r="C4565" s="183">
        <f t="shared" si="88"/>
        <v>42222</v>
      </c>
      <c r="D4565" s="190" t="s">
        <v>2015</v>
      </c>
      <c r="E4565" s="190">
        <v>42222</v>
      </c>
      <c r="F4565" s="191" t="s">
        <v>952</v>
      </c>
      <c r="G4565" s="482" t="s">
        <v>953</v>
      </c>
      <c r="H4565" s="192" t="s">
        <v>2016</v>
      </c>
      <c r="I4565" s="255">
        <v>157</v>
      </c>
      <c r="J4565" s="255">
        <v>25855.445188270038</v>
      </c>
      <c r="K4565" s="593">
        <f t="shared" si="89"/>
        <v>4059305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69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799"/>
    </row>
    <row r="4566" spans="1:27" s="210" customFormat="1" ht="15.75" customHeight="1">
      <c r="A4566" s="203" t="str">
        <f>IF(B4566&lt;&gt;"",IF(AND(B4566&gt;=_TM1,B4566&lt;=_TM2,OR(TH!L4566="1111",TH!M4566="1111")),TH!D4566,""),"")</f>
        <v/>
      </c>
      <c r="B4566" s="36">
        <f t="shared" si="87"/>
        <v>8</v>
      </c>
      <c r="C4566" s="183">
        <f t="shared" si="88"/>
        <v>42223</v>
      </c>
      <c r="D4566" s="190" t="s">
        <v>2015</v>
      </c>
      <c r="E4566" s="190">
        <v>42223</v>
      </c>
      <c r="F4566" s="191" t="s">
        <v>398</v>
      </c>
      <c r="G4566" s="482" t="s">
        <v>955</v>
      </c>
      <c r="H4566" s="192" t="s">
        <v>2016</v>
      </c>
      <c r="I4566" s="255">
        <v>922</v>
      </c>
      <c r="J4566" s="255">
        <v>6584.3059175097605</v>
      </c>
      <c r="K4566" s="593">
        <f t="shared" si="89"/>
        <v>6070730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69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799"/>
    </row>
    <row r="4567" spans="1:27" s="210" customFormat="1" ht="15.75" customHeight="1">
      <c r="A4567" s="203" t="str">
        <f>IF(B4567&lt;&gt;"",IF(AND(B4567&gt;=_TM1,B4567&lt;=_TM2,OR(TH!L4567="1111",TH!M4567="1111")),TH!D4567,""),"")</f>
        <v/>
      </c>
      <c r="B4567" s="36">
        <f t="shared" si="87"/>
        <v>8</v>
      </c>
      <c r="C4567" s="183">
        <f t="shared" si="88"/>
        <v>42223</v>
      </c>
      <c r="D4567" s="190" t="s">
        <v>2015</v>
      </c>
      <c r="E4567" s="190">
        <v>42223</v>
      </c>
      <c r="F4567" s="191" t="s">
        <v>446</v>
      </c>
      <c r="G4567" s="482" t="s">
        <v>955</v>
      </c>
      <c r="H4567" s="192" t="s">
        <v>2016</v>
      </c>
      <c r="I4567" s="255">
        <v>307</v>
      </c>
      <c r="J4567" s="255">
        <v>7306.9736401632708</v>
      </c>
      <c r="K4567" s="593">
        <f t="shared" si="89"/>
        <v>2243241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69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799"/>
    </row>
    <row r="4568" spans="1:27" s="210" customFormat="1" ht="15.75" customHeight="1">
      <c r="A4568" s="203" t="str">
        <f>IF(B4568&lt;&gt;"",IF(AND(B4568&gt;=_TM1,B4568&lt;=_TM2,OR(TH!L4568="1111",TH!M4568="1111")),TH!D4568,""),"")</f>
        <v/>
      </c>
      <c r="B4568" s="36">
        <f t="shared" si="87"/>
        <v>8</v>
      </c>
      <c r="C4568" s="183">
        <f t="shared" si="88"/>
        <v>42223</v>
      </c>
      <c r="D4568" s="190" t="s">
        <v>2015</v>
      </c>
      <c r="E4568" s="190">
        <v>42223</v>
      </c>
      <c r="F4568" s="191" t="s">
        <v>2010</v>
      </c>
      <c r="G4568" s="482" t="s">
        <v>956</v>
      </c>
      <c r="H4568" s="192" t="s">
        <v>2016</v>
      </c>
      <c r="I4568" s="255">
        <v>1667</v>
      </c>
      <c r="J4568" s="255">
        <v>9394.6803944956337</v>
      </c>
      <c r="K4568" s="593">
        <f t="shared" si="89"/>
        <v>15660932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69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799"/>
    </row>
    <row r="4569" spans="1:27" s="210" customFormat="1" ht="15.75" customHeight="1">
      <c r="A4569" s="203" t="str">
        <f>IF(B4569&lt;&gt;"",IF(AND(B4569&gt;=_TM1,B4569&lt;=_TM2,OR(TH!L4569="1111",TH!M4569="1111")),TH!D4569,""),"")</f>
        <v/>
      </c>
      <c r="B4569" s="36">
        <f t="shared" si="87"/>
        <v>8</v>
      </c>
      <c r="C4569" s="183">
        <f t="shared" si="88"/>
        <v>42223</v>
      </c>
      <c r="D4569" s="190" t="s">
        <v>2015</v>
      </c>
      <c r="E4569" s="190">
        <v>42223</v>
      </c>
      <c r="F4569" s="191" t="s">
        <v>1773</v>
      </c>
      <c r="G4569" s="482" t="s">
        <v>958</v>
      </c>
      <c r="H4569" s="192" t="s">
        <v>2016</v>
      </c>
      <c r="I4569" s="255">
        <v>450</v>
      </c>
      <c r="J4569" s="255">
        <v>8029.6413628167811</v>
      </c>
      <c r="K4569" s="593">
        <f t="shared" si="89"/>
        <v>3613339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69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799"/>
    </row>
    <row r="4570" spans="1:27" s="210" customFormat="1" ht="15.75" customHeight="1">
      <c r="A4570" s="203" t="str">
        <f>IF(B4570&lt;&gt;"",IF(AND(B4570&gt;=_TM1,B4570&lt;=_TM2,OR(TH!L4570="1111",TH!M4570="1111")),TH!D4570,""),"")</f>
        <v/>
      </c>
      <c r="B4570" s="36">
        <f t="shared" si="87"/>
        <v>8</v>
      </c>
      <c r="C4570" s="183">
        <f t="shared" si="88"/>
        <v>42223</v>
      </c>
      <c r="D4570" s="190" t="s">
        <v>2015</v>
      </c>
      <c r="E4570" s="190">
        <v>42223</v>
      </c>
      <c r="F4570" s="191" t="s">
        <v>1774</v>
      </c>
      <c r="G4570" s="482" t="s">
        <v>958</v>
      </c>
      <c r="H4570" s="192" t="s">
        <v>2016</v>
      </c>
      <c r="I4570" s="255">
        <v>58</v>
      </c>
      <c r="J4570" s="255">
        <v>14453.354453070206</v>
      </c>
      <c r="K4570" s="593">
        <f t="shared" si="89"/>
        <v>838295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69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799"/>
    </row>
    <row r="4571" spans="1:27" s="210" customFormat="1" ht="15.75" customHeight="1">
      <c r="A4571" s="203" t="str">
        <f>IF(B4571&lt;&gt;"",IF(AND(B4571&gt;=_TM1,B4571&lt;=_TM2,OR(TH!L4571="1111",TH!M4571="1111")),TH!D4571,""),"")</f>
        <v/>
      </c>
      <c r="B4571" s="36">
        <f t="shared" si="87"/>
        <v>8</v>
      </c>
      <c r="C4571" s="183">
        <f t="shared" si="88"/>
        <v>42223</v>
      </c>
      <c r="D4571" s="190" t="s">
        <v>2015</v>
      </c>
      <c r="E4571" s="190">
        <v>42223</v>
      </c>
      <c r="F4571" s="191" t="s">
        <v>1727</v>
      </c>
      <c r="G4571" s="482" t="s">
        <v>958</v>
      </c>
      <c r="H4571" s="192" t="s">
        <v>2016</v>
      </c>
      <c r="I4571" s="255">
        <v>10</v>
      </c>
      <c r="J4571" s="255">
        <v>15015.429348467382</v>
      </c>
      <c r="K4571" s="593">
        <f t="shared" si="89"/>
        <v>150154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69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799"/>
    </row>
    <row r="4572" spans="1:27" s="210" customFormat="1" ht="15.75" customHeight="1">
      <c r="A4572" s="203" t="str">
        <f>IF(B4572&lt;&gt;"",IF(AND(B4572&gt;=_TM1,B4572&lt;=_TM2,OR(TH!L4572="1111",TH!M4572="1111")),TH!D4572,""),"")</f>
        <v/>
      </c>
      <c r="B4572" s="36">
        <f t="shared" si="87"/>
        <v>8</v>
      </c>
      <c r="C4572" s="183">
        <f t="shared" si="88"/>
        <v>42223</v>
      </c>
      <c r="D4572" s="190" t="s">
        <v>2015</v>
      </c>
      <c r="E4572" s="190">
        <v>42223</v>
      </c>
      <c r="F4572" s="191" t="s">
        <v>1728</v>
      </c>
      <c r="G4572" s="482" t="s">
        <v>958</v>
      </c>
      <c r="H4572" s="192" t="s">
        <v>2016</v>
      </c>
      <c r="I4572" s="255">
        <v>10</v>
      </c>
      <c r="J4572" s="255">
        <v>13810.983144044863</v>
      </c>
      <c r="K4572" s="593">
        <f t="shared" si="89"/>
        <v>138110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69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799"/>
    </row>
    <row r="4573" spans="1:27" s="210" customFormat="1" ht="15.75" customHeight="1">
      <c r="A4573" s="203" t="str">
        <f>IF(B4573&lt;&gt;"",IF(AND(B4573&gt;=_TM1,B4573&lt;=_TM2,OR(TH!L4573="1111",TH!M4573="1111")),TH!D4573,""),"")</f>
        <v/>
      </c>
      <c r="B4573" s="36">
        <f t="shared" si="87"/>
        <v>8</v>
      </c>
      <c r="C4573" s="183">
        <f t="shared" si="88"/>
        <v>42223</v>
      </c>
      <c r="D4573" s="190" t="s">
        <v>2015</v>
      </c>
      <c r="E4573" s="190">
        <v>42223</v>
      </c>
      <c r="F4573" s="191" t="s">
        <v>1704</v>
      </c>
      <c r="G4573" s="482" t="s">
        <v>958</v>
      </c>
      <c r="H4573" s="192" t="s">
        <v>2016</v>
      </c>
      <c r="I4573" s="255">
        <v>10</v>
      </c>
      <c r="J4573" s="255">
        <v>13329.204662275855</v>
      </c>
      <c r="K4573" s="593">
        <f t="shared" si="89"/>
        <v>133292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69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799"/>
    </row>
    <row r="4574" spans="1:27" s="210" customFormat="1" ht="15.75" customHeight="1">
      <c r="A4574" s="203" t="str">
        <f>IF(B4574&lt;&gt;"",IF(AND(B4574&gt;=_TM1,B4574&lt;=_TM2,OR(TH!L4574="1111",TH!M4574="1111")),TH!D4574,""),"")</f>
        <v/>
      </c>
      <c r="B4574" s="36">
        <f t="shared" si="87"/>
        <v>8</v>
      </c>
      <c r="C4574" s="183">
        <f t="shared" si="88"/>
        <v>42223</v>
      </c>
      <c r="D4574" s="190" t="s">
        <v>2015</v>
      </c>
      <c r="E4574" s="190">
        <v>42223</v>
      </c>
      <c r="F4574" s="191" t="s">
        <v>1756</v>
      </c>
      <c r="G4574" s="482" t="s">
        <v>958</v>
      </c>
      <c r="H4574" s="192" t="s">
        <v>2016</v>
      </c>
      <c r="I4574" s="255">
        <v>10</v>
      </c>
      <c r="J4574" s="255">
        <v>12686.833353250515</v>
      </c>
      <c r="K4574" s="593">
        <f t="shared" si="89"/>
        <v>126868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69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799"/>
    </row>
    <row r="4575" spans="1:27" s="210" customFormat="1" ht="15.75" customHeight="1">
      <c r="A4575" s="203" t="str">
        <f>IF(B4575&lt;&gt;"",IF(AND(B4575&gt;=_TM1,B4575&lt;=_TM2,OR(TH!L4575="1111",TH!M4575="1111")),TH!D4575,""),"")</f>
        <v/>
      </c>
      <c r="B4575" s="36">
        <f t="shared" si="87"/>
        <v>8</v>
      </c>
      <c r="C4575" s="183">
        <f t="shared" si="88"/>
        <v>42223</v>
      </c>
      <c r="D4575" s="190" t="s">
        <v>2015</v>
      </c>
      <c r="E4575" s="190">
        <v>42223</v>
      </c>
      <c r="F4575" s="191" t="s">
        <v>1741</v>
      </c>
      <c r="G4575" s="482" t="s">
        <v>958</v>
      </c>
      <c r="H4575" s="192" t="s">
        <v>2016</v>
      </c>
      <c r="I4575" s="255">
        <v>10</v>
      </c>
      <c r="J4575" s="255">
        <v>8912.9019127266274</v>
      </c>
      <c r="K4575" s="593">
        <f t="shared" si="89"/>
        <v>89129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69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799"/>
    </row>
    <row r="4576" spans="1:27" s="210" customFormat="1" ht="15.75" customHeight="1">
      <c r="A4576" s="203" t="str">
        <f>IF(B4576&lt;&gt;"",IF(AND(B4576&gt;=_TM1,B4576&lt;=_TM2,OR(TH!L4576="1111",TH!M4576="1111")),TH!D4576,""),"")</f>
        <v/>
      </c>
      <c r="B4576" s="36">
        <f t="shared" si="87"/>
        <v>8</v>
      </c>
      <c r="C4576" s="183">
        <f t="shared" si="88"/>
        <v>42223</v>
      </c>
      <c r="D4576" s="190" t="s">
        <v>2015</v>
      </c>
      <c r="E4576" s="190">
        <v>42223</v>
      </c>
      <c r="F4576" s="191" t="s">
        <v>668</v>
      </c>
      <c r="G4576" s="482" t="s">
        <v>958</v>
      </c>
      <c r="H4576" s="192" t="s">
        <v>2016</v>
      </c>
      <c r="I4576" s="255">
        <v>40</v>
      </c>
      <c r="J4576" s="255">
        <v>17906.100239081421</v>
      </c>
      <c r="K4576" s="593">
        <f t="shared" si="89"/>
        <v>716244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69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799"/>
    </row>
    <row r="4577" spans="1:27" s="210" customFormat="1" ht="15.75" customHeight="1">
      <c r="A4577" s="203" t="str">
        <f>IF(B4577&lt;&gt;"",IF(AND(B4577&gt;=_TM1,B4577&lt;=_TM2,OR(TH!L4577="1111",TH!M4577="1111")),TH!D4577,""),"")</f>
        <v/>
      </c>
      <c r="B4577" s="36">
        <f t="shared" si="87"/>
        <v>8</v>
      </c>
      <c r="C4577" s="183">
        <f t="shared" si="88"/>
        <v>42223</v>
      </c>
      <c r="D4577" s="190" t="s">
        <v>2015</v>
      </c>
      <c r="E4577" s="190">
        <v>42223</v>
      </c>
      <c r="F4577" s="191" t="s">
        <v>1736</v>
      </c>
      <c r="G4577" s="482" t="s">
        <v>958</v>
      </c>
      <c r="H4577" s="192" t="s">
        <v>2016</v>
      </c>
      <c r="I4577" s="255">
        <v>10</v>
      </c>
      <c r="J4577" s="255">
        <v>14453.354453070206</v>
      </c>
      <c r="K4577" s="593">
        <f t="shared" si="89"/>
        <v>144534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69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799"/>
    </row>
    <row r="4578" spans="1:27" s="210" customFormat="1" ht="15.75" customHeight="1">
      <c r="A4578" s="203" t="str">
        <f>IF(B4578&lt;&gt;"",IF(AND(B4578&gt;=_TM1,B4578&lt;=_TM2,OR(TH!L4578="1111",TH!M4578="1111")),TH!D4578,""),"")</f>
        <v/>
      </c>
      <c r="B4578" s="36">
        <f t="shared" si="87"/>
        <v>8</v>
      </c>
      <c r="C4578" s="183">
        <f t="shared" si="88"/>
        <v>42223</v>
      </c>
      <c r="D4578" s="190" t="s">
        <v>2015</v>
      </c>
      <c r="E4578" s="190">
        <v>42223</v>
      </c>
      <c r="F4578" s="191" t="s">
        <v>1775</v>
      </c>
      <c r="G4578" s="482" t="s">
        <v>958</v>
      </c>
      <c r="H4578" s="192" t="s">
        <v>2016</v>
      </c>
      <c r="I4578" s="255">
        <v>10</v>
      </c>
      <c r="J4578" s="255">
        <v>17103.136102799745</v>
      </c>
      <c r="K4578" s="593">
        <f t="shared" si="89"/>
        <v>171031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69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799"/>
    </row>
    <row r="4579" spans="1:27" s="210" customFormat="1" ht="15.75" customHeight="1">
      <c r="A4579" s="203" t="str">
        <f>IF(B4579&lt;&gt;"",IF(AND(B4579&gt;=_TM1,B4579&lt;=_TM2,OR(TH!L4579="1111",TH!M4579="1111")),TH!D4579,""),"")</f>
        <v/>
      </c>
      <c r="B4579" s="36">
        <f t="shared" si="87"/>
        <v>8</v>
      </c>
      <c r="C4579" s="183">
        <f t="shared" si="88"/>
        <v>42223</v>
      </c>
      <c r="D4579" s="190" t="s">
        <v>2015</v>
      </c>
      <c r="E4579" s="190">
        <v>42223</v>
      </c>
      <c r="F4579" s="191" t="s">
        <v>454</v>
      </c>
      <c r="G4579" s="482" t="s">
        <v>959</v>
      </c>
      <c r="H4579" s="192" t="s">
        <v>2016</v>
      </c>
      <c r="I4579" s="255">
        <v>277</v>
      </c>
      <c r="J4579" s="255">
        <v>58214.899880421661</v>
      </c>
      <c r="K4579" s="593">
        <f t="shared" si="89"/>
        <v>16125527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69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799"/>
    </row>
    <row r="4580" spans="1:27" s="210" customFormat="1" ht="15.75" customHeight="1">
      <c r="A4580" s="203" t="str">
        <f>IF(B4580&lt;&gt;"",IF(AND(B4580&gt;=_TM1,B4580&lt;=_TM2,OR(TH!L4580="1111",TH!M4580="1111")),TH!D4580,""),"")</f>
        <v/>
      </c>
      <c r="B4580" s="36">
        <f t="shared" si="87"/>
        <v>8</v>
      </c>
      <c r="C4580" s="183">
        <f t="shared" si="88"/>
        <v>42227</v>
      </c>
      <c r="D4580" s="190" t="s">
        <v>2015</v>
      </c>
      <c r="E4580" s="190">
        <v>42227</v>
      </c>
      <c r="F4580" s="191" t="s">
        <v>741</v>
      </c>
      <c r="G4580" s="482" t="s">
        <v>960</v>
      </c>
      <c r="H4580" s="192" t="s">
        <v>2016</v>
      </c>
      <c r="I4580" s="255">
        <v>140</v>
      </c>
      <c r="J4580" s="255">
        <v>7949.3449491886131</v>
      </c>
      <c r="K4580" s="593">
        <f t="shared" si="89"/>
        <v>1112908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69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799"/>
    </row>
    <row r="4581" spans="1:27" s="210" customFormat="1" ht="15.75" customHeight="1">
      <c r="A4581" s="203" t="str">
        <f>IF(B4581&lt;&gt;"",IF(AND(B4581&gt;=_TM1,B4581&lt;=_TM2,OR(TH!L4581="1111",TH!M4581="1111")),TH!D4581,""),"")</f>
        <v/>
      </c>
      <c r="B4581" s="36">
        <f t="shared" si="87"/>
        <v>8</v>
      </c>
      <c r="C4581" s="183">
        <f t="shared" si="88"/>
        <v>42227</v>
      </c>
      <c r="D4581" s="190" t="s">
        <v>2015</v>
      </c>
      <c r="E4581" s="190">
        <v>42227</v>
      </c>
      <c r="F4581" s="191" t="s">
        <v>692</v>
      </c>
      <c r="G4581" s="482" t="s">
        <v>960</v>
      </c>
      <c r="H4581" s="192" t="s">
        <v>2016</v>
      </c>
      <c r="I4581" s="255">
        <v>60</v>
      </c>
      <c r="J4581" s="255">
        <v>14373.058039442038</v>
      </c>
      <c r="K4581" s="593">
        <f t="shared" si="89"/>
        <v>862383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69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799"/>
    </row>
    <row r="4582" spans="1:27" s="210" customFormat="1" ht="15.75" customHeight="1">
      <c r="A4582" s="203" t="str">
        <f>IF(B4582&lt;&gt;"",IF(AND(B4582&gt;=_TM1,B4582&lt;=_TM2,OR(TH!L4582="1111",TH!M4582="1111")),TH!D4582,""),"")</f>
        <v/>
      </c>
      <c r="B4582" s="36">
        <f t="shared" si="87"/>
        <v>8</v>
      </c>
      <c r="C4582" s="183">
        <f t="shared" si="88"/>
        <v>42227</v>
      </c>
      <c r="D4582" s="190" t="s">
        <v>2015</v>
      </c>
      <c r="E4582" s="190">
        <v>42227</v>
      </c>
      <c r="F4582" s="191" t="s">
        <v>694</v>
      </c>
      <c r="G4582" s="482" t="s">
        <v>960</v>
      </c>
      <c r="H4582" s="192" t="s">
        <v>2016</v>
      </c>
      <c r="I4582" s="255">
        <v>25</v>
      </c>
      <c r="J4582" s="255">
        <v>11803.572803340669</v>
      </c>
      <c r="K4582" s="593">
        <f t="shared" si="89"/>
        <v>295089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69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799"/>
    </row>
    <row r="4583" spans="1:27" s="210" customFormat="1" ht="15.75" customHeight="1">
      <c r="A4583" s="203" t="str">
        <f>IF(B4583&lt;&gt;"",IF(AND(B4583&gt;=_TM1,B4583&lt;=_TM2,OR(TH!L4583="1111",TH!M4583="1111")),TH!D4583,""),"")</f>
        <v/>
      </c>
      <c r="B4583" s="36">
        <f t="shared" si="87"/>
        <v>8</v>
      </c>
      <c r="C4583" s="183">
        <f t="shared" si="88"/>
        <v>42227</v>
      </c>
      <c r="D4583" s="190" t="s">
        <v>2015</v>
      </c>
      <c r="E4583" s="190">
        <v>42227</v>
      </c>
      <c r="F4583" s="191" t="s">
        <v>1776</v>
      </c>
      <c r="G4583" s="482" t="s">
        <v>960</v>
      </c>
      <c r="H4583" s="192" t="s">
        <v>2016</v>
      </c>
      <c r="I4583" s="255">
        <v>300</v>
      </c>
      <c r="J4583" s="255">
        <v>10599.126598918152</v>
      </c>
      <c r="K4583" s="593">
        <f t="shared" si="89"/>
        <v>3179738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69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799"/>
    </row>
    <row r="4584" spans="1:27" s="210" customFormat="1" ht="15.75" customHeight="1">
      <c r="A4584" s="203" t="str">
        <f>IF(B4584&lt;&gt;"",IF(AND(B4584&gt;=_TM1,B4584&lt;=_TM2,OR(TH!L4584="1111",TH!M4584="1111")),TH!D4584,""),"")</f>
        <v/>
      </c>
      <c r="B4584" s="36">
        <f t="shared" si="87"/>
        <v>8</v>
      </c>
      <c r="C4584" s="183">
        <f t="shared" si="88"/>
        <v>42227</v>
      </c>
      <c r="D4584" s="190" t="s">
        <v>2015</v>
      </c>
      <c r="E4584" s="190">
        <v>42227</v>
      </c>
      <c r="F4584" s="191" t="s">
        <v>1777</v>
      </c>
      <c r="G4584" s="482" t="s">
        <v>960</v>
      </c>
      <c r="H4584" s="192" t="s">
        <v>2016</v>
      </c>
      <c r="I4584" s="255">
        <v>305</v>
      </c>
      <c r="J4584" s="255">
        <v>12686.833353250515</v>
      </c>
      <c r="K4584" s="593">
        <f t="shared" si="89"/>
        <v>3869484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69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799"/>
    </row>
    <row r="4585" spans="1:27" s="210" customFormat="1" ht="15.75" customHeight="1">
      <c r="A4585" s="203" t="str">
        <f>IF(B4585&lt;&gt;"",IF(AND(B4585&gt;=_TM1,B4585&lt;=_TM2,OR(TH!L4585="1111",TH!M4585="1111")),TH!D4585,""),"")</f>
        <v/>
      </c>
      <c r="B4585" s="36">
        <f t="shared" si="87"/>
        <v>8</v>
      </c>
      <c r="C4585" s="183">
        <f t="shared" si="88"/>
        <v>42227</v>
      </c>
      <c r="D4585" s="190" t="s">
        <v>2015</v>
      </c>
      <c r="E4585" s="190">
        <v>42227</v>
      </c>
      <c r="F4585" s="191" t="s">
        <v>1713</v>
      </c>
      <c r="G4585" s="482" t="s">
        <v>960</v>
      </c>
      <c r="H4585" s="192" t="s">
        <v>2016</v>
      </c>
      <c r="I4585" s="255">
        <v>920</v>
      </c>
      <c r="J4585" s="255">
        <v>11642.979976084333</v>
      </c>
      <c r="K4585" s="593">
        <f t="shared" si="89"/>
        <v>10711542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69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799"/>
    </row>
    <row r="4586" spans="1:27" s="210" customFormat="1" ht="15.75" customHeight="1">
      <c r="A4586" s="203" t="str">
        <f>IF(B4586&lt;&gt;"",IF(AND(B4586&gt;=_TM1,B4586&lt;=_TM2,OR(TH!L4586="1111",TH!M4586="1111")),TH!D4586,""),"")</f>
        <v/>
      </c>
      <c r="B4586" s="36">
        <f t="shared" si="87"/>
        <v>8</v>
      </c>
      <c r="C4586" s="183">
        <f t="shared" si="88"/>
        <v>42227</v>
      </c>
      <c r="D4586" s="190" t="s">
        <v>2015</v>
      </c>
      <c r="E4586" s="190">
        <v>42227</v>
      </c>
      <c r="F4586" s="191" t="s">
        <v>1778</v>
      </c>
      <c r="G4586" s="482" t="s">
        <v>960</v>
      </c>
      <c r="H4586" s="192" t="s">
        <v>2016</v>
      </c>
      <c r="I4586" s="255">
        <v>124</v>
      </c>
      <c r="J4586" s="255">
        <v>9394.6803944956337</v>
      </c>
      <c r="K4586" s="593">
        <f t="shared" si="89"/>
        <v>1164940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69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799"/>
    </row>
    <row r="4587" spans="1:27" s="210" customFormat="1" ht="15.75" customHeight="1">
      <c r="A4587" s="203" t="str">
        <f>IF(B4587&lt;&gt;"",IF(AND(B4587&gt;=_TM1,B4587&lt;=_TM2,OR(TH!L4587="1111",TH!M4587="1111")),TH!D4587,""),"")</f>
        <v/>
      </c>
      <c r="B4587" s="36">
        <f t="shared" si="87"/>
        <v>8</v>
      </c>
      <c r="C4587" s="183">
        <f t="shared" si="88"/>
        <v>42227</v>
      </c>
      <c r="D4587" s="190" t="s">
        <v>2015</v>
      </c>
      <c r="E4587" s="190">
        <v>42227</v>
      </c>
      <c r="F4587" s="191" t="s">
        <v>1779</v>
      </c>
      <c r="G4587" s="482" t="s">
        <v>960</v>
      </c>
      <c r="H4587" s="192" t="s">
        <v>2016</v>
      </c>
      <c r="I4587" s="255">
        <v>50</v>
      </c>
      <c r="J4587" s="255">
        <v>11161.201494315324</v>
      </c>
      <c r="K4587" s="593">
        <f t="shared" si="89"/>
        <v>558060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69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799"/>
    </row>
    <row r="4588" spans="1:27" s="210" customFormat="1" ht="15.75" customHeight="1">
      <c r="A4588" s="203" t="str">
        <f>IF(B4588&lt;&gt;"",IF(AND(B4588&gt;=_TM1,B4588&lt;=_TM2,OR(TH!L4588="1111",TH!M4588="1111")),TH!D4588,""),"")</f>
        <v/>
      </c>
      <c r="B4588" s="36">
        <f t="shared" si="87"/>
        <v>8</v>
      </c>
      <c r="C4588" s="183">
        <f t="shared" si="88"/>
        <v>42227</v>
      </c>
      <c r="D4588" s="190" t="s">
        <v>2015</v>
      </c>
      <c r="E4588" s="190">
        <v>42227</v>
      </c>
      <c r="F4588" s="191" t="s">
        <v>1780</v>
      </c>
      <c r="G4588" s="482" t="s">
        <v>960</v>
      </c>
      <c r="H4588" s="192" t="s">
        <v>2016</v>
      </c>
      <c r="I4588" s="255">
        <v>100</v>
      </c>
      <c r="J4588" s="255">
        <v>6985.7879856505997</v>
      </c>
      <c r="K4588" s="593">
        <f t="shared" si="89"/>
        <v>698579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69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799"/>
    </row>
    <row r="4589" spans="1:27" s="210" customFormat="1" ht="15.75" customHeight="1">
      <c r="A4589" s="203" t="str">
        <f>IF(B4589&lt;&gt;"",IF(AND(B4589&gt;=_TM1,B4589&lt;=_TM2,OR(TH!L4589="1111",TH!M4589="1111")),TH!D4589,""),"")</f>
        <v/>
      </c>
      <c r="B4589" s="36">
        <f t="shared" si="87"/>
        <v>8</v>
      </c>
      <c r="C4589" s="183">
        <f t="shared" si="88"/>
        <v>42227</v>
      </c>
      <c r="D4589" s="190" t="s">
        <v>2015</v>
      </c>
      <c r="E4589" s="190">
        <v>42227</v>
      </c>
      <c r="F4589" s="191" t="s">
        <v>1140</v>
      </c>
      <c r="G4589" s="482" t="s">
        <v>961</v>
      </c>
      <c r="H4589" s="192" t="s">
        <v>2016</v>
      </c>
      <c r="I4589" s="255">
        <v>803</v>
      </c>
      <c r="J4589" s="255">
        <v>9153.7911536111296</v>
      </c>
      <c r="K4589" s="593">
        <f t="shared" si="89"/>
        <v>7350494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69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799"/>
    </row>
    <row r="4590" spans="1:27" s="210" customFormat="1" ht="15.75" customHeight="1">
      <c r="A4590" s="203" t="str">
        <f>IF(B4590&lt;&gt;"",IF(AND(B4590&gt;=_TM1,B4590&lt;=_TM2,OR(TH!L4590="1111",TH!M4590="1111")),TH!D4590,""),"")</f>
        <v/>
      </c>
      <c r="B4590" s="36">
        <f t="shared" si="87"/>
        <v>8</v>
      </c>
      <c r="C4590" s="183">
        <f t="shared" si="88"/>
        <v>42227</v>
      </c>
      <c r="D4590" s="190" t="s">
        <v>2015</v>
      </c>
      <c r="E4590" s="190">
        <v>42227</v>
      </c>
      <c r="F4590" s="191" t="s">
        <v>1140</v>
      </c>
      <c r="G4590" s="482" t="s">
        <v>961</v>
      </c>
      <c r="H4590" s="192" t="s">
        <v>2016</v>
      </c>
      <c r="I4590" s="255">
        <v>50</v>
      </c>
      <c r="J4590" s="255">
        <v>9153.7911536111296</v>
      </c>
      <c r="K4590" s="593">
        <f t="shared" si="89"/>
        <v>457690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69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799"/>
    </row>
    <row r="4591" spans="1:27" s="210" customFormat="1" ht="15.75" customHeight="1">
      <c r="A4591" s="203" t="str">
        <f>IF(B4591&lt;&gt;"",IF(AND(B4591&gt;=_TM1,B4591&lt;=_TM2,OR(TH!L4591="1111",TH!M4591="1111")),TH!D4591,""),"")</f>
        <v/>
      </c>
      <c r="B4591" s="36">
        <f t="shared" si="87"/>
        <v>8</v>
      </c>
      <c r="C4591" s="183">
        <f t="shared" si="88"/>
        <v>42227</v>
      </c>
      <c r="D4591" s="190" t="s">
        <v>2015</v>
      </c>
      <c r="E4591" s="190">
        <v>42227</v>
      </c>
      <c r="F4591" s="191" t="s">
        <v>1654</v>
      </c>
      <c r="G4591" s="482" t="s">
        <v>961</v>
      </c>
      <c r="H4591" s="192" t="s">
        <v>2016</v>
      </c>
      <c r="I4591" s="255">
        <v>1706</v>
      </c>
      <c r="J4591" s="255">
        <v>802.96413628167818</v>
      </c>
      <c r="K4591" s="593">
        <f t="shared" si="89"/>
        <v>1369857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69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799"/>
    </row>
    <row r="4592" spans="1:27" s="210" customFormat="1" ht="15.75" customHeight="1">
      <c r="A4592" s="203" t="str">
        <f>IF(B4592&lt;&gt;"",IF(AND(B4592&gt;=_TM1,B4592&lt;=_TM2,OR(TH!L4592="1111",TH!M4592="1111")),TH!D4592,""),"")</f>
        <v/>
      </c>
      <c r="B4592" s="36">
        <f t="shared" si="87"/>
        <v>8</v>
      </c>
      <c r="C4592" s="183">
        <f t="shared" si="88"/>
        <v>42227</v>
      </c>
      <c r="D4592" s="190" t="s">
        <v>2015</v>
      </c>
      <c r="E4592" s="190">
        <v>42227</v>
      </c>
      <c r="F4592" s="191" t="s">
        <v>962</v>
      </c>
      <c r="G4592" s="482" t="s">
        <v>963</v>
      </c>
      <c r="H4592" s="192" t="s">
        <v>2016</v>
      </c>
      <c r="I4592" s="255">
        <v>301</v>
      </c>
      <c r="J4592" s="255">
        <v>10438.533771661816</v>
      </c>
      <c r="K4592" s="593">
        <f t="shared" si="89"/>
        <v>3141999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69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799"/>
    </row>
    <row r="4593" spans="1:27" s="210" customFormat="1" ht="15.75" customHeight="1">
      <c r="A4593" s="203" t="str">
        <f>IF(B4593&lt;&gt;"",IF(AND(B4593&gt;=_TM1,B4593&lt;=_TM2,OR(TH!L4593="1111",TH!M4593="1111")),TH!D4593,""),"")</f>
        <v/>
      </c>
      <c r="B4593" s="36">
        <f t="shared" si="87"/>
        <v>8</v>
      </c>
      <c r="C4593" s="183">
        <f t="shared" si="88"/>
        <v>42227</v>
      </c>
      <c r="D4593" s="190" t="s">
        <v>2015</v>
      </c>
      <c r="E4593" s="190">
        <v>42227</v>
      </c>
      <c r="F4593" s="191" t="s">
        <v>962</v>
      </c>
      <c r="G4593" s="482" t="s">
        <v>963</v>
      </c>
      <c r="H4593" s="192" t="s">
        <v>2016</v>
      </c>
      <c r="I4593" s="255">
        <v>990</v>
      </c>
      <c r="J4593" s="255">
        <v>10438.533771661816</v>
      </c>
      <c r="K4593" s="593">
        <f t="shared" si="89"/>
        <v>10334148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69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799"/>
    </row>
    <row r="4594" spans="1:27" s="210" customFormat="1" ht="15.75" customHeight="1">
      <c r="A4594" s="203" t="str">
        <f>IF(B4594&lt;&gt;"",IF(AND(B4594&gt;=_TM1,B4594&lt;=_TM2,OR(TH!L4594="1111",TH!M4594="1111")),TH!D4594,""),"")</f>
        <v/>
      </c>
      <c r="B4594" s="36">
        <f t="shared" si="87"/>
        <v>8</v>
      </c>
      <c r="C4594" s="183">
        <f t="shared" si="88"/>
        <v>42229</v>
      </c>
      <c r="D4594" s="190" t="s">
        <v>2015</v>
      </c>
      <c r="E4594" s="190">
        <v>42229</v>
      </c>
      <c r="F4594" s="191" t="s">
        <v>965</v>
      </c>
      <c r="G4594" s="482" t="s">
        <v>966</v>
      </c>
      <c r="H4594" s="192" t="s">
        <v>2016</v>
      </c>
      <c r="I4594" s="255">
        <v>309</v>
      </c>
      <c r="J4594" s="255">
        <v>13971.575971301199</v>
      </c>
      <c r="K4594" s="593">
        <f t="shared" si="89"/>
        <v>4317217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69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799"/>
    </row>
    <row r="4595" spans="1:27" s="210" customFormat="1" ht="15.75" customHeight="1">
      <c r="A4595" s="203" t="str">
        <f>IF(B4595&lt;&gt;"",IF(AND(B4595&gt;=_TM1,B4595&lt;=_TM2,OR(TH!L4595="1111",TH!M4595="1111")),TH!D4595,""),"")</f>
        <v/>
      </c>
      <c r="B4595" s="36">
        <f t="shared" si="87"/>
        <v>8</v>
      </c>
      <c r="C4595" s="183">
        <f t="shared" si="88"/>
        <v>42229</v>
      </c>
      <c r="D4595" s="190" t="s">
        <v>2015</v>
      </c>
      <c r="E4595" s="190">
        <v>42229</v>
      </c>
      <c r="F4595" s="191" t="s">
        <v>910</v>
      </c>
      <c r="G4595" s="482" t="s">
        <v>968</v>
      </c>
      <c r="H4595" s="192" t="s">
        <v>2016</v>
      </c>
      <c r="I4595" s="255">
        <v>311</v>
      </c>
      <c r="J4595" s="255">
        <v>5379.859713087244</v>
      </c>
      <c r="K4595" s="593">
        <f t="shared" si="89"/>
        <v>1673136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69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799"/>
    </row>
    <row r="4596" spans="1:27" s="210" customFormat="1" ht="15.75" customHeight="1">
      <c r="A4596" s="203" t="str">
        <f>IF(B4596&lt;&gt;"",IF(AND(B4596&gt;=_TM1,B4596&lt;=_TM2,OR(TH!L4596="1111",TH!M4596="1111")),TH!D4596,""),"")</f>
        <v/>
      </c>
      <c r="B4596" s="36">
        <f t="shared" si="87"/>
        <v>8</v>
      </c>
      <c r="C4596" s="183">
        <f t="shared" si="88"/>
        <v>42229</v>
      </c>
      <c r="D4596" s="190" t="s">
        <v>2015</v>
      </c>
      <c r="E4596" s="190">
        <v>42229</v>
      </c>
      <c r="F4596" s="191" t="s">
        <v>760</v>
      </c>
      <c r="G4596" s="482" t="s">
        <v>969</v>
      </c>
      <c r="H4596" s="192" t="s">
        <v>2016</v>
      </c>
      <c r="I4596" s="255">
        <v>512</v>
      </c>
      <c r="J4596" s="255">
        <v>7788.7521219322771</v>
      </c>
      <c r="K4596" s="593">
        <f t="shared" si="89"/>
        <v>3987841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69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799"/>
    </row>
    <row r="4597" spans="1:27" s="210" customFormat="1" ht="15.75" customHeight="1">
      <c r="A4597" s="203" t="str">
        <f>IF(B4597&lt;&gt;"",IF(AND(B4597&gt;=_TM1,B4597&lt;=_TM2,OR(TH!L4597="1111",TH!M4597="1111")),TH!D4597,""),"")</f>
        <v/>
      </c>
      <c r="B4597" s="36">
        <f t="shared" si="87"/>
        <v>8</v>
      </c>
      <c r="C4597" s="183">
        <f t="shared" si="88"/>
        <v>42229</v>
      </c>
      <c r="D4597" s="190" t="s">
        <v>2015</v>
      </c>
      <c r="E4597" s="190">
        <v>42229</v>
      </c>
      <c r="F4597" s="191" t="s">
        <v>1753</v>
      </c>
      <c r="G4597" s="482" t="s">
        <v>970</v>
      </c>
      <c r="H4597" s="192" t="s">
        <v>2016</v>
      </c>
      <c r="I4597" s="255">
        <v>50</v>
      </c>
      <c r="J4597" s="255">
        <v>14694.24369395471</v>
      </c>
      <c r="K4597" s="593">
        <f t="shared" si="89"/>
        <v>734712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69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799"/>
    </row>
    <row r="4598" spans="1:27" s="210" customFormat="1" ht="15.75" customHeight="1">
      <c r="A4598" s="203" t="str">
        <f>IF(B4598&lt;&gt;"",IF(AND(B4598&gt;=_TM1,B4598&lt;=_TM2,OR(TH!L4598="1111",TH!M4598="1111")),TH!D4598,""),"")</f>
        <v/>
      </c>
      <c r="B4598" s="36">
        <f t="shared" si="87"/>
        <v>8</v>
      </c>
      <c r="C4598" s="183">
        <f t="shared" si="88"/>
        <v>42229</v>
      </c>
      <c r="D4598" s="190" t="s">
        <v>2015</v>
      </c>
      <c r="E4598" s="190">
        <v>42229</v>
      </c>
      <c r="F4598" s="191" t="s">
        <v>748</v>
      </c>
      <c r="G4598" s="482" t="s">
        <v>970</v>
      </c>
      <c r="H4598" s="192" t="s">
        <v>2016</v>
      </c>
      <c r="I4598" s="255">
        <v>100</v>
      </c>
      <c r="J4598" s="255">
        <v>15015.429348467382</v>
      </c>
      <c r="K4598" s="593">
        <f t="shared" si="89"/>
        <v>1501543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69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799"/>
    </row>
    <row r="4599" spans="1:27" s="210" customFormat="1" ht="15.75" customHeight="1">
      <c r="A4599" s="203" t="str">
        <f>IF(B4599&lt;&gt;"",IF(AND(B4599&gt;=_TM1,B4599&lt;=_TM2,OR(TH!L4599="1111",TH!M4599="1111")),TH!D4599,""),"")</f>
        <v/>
      </c>
      <c r="B4599" s="36">
        <f t="shared" si="87"/>
        <v>8</v>
      </c>
      <c r="C4599" s="183">
        <f t="shared" si="88"/>
        <v>42234</v>
      </c>
      <c r="D4599" s="190" t="s">
        <v>2015</v>
      </c>
      <c r="E4599" s="190">
        <v>42234</v>
      </c>
      <c r="F4599" s="191" t="s">
        <v>728</v>
      </c>
      <c r="G4599" s="482" t="s">
        <v>971</v>
      </c>
      <c r="H4599" s="192" t="s">
        <v>2016</v>
      </c>
      <c r="I4599" s="255">
        <v>600</v>
      </c>
      <c r="J4599" s="255">
        <v>13650.390316788527</v>
      </c>
      <c r="K4599" s="593">
        <f t="shared" si="89"/>
        <v>8190234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69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799"/>
    </row>
    <row r="4600" spans="1:27" s="210" customFormat="1" ht="15.75" customHeight="1">
      <c r="A4600" s="203" t="str">
        <f>IF(B4600&lt;&gt;"",IF(AND(B4600&gt;=_TM1,B4600&lt;=_TM2,OR(TH!L4600="1111",TH!M4600="1111")),TH!D4600,""),"")</f>
        <v/>
      </c>
      <c r="B4600" s="36">
        <f t="shared" si="87"/>
        <v>8</v>
      </c>
      <c r="C4600" s="183">
        <f t="shared" si="88"/>
        <v>42234</v>
      </c>
      <c r="D4600" s="190" t="s">
        <v>2015</v>
      </c>
      <c r="E4600" s="190">
        <v>42234</v>
      </c>
      <c r="F4600" s="191" t="s">
        <v>747</v>
      </c>
      <c r="G4600" s="482" t="s">
        <v>971</v>
      </c>
      <c r="H4600" s="192" t="s">
        <v>2016</v>
      </c>
      <c r="I4600" s="255">
        <v>300</v>
      </c>
      <c r="J4600" s="255">
        <v>4255.7099222928946</v>
      </c>
      <c r="K4600" s="593">
        <f t="shared" si="89"/>
        <v>1276713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69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799"/>
    </row>
    <row r="4601" spans="1:27" s="210" customFormat="1" ht="15.75" customHeight="1">
      <c r="A4601" s="203" t="str">
        <f>IF(B4601&lt;&gt;"",IF(AND(B4601&gt;=_TM1,B4601&lt;=_TM2,OR(TH!L4601="1111",TH!M4601="1111")),TH!D4601,""),"")</f>
        <v/>
      </c>
      <c r="B4601" s="36">
        <f t="shared" si="87"/>
        <v>8</v>
      </c>
      <c r="C4601" s="183">
        <f t="shared" si="88"/>
        <v>42234</v>
      </c>
      <c r="D4601" s="190" t="s">
        <v>2015</v>
      </c>
      <c r="E4601" s="190">
        <v>42234</v>
      </c>
      <c r="F4601" s="191" t="s">
        <v>1781</v>
      </c>
      <c r="G4601" s="482" t="s">
        <v>971</v>
      </c>
      <c r="H4601" s="192" t="s">
        <v>2016</v>
      </c>
      <c r="I4601" s="255">
        <v>200</v>
      </c>
      <c r="J4601" s="255">
        <v>15015.429348467382</v>
      </c>
      <c r="K4601" s="593">
        <f t="shared" si="89"/>
        <v>3003086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69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799"/>
    </row>
    <row r="4602" spans="1:27" s="210" customFormat="1" ht="15.75" customHeight="1">
      <c r="A4602" s="203" t="str">
        <f>IF(B4602&lt;&gt;"",IF(AND(B4602&gt;=_TM1,B4602&lt;=_TM2,OR(TH!L4602="1111",TH!M4602="1111")),TH!D4602,""),"")</f>
        <v/>
      </c>
      <c r="B4602" s="36">
        <f t="shared" si="87"/>
        <v>8</v>
      </c>
      <c r="C4602" s="183">
        <f t="shared" si="88"/>
        <v>42234</v>
      </c>
      <c r="D4602" s="190" t="s">
        <v>2015</v>
      </c>
      <c r="E4602" s="190">
        <v>42234</v>
      </c>
      <c r="F4602" s="191" t="s">
        <v>409</v>
      </c>
      <c r="G4602" s="482" t="s">
        <v>973</v>
      </c>
      <c r="H4602" s="192" t="s">
        <v>2016</v>
      </c>
      <c r="I4602" s="255">
        <v>1280</v>
      </c>
      <c r="J4602" s="255">
        <v>5941.9346084844183</v>
      </c>
      <c r="K4602" s="593">
        <f t="shared" si="89"/>
        <v>7605676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69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799"/>
    </row>
    <row r="4603" spans="1:27" s="210" customFormat="1" ht="15.75" customHeight="1">
      <c r="A4603" s="203" t="str">
        <f>IF(B4603&lt;&gt;"",IF(AND(B4603&gt;=_TM1,B4603&lt;=_TM2,OR(TH!L4603="1111",TH!M4603="1111")),TH!D4603,""),"")</f>
        <v/>
      </c>
      <c r="B4603" s="36">
        <f t="shared" si="87"/>
        <v>8</v>
      </c>
      <c r="C4603" s="183">
        <f t="shared" si="88"/>
        <v>42235</v>
      </c>
      <c r="D4603" s="190" t="s">
        <v>2015</v>
      </c>
      <c r="E4603" s="190">
        <v>42235</v>
      </c>
      <c r="F4603" s="191" t="s">
        <v>494</v>
      </c>
      <c r="G4603" s="482" t="s">
        <v>972</v>
      </c>
      <c r="H4603" s="192" t="s">
        <v>2016</v>
      </c>
      <c r="I4603" s="255">
        <v>710</v>
      </c>
      <c r="J4603" s="255">
        <v>5460.1561267154111</v>
      </c>
      <c r="K4603" s="593">
        <f t="shared" si="89"/>
        <v>3876711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69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799"/>
    </row>
    <row r="4604" spans="1:27" s="210" customFormat="1" ht="15.75" customHeight="1">
      <c r="A4604" s="203" t="str">
        <f>IF(B4604&lt;&gt;"",IF(AND(B4604&gt;=_TM1,B4604&lt;=_TM2,OR(TH!L4604="1111",TH!M4604="1111")),TH!D4604,""),"")</f>
        <v/>
      </c>
      <c r="B4604" s="36">
        <f t="shared" si="87"/>
        <v>8</v>
      </c>
      <c r="C4604" s="183">
        <f t="shared" si="88"/>
        <v>42236</v>
      </c>
      <c r="D4604" s="190" t="s">
        <v>2015</v>
      </c>
      <c r="E4604" s="190">
        <v>42236</v>
      </c>
      <c r="F4604" s="191" t="s">
        <v>595</v>
      </c>
      <c r="G4604" s="482" t="s">
        <v>974</v>
      </c>
      <c r="H4604" s="192" t="s">
        <v>2016</v>
      </c>
      <c r="I4604" s="255">
        <v>169</v>
      </c>
      <c r="J4604" s="255">
        <v>7467.5664674196069</v>
      </c>
      <c r="K4604" s="593">
        <f t="shared" si="89"/>
        <v>1262019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69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799"/>
    </row>
    <row r="4605" spans="1:27" s="210" customFormat="1" ht="15.75" customHeight="1">
      <c r="A4605" s="203" t="str">
        <f>IF(B4605&lt;&gt;"",IF(AND(B4605&gt;=_TM1,B4605&lt;=_TM2,OR(TH!L4605="1111",TH!M4605="1111")),TH!D4605,""),"")</f>
        <v/>
      </c>
      <c r="B4605" s="36">
        <f t="shared" si="87"/>
        <v>8</v>
      </c>
      <c r="C4605" s="183">
        <f t="shared" si="88"/>
        <v>42236</v>
      </c>
      <c r="D4605" s="190" t="s">
        <v>2015</v>
      </c>
      <c r="E4605" s="190">
        <v>42236</v>
      </c>
      <c r="F4605" s="191" t="s">
        <v>539</v>
      </c>
      <c r="G4605" s="482" t="s">
        <v>974</v>
      </c>
      <c r="H4605" s="192" t="s">
        <v>2016</v>
      </c>
      <c r="I4605" s="255">
        <v>315</v>
      </c>
      <c r="J4605" s="255">
        <v>7547.862881047774</v>
      </c>
      <c r="K4605" s="593">
        <f t="shared" si="89"/>
        <v>2377577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69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799"/>
    </row>
    <row r="4606" spans="1:27" s="210" customFormat="1" ht="15.75" customHeight="1">
      <c r="A4606" s="203" t="str">
        <f>IF(B4606&lt;&gt;"",IF(AND(B4606&gt;=_TM1,B4606&lt;=_TM2,OR(TH!L4606="1111",TH!M4606="1111")),TH!D4606,""),"")</f>
        <v/>
      </c>
      <c r="B4606" s="36">
        <f t="shared" si="87"/>
        <v>8</v>
      </c>
      <c r="C4606" s="183">
        <f t="shared" si="88"/>
        <v>42236</v>
      </c>
      <c r="D4606" s="190" t="s">
        <v>2015</v>
      </c>
      <c r="E4606" s="190">
        <v>42236</v>
      </c>
      <c r="F4606" s="191" t="s">
        <v>906</v>
      </c>
      <c r="G4606" s="482" t="s">
        <v>975</v>
      </c>
      <c r="H4606" s="192" t="s">
        <v>2016</v>
      </c>
      <c r="I4606" s="255">
        <v>320</v>
      </c>
      <c r="J4606" s="255">
        <v>7306.9736401632708</v>
      </c>
      <c r="K4606" s="593">
        <f t="shared" si="89"/>
        <v>2338232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69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799"/>
    </row>
    <row r="4607" spans="1:27" s="210" customFormat="1" ht="15.75" customHeight="1">
      <c r="A4607" s="203" t="str">
        <f>IF(B4607&lt;&gt;"",IF(AND(B4607&gt;=_TM1,B4607&lt;=_TM2,OR(TH!L4607="1111",TH!M4607="1111")),TH!D4607,""),"")</f>
        <v/>
      </c>
      <c r="B4607" s="36">
        <f t="shared" si="87"/>
        <v>8</v>
      </c>
      <c r="C4607" s="183">
        <f t="shared" si="88"/>
        <v>42236</v>
      </c>
      <c r="D4607" s="190" t="s">
        <v>2015</v>
      </c>
      <c r="E4607" s="190">
        <v>42236</v>
      </c>
      <c r="F4607" s="191" t="s">
        <v>614</v>
      </c>
      <c r="G4607" s="482" t="s">
        <v>975</v>
      </c>
      <c r="H4607" s="192" t="s">
        <v>2016</v>
      </c>
      <c r="I4607" s="255">
        <v>356</v>
      </c>
      <c r="J4607" s="255">
        <v>5299.563299459076</v>
      </c>
      <c r="K4607" s="593">
        <f t="shared" si="89"/>
        <v>1886645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69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799"/>
    </row>
    <row r="4608" spans="1:27" s="210" customFormat="1" ht="15.75" customHeight="1">
      <c r="A4608" s="203" t="str">
        <f>IF(B4608&lt;&gt;"",IF(AND(B4608&gt;=_TM1,B4608&lt;=_TM2,OR(TH!L4608="1111",TH!M4608="1111")),TH!D4608,""),"")</f>
        <v/>
      </c>
      <c r="B4608" s="36">
        <f t="shared" si="87"/>
        <v>8</v>
      </c>
      <c r="C4608" s="183">
        <f t="shared" si="88"/>
        <v>42236</v>
      </c>
      <c r="D4608" s="190" t="s">
        <v>2015</v>
      </c>
      <c r="E4608" s="190">
        <v>42236</v>
      </c>
      <c r="F4608" s="191" t="s">
        <v>977</v>
      </c>
      <c r="G4608" s="482" t="s">
        <v>978</v>
      </c>
      <c r="H4608" s="192" t="s">
        <v>2016</v>
      </c>
      <c r="I4608" s="255">
        <v>31</v>
      </c>
      <c r="J4608" s="255">
        <v>23607.145606681337</v>
      </c>
      <c r="K4608" s="593">
        <f t="shared" si="89"/>
        <v>731822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69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799"/>
    </row>
    <row r="4609" spans="1:27" s="210" customFormat="1" ht="15.75" customHeight="1">
      <c r="A4609" s="203" t="str">
        <f>IF(B4609&lt;&gt;"",IF(AND(B4609&gt;=_TM1,B4609&lt;=_TM2,OR(TH!L4609="1111",TH!M4609="1111")),TH!D4609,""),"")</f>
        <v/>
      </c>
      <c r="B4609" s="36">
        <f t="shared" si="87"/>
        <v>8</v>
      </c>
      <c r="C4609" s="183">
        <f t="shared" si="88"/>
        <v>42236</v>
      </c>
      <c r="D4609" s="190" t="s">
        <v>2015</v>
      </c>
      <c r="E4609" s="190">
        <v>42236</v>
      </c>
      <c r="F4609" s="191" t="s">
        <v>979</v>
      </c>
      <c r="G4609" s="482" t="s">
        <v>978</v>
      </c>
      <c r="H4609" s="192" t="s">
        <v>2016</v>
      </c>
      <c r="I4609" s="255">
        <v>60</v>
      </c>
      <c r="J4609" s="255">
        <v>9314.3839808674657</v>
      </c>
      <c r="K4609" s="593">
        <f t="shared" si="89"/>
        <v>558863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69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799"/>
    </row>
    <row r="4610" spans="1:27" s="210" customFormat="1" ht="15.75" customHeight="1">
      <c r="A4610" s="203" t="str">
        <f>IF(B4610&lt;&gt;"",IF(AND(B4610&gt;=_TM1,B4610&lt;=_TM2,OR(TH!L4610="1111",TH!M4610="1111")),TH!D4610,""),"")</f>
        <v/>
      </c>
      <c r="B4610" s="36">
        <f t="shared" si="87"/>
        <v>8</v>
      </c>
      <c r="C4610" s="183">
        <f t="shared" si="88"/>
        <v>42236</v>
      </c>
      <c r="D4610" s="190" t="s">
        <v>2015</v>
      </c>
      <c r="E4610" s="190">
        <v>42236</v>
      </c>
      <c r="F4610" s="191" t="s">
        <v>1661</v>
      </c>
      <c r="G4610" s="482" t="s">
        <v>978</v>
      </c>
      <c r="H4610" s="192" t="s">
        <v>2016</v>
      </c>
      <c r="I4610" s="255">
        <v>120</v>
      </c>
      <c r="J4610" s="255">
        <v>481.77848176900687</v>
      </c>
      <c r="K4610" s="593">
        <f t="shared" si="89"/>
        <v>57813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69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799"/>
    </row>
    <row r="4611" spans="1:27" s="210" customFormat="1" ht="15.75" customHeight="1">
      <c r="A4611" s="203" t="str">
        <f>IF(B4611&lt;&gt;"",IF(AND(B4611&gt;=_TM1,B4611&lt;=_TM2,OR(TH!L4611="1111",TH!M4611="1111")),TH!D4611,""),"")</f>
        <v/>
      </c>
      <c r="B4611" s="36">
        <f t="shared" si="87"/>
        <v>8</v>
      </c>
      <c r="C4611" s="183">
        <f t="shared" si="88"/>
        <v>42236</v>
      </c>
      <c r="D4611" s="190" t="s">
        <v>2015</v>
      </c>
      <c r="E4611" s="190">
        <v>42236</v>
      </c>
      <c r="F4611" s="191" t="s">
        <v>746</v>
      </c>
      <c r="G4611" s="482" t="s">
        <v>980</v>
      </c>
      <c r="H4611" s="192" t="s">
        <v>2016</v>
      </c>
      <c r="I4611" s="255">
        <v>1000</v>
      </c>
      <c r="J4611" s="255">
        <v>18548.471548106765</v>
      </c>
      <c r="K4611" s="593">
        <f t="shared" si="89"/>
        <v>18548472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69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799"/>
    </row>
    <row r="4612" spans="1:27" s="210" customFormat="1" ht="15.75" customHeight="1">
      <c r="A4612" s="203" t="str">
        <f>IF(B4612&lt;&gt;"",IF(AND(B4612&gt;=_TM1,B4612&lt;=_TM2,OR(TH!L4612="1111",TH!M4612="1111")),TH!D4612,""),"")</f>
        <v/>
      </c>
      <c r="B4612" s="36">
        <f t="shared" si="87"/>
        <v>8</v>
      </c>
      <c r="C4612" s="183">
        <f t="shared" si="88"/>
        <v>42236</v>
      </c>
      <c r="D4612" s="190" t="s">
        <v>2015</v>
      </c>
      <c r="E4612" s="190">
        <v>42236</v>
      </c>
      <c r="F4612" s="191" t="s">
        <v>745</v>
      </c>
      <c r="G4612" s="482" t="s">
        <v>980</v>
      </c>
      <c r="H4612" s="192" t="s">
        <v>2016</v>
      </c>
      <c r="I4612" s="255">
        <v>400</v>
      </c>
      <c r="J4612" s="255">
        <v>8511.4198445857892</v>
      </c>
      <c r="K4612" s="593">
        <f t="shared" si="89"/>
        <v>3404568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69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799"/>
    </row>
    <row r="4613" spans="1:27" s="210" customFormat="1" ht="15.75" customHeight="1">
      <c r="A4613" s="203" t="str">
        <f>IF(B4613&lt;&gt;"",IF(AND(B4613&gt;=_TM1,B4613&lt;=_TM2,OR(TH!L4613="1111",TH!M4613="1111")),TH!D4613,""),"")</f>
        <v/>
      </c>
      <c r="B4613" s="36">
        <f t="shared" si="87"/>
        <v>8</v>
      </c>
      <c r="C4613" s="183">
        <f t="shared" si="88"/>
        <v>42238</v>
      </c>
      <c r="D4613" s="190" t="s">
        <v>2015</v>
      </c>
      <c r="E4613" s="190">
        <v>42238</v>
      </c>
      <c r="F4613" s="191" t="s">
        <v>745</v>
      </c>
      <c r="G4613" s="482" t="s">
        <v>981</v>
      </c>
      <c r="H4613" s="192" t="s">
        <v>2016</v>
      </c>
      <c r="I4613" s="255">
        <v>600</v>
      </c>
      <c r="J4613" s="255">
        <v>8511.4198445857892</v>
      </c>
      <c r="K4613" s="593">
        <f t="shared" si="89"/>
        <v>5106852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69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799"/>
    </row>
    <row r="4614" spans="1:27" s="210" customFormat="1" ht="15.75" customHeight="1">
      <c r="A4614" s="203" t="str">
        <f>IF(B4614&lt;&gt;"",IF(AND(B4614&gt;=_TM1,B4614&lt;=_TM2,OR(TH!L4614="1111",TH!M4614="1111")),TH!D4614,""),"")</f>
        <v/>
      </c>
      <c r="B4614" s="36">
        <f t="shared" si="87"/>
        <v>8</v>
      </c>
      <c r="C4614" s="183">
        <f t="shared" si="88"/>
        <v>42238</v>
      </c>
      <c r="D4614" s="190" t="s">
        <v>2015</v>
      </c>
      <c r="E4614" s="190">
        <v>42238</v>
      </c>
      <c r="F4614" s="191" t="s">
        <v>1766</v>
      </c>
      <c r="G4614" s="482" t="s">
        <v>981</v>
      </c>
      <c r="H4614" s="192" t="s">
        <v>2016</v>
      </c>
      <c r="I4614" s="255">
        <v>1000</v>
      </c>
      <c r="J4614" s="255">
        <v>10037.051703520976</v>
      </c>
      <c r="K4614" s="593">
        <f t="shared" si="89"/>
        <v>10037052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69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799"/>
    </row>
    <row r="4615" spans="1:27" s="210" customFormat="1" ht="15.75" customHeight="1">
      <c r="A4615" s="203" t="str">
        <f>IF(B4615&lt;&gt;"",IF(AND(B4615&gt;=_TM1,B4615&lt;=_TM2,OR(TH!L4615="1111",TH!M4615="1111")),TH!D4615,""),"")</f>
        <v/>
      </c>
      <c r="B4615" s="36">
        <f t="shared" si="87"/>
        <v>8</v>
      </c>
      <c r="C4615" s="183">
        <f t="shared" si="88"/>
        <v>42238</v>
      </c>
      <c r="D4615" s="190" t="s">
        <v>2015</v>
      </c>
      <c r="E4615" s="190">
        <v>42238</v>
      </c>
      <c r="F4615" s="191" t="s">
        <v>602</v>
      </c>
      <c r="G4615" s="482" t="s">
        <v>982</v>
      </c>
      <c r="H4615" s="192" t="s">
        <v>2016</v>
      </c>
      <c r="I4615" s="255">
        <v>868</v>
      </c>
      <c r="J4615" s="255">
        <v>10117.348117149144</v>
      </c>
      <c r="K4615" s="593">
        <f t="shared" si="89"/>
        <v>8781858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69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799"/>
    </row>
    <row r="4616" spans="1:27" s="210" customFormat="1" ht="15.75" customHeight="1">
      <c r="A4616" s="203" t="str">
        <f>IF(B4616&lt;&gt;"",IF(AND(B4616&gt;=_TM1,B4616&lt;=_TM2,OR(TH!L4616="1111",TH!M4616="1111")),TH!D4616,""),"")</f>
        <v/>
      </c>
      <c r="B4616" s="36">
        <f t="shared" si="87"/>
        <v>8</v>
      </c>
      <c r="C4616" s="183">
        <f t="shared" si="88"/>
        <v>42238</v>
      </c>
      <c r="D4616" s="190" t="s">
        <v>2015</v>
      </c>
      <c r="E4616" s="190">
        <v>42238</v>
      </c>
      <c r="F4616" s="191" t="s">
        <v>424</v>
      </c>
      <c r="G4616" s="482" t="s">
        <v>982</v>
      </c>
      <c r="H4616" s="192" t="s">
        <v>2016</v>
      </c>
      <c r="I4616" s="255">
        <v>1027</v>
      </c>
      <c r="J4616" s="255">
        <v>8431.1234309576212</v>
      </c>
      <c r="K4616" s="593">
        <f t="shared" si="89"/>
        <v>8658764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69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799"/>
    </row>
    <row r="4617" spans="1:27" s="210" customFormat="1" ht="15.75" customHeight="1">
      <c r="A4617" s="203" t="str">
        <f>IF(B4617&lt;&gt;"",IF(AND(B4617&gt;=_TM1,B4617&lt;=_TM2,OR(TH!L4617="1111",TH!M4617="1111")),TH!D4617,""),"")</f>
        <v/>
      </c>
      <c r="B4617" s="36">
        <f t="shared" si="87"/>
        <v>8</v>
      </c>
      <c r="C4617" s="183">
        <f t="shared" si="88"/>
        <v>42238</v>
      </c>
      <c r="D4617" s="190" t="s">
        <v>2015</v>
      </c>
      <c r="E4617" s="190">
        <v>42238</v>
      </c>
      <c r="F4617" s="191" t="s">
        <v>983</v>
      </c>
      <c r="G4617" s="482" t="s">
        <v>982</v>
      </c>
      <c r="H4617" s="192" t="s">
        <v>2016</v>
      </c>
      <c r="I4617" s="255">
        <v>252</v>
      </c>
      <c r="J4617" s="255">
        <v>10759.719426174488</v>
      </c>
      <c r="K4617" s="593">
        <f t="shared" si="89"/>
        <v>2711449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69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799"/>
    </row>
    <row r="4618" spans="1:27" s="210" customFormat="1" ht="15.75" customHeight="1">
      <c r="A4618" s="203" t="str">
        <f>IF(B4618&lt;&gt;"",IF(AND(B4618&gt;=_TM1,B4618&lt;=_TM2,OR(TH!L4618="1111",TH!M4618="1111")),TH!D4618,""),"")</f>
        <v/>
      </c>
      <c r="B4618" s="36">
        <f t="shared" si="87"/>
        <v>8</v>
      </c>
      <c r="C4618" s="183">
        <f t="shared" si="88"/>
        <v>42238</v>
      </c>
      <c r="D4618" s="190" t="s">
        <v>2015</v>
      </c>
      <c r="E4618" s="190">
        <v>42238</v>
      </c>
      <c r="F4618" s="191" t="s">
        <v>602</v>
      </c>
      <c r="G4618" s="482" t="s">
        <v>982</v>
      </c>
      <c r="H4618" s="192" t="s">
        <v>2016</v>
      </c>
      <c r="I4618" s="255">
        <v>480</v>
      </c>
      <c r="J4618" s="255">
        <v>10117.348117149144</v>
      </c>
      <c r="K4618" s="593">
        <f t="shared" si="89"/>
        <v>4856327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69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799"/>
    </row>
    <row r="4619" spans="1:27" s="210" customFormat="1" ht="15.75" customHeight="1">
      <c r="A4619" s="203" t="str">
        <f>IF(B4619&lt;&gt;"",IF(AND(B4619&gt;=_TM1,B4619&lt;=_TM2,OR(TH!L4619="1111",TH!M4619="1111")),TH!D4619,""),"")</f>
        <v/>
      </c>
      <c r="B4619" s="36">
        <f t="shared" si="87"/>
        <v>8</v>
      </c>
      <c r="C4619" s="183">
        <f t="shared" si="88"/>
        <v>42240</v>
      </c>
      <c r="D4619" s="190" t="s">
        <v>2015</v>
      </c>
      <c r="E4619" s="190">
        <v>42240</v>
      </c>
      <c r="F4619" s="191" t="s">
        <v>1766</v>
      </c>
      <c r="G4619" s="482" t="s">
        <v>984</v>
      </c>
      <c r="H4619" s="192" t="s">
        <v>2016</v>
      </c>
      <c r="I4619" s="255">
        <v>1000</v>
      </c>
      <c r="J4619" s="255">
        <v>10037.051703520976</v>
      </c>
      <c r="K4619" s="593">
        <f t="shared" si="89"/>
        <v>10037052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69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799"/>
    </row>
    <row r="4620" spans="1:27" s="210" customFormat="1" ht="15.75" customHeight="1">
      <c r="A4620" s="203" t="str">
        <f>IF(B4620&lt;&gt;"",IF(AND(B4620&gt;=_TM1,B4620&lt;=_TM2,OR(TH!L4620="1111",TH!M4620="1111")),TH!D4620,""),"")</f>
        <v/>
      </c>
      <c r="B4620" s="36">
        <f t="shared" si="87"/>
        <v>8</v>
      </c>
      <c r="C4620" s="183">
        <f t="shared" si="88"/>
        <v>42240</v>
      </c>
      <c r="D4620" s="190" t="s">
        <v>2015</v>
      </c>
      <c r="E4620" s="190">
        <v>42240</v>
      </c>
      <c r="F4620" s="191" t="s">
        <v>747</v>
      </c>
      <c r="G4620" s="482" t="s">
        <v>984</v>
      </c>
      <c r="H4620" s="192" t="s">
        <v>2016</v>
      </c>
      <c r="I4620" s="255">
        <v>600</v>
      </c>
      <c r="J4620" s="255">
        <v>4255.7099222928946</v>
      </c>
      <c r="K4620" s="593">
        <f t="shared" si="89"/>
        <v>2553426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69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799"/>
    </row>
    <row r="4621" spans="1:27" s="210" customFormat="1" ht="15.75" customHeight="1">
      <c r="A4621" s="203" t="str">
        <f>IF(B4621&lt;&gt;"",IF(AND(B4621&gt;=_TM1,B4621&lt;=_TM2,OR(TH!L4621="1111",TH!M4621="1111")),TH!D4621,""),"")</f>
        <v/>
      </c>
      <c r="B4621" s="36">
        <f t="shared" si="87"/>
        <v>8</v>
      </c>
      <c r="C4621" s="183">
        <f t="shared" si="88"/>
        <v>42240</v>
      </c>
      <c r="D4621" s="190" t="s">
        <v>2015</v>
      </c>
      <c r="E4621" s="190">
        <v>42240</v>
      </c>
      <c r="F4621" s="191" t="s">
        <v>494</v>
      </c>
      <c r="G4621" s="482" t="s">
        <v>985</v>
      </c>
      <c r="H4621" s="192" t="s">
        <v>2016</v>
      </c>
      <c r="I4621" s="255">
        <v>1000</v>
      </c>
      <c r="J4621" s="255">
        <v>5460.1561267154111</v>
      </c>
      <c r="K4621" s="593">
        <f t="shared" si="89"/>
        <v>5460156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69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799"/>
    </row>
    <row r="4622" spans="1:27" s="210" customFormat="1" ht="15.75" customHeight="1">
      <c r="A4622" s="203" t="str">
        <f>IF(B4622&lt;&gt;"",IF(AND(B4622&gt;=_TM1,B4622&lt;=_TM2,OR(TH!L4622="1111",TH!M4622="1111")),TH!D4622,""),"")</f>
        <v/>
      </c>
      <c r="B4622" s="36">
        <f t="shared" si="87"/>
        <v>8</v>
      </c>
      <c r="C4622" s="183">
        <f t="shared" si="88"/>
        <v>42241</v>
      </c>
      <c r="D4622" s="190" t="s">
        <v>2015</v>
      </c>
      <c r="E4622" s="190">
        <v>42241</v>
      </c>
      <c r="F4622" s="191" t="s">
        <v>986</v>
      </c>
      <c r="G4622" s="482" t="s">
        <v>987</v>
      </c>
      <c r="H4622" s="192" t="s">
        <v>2016</v>
      </c>
      <c r="I4622" s="255">
        <v>306</v>
      </c>
      <c r="J4622" s="255">
        <v>5941.9346084844183</v>
      </c>
      <c r="K4622" s="593">
        <f t="shared" si="89"/>
        <v>1818232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69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799"/>
    </row>
    <row r="4623" spans="1:27" s="210" customFormat="1" ht="15.75" customHeight="1">
      <c r="A4623" s="203" t="str">
        <f>IF(B4623&lt;&gt;"",IF(AND(B4623&gt;=_TM1,B4623&lt;=_TM2,OR(TH!L4623="1111",TH!M4623="1111")),TH!D4623,""),"")</f>
        <v/>
      </c>
      <c r="B4623" s="36">
        <f t="shared" si="87"/>
        <v>8</v>
      </c>
      <c r="C4623" s="183">
        <f t="shared" si="88"/>
        <v>42241</v>
      </c>
      <c r="D4623" s="190" t="s">
        <v>2015</v>
      </c>
      <c r="E4623" s="190">
        <v>42241</v>
      </c>
      <c r="F4623" s="191" t="s">
        <v>948</v>
      </c>
      <c r="G4623" s="482" t="s">
        <v>987</v>
      </c>
      <c r="H4623" s="192" t="s">
        <v>2016</v>
      </c>
      <c r="I4623" s="255">
        <v>200</v>
      </c>
      <c r="J4623" s="255">
        <v>5379.859713087244</v>
      </c>
      <c r="K4623" s="593">
        <f t="shared" si="89"/>
        <v>1075972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69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799"/>
    </row>
    <row r="4624" spans="1:27" s="210" customFormat="1" ht="15.75" customHeight="1">
      <c r="A4624" s="203" t="str">
        <f>IF(B4624&lt;&gt;"",IF(AND(B4624&gt;=_TM1,B4624&lt;=_TM2,OR(TH!L4624="1111",TH!M4624="1111")),TH!D4624,""),"")</f>
        <v/>
      </c>
      <c r="B4624" s="36">
        <f t="shared" si="87"/>
        <v>8</v>
      </c>
      <c r="C4624" s="183">
        <f t="shared" si="88"/>
        <v>42242</v>
      </c>
      <c r="D4624" s="190" t="s">
        <v>2015</v>
      </c>
      <c r="E4624" s="190">
        <v>42242</v>
      </c>
      <c r="F4624" s="191" t="s">
        <v>494</v>
      </c>
      <c r="G4624" s="482" t="s">
        <v>988</v>
      </c>
      <c r="H4624" s="192" t="s">
        <v>2016</v>
      </c>
      <c r="I4624" s="255">
        <v>1082</v>
      </c>
      <c r="J4624" s="255">
        <v>5460.1561267154111</v>
      </c>
      <c r="K4624" s="593">
        <f t="shared" si="89"/>
        <v>5907889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69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799"/>
    </row>
    <row r="4625" spans="1:27" s="210" customFormat="1" ht="15.75" customHeight="1">
      <c r="A4625" s="203" t="str">
        <f>IF(B4625&lt;&gt;"",IF(AND(B4625&gt;=_TM1,B4625&lt;=_TM2,OR(TH!L4625="1111",TH!M4625="1111")),TH!D4625,""),"")</f>
        <v/>
      </c>
      <c r="B4625" s="36">
        <f t="shared" si="87"/>
        <v>8</v>
      </c>
      <c r="C4625" s="183">
        <f t="shared" si="88"/>
        <v>42242</v>
      </c>
      <c r="D4625" s="190" t="s">
        <v>2015</v>
      </c>
      <c r="E4625" s="190">
        <v>42242</v>
      </c>
      <c r="F4625" s="191" t="s">
        <v>413</v>
      </c>
      <c r="G4625" s="482" t="s">
        <v>989</v>
      </c>
      <c r="H4625" s="192" t="s">
        <v>2016</v>
      </c>
      <c r="I4625" s="255">
        <v>409</v>
      </c>
      <c r="J4625" s="255">
        <v>7628.159294675942</v>
      </c>
      <c r="K4625" s="593">
        <f t="shared" si="89"/>
        <v>3119917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69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799"/>
    </row>
    <row r="4626" spans="1:27" s="210" customFormat="1" ht="15.75" customHeight="1">
      <c r="A4626" s="203" t="str">
        <f>IF(B4626&lt;&gt;"",IF(AND(B4626&gt;=_TM1,B4626&lt;=_TM2,OR(TH!L4626="1111",TH!M4626="1111")),TH!D4626,""),"")</f>
        <v/>
      </c>
      <c r="B4626" s="36">
        <f t="shared" si="87"/>
        <v>8</v>
      </c>
      <c r="C4626" s="183">
        <f t="shared" si="88"/>
        <v>42242</v>
      </c>
      <c r="D4626" s="190" t="s">
        <v>2015</v>
      </c>
      <c r="E4626" s="190">
        <v>42242</v>
      </c>
      <c r="F4626" s="191" t="s">
        <v>413</v>
      </c>
      <c r="G4626" s="482" t="s">
        <v>989</v>
      </c>
      <c r="H4626" s="192" t="s">
        <v>2016</v>
      </c>
      <c r="I4626" s="255">
        <v>200</v>
      </c>
      <c r="J4626" s="255">
        <v>7628.159294675942</v>
      </c>
      <c r="K4626" s="593">
        <f t="shared" si="89"/>
        <v>1525632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69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799"/>
    </row>
    <row r="4627" spans="1:27" s="210" customFormat="1" ht="15.75" customHeight="1">
      <c r="A4627" s="203" t="str">
        <f>IF(B4627&lt;&gt;"",IF(AND(B4627&gt;=_TM1,B4627&lt;=_TM2,OR(TH!L4627="1111",TH!M4627="1111")),TH!D4627,""),"")</f>
        <v/>
      </c>
      <c r="B4627" s="36">
        <f t="shared" si="87"/>
        <v>8</v>
      </c>
      <c r="C4627" s="183">
        <f t="shared" si="88"/>
        <v>42242</v>
      </c>
      <c r="D4627" s="190" t="s">
        <v>2015</v>
      </c>
      <c r="E4627" s="190">
        <v>42242</v>
      </c>
      <c r="F4627" s="191" t="s">
        <v>2010</v>
      </c>
      <c r="G4627" s="482" t="s">
        <v>990</v>
      </c>
      <c r="H4627" s="192" t="s">
        <v>2016</v>
      </c>
      <c r="I4627" s="255">
        <v>10</v>
      </c>
      <c r="J4627" s="255">
        <v>9394.6803944956337</v>
      </c>
      <c r="K4627" s="593">
        <f t="shared" si="89"/>
        <v>93947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69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799"/>
    </row>
    <row r="4628" spans="1:27" s="210" customFormat="1" ht="15.75" customHeight="1">
      <c r="A4628" s="203" t="str">
        <f>IF(B4628&lt;&gt;"",IF(AND(B4628&gt;=_TM1,B4628&lt;=_TM2,OR(TH!L4628="1111",TH!M4628="1111")),TH!D4628,""),"")</f>
        <v/>
      </c>
      <c r="B4628" s="36">
        <f t="shared" si="87"/>
        <v>8</v>
      </c>
      <c r="C4628" s="183">
        <f t="shared" si="88"/>
        <v>42242</v>
      </c>
      <c r="D4628" s="190" t="s">
        <v>2015</v>
      </c>
      <c r="E4628" s="190">
        <v>42242</v>
      </c>
      <c r="F4628" s="191" t="s">
        <v>1948</v>
      </c>
      <c r="G4628" s="482" t="s">
        <v>990</v>
      </c>
      <c r="H4628" s="192" t="s">
        <v>2016</v>
      </c>
      <c r="I4628" s="255">
        <v>10</v>
      </c>
      <c r="J4628" s="255">
        <v>9956.7552898928079</v>
      </c>
      <c r="K4628" s="593">
        <f t="shared" si="89"/>
        <v>99568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69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799"/>
    </row>
    <row r="4629" spans="1:27" s="210" customFormat="1" ht="15.75" customHeight="1">
      <c r="A4629" s="203" t="str">
        <f>IF(B4629&lt;&gt;"",IF(AND(B4629&gt;=_TM1,B4629&lt;=_TM2,OR(TH!L4629="1111",TH!M4629="1111")),TH!D4629,""),"")</f>
        <v/>
      </c>
      <c r="B4629" s="36">
        <f t="shared" si="87"/>
        <v>8</v>
      </c>
      <c r="C4629" s="183">
        <f t="shared" si="88"/>
        <v>42242</v>
      </c>
      <c r="D4629" s="190" t="s">
        <v>2015</v>
      </c>
      <c r="E4629" s="190">
        <v>42242</v>
      </c>
      <c r="F4629" s="191" t="s">
        <v>1949</v>
      </c>
      <c r="G4629" s="482" t="s">
        <v>990</v>
      </c>
      <c r="H4629" s="192" t="s">
        <v>2016</v>
      </c>
      <c r="I4629" s="255">
        <v>10</v>
      </c>
      <c r="J4629" s="255">
        <v>12205.054871481507</v>
      </c>
      <c r="K4629" s="593">
        <f t="shared" si="89"/>
        <v>122051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69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799"/>
    </row>
    <row r="4630" spans="1:27" s="210" customFormat="1" ht="15.75" customHeight="1">
      <c r="A4630" s="203" t="str">
        <f>IF(B4630&lt;&gt;"",IF(AND(B4630&gt;=_TM1,B4630&lt;=_TM2,OR(TH!L4630="1111",TH!M4630="1111")),TH!D4630,""),"")</f>
        <v/>
      </c>
      <c r="B4630" s="36">
        <f t="shared" si="87"/>
        <v>8</v>
      </c>
      <c r="C4630" s="183">
        <f t="shared" si="88"/>
        <v>42242</v>
      </c>
      <c r="D4630" s="190" t="s">
        <v>2015</v>
      </c>
      <c r="E4630" s="190">
        <v>42242</v>
      </c>
      <c r="F4630" s="191" t="s">
        <v>1950</v>
      </c>
      <c r="G4630" s="482" t="s">
        <v>990</v>
      </c>
      <c r="H4630" s="192" t="s">
        <v>2016</v>
      </c>
      <c r="I4630" s="255">
        <v>10</v>
      </c>
      <c r="J4630" s="255">
        <v>8752.3090854702914</v>
      </c>
      <c r="K4630" s="593">
        <f t="shared" si="89"/>
        <v>87523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69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799"/>
    </row>
    <row r="4631" spans="1:27" s="210" customFormat="1" ht="15.75" customHeight="1">
      <c r="A4631" s="203" t="str">
        <f>IF(B4631&lt;&gt;"",IF(AND(B4631&gt;=_TM1,B4631&lt;=_TM2,OR(TH!L4631="1111",TH!M4631="1111")),TH!D4631,""),"")</f>
        <v/>
      </c>
      <c r="B4631" s="36">
        <f t="shared" si="87"/>
        <v>8</v>
      </c>
      <c r="C4631" s="183">
        <f t="shared" si="88"/>
        <v>42242</v>
      </c>
      <c r="D4631" s="190" t="s">
        <v>2015</v>
      </c>
      <c r="E4631" s="190">
        <v>42242</v>
      </c>
      <c r="F4631" s="191" t="s">
        <v>1951</v>
      </c>
      <c r="G4631" s="482" t="s">
        <v>990</v>
      </c>
      <c r="H4631" s="192" t="s">
        <v>2016</v>
      </c>
      <c r="I4631" s="255">
        <v>10</v>
      </c>
      <c r="J4631" s="255">
        <v>9715.8660490083057</v>
      </c>
      <c r="K4631" s="593">
        <f t="shared" si="89"/>
        <v>97159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69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799"/>
    </row>
    <row r="4632" spans="1:27" s="210" customFormat="1" ht="15.75" customHeight="1">
      <c r="A4632" s="203" t="str">
        <f>IF(B4632&lt;&gt;"",IF(AND(B4632&gt;=_TM1,B4632&lt;=_TM2,OR(TH!L4632="1111",TH!M4632="1111")),TH!D4632,""),"")</f>
        <v/>
      </c>
      <c r="B4632" s="36">
        <f t="shared" si="87"/>
        <v>8</v>
      </c>
      <c r="C4632" s="183">
        <f t="shared" si="88"/>
        <v>42242</v>
      </c>
      <c r="D4632" s="190" t="s">
        <v>2015</v>
      </c>
      <c r="E4632" s="190">
        <v>42242</v>
      </c>
      <c r="F4632" s="191" t="s">
        <v>1952</v>
      </c>
      <c r="G4632" s="482" t="s">
        <v>990</v>
      </c>
      <c r="H4632" s="192" t="s">
        <v>2016</v>
      </c>
      <c r="I4632" s="255">
        <v>10</v>
      </c>
      <c r="J4632" s="255">
        <v>10679.42301254632</v>
      </c>
      <c r="K4632" s="593">
        <f t="shared" si="89"/>
        <v>106794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69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799"/>
    </row>
    <row r="4633" spans="1:27" s="210" customFormat="1" ht="15.75" customHeight="1">
      <c r="A4633" s="203" t="str">
        <f>IF(B4633&lt;&gt;"",IF(AND(B4633&gt;=_TM1,B4633&lt;=_TM2,OR(TH!L4633="1111",TH!M4633="1111")),TH!D4633,""),"")</f>
        <v/>
      </c>
      <c r="B4633" s="36">
        <f t="shared" si="87"/>
        <v>8</v>
      </c>
      <c r="C4633" s="183">
        <f t="shared" si="88"/>
        <v>42242</v>
      </c>
      <c r="D4633" s="190" t="s">
        <v>2015</v>
      </c>
      <c r="E4633" s="190">
        <v>42242</v>
      </c>
      <c r="F4633" s="191" t="s">
        <v>2011</v>
      </c>
      <c r="G4633" s="482" t="s">
        <v>990</v>
      </c>
      <c r="H4633" s="192" t="s">
        <v>2016</v>
      </c>
      <c r="I4633" s="255">
        <v>10</v>
      </c>
      <c r="J4633" s="255">
        <v>16781.950448287073</v>
      </c>
      <c r="K4633" s="593">
        <f t="shared" si="89"/>
        <v>167820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69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799"/>
    </row>
    <row r="4634" spans="1:27" s="210" customFormat="1" ht="15.75" customHeight="1">
      <c r="A4634" s="203" t="str">
        <f>IF(B4634&lt;&gt;"",IF(AND(B4634&gt;=_TM1,B4634&lt;=_TM2,OR(TH!L4634="1111",TH!M4634="1111")),TH!D4634,""),"")</f>
        <v/>
      </c>
      <c r="B4634" s="36">
        <f t="shared" si="87"/>
        <v>8</v>
      </c>
      <c r="C4634" s="183">
        <f t="shared" si="88"/>
        <v>42242</v>
      </c>
      <c r="D4634" s="190" t="s">
        <v>2015</v>
      </c>
      <c r="E4634" s="190">
        <v>42242</v>
      </c>
      <c r="F4634" s="191" t="s">
        <v>2010</v>
      </c>
      <c r="G4634" s="482" t="s">
        <v>991</v>
      </c>
      <c r="H4634" s="192" t="s">
        <v>2016</v>
      </c>
      <c r="I4634" s="255">
        <v>10</v>
      </c>
      <c r="J4634" s="255">
        <v>9394.6803944956337</v>
      </c>
      <c r="K4634" s="593">
        <f t="shared" si="89"/>
        <v>93947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69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799"/>
    </row>
    <row r="4635" spans="1:27" s="210" customFormat="1" ht="15.75" customHeight="1">
      <c r="A4635" s="203" t="str">
        <f>IF(B4635&lt;&gt;"",IF(AND(B4635&gt;=_TM1,B4635&lt;=_TM2,OR(TH!L4635="1111",TH!M4635="1111")),TH!D4635,""),"")</f>
        <v/>
      </c>
      <c r="B4635" s="36">
        <f t="shared" si="87"/>
        <v>8</v>
      </c>
      <c r="C4635" s="183">
        <f t="shared" si="88"/>
        <v>42242</v>
      </c>
      <c r="D4635" s="190" t="s">
        <v>2015</v>
      </c>
      <c r="E4635" s="190">
        <v>42242</v>
      </c>
      <c r="F4635" s="191" t="s">
        <v>1948</v>
      </c>
      <c r="G4635" s="482" t="s">
        <v>991</v>
      </c>
      <c r="H4635" s="192" t="s">
        <v>2016</v>
      </c>
      <c r="I4635" s="255">
        <v>10</v>
      </c>
      <c r="J4635" s="255">
        <v>9956.7552898928079</v>
      </c>
      <c r="K4635" s="593">
        <f t="shared" si="89"/>
        <v>99568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69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799"/>
    </row>
    <row r="4636" spans="1:27" s="210" customFormat="1" ht="15.75" customHeight="1">
      <c r="A4636" s="203" t="str">
        <f>IF(B4636&lt;&gt;"",IF(AND(B4636&gt;=_TM1,B4636&lt;=_TM2,OR(TH!L4636="1111",TH!M4636="1111")),TH!D4636,""),"")</f>
        <v/>
      </c>
      <c r="B4636" s="36">
        <f t="shared" si="87"/>
        <v>8</v>
      </c>
      <c r="C4636" s="183">
        <f t="shared" si="88"/>
        <v>42242</v>
      </c>
      <c r="D4636" s="190" t="s">
        <v>2015</v>
      </c>
      <c r="E4636" s="190">
        <v>42242</v>
      </c>
      <c r="F4636" s="191" t="s">
        <v>1949</v>
      </c>
      <c r="G4636" s="482" t="s">
        <v>991</v>
      </c>
      <c r="H4636" s="192" t="s">
        <v>2016</v>
      </c>
      <c r="I4636" s="255">
        <v>10</v>
      </c>
      <c r="J4636" s="255">
        <v>12205.054871481507</v>
      </c>
      <c r="K4636" s="593">
        <f t="shared" si="89"/>
        <v>122051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69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799"/>
    </row>
    <row r="4637" spans="1:27" s="210" customFormat="1" ht="15.75" customHeight="1">
      <c r="A4637" s="203" t="str">
        <f>IF(B4637&lt;&gt;"",IF(AND(B4637&gt;=_TM1,B4637&lt;=_TM2,OR(TH!L4637="1111",TH!M4637="1111")),TH!D4637,""),"")</f>
        <v/>
      </c>
      <c r="B4637" s="36">
        <f t="shared" si="87"/>
        <v>8</v>
      </c>
      <c r="C4637" s="183">
        <f t="shared" si="88"/>
        <v>42242</v>
      </c>
      <c r="D4637" s="190" t="s">
        <v>2015</v>
      </c>
      <c r="E4637" s="190">
        <v>42242</v>
      </c>
      <c r="F4637" s="191" t="s">
        <v>1950</v>
      </c>
      <c r="G4637" s="482" t="s">
        <v>991</v>
      </c>
      <c r="H4637" s="192" t="s">
        <v>2016</v>
      </c>
      <c r="I4637" s="255">
        <v>10</v>
      </c>
      <c r="J4637" s="255">
        <v>8752.3090854702914</v>
      </c>
      <c r="K4637" s="593">
        <f t="shared" si="89"/>
        <v>87523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69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799"/>
    </row>
    <row r="4638" spans="1:27" s="210" customFormat="1" ht="15.75" customHeight="1">
      <c r="A4638" s="203" t="str">
        <f>IF(B4638&lt;&gt;"",IF(AND(B4638&gt;=_TM1,B4638&lt;=_TM2,OR(TH!L4638="1111",TH!M4638="1111")),TH!D4638,""),"")</f>
        <v/>
      </c>
      <c r="B4638" s="36">
        <f t="shared" si="87"/>
        <v>8</v>
      </c>
      <c r="C4638" s="183">
        <f t="shared" si="88"/>
        <v>42242</v>
      </c>
      <c r="D4638" s="190" t="s">
        <v>2015</v>
      </c>
      <c r="E4638" s="190">
        <v>42242</v>
      </c>
      <c r="F4638" s="191" t="s">
        <v>1951</v>
      </c>
      <c r="G4638" s="482" t="s">
        <v>991</v>
      </c>
      <c r="H4638" s="192" t="s">
        <v>2016</v>
      </c>
      <c r="I4638" s="255">
        <v>10</v>
      </c>
      <c r="J4638" s="255">
        <v>9715.8660490083057</v>
      </c>
      <c r="K4638" s="593">
        <f t="shared" si="89"/>
        <v>97159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69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799"/>
    </row>
    <row r="4639" spans="1:27" s="210" customFormat="1" ht="15.75" customHeight="1">
      <c r="A4639" s="203" t="str">
        <f>IF(B4639&lt;&gt;"",IF(AND(B4639&gt;=_TM1,B4639&lt;=_TM2,OR(TH!L4639="1111",TH!M4639="1111")),TH!D4639,""),"")</f>
        <v/>
      </c>
      <c r="B4639" s="36">
        <f t="shared" si="87"/>
        <v>8</v>
      </c>
      <c r="C4639" s="183">
        <f t="shared" si="88"/>
        <v>42242</v>
      </c>
      <c r="D4639" s="190" t="s">
        <v>2015</v>
      </c>
      <c r="E4639" s="190">
        <v>42242</v>
      </c>
      <c r="F4639" s="191" t="s">
        <v>1952</v>
      </c>
      <c r="G4639" s="482" t="s">
        <v>991</v>
      </c>
      <c r="H4639" s="192" t="s">
        <v>2016</v>
      </c>
      <c r="I4639" s="255">
        <v>10</v>
      </c>
      <c r="J4639" s="255">
        <v>10679.42301254632</v>
      </c>
      <c r="K4639" s="593">
        <f t="shared" si="89"/>
        <v>106794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69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799"/>
    </row>
    <row r="4640" spans="1:27" s="210" customFormat="1" ht="15.75" customHeight="1">
      <c r="A4640" s="203" t="str">
        <f>IF(B4640&lt;&gt;"",IF(AND(B4640&gt;=_TM1,B4640&lt;=_TM2,OR(TH!L4640="1111",TH!M4640="1111")),TH!D4640,""),"")</f>
        <v/>
      </c>
      <c r="B4640" s="36">
        <f t="shared" si="87"/>
        <v>8</v>
      </c>
      <c r="C4640" s="183">
        <f t="shared" si="88"/>
        <v>42242</v>
      </c>
      <c r="D4640" s="190" t="s">
        <v>2015</v>
      </c>
      <c r="E4640" s="190">
        <v>42242</v>
      </c>
      <c r="F4640" s="191" t="s">
        <v>2011</v>
      </c>
      <c r="G4640" s="482" t="s">
        <v>991</v>
      </c>
      <c r="H4640" s="192" t="s">
        <v>2016</v>
      </c>
      <c r="I4640" s="255">
        <v>10</v>
      </c>
      <c r="J4640" s="255">
        <v>16781.950448287073</v>
      </c>
      <c r="K4640" s="593">
        <f t="shared" si="89"/>
        <v>167820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69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799"/>
    </row>
    <row r="4641" spans="1:27" s="210" customFormat="1" ht="15.75" customHeight="1">
      <c r="A4641" s="203" t="str">
        <f>IF(B4641&lt;&gt;"",IF(AND(B4641&gt;=_TM1,B4641&lt;=_TM2,OR(TH!L4641="1111",TH!M4641="1111")),TH!D4641,""),"")</f>
        <v/>
      </c>
      <c r="B4641" s="36">
        <f t="shared" si="87"/>
        <v>8</v>
      </c>
      <c r="C4641" s="183">
        <f t="shared" si="88"/>
        <v>42243</v>
      </c>
      <c r="D4641" s="190" t="s">
        <v>2015</v>
      </c>
      <c r="E4641" s="190">
        <v>42243</v>
      </c>
      <c r="F4641" s="191" t="s">
        <v>2012</v>
      </c>
      <c r="G4641" s="482" t="s">
        <v>992</v>
      </c>
      <c r="H4641" s="192" t="s">
        <v>2016</v>
      </c>
      <c r="I4641" s="255">
        <v>2000</v>
      </c>
      <c r="J4641" s="255">
        <v>1766.5210998196919</v>
      </c>
      <c r="K4641" s="593">
        <f t="shared" si="89"/>
        <v>3533042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69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799"/>
    </row>
    <row r="4642" spans="1:27" s="210" customFormat="1" ht="15.75" customHeight="1">
      <c r="A4642" s="203" t="str">
        <f>IF(B4642&lt;&gt;"",IF(AND(B4642&gt;=_TM1,B4642&lt;=_TM2,OR(TH!L4642="1111",TH!M4642="1111")),TH!D4642,""),"")</f>
        <v/>
      </c>
      <c r="B4642" s="36">
        <f t="shared" si="87"/>
        <v>8</v>
      </c>
      <c r="C4642" s="183">
        <f t="shared" si="88"/>
        <v>42243</v>
      </c>
      <c r="D4642" s="190" t="s">
        <v>2015</v>
      </c>
      <c r="E4642" s="190">
        <v>42243</v>
      </c>
      <c r="F4642" s="191" t="s">
        <v>1955</v>
      </c>
      <c r="G4642" s="482" t="s">
        <v>992</v>
      </c>
      <c r="H4642" s="192" t="s">
        <v>2016</v>
      </c>
      <c r="I4642" s="255">
        <v>500</v>
      </c>
      <c r="J4642" s="255">
        <v>3533.0421996393839</v>
      </c>
      <c r="K4642" s="593">
        <f t="shared" si="89"/>
        <v>1766521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69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799"/>
    </row>
    <row r="4643" spans="1:27" s="210" customFormat="1" ht="15.75" customHeight="1">
      <c r="A4643" s="203" t="str">
        <f>IF(B4643&lt;&gt;"",IF(AND(B4643&gt;=_TM1,B4643&lt;=_TM2,OR(TH!L4643="1111",TH!M4643="1111")),TH!D4643,""),"")</f>
        <v/>
      </c>
      <c r="B4643" s="36">
        <f t="shared" si="87"/>
        <v>8</v>
      </c>
      <c r="C4643" s="183">
        <f t="shared" si="88"/>
        <v>42243</v>
      </c>
      <c r="D4643" s="190" t="s">
        <v>2015</v>
      </c>
      <c r="E4643" s="190">
        <v>42243</v>
      </c>
      <c r="F4643" s="191" t="s">
        <v>398</v>
      </c>
      <c r="G4643" s="482" t="s">
        <v>993</v>
      </c>
      <c r="H4643" s="192" t="s">
        <v>2016</v>
      </c>
      <c r="I4643" s="255">
        <v>608</v>
      </c>
      <c r="J4643" s="255">
        <v>6584.3059175097605</v>
      </c>
      <c r="K4643" s="593">
        <f t="shared" si="89"/>
        <v>4003258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69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799"/>
    </row>
    <row r="4644" spans="1:27" s="210" customFormat="1" ht="15.75" customHeight="1">
      <c r="A4644" s="203" t="str">
        <f>IF(B4644&lt;&gt;"",IF(AND(B4644&gt;=_TM1,B4644&lt;=_TM2,OR(TH!L4644="1111",TH!M4644="1111")),TH!D4644,""),"")</f>
        <v/>
      </c>
      <c r="B4644" s="36">
        <f t="shared" si="87"/>
        <v>8</v>
      </c>
      <c r="C4644" s="183">
        <f t="shared" si="88"/>
        <v>42243</v>
      </c>
      <c r="D4644" s="190" t="s">
        <v>2015</v>
      </c>
      <c r="E4644" s="190">
        <v>42243</v>
      </c>
      <c r="F4644" s="191" t="s">
        <v>446</v>
      </c>
      <c r="G4644" s="482" t="s">
        <v>993</v>
      </c>
      <c r="H4644" s="192" t="s">
        <v>2016</v>
      </c>
      <c r="I4644" s="255">
        <v>329</v>
      </c>
      <c r="J4644" s="255">
        <v>7306.9736401632708</v>
      </c>
      <c r="K4644" s="593">
        <f t="shared" si="89"/>
        <v>2403994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69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799"/>
    </row>
    <row r="4645" spans="1:27" s="210" customFormat="1" ht="15.75" customHeight="1">
      <c r="A4645" s="203" t="str">
        <f>IF(B4645&lt;&gt;"",IF(AND(B4645&gt;=_TM1,B4645&lt;=_TM2,OR(TH!L4645="1111",TH!M4645="1111")),TH!D4645,""),"")</f>
        <v/>
      </c>
      <c r="B4645" s="36">
        <f t="shared" si="87"/>
        <v>8</v>
      </c>
      <c r="C4645" s="183">
        <f t="shared" si="88"/>
        <v>42243</v>
      </c>
      <c r="D4645" s="190" t="s">
        <v>2015</v>
      </c>
      <c r="E4645" s="190">
        <v>42243</v>
      </c>
      <c r="F4645" s="191" t="s">
        <v>994</v>
      </c>
      <c r="G4645" s="482" t="s">
        <v>993</v>
      </c>
      <c r="H4645" s="192" t="s">
        <v>2016</v>
      </c>
      <c r="I4645" s="255">
        <v>312</v>
      </c>
      <c r="J4645" s="255">
        <v>10438.533771661816</v>
      </c>
      <c r="K4645" s="593">
        <f t="shared" si="89"/>
        <v>3256823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69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799"/>
    </row>
    <row r="4646" spans="1:27" s="210" customFormat="1" ht="15.75" customHeight="1">
      <c r="A4646" s="203" t="str">
        <f>IF(B4646&lt;&gt;"",IF(AND(B4646&gt;=_TM1,B4646&lt;=_TM2,OR(TH!L4646="1111",TH!M4646="1111")),TH!D4646,""),"")</f>
        <v/>
      </c>
      <c r="B4646" s="36">
        <f t="shared" si="87"/>
        <v>8</v>
      </c>
      <c r="C4646" s="183">
        <f t="shared" si="88"/>
        <v>42243</v>
      </c>
      <c r="D4646" s="190" t="s">
        <v>2015</v>
      </c>
      <c r="E4646" s="190">
        <v>42243</v>
      </c>
      <c r="F4646" s="191" t="s">
        <v>995</v>
      </c>
      <c r="G4646" s="482" t="s">
        <v>993</v>
      </c>
      <c r="H4646" s="192" t="s">
        <v>2016</v>
      </c>
      <c r="I4646" s="255">
        <v>309</v>
      </c>
      <c r="J4646" s="255">
        <v>11883.869216968837</v>
      </c>
      <c r="K4646" s="593">
        <f t="shared" si="89"/>
        <v>3672116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69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799"/>
    </row>
    <row r="4647" spans="1:27" s="210" customFormat="1" ht="15.75" customHeight="1">
      <c r="A4647" s="203" t="str">
        <f>IF(B4647&lt;&gt;"",IF(AND(B4647&gt;=_TM1,B4647&lt;=_TM2,OR(TH!L4647="1111",TH!M4647="1111")),TH!D4647,""),"")</f>
        <v/>
      </c>
      <c r="B4647" s="36">
        <f t="shared" si="87"/>
        <v>8</v>
      </c>
      <c r="C4647" s="183">
        <f t="shared" si="88"/>
        <v>42243</v>
      </c>
      <c r="D4647" s="190" t="s">
        <v>2015</v>
      </c>
      <c r="E4647" s="190">
        <v>42243</v>
      </c>
      <c r="F4647" s="191" t="s">
        <v>2010</v>
      </c>
      <c r="G4647" s="482" t="s">
        <v>996</v>
      </c>
      <c r="H4647" s="192" t="s">
        <v>2016</v>
      </c>
      <c r="I4647" s="255">
        <v>2000</v>
      </c>
      <c r="J4647" s="255">
        <v>9394.6803944956337</v>
      </c>
      <c r="K4647" s="593">
        <f t="shared" si="89"/>
        <v>18789361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69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799"/>
    </row>
    <row r="4648" spans="1:27" s="210" customFormat="1" ht="15.75" customHeight="1">
      <c r="A4648" s="203" t="str">
        <f>IF(B4648&lt;&gt;"",IF(AND(B4648&gt;=_TM1,B4648&lt;=_TM2,OR(TH!L4648="1111",TH!M4648="1111")),TH!D4648,""),"")</f>
        <v/>
      </c>
      <c r="B4648" s="36">
        <f t="shared" si="87"/>
        <v>8</v>
      </c>
      <c r="C4648" s="183">
        <f t="shared" si="88"/>
        <v>42244</v>
      </c>
      <c r="D4648" s="190" t="s">
        <v>2015</v>
      </c>
      <c r="E4648" s="190">
        <v>42244</v>
      </c>
      <c r="F4648" s="191" t="s">
        <v>451</v>
      </c>
      <c r="G4648" s="482" t="s">
        <v>997</v>
      </c>
      <c r="H4648" s="192" t="s">
        <v>2016</v>
      </c>
      <c r="I4648" s="255">
        <v>307</v>
      </c>
      <c r="J4648" s="255">
        <v>10759.719426174488</v>
      </c>
      <c r="K4648" s="593">
        <f t="shared" si="89"/>
        <v>3303234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69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799"/>
    </row>
    <row r="4649" spans="1:27" s="210" customFormat="1" ht="15.75" customHeight="1">
      <c r="A4649" s="203" t="str">
        <f>IF(B4649&lt;&gt;"",IF(AND(B4649&gt;=_TM1,B4649&lt;=_TM2,OR(TH!L4649="1111",TH!M4649="1111")),TH!D4649,""),"")</f>
        <v/>
      </c>
      <c r="B4649" s="36">
        <f t="shared" si="87"/>
        <v>8</v>
      </c>
      <c r="C4649" s="183">
        <f t="shared" si="88"/>
        <v>42244</v>
      </c>
      <c r="D4649" s="190" t="s">
        <v>2015</v>
      </c>
      <c r="E4649" s="190">
        <v>42244</v>
      </c>
      <c r="F4649" s="191" t="s">
        <v>998</v>
      </c>
      <c r="G4649" s="482" t="s">
        <v>997</v>
      </c>
      <c r="H4649" s="192" t="s">
        <v>2016</v>
      </c>
      <c r="I4649" s="255">
        <v>50</v>
      </c>
      <c r="J4649" s="255">
        <v>9474.9768081238017</v>
      </c>
      <c r="K4649" s="593">
        <f t="shared" si="89"/>
        <v>473749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69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799"/>
    </row>
    <row r="4650" spans="1:27" s="210" customFormat="1" ht="15.75" customHeight="1">
      <c r="A4650" s="203" t="str">
        <f>IF(B4650&lt;&gt;"",IF(AND(B4650&gt;=_TM1,B4650&lt;=_TM2,OR(TH!L4650="1111",TH!M4650="1111")),TH!D4650,""),"")</f>
        <v/>
      </c>
      <c r="B4650" s="36">
        <f t="shared" si="87"/>
        <v>8</v>
      </c>
      <c r="C4650" s="183">
        <f t="shared" si="88"/>
        <v>42244</v>
      </c>
      <c r="D4650" s="190" t="s">
        <v>2015</v>
      </c>
      <c r="E4650" s="190">
        <v>42244</v>
      </c>
      <c r="F4650" s="191" t="s">
        <v>999</v>
      </c>
      <c r="G4650" s="482" t="s">
        <v>1000</v>
      </c>
      <c r="H4650" s="192" t="s">
        <v>2016</v>
      </c>
      <c r="I4650" s="255">
        <v>217</v>
      </c>
      <c r="J4650" s="255">
        <v>6022.2310221125863</v>
      </c>
      <c r="K4650" s="593">
        <f t="shared" si="89"/>
        <v>1306824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69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799"/>
    </row>
    <row r="4651" spans="1:27" s="210" customFormat="1" ht="15.75" customHeight="1">
      <c r="A4651" s="203" t="str">
        <f>IF(B4651&lt;&gt;"",IF(AND(B4651&gt;=_TM1,B4651&lt;=_TM2,OR(TH!L4651="1111",TH!M4651="1111")),TH!D4651,""),"")</f>
        <v/>
      </c>
      <c r="B4651" s="36">
        <f t="shared" si="87"/>
        <v>8</v>
      </c>
      <c r="C4651" s="183">
        <f t="shared" si="88"/>
        <v>42244</v>
      </c>
      <c r="D4651" s="190" t="s">
        <v>2015</v>
      </c>
      <c r="E4651" s="190">
        <v>42244</v>
      </c>
      <c r="F4651" s="191" t="s">
        <v>1948</v>
      </c>
      <c r="G4651" s="482" t="s">
        <v>1001</v>
      </c>
      <c r="H4651" s="192" t="s">
        <v>2016</v>
      </c>
      <c r="I4651" s="255">
        <v>34</v>
      </c>
      <c r="J4651" s="255">
        <v>9956.7552898928079</v>
      </c>
      <c r="K4651" s="593">
        <f t="shared" si="89"/>
        <v>338530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69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799"/>
    </row>
    <row r="4652" spans="1:27" s="210" customFormat="1" ht="15.75" customHeight="1">
      <c r="A4652" s="203" t="str">
        <f>IF(B4652&lt;&gt;"",IF(AND(B4652&gt;=_TM1,B4652&lt;=_TM2,OR(TH!L4652="1111",TH!M4652="1111")),TH!D4652,""),"")</f>
        <v/>
      </c>
      <c r="B4652" s="36">
        <f t="shared" si="87"/>
        <v>8</v>
      </c>
      <c r="C4652" s="183">
        <f t="shared" si="88"/>
        <v>42244</v>
      </c>
      <c r="D4652" s="190" t="s">
        <v>2015</v>
      </c>
      <c r="E4652" s="190">
        <v>42244</v>
      </c>
      <c r="F4652" s="191" t="s">
        <v>1950</v>
      </c>
      <c r="G4652" s="482" t="s">
        <v>1001</v>
      </c>
      <c r="H4652" s="192" t="s">
        <v>2016</v>
      </c>
      <c r="I4652" s="255">
        <v>34</v>
      </c>
      <c r="J4652" s="255">
        <v>8752.3090854702914</v>
      </c>
      <c r="K4652" s="593">
        <f t="shared" si="89"/>
        <v>297579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69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799"/>
    </row>
    <row r="4653" spans="1:27" s="210" customFormat="1" ht="15.75" customHeight="1">
      <c r="A4653" s="203" t="str">
        <f>IF(B4653&lt;&gt;"",IF(AND(B4653&gt;=_TM1,B4653&lt;=_TM2,OR(TH!L4653="1111",TH!M4653="1111")),TH!D4653,""),"")</f>
        <v/>
      </c>
      <c r="B4653" s="36">
        <f t="shared" si="87"/>
        <v>8</v>
      </c>
      <c r="C4653" s="183">
        <f t="shared" si="88"/>
        <v>42244</v>
      </c>
      <c r="D4653" s="190" t="s">
        <v>2015</v>
      </c>
      <c r="E4653" s="190">
        <v>42244</v>
      </c>
      <c r="F4653" s="191" t="s">
        <v>1951</v>
      </c>
      <c r="G4653" s="482" t="s">
        <v>1001</v>
      </c>
      <c r="H4653" s="192" t="s">
        <v>2016</v>
      </c>
      <c r="I4653" s="255">
        <v>20</v>
      </c>
      <c r="J4653" s="255">
        <v>9715.8660490083057</v>
      </c>
      <c r="K4653" s="593">
        <f t="shared" si="89"/>
        <v>194317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69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799"/>
    </row>
    <row r="4654" spans="1:27" s="210" customFormat="1" ht="15.75" customHeight="1">
      <c r="A4654" s="203" t="str">
        <f>IF(B4654&lt;&gt;"",IF(AND(B4654&gt;=_TM1,B4654&lt;=_TM2,OR(TH!L4654="1111",TH!M4654="1111")),TH!D4654,""),"")</f>
        <v/>
      </c>
      <c r="B4654" s="36">
        <f t="shared" si="87"/>
        <v>8</v>
      </c>
      <c r="C4654" s="183">
        <f t="shared" si="88"/>
        <v>42244</v>
      </c>
      <c r="D4654" s="190" t="s">
        <v>2015</v>
      </c>
      <c r="E4654" s="190">
        <v>42244</v>
      </c>
      <c r="F4654" s="191" t="s">
        <v>2011</v>
      </c>
      <c r="G4654" s="482" t="s">
        <v>1001</v>
      </c>
      <c r="H4654" s="192" t="s">
        <v>2016</v>
      </c>
      <c r="I4654" s="255">
        <v>14</v>
      </c>
      <c r="J4654" s="255">
        <v>16781.950448287073</v>
      </c>
      <c r="K4654" s="593">
        <f t="shared" si="89"/>
        <v>234947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69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799"/>
    </row>
    <row r="4655" spans="1:27" s="210" customFormat="1" ht="15.75" customHeight="1">
      <c r="A4655" s="203" t="str">
        <f>IF(B4655&lt;&gt;"",IF(AND(B4655&gt;=_TM1,B4655&lt;=_TM2,OR(TH!L4655="1111",TH!M4655="1111")),TH!D4655,""),"")</f>
        <v/>
      </c>
      <c r="B4655" s="36">
        <f t="shared" si="87"/>
        <v>8</v>
      </c>
      <c r="C4655" s="183">
        <f t="shared" si="88"/>
        <v>42245</v>
      </c>
      <c r="D4655" s="190" t="s">
        <v>2015</v>
      </c>
      <c r="E4655" s="190">
        <v>42245</v>
      </c>
      <c r="F4655" s="191" t="s">
        <v>746</v>
      </c>
      <c r="G4655" s="482" t="s">
        <v>1002</v>
      </c>
      <c r="H4655" s="192" t="s">
        <v>2016</v>
      </c>
      <c r="I4655" s="255">
        <v>500</v>
      </c>
      <c r="J4655" s="255">
        <v>18548.471548106765</v>
      </c>
      <c r="K4655" s="593">
        <f t="shared" si="89"/>
        <v>9274236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69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799"/>
    </row>
    <row r="4656" spans="1:27" s="210" customFormat="1" ht="15.75" customHeight="1">
      <c r="A4656" s="203" t="str">
        <f>IF(B4656&lt;&gt;"",IF(AND(B4656&gt;=_TM1,B4656&lt;=_TM2,OR(TH!L4656="1111",TH!M4656="1111")),TH!D4656,""),"")</f>
        <v/>
      </c>
      <c r="B4656" s="36">
        <f t="shared" si="87"/>
        <v>8</v>
      </c>
      <c r="C4656" s="183">
        <f t="shared" si="88"/>
        <v>42245</v>
      </c>
      <c r="D4656" s="190" t="s">
        <v>2015</v>
      </c>
      <c r="E4656" s="190">
        <v>42245</v>
      </c>
      <c r="F4656" s="191" t="s">
        <v>1952</v>
      </c>
      <c r="G4656" s="482" t="s">
        <v>1004</v>
      </c>
      <c r="H4656" s="192" t="s">
        <v>2016</v>
      </c>
      <c r="I4656" s="255">
        <v>50</v>
      </c>
      <c r="J4656" s="255">
        <v>10679.42301254632</v>
      </c>
      <c r="K4656" s="593">
        <f t="shared" si="89"/>
        <v>533971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69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799"/>
    </row>
    <row r="4657" spans="1:27" s="210" customFormat="1" ht="15.75" customHeight="1">
      <c r="A4657" s="203" t="str">
        <f>IF(B4657&lt;&gt;"",IF(AND(B4657&gt;=_TM1,B4657&lt;=_TM2,OR(TH!L4657="1111",TH!M4657="1111")),TH!D4657,""),"")</f>
        <v/>
      </c>
      <c r="B4657" s="36">
        <f t="shared" si="87"/>
        <v>8</v>
      </c>
      <c r="C4657" s="183">
        <f t="shared" si="88"/>
        <v>42245</v>
      </c>
      <c r="D4657" s="190" t="s">
        <v>2015</v>
      </c>
      <c r="E4657" s="190">
        <v>42245</v>
      </c>
      <c r="F4657" s="191" t="s">
        <v>2011</v>
      </c>
      <c r="G4657" s="482" t="s">
        <v>1004</v>
      </c>
      <c r="H4657" s="192" t="s">
        <v>2016</v>
      </c>
      <c r="I4657" s="255">
        <v>50</v>
      </c>
      <c r="J4657" s="255">
        <v>16781.950448287073</v>
      </c>
      <c r="K4657" s="593">
        <f t="shared" si="89"/>
        <v>839098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69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799"/>
    </row>
    <row r="4658" spans="1:27" s="210" customFormat="1" ht="15.75" customHeight="1">
      <c r="A4658" s="203" t="str">
        <f>IF(B4658&lt;&gt;"",IF(AND(B4658&gt;=_TM1,B4658&lt;=_TM2,OR(TH!L4658="1111",TH!M4658="1111")),TH!D4658,""),"")</f>
        <v/>
      </c>
      <c r="B4658" s="36">
        <f t="shared" si="87"/>
        <v>9</v>
      </c>
      <c r="C4658" s="183">
        <f t="shared" si="88"/>
        <v>42248</v>
      </c>
      <c r="D4658" s="190" t="s">
        <v>2015</v>
      </c>
      <c r="E4658" s="190">
        <v>42248</v>
      </c>
      <c r="F4658" s="191" t="s">
        <v>494</v>
      </c>
      <c r="G4658" s="482" t="s">
        <v>1005</v>
      </c>
      <c r="H4658" s="192" t="s">
        <v>2016</v>
      </c>
      <c r="I4658" s="255">
        <v>1226</v>
      </c>
      <c r="J4658" s="255">
        <v>5460.1561267154111</v>
      </c>
      <c r="K4658" s="593">
        <f t="shared" si="89"/>
        <v>6694151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69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799"/>
    </row>
    <row r="4659" spans="1:27" s="210" customFormat="1" ht="15.75" customHeight="1">
      <c r="A4659" s="203" t="str">
        <f>IF(B4659&lt;&gt;"",IF(AND(B4659&gt;=_TM1,B4659&lt;=_TM2,OR(TH!L4659="1111",TH!M4659="1111")),TH!D4659,""),"")</f>
        <v/>
      </c>
      <c r="B4659" s="36">
        <f t="shared" si="87"/>
        <v>9</v>
      </c>
      <c r="C4659" s="183">
        <f t="shared" si="88"/>
        <v>42248</v>
      </c>
      <c r="D4659" s="190" t="s">
        <v>2015</v>
      </c>
      <c r="E4659" s="190">
        <v>42248</v>
      </c>
      <c r="F4659" s="191" t="s">
        <v>624</v>
      </c>
      <c r="G4659" s="482" t="s">
        <v>1006</v>
      </c>
      <c r="H4659" s="192" t="s">
        <v>2016</v>
      </c>
      <c r="I4659" s="255">
        <v>135</v>
      </c>
      <c r="J4659" s="255">
        <v>46250.734249824658</v>
      </c>
      <c r="K4659" s="593">
        <f t="shared" si="89"/>
        <v>6243849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69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799"/>
    </row>
    <row r="4660" spans="1:27" s="210" customFormat="1" ht="15.75" customHeight="1">
      <c r="A4660" s="203" t="str">
        <f>IF(B4660&lt;&gt;"",IF(AND(B4660&gt;=_TM1,B4660&lt;=_TM2,OR(TH!L4660="1111",TH!M4660="1111")),TH!D4660,""),"")</f>
        <v/>
      </c>
      <c r="B4660" s="36">
        <f t="shared" si="87"/>
        <v>9</v>
      </c>
      <c r="C4660" s="183">
        <f t="shared" si="88"/>
        <v>42248</v>
      </c>
      <c r="D4660" s="190" t="s">
        <v>2015</v>
      </c>
      <c r="E4660" s="190">
        <v>42248</v>
      </c>
      <c r="F4660" s="191" t="s">
        <v>1007</v>
      </c>
      <c r="G4660" s="482" t="s">
        <v>1006</v>
      </c>
      <c r="H4660" s="192" t="s">
        <v>2016</v>
      </c>
      <c r="I4660" s="255">
        <v>25</v>
      </c>
      <c r="J4660" s="255">
        <v>66886.912552263791</v>
      </c>
      <c r="K4660" s="593">
        <f t="shared" si="89"/>
        <v>1672173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69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799"/>
    </row>
    <row r="4661" spans="1:27" s="210" customFormat="1" ht="15.75" customHeight="1">
      <c r="A4661" s="203" t="str">
        <f>IF(B4661&lt;&gt;"",IF(AND(B4661&gt;=_TM1,B4661&lt;=_TM2,OR(TH!L4661="1111",TH!M4661="1111")),TH!D4661,""),"")</f>
        <v/>
      </c>
      <c r="B4661" s="36">
        <f t="shared" si="87"/>
        <v>9</v>
      </c>
      <c r="C4661" s="183">
        <f t="shared" si="88"/>
        <v>42248</v>
      </c>
      <c r="D4661" s="190" t="s">
        <v>2015</v>
      </c>
      <c r="E4661" s="190">
        <v>42248</v>
      </c>
      <c r="F4661" s="191" t="s">
        <v>1008</v>
      </c>
      <c r="G4661" s="482" t="s">
        <v>1006</v>
      </c>
      <c r="H4661" s="192" t="s">
        <v>2016</v>
      </c>
      <c r="I4661" s="255">
        <v>68</v>
      </c>
      <c r="J4661" s="255">
        <v>22804.181470399657</v>
      </c>
      <c r="K4661" s="593">
        <f t="shared" si="89"/>
        <v>1550684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69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799"/>
    </row>
    <row r="4662" spans="1:27" s="210" customFormat="1" ht="15.75" customHeight="1">
      <c r="A4662" s="203" t="str">
        <f>IF(B4662&lt;&gt;"",IF(AND(B4662&gt;=_TM1,B4662&lt;=_TM2,OR(TH!L4662="1111",TH!M4662="1111")),TH!D4662,""),"")</f>
        <v/>
      </c>
      <c r="B4662" s="36">
        <f t="shared" si="87"/>
        <v>9</v>
      </c>
      <c r="C4662" s="183">
        <f t="shared" si="88"/>
        <v>42248</v>
      </c>
      <c r="D4662" s="190" t="s">
        <v>2015</v>
      </c>
      <c r="E4662" s="190">
        <v>42248</v>
      </c>
      <c r="F4662" s="191" t="s">
        <v>923</v>
      </c>
      <c r="G4662" s="482" t="s">
        <v>1006</v>
      </c>
      <c r="H4662" s="192" t="s">
        <v>2016</v>
      </c>
      <c r="I4662" s="255">
        <v>49</v>
      </c>
      <c r="J4662" s="255">
        <v>26417.520083667208</v>
      </c>
      <c r="K4662" s="593">
        <f t="shared" si="89"/>
        <v>1294458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69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799"/>
    </row>
    <row r="4663" spans="1:27" s="210" customFormat="1" ht="15.75" customHeight="1">
      <c r="A4663" s="203" t="str">
        <f>IF(B4663&lt;&gt;"",IF(AND(B4663&gt;=_TM1,B4663&lt;=_TM2,OR(TH!L4663="1111",TH!M4663="1111")),TH!D4663,""),"")</f>
        <v/>
      </c>
      <c r="B4663" s="36">
        <f t="shared" si="87"/>
        <v>9</v>
      </c>
      <c r="C4663" s="183">
        <f t="shared" si="88"/>
        <v>42248</v>
      </c>
      <c r="D4663" s="190" t="s">
        <v>2015</v>
      </c>
      <c r="E4663" s="190">
        <v>42248</v>
      </c>
      <c r="F4663" s="191" t="s">
        <v>921</v>
      </c>
      <c r="G4663" s="482" t="s">
        <v>1006</v>
      </c>
      <c r="H4663" s="192" t="s">
        <v>2016</v>
      </c>
      <c r="I4663" s="255">
        <v>70</v>
      </c>
      <c r="J4663" s="255">
        <v>15818.393484749058</v>
      </c>
      <c r="K4663" s="593">
        <f t="shared" si="89"/>
        <v>1107288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69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799"/>
    </row>
    <row r="4664" spans="1:27" s="210" customFormat="1" ht="15.75" customHeight="1">
      <c r="A4664" s="203" t="str">
        <f>IF(B4664&lt;&gt;"",IF(AND(B4664&gt;=_TM1,B4664&lt;=_TM2,OR(TH!L4664="1111",TH!M4664="1111")),TH!D4664,""),"")</f>
        <v/>
      </c>
      <c r="B4664" s="36">
        <f t="shared" si="87"/>
        <v>9</v>
      </c>
      <c r="C4664" s="183">
        <f t="shared" si="88"/>
        <v>42248</v>
      </c>
      <c r="D4664" s="190" t="s">
        <v>2015</v>
      </c>
      <c r="E4664" s="190">
        <v>42248</v>
      </c>
      <c r="F4664" s="191" t="s">
        <v>1009</v>
      </c>
      <c r="G4664" s="482" t="s">
        <v>1006</v>
      </c>
      <c r="H4664" s="192" t="s">
        <v>2016</v>
      </c>
      <c r="I4664" s="255">
        <v>45</v>
      </c>
      <c r="J4664" s="255">
        <v>29227.894560653083</v>
      </c>
      <c r="K4664" s="593">
        <f t="shared" si="89"/>
        <v>1315255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69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799"/>
    </row>
    <row r="4665" spans="1:27" s="210" customFormat="1" ht="15.75" customHeight="1">
      <c r="A4665" s="203" t="str">
        <f>IF(B4665&lt;&gt;"",IF(AND(B4665&gt;=_TM1,B4665&lt;=_TM2,OR(TH!L4665="1111",TH!M4665="1111")),TH!D4665,""),"")</f>
        <v/>
      </c>
      <c r="B4665" s="36">
        <f t="shared" si="87"/>
        <v>9</v>
      </c>
      <c r="C4665" s="183">
        <f t="shared" si="88"/>
        <v>42248</v>
      </c>
      <c r="D4665" s="190" t="s">
        <v>2015</v>
      </c>
      <c r="E4665" s="190">
        <v>42248</v>
      </c>
      <c r="F4665" s="191" t="s">
        <v>1782</v>
      </c>
      <c r="G4665" s="482" t="s">
        <v>1010</v>
      </c>
      <c r="H4665" s="192" t="s">
        <v>2016</v>
      </c>
      <c r="I4665" s="255">
        <v>70</v>
      </c>
      <c r="J4665" s="255">
        <v>11402.090735199828</v>
      </c>
      <c r="K4665" s="593">
        <f t="shared" si="89"/>
        <v>798146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69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799"/>
    </row>
    <row r="4666" spans="1:27" s="210" customFormat="1" ht="15.75" customHeight="1">
      <c r="A4666" s="203" t="str">
        <f>IF(B4666&lt;&gt;"",IF(AND(B4666&gt;=_TM1,B4666&lt;=_TM2,OR(TH!L4666="1111",TH!M4666="1111")),TH!D4666,""),"")</f>
        <v/>
      </c>
      <c r="B4666" s="36">
        <f t="shared" si="87"/>
        <v>9</v>
      </c>
      <c r="C4666" s="183">
        <f t="shared" si="88"/>
        <v>42248</v>
      </c>
      <c r="D4666" s="190" t="s">
        <v>2015</v>
      </c>
      <c r="E4666" s="190">
        <v>42248</v>
      </c>
      <c r="F4666" s="191" t="s">
        <v>1761</v>
      </c>
      <c r="G4666" s="482" t="s">
        <v>1010</v>
      </c>
      <c r="H4666" s="192" t="s">
        <v>2016</v>
      </c>
      <c r="I4666" s="255">
        <v>50</v>
      </c>
      <c r="J4666" s="255">
        <v>11642.979976084333</v>
      </c>
      <c r="K4666" s="593">
        <f t="shared" si="89"/>
        <v>582149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69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799"/>
    </row>
    <row r="4667" spans="1:27" s="210" customFormat="1" ht="15.75" customHeight="1">
      <c r="A4667" s="203" t="str">
        <f>IF(B4667&lt;&gt;"",IF(AND(B4667&gt;=_TM1,B4667&lt;=_TM2,OR(TH!L4667="1111",TH!M4667="1111")),TH!D4667,""),"")</f>
        <v/>
      </c>
      <c r="B4667" s="36">
        <f t="shared" si="87"/>
        <v>9</v>
      </c>
      <c r="C4667" s="183">
        <f t="shared" si="88"/>
        <v>42248</v>
      </c>
      <c r="D4667" s="190" t="s">
        <v>2015</v>
      </c>
      <c r="E4667" s="190">
        <v>42248</v>
      </c>
      <c r="F4667" s="191" t="s">
        <v>1783</v>
      </c>
      <c r="G4667" s="482" t="s">
        <v>1010</v>
      </c>
      <c r="H4667" s="192" t="s">
        <v>2016</v>
      </c>
      <c r="I4667" s="255">
        <v>150</v>
      </c>
      <c r="J4667" s="255">
        <v>11402.090735199828</v>
      </c>
      <c r="K4667" s="593">
        <f t="shared" si="89"/>
        <v>1710314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69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799"/>
    </row>
    <row r="4668" spans="1:27" s="210" customFormat="1" ht="15.75" customHeight="1">
      <c r="A4668" s="203" t="str">
        <f>IF(B4668&lt;&gt;"",IF(AND(B4668&gt;=_TM1,B4668&lt;=_TM2,OR(TH!L4668="1111",TH!M4668="1111")),TH!D4668,""),"")</f>
        <v/>
      </c>
      <c r="B4668" s="36">
        <f t="shared" si="87"/>
        <v>9</v>
      </c>
      <c r="C4668" s="183">
        <f t="shared" si="88"/>
        <v>42248</v>
      </c>
      <c r="D4668" s="190" t="s">
        <v>2015</v>
      </c>
      <c r="E4668" s="190">
        <v>42248</v>
      </c>
      <c r="F4668" s="191" t="s">
        <v>742</v>
      </c>
      <c r="G4668" s="482" t="s">
        <v>1010</v>
      </c>
      <c r="H4668" s="192" t="s">
        <v>2016</v>
      </c>
      <c r="I4668" s="255">
        <v>395</v>
      </c>
      <c r="J4668" s="255">
        <v>15738.09707112089</v>
      </c>
      <c r="K4668" s="593">
        <f t="shared" si="89"/>
        <v>6216548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69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799"/>
    </row>
    <row r="4669" spans="1:27" s="210" customFormat="1" ht="15.75" customHeight="1">
      <c r="A4669" s="203" t="str">
        <f>IF(B4669&lt;&gt;"",IF(AND(B4669&gt;=_TM1,B4669&lt;=_TM2,OR(TH!L4669="1111",TH!M4669="1111")),TH!D4669,""),"")</f>
        <v/>
      </c>
      <c r="B4669" s="36">
        <f t="shared" si="87"/>
        <v>9</v>
      </c>
      <c r="C4669" s="183">
        <f t="shared" si="88"/>
        <v>42248</v>
      </c>
      <c r="D4669" s="190" t="s">
        <v>2015</v>
      </c>
      <c r="E4669" s="190">
        <v>42248</v>
      </c>
      <c r="F4669" s="191" t="s">
        <v>668</v>
      </c>
      <c r="G4669" s="482" t="s">
        <v>1010</v>
      </c>
      <c r="H4669" s="192" t="s">
        <v>2016</v>
      </c>
      <c r="I4669" s="255">
        <v>25</v>
      </c>
      <c r="J4669" s="255">
        <v>17906.100239081421</v>
      </c>
      <c r="K4669" s="593">
        <f t="shared" si="89"/>
        <v>447653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69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799"/>
    </row>
    <row r="4670" spans="1:27" s="210" customFormat="1" ht="15.75" customHeight="1">
      <c r="A4670" s="203" t="str">
        <f>IF(B4670&lt;&gt;"",IF(AND(B4670&gt;=_TM1,B4670&lt;=_TM2,OR(TH!L4670="1111",TH!M4670="1111")),TH!D4670,""),"")</f>
        <v/>
      </c>
      <c r="B4670" s="36">
        <f t="shared" si="87"/>
        <v>9</v>
      </c>
      <c r="C4670" s="183">
        <f t="shared" si="88"/>
        <v>42248</v>
      </c>
      <c r="D4670" s="190" t="s">
        <v>2015</v>
      </c>
      <c r="E4670" s="190">
        <v>42248</v>
      </c>
      <c r="F4670" s="191" t="s">
        <v>1741</v>
      </c>
      <c r="G4670" s="482" t="s">
        <v>1010</v>
      </c>
      <c r="H4670" s="192" t="s">
        <v>2016</v>
      </c>
      <c r="I4670" s="255">
        <v>25</v>
      </c>
      <c r="J4670" s="255">
        <v>8912.9019127266274</v>
      </c>
      <c r="K4670" s="593">
        <f t="shared" si="89"/>
        <v>222823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69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799"/>
    </row>
    <row r="4671" spans="1:27" s="210" customFormat="1" ht="15.75" customHeight="1">
      <c r="A4671" s="203" t="str">
        <f>IF(B4671&lt;&gt;"",IF(AND(B4671&gt;=_TM1,B4671&lt;=_TM2,OR(TH!L4671="1111",TH!M4671="1111")),TH!D4671,""),"")</f>
        <v/>
      </c>
      <c r="B4671" s="36">
        <f t="shared" si="87"/>
        <v>9</v>
      </c>
      <c r="C4671" s="183">
        <f t="shared" si="88"/>
        <v>42248</v>
      </c>
      <c r="D4671" s="190" t="s">
        <v>2015</v>
      </c>
      <c r="E4671" s="190">
        <v>42248</v>
      </c>
      <c r="F4671" s="191" t="s">
        <v>741</v>
      </c>
      <c r="G4671" s="482" t="s">
        <v>1010</v>
      </c>
      <c r="H4671" s="192" t="s">
        <v>2016</v>
      </c>
      <c r="I4671" s="255">
        <v>140</v>
      </c>
      <c r="J4671" s="255">
        <v>7949.3449491886131</v>
      </c>
      <c r="K4671" s="593">
        <f t="shared" si="89"/>
        <v>1112908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69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799"/>
    </row>
    <row r="4672" spans="1:27" s="210" customFormat="1" ht="15.75" customHeight="1">
      <c r="A4672" s="203" t="str">
        <f>IF(B4672&lt;&gt;"",IF(AND(B4672&gt;=_TM1,B4672&lt;=_TM2,OR(TH!L4672="1111",TH!M4672="1111")),TH!D4672,""),"")</f>
        <v/>
      </c>
      <c r="B4672" s="36">
        <f t="shared" si="87"/>
        <v>9</v>
      </c>
      <c r="C4672" s="183">
        <f t="shared" si="88"/>
        <v>42248</v>
      </c>
      <c r="D4672" s="190" t="s">
        <v>2015</v>
      </c>
      <c r="E4672" s="190">
        <v>42248</v>
      </c>
      <c r="F4672" s="191" t="s">
        <v>1784</v>
      </c>
      <c r="G4672" s="482" t="s">
        <v>1010</v>
      </c>
      <c r="H4672" s="192" t="s">
        <v>2016</v>
      </c>
      <c r="I4672" s="255">
        <v>50</v>
      </c>
      <c r="J4672" s="255">
        <v>9555.2732217519697</v>
      </c>
      <c r="K4672" s="593">
        <f t="shared" si="89"/>
        <v>477764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69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799"/>
    </row>
    <row r="4673" spans="1:27" s="210" customFormat="1" ht="15.75" customHeight="1">
      <c r="A4673" s="203" t="str">
        <f>IF(B4673&lt;&gt;"",IF(AND(B4673&gt;=_TM1,B4673&lt;=_TM2,OR(TH!L4673="1111",TH!M4673="1111")),TH!D4673,""),"")</f>
        <v/>
      </c>
      <c r="B4673" s="36">
        <f t="shared" si="87"/>
        <v>9</v>
      </c>
      <c r="C4673" s="183">
        <f t="shared" si="88"/>
        <v>42248</v>
      </c>
      <c r="D4673" s="190" t="s">
        <v>2015</v>
      </c>
      <c r="E4673" s="190">
        <v>42248</v>
      </c>
      <c r="F4673" s="191" t="s">
        <v>1785</v>
      </c>
      <c r="G4673" s="482" t="s">
        <v>1010</v>
      </c>
      <c r="H4673" s="192" t="s">
        <v>2016</v>
      </c>
      <c r="I4673" s="255">
        <v>35</v>
      </c>
      <c r="J4673" s="255">
        <v>11482.387148827996</v>
      </c>
      <c r="K4673" s="593">
        <f t="shared" si="89"/>
        <v>401884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69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799"/>
    </row>
    <row r="4674" spans="1:27" s="210" customFormat="1" ht="15.75" customHeight="1">
      <c r="A4674" s="203" t="str">
        <f>IF(B4674&lt;&gt;"",IF(AND(B4674&gt;=_TM1,B4674&lt;=_TM2,OR(TH!L4674="1111",TH!M4674="1111")),TH!D4674,""),"")</f>
        <v/>
      </c>
      <c r="B4674" s="36">
        <f t="shared" si="87"/>
        <v>9</v>
      </c>
      <c r="C4674" s="183">
        <f t="shared" si="88"/>
        <v>42248</v>
      </c>
      <c r="D4674" s="190" t="s">
        <v>2015</v>
      </c>
      <c r="E4674" s="190">
        <v>42248</v>
      </c>
      <c r="F4674" s="191" t="s">
        <v>1780</v>
      </c>
      <c r="G4674" s="482" t="s">
        <v>1010</v>
      </c>
      <c r="H4674" s="192" t="s">
        <v>2016</v>
      </c>
      <c r="I4674" s="255">
        <v>125</v>
      </c>
      <c r="J4674" s="255">
        <v>6985.7879856505997</v>
      </c>
      <c r="K4674" s="593">
        <f t="shared" si="89"/>
        <v>873223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69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799"/>
    </row>
    <row r="4675" spans="1:27" s="210" customFormat="1" ht="15.75" customHeight="1">
      <c r="A4675" s="203" t="str">
        <f>IF(B4675&lt;&gt;"",IF(AND(B4675&gt;=_TM1,B4675&lt;=_TM2,OR(TH!L4675="1111",TH!M4675="1111")),TH!D4675,""),"")</f>
        <v/>
      </c>
      <c r="B4675" s="36">
        <f t="shared" si="87"/>
        <v>9</v>
      </c>
      <c r="C4675" s="183">
        <f t="shared" si="88"/>
        <v>42254</v>
      </c>
      <c r="D4675" s="190" t="s">
        <v>2015</v>
      </c>
      <c r="E4675" s="190">
        <v>42254</v>
      </c>
      <c r="F4675" s="191" t="s">
        <v>1011</v>
      </c>
      <c r="G4675" s="482" t="s">
        <v>1012</v>
      </c>
      <c r="H4675" s="192" t="s">
        <v>2016</v>
      </c>
      <c r="I4675" s="255">
        <v>1013</v>
      </c>
      <c r="J4675" s="255">
        <v>11000.60866705899</v>
      </c>
      <c r="K4675" s="593">
        <f t="shared" si="89"/>
        <v>11143617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69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799"/>
    </row>
    <row r="4676" spans="1:27" s="210" customFormat="1" ht="15.75" customHeight="1">
      <c r="A4676" s="203" t="str">
        <f>IF(B4676&lt;&gt;"",IF(AND(B4676&gt;=_TM1,B4676&lt;=_TM2,OR(TH!L4676="1111",TH!M4676="1111")),TH!D4676,""),"")</f>
        <v/>
      </c>
      <c r="B4676" s="36">
        <f t="shared" si="87"/>
        <v>9</v>
      </c>
      <c r="C4676" s="183">
        <f t="shared" si="88"/>
        <v>42255</v>
      </c>
      <c r="D4676" s="190" t="s">
        <v>2015</v>
      </c>
      <c r="E4676" s="190">
        <v>42255</v>
      </c>
      <c r="F4676" s="191" t="s">
        <v>441</v>
      </c>
      <c r="G4676" s="482" t="s">
        <v>1014</v>
      </c>
      <c r="H4676" s="192" t="s">
        <v>2016</v>
      </c>
      <c r="I4676" s="255">
        <v>984</v>
      </c>
      <c r="J4676" s="255">
        <v>4095.1170950365586</v>
      </c>
      <c r="K4676" s="593">
        <f t="shared" si="89"/>
        <v>4029595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69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799"/>
    </row>
    <row r="4677" spans="1:27" s="210" customFormat="1" ht="15.75" customHeight="1">
      <c r="A4677" s="203" t="str">
        <f>IF(B4677&lt;&gt;"",IF(AND(B4677&gt;=_TM1,B4677&lt;=_TM2,OR(TH!L4677="1111",TH!M4677="1111")),TH!D4677,""),"")</f>
        <v/>
      </c>
      <c r="B4677" s="36">
        <f t="shared" si="87"/>
        <v>9</v>
      </c>
      <c r="C4677" s="183">
        <f t="shared" si="88"/>
        <v>42255</v>
      </c>
      <c r="D4677" s="190" t="s">
        <v>2015</v>
      </c>
      <c r="E4677" s="190">
        <v>42255</v>
      </c>
      <c r="F4677" s="191" t="s">
        <v>1015</v>
      </c>
      <c r="G4677" s="482" t="s">
        <v>1016</v>
      </c>
      <c r="H4677" s="192" t="s">
        <v>2016</v>
      </c>
      <c r="I4677" s="255">
        <v>80</v>
      </c>
      <c r="J4677" s="255">
        <v>12847.426180506851</v>
      </c>
      <c r="K4677" s="593">
        <f t="shared" si="89"/>
        <v>1027794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69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799"/>
    </row>
    <row r="4678" spans="1:27" s="210" customFormat="1" ht="15.75" customHeight="1">
      <c r="A4678" s="203" t="str">
        <f>IF(B4678&lt;&gt;"",IF(AND(B4678&gt;=_TM1,B4678&lt;=_TM2,OR(TH!L4678="1111",TH!M4678="1111")),TH!D4678,""),"")</f>
        <v/>
      </c>
      <c r="B4678" s="36">
        <f t="shared" si="87"/>
        <v>9</v>
      </c>
      <c r="C4678" s="183">
        <f t="shared" si="88"/>
        <v>42255</v>
      </c>
      <c r="D4678" s="190" t="s">
        <v>2015</v>
      </c>
      <c r="E4678" s="190">
        <v>42255</v>
      </c>
      <c r="F4678" s="191" t="s">
        <v>1786</v>
      </c>
      <c r="G4678" s="482" t="s">
        <v>1017</v>
      </c>
      <c r="H4678" s="192" t="s">
        <v>2016</v>
      </c>
      <c r="I4678" s="255">
        <v>50</v>
      </c>
      <c r="J4678" s="255">
        <v>21439.142438720806</v>
      </c>
      <c r="K4678" s="593">
        <f t="shared" si="89"/>
        <v>1071957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69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799"/>
    </row>
    <row r="4679" spans="1:27" s="210" customFormat="1" ht="15.75" customHeight="1">
      <c r="A4679" s="203" t="str">
        <f>IF(B4679&lt;&gt;"",IF(AND(B4679&gt;=_TM1,B4679&lt;=_TM2,OR(TH!L4679="1111",TH!M4679="1111")),TH!D4679,""),"")</f>
        <v/>
      </c>
      <c r="B4679" s="36">
        <f t="shared" si="87"/>
        <v>9</v>
      </c>
      <c r="C4679" s="183">
        <f t="shared" si="88"/>
        <v>42255</v>
      </c>
      <c r="D4679" s="190" t="s">
        <v>2015</v>
      </c>
      <c r="E4679" s="190">
        <v>42255</v>
      </c>
      <c r="F4679" s="191" t="s">
        <v>1786</v>
      </c>
      <c r="G4679" s="482" t="s">
        <v>1017</v>
      </c>
      <c r="H4679" s="192" t="s">
        <v>2016</v>
      </c>
      <c r="I4679" s="255">
        <v>100</v>
      </c>
      <c r="J4679" s="255">
        <v>21439.142438720806</v>
      </c>
      <c r="K4679" s="593">
        <f t="shared" si="89"/>
        <v>2143914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69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799"/>
    </row>
    <row r="4680" spans="1:27" s="210" customFormat="1" ht="15.75" customHeight="1">
      <c r="A4680" s="203" t="str">
        <f>IF(B4680&lt;&gt;"",IF(AND(B4680&gt;=_TM1,B4680&lt;=_TM2,OR(TH!L4680="1111",TH!M4680="1111")),TH!D4680,""),"")</f>
        <v/>
      </c>
      <c r="B4680" s="36">
        <f t="shared" si="87"/>
        <v>9</v>
      </c>
      <c r="C4680" s="183">
        <f t="shared" si="88"/>
        <v>42255</v>
      </c>
      <c r="D4680" s="190" t="s">
        <v>2015</v>
      </c>
      <c r="E4680" s="190">
        <v>42255</v>
      </c>
      <c r="F4680" s="191" t="s">
        <v>692</v>
      </c>
      <c r="G4680" s="482" t="s">
        <v>1017</v>
      </c>
      <c r="H4680" s="192" t="s">
        <v>2016</v>
      </c>
      <c r="I4680" s="255">
        <v>75</v>
      </c>
      <c r="J4680" s="255">
        <v>14373.058039442038</v>
      </c>
      <c r="K4680" s="593">
        <f t="shared" si="89"/>
        <v>1077979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69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799"/>
    </row>
    <row r="4681" spans="1:27" s="210" customFormat="1" ht="15.75" customHeight="1">
      <c r="A4681" s="203" t="str">
        <f>IF(B4681&lt;&gt;"",IF(AND(B4681&gt;=_TM1,B4681&lt;=_TM2,OR(TH!L4681="1111",TH!M4681="1111")),TH!D4681,""),"")</f>
        <v/>
      </c>
      <c r="B4681" s="36">
        <f t="shared" si="87"/>
        <v>9</v>
      </c>
      <c r="C4681" s="183">
        <f t="shared" si="88"/>
        <v>42255</v>
      </c>
      <c r="D4681" s="190" t="s">
        <v>2015</v>
      </c>
      <c r="E4681" s="190">
        <v>42255</v>
      </c>
      <c r="F4681" s="191" t="s">
        <v>694</v>
      </c>
      <c r="G4681" s="482" t="s">
        <v>1017</v>
      </c>
      <c r="H4681" s="192" t="s">
        <v>2016</v>
      </c>
      <c r="I4681" s="255">
        <v>30</v>
      </c>
      <c r="J4681" s="255">
        <v>11803.572803340669</v>
      </c>
      <c r="K4681" s="593">
        <f t="shared" si="89"/>
        <v>354107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69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799"/>
    </row>
    <row r="4682" spans="1:27" s="210" customFormat="1" ht="15.75" customHeight="1">
      <c r="A4682" s="203" t="str">
        <f>IF(B4682&lt;&gt;"",IF(AND(B4682&gt;=_TM1,B4682&lt;=_TM2,OR(TH!L4682="1111",TH!M4682="1111")),TH!D4682,""),"")</f>
        <v/>
      </c>
      <c r="B4682" s="36">
        <f t="shared" si="87"/>
        <v>9</v>
      </c>
      <c r="C4682" s="183">
        <f t="shared" si="88"/>
        <v>42255</v>
      </c>
      <c r="D4682" s="190" t="s">
        <v>2015</v>
      </c>
      <c r="E4682" s="190">
        <v>42255</v>
      </c>
      <c r="F4682" s="191" t="s">
        <v>1700</v>
      </c>
      <c r="G4682" s="482" t="s">
        <v>1017</v>
      </c>
      <c r="H4682" s="192" t="s">
        <v>2016</v>
      </c>
      <c r="I4682" s="255">
        <v>50</v>
      </c>
      <c r="J4682" s="255">
        <v>14373.058039442038</v>
      </c>
      <c r="K4682" s="593">
        <f t="shared" si="89"/>
        <v>718653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69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799"/>
    </row>
    <row r="4683" spans="1:27" s="210" customFormat="1" ht="15.75" customHeight="1">
      <c r="A4683" s="203" t="str">
        <f>IF(B4683&lt;&gt;"",IF(AND(B4683&gt;=_TM1,B4683&lt;=_TM2,OR(TH!L4683="1111",TH!M4683="1111")),TH!D4683,""),"")</f>
        <v/>
      </c>
      <c r="B4683" s="36">
        <f t="shared" si="87"/>
        <v>9</v>
      </c>
      <c r="C4683" s="183">
        <f t="shared" si="88"/>
        <v>42255</v>
      </c>
      <c r="D4683" s="190" t="s">
        <v>2015</v>
      </c>
      <c r="E4683" s="190">
        <v>42255</v>
      </c>
      <c r="F4683" s="191" t="s">
        <v>1787</v>
      </c>
      <c r="G4683" s="482" t="s">
        <v>1017</v>
      </c>
      <c r="H4683" s="192" t="s">
        <v>2016</v>
      </c>
      <c r="I4683" s="255">
        <v>750</v>
      </c>
      <c r="J4683" s="255">
        <v>1766.5210998196919</v>
      </c>
      <c r="K4683" s="593">
        <f t="shared" si="89"/>
        <v>1324891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69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799"/>
    </row>
    <row r="4684" spans="1:27" s="210" customFormat="1" ht="15.75" customHeight="1">
      <c r="A4684" s="203" t="str">
        <f>IF(B4684&lt;&gt;"",IF(AND(B4684&gt;=_TM1,B4684&lt;=_TM2,OR(TH!L4684="1111",TH!M4684="1111")),TH!D4684,""),"")</f>
        <v/>
      </c>
      <c r="B4684" s="36">
        <f t="shared" si="87"/>
        <v>9</v>
      </c>
      <c r="C4684" s="183">
        <f t="shared" si="88"/>
        <v>42255</v>
      </c>
      <c r="D4684" s="190" t="s">
        <v>2015</v>
      </c>
      <c r="E4684" s="190">
        <v>42255</v>
      </c>
      <c r="F4684" s="191" t="s">
        <v>1788</v>
      </c>
      <c r="G4684" s="482" t="s">
        <v>1017</v>
      </c>
      <c r="H4684" s="192" t="s">
        <v>2016</v>
      </c>
      <c r="I4684" s="255">
        <v>210</v>
      </c>
      <c r="J4684" s="255">
        <v>8431.1234309576212</v>
      </c>
      <c r="K4684" s="593">
        <f t="shared" si="89"/>
        <v>1770536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69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799"/>
    </row>
    <row r="4685" spans="1:27" s="210" customFormat="1" ht="15.75" customHeight="1">
      <c r="A4685" s="203" t="str">
        <f>IF(B4685&lt;&gt;"",IF(AND(B4685&gt;=_TM1,B4685&lt;=_TM2,OR(TH!L4685="1111",TH!M4685="1111")),TH!D4685,""),"")</f>
        <v/>
      </c>
      <c r="B4685" s="36">
        <f t="shared" si="87"/>
        <v>9</v>
      </c>
      <c r="C4685" s="183">
        <f t="shared" si="88"/>
        <v>42255</v>
      </c>
      <c r="D4685" s="190" t="s">
        <v>2015</v>
      </c>
      <c r="E4685" s="190">
        <v>42255</v>
      </c>
      <c r="F4685" s="191" t="s">
        <v>1745</v>
      </c>
      <c r="G4685" s="482" t="s">
        <v>1017</v>
      </c>
      <c r="H4685" s="192" t="s">
        <v>2016</v>
      </c>
      <c r="I4685" s="255">
        <v>185</v>
      </c>
      <c r="J4685" s="255">
        <v>9314.3839808674657</v>
      </c>
      <c r="K4685" s="593">
        <f t="shared" si="89"/>
        <v>1723161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69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799"/>
    </row>
    <row r="4686" spans="1:27" s="210" customFormat="1" ht="15.75" customHeight="1">
      <c r="A4686" s="203" t="str">
        <f>IF(B4686&lt;&gt;"",IF(AND(B4686&gt;=_TM1,B4686&lt;=_TM2,OR(TH!L4686="1111",TH!M4686="1111")),TH!D4686,""),"")</f>
        <v/>
      </c>
      <c r="B4686" s="36">
        <f t="shared" si="87"/>
        <v>9</v>
      </c>
      <c r="C4686" s="183">
        <f t="shared" si="88"/>
        <v>42255</v>
      </c>
      <c r="D4686" s="190" t="s">
        <v>2015</v>
      </c>
      <c r="E4686" s="190">
        <v>42255</v>
      </c>
      <c r="F4686" s="191" t="s">
        <v>1789</v>
      </c>
      <c r="G4686" s="482" t="s">
        <v>1017</v>
      </c>
      <c r="H4686" s="192" t="s">
        <v>2016</v>
      </c>
      <c r="I4686" s="255">
        <v>185</v>
      </c>
      <c r="J4686" s="255">
        <v>8672.0126718421234</v>
      </c>
      <c r="K4686" s="593">
        <f t="shared" si="89"/>
        <v>1604322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69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799"/>
    </row>
    <row r="4687" spans="1:27" s="210" customFormat="1" ht="15.75" customHeight="1">
      <c r="A4687" s="203" t="str">
        <f>IF(B4687&lt;&gt;"",IF(AND(B4687&gt;=_TM1,B4687&lt;=_TM2,OR(TH!L4687="1111",TH!M4687="1111")),TH!D4687,""),"")</f>
        <v/>
      </c>
      <c r="B4687" s="36">
        <f t="shared" si="87"/>
        <v>9</v>
      </c>
      <c r="C4687" s="183">
        <f t="shared" si="88"/>
        <v>42256</v>
      </c>
      <c r="D4687" s="190" t="s">
        <v>2015</v>
      </c>
      <c r="E4687" s="190">
        <v>42256</v>
      </c>
      <c r="F4687" s="191" t="s">
        <v>1018</v>
      </c>
      <c r="G4687" s="482" t="s">
        <v>1019</v>
      </c>
      <c r="H4687" s="192" t="s">
        <v>2016</v>
      </c>
      <c r="I4687" s="255">
        <v>300</v>
      </c>
      <c r="J4687" s="255">
        <v>11642.979976084333</v>
      </c>
      <c r="K4687" s="593">
        <f t="shared" si="89"/>
        <v>3492894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69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799"/>
    </row>
    <row r="4688" spans="1:27" s="210" customFormat="1" ht="15.75" customHeight="1">
      <c r="A4688" s="203" t="str">
        <f>IF(B4688&lt;&gt;"",IF(AND(B4688&gt;=_TM1,B4688&lt;=_TM2,OR(TH!L4688="1111",TH!M4688="1111")),TH!D4688,""),"")</f>
        <v/>
      </c>
      <c r="B4688" s="36">
        <f t="shared" si="87"/>
        <v>9</v>
      </c>
      <c r="C4688" s="183">
        <f t="shared" si="88"/>
        <v>42256</v>
      </c>
      <c r="D4688" s="190" t="s">
        <v>2015</v>
      </c>
      <c r="E4688" s="190">
        <v>42256</v>
      </c>
      <c r="F4688" s="191" t="s">
        <v>1790</v>
      </c>
      <c r="G4688" s="482" t="s">
        <v>1020</v>
      </c>
      <c r="H4688" s="192" t="s">
        <v>2016</v>
      </c>
      <c r="I4688" s="255">
        <v>52</v>
      </c>
      <c r="J4688" s="255">
        <v>6504.0095038815934</v>
      </c>
      <c r="K4688" s="593">
        <f t="shared" si="89"/>
        <v>338208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69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799"/>
    </row>
    <row r="4689" spans="1:27" s="210" customFormat="1" ht="15.75" customHeight="1">
      <c r="A4689" s="203" t="str">
        <f>IF(B4689&lt;&gt;"",IF(AND(B4689&gt;=_TM1,B4689&lt;=_TM2,OR(TH!L4689="1111",TH!M4689="1111")),TH!D4689,""),"")</f>
        <v/>
      </c>
      <c r="B4689" s="36">
        <f t="shared" si="87"/>
        <v>9</v>
      </c>
      <c r="C4689" s="183">
        <f t="shared" si="88"/>
        <v>42256</v>
      </c>
      <c r="D4689" s="190" t="s">
        <v>2015</v>
      </c>
      <c r="E4689" s="190">
        <v>42256</v>
      </c>
      <c r="F4689" s="191" t="s">
        <v>746</v>
      </c>
      <c r="G4689" s="482" t="s">
        <v>1020</v>
      </c>
      <c r="H4689" s="192" t="s">
        <v>2016</v>
      </c>
      <c r="I4689" s="255">
        <v>1000</v>
      </c>
      <c r="J4689" s="255">
        <v>18548.471548106765</v>
      </c>
      <c r="K4689" s="593">
        <f t="shared" si="89"/>
        <v>18548472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69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799"/>
    </row>
    <row r="4690" spans="1:27" s="210" customFormat="1" ht="15.75" customHeight="1">
      <c r="A4690" s="203" t="str">
        <f>IF(B4690&lt;&gt;"",IF(AND(B4690&gt;=_TM1,B4690&lt;=_TM2,OR(TH!L4690="1111",TH!M4690="1111")),TH!D4690,""),"")</f>
        <v/>
      </c>
      <c r="B4690" s="36">
        <f t="shared" si="87"/>
        <v>9</v>
      </c>
      <c r="C4690" s="183">
        <f t="shared" si="88"/>
        <v>42256</v>
      </c>
      <c r="D4690" s="190" t="s">
        <v>2015</v>
      </c>
      <c r="E4690" s="190">
        <v>42256</v>
      </c>
      <c r="F4690" s="191" t="s">
        <v>748</v>
      </c>
      <c r="G4690" s="482" t="s">
        <v>1020</v>
      </c>
      <c r="H4690" s="192" t="s">
        <v>2016</v>
      </c>
      <c r="I4690" s="255">
        <v>100</v>
      </c>
      <c r="J4690" s="255">
        <v>15015.429348467382</v>
      </c>
      <c r="K4690" s="593">
        <f t="shared" si="89"/>
        <v>1501543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69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799"/>
    </row>
    <row r="4691" spans="1:27" s="210" customFormat="1" ht="15.75" customHeight="1">
      <c r="A4691" s="203" t="str">
        <f>IF(B4691&lt;&gt;"",IF(AND(B4691&gt;=_TM1,B4691&lt;=_TM2,OR(TH!L4691="1111",TH!M4691="1111")),TH!D4691,""),"")</f>
        <v/>
      </c>
      <c r="B4691" s="36">
        <f t="shared" si="87"/>
        <v>9</v>
      </c>
      <c r="C4691" s="183">
        <f t="shared" si="88"/>
        <v>42256</v>
      </c>
      <c r="D4691" s="190" t="s">
        <v>2015</v>
      </c>
      <c r="E4691" s="190">
        <v>42256</v>
      </c>
      <c r="F4691" s="191" t="s">
        <v>728</v>
      </c>
      <c r="G4691" s="482" t="s">
        <v>1020</v>
      </c>
      <c r="H4691" s="192" t="s">
        <v>2016</v>
      </c>
      <c r="I4691" s="255">
        <v>100</v>
      </c>
      <c r="J4691" s="255">
        <v>13650.390316788527</v>
      </c>
      <c r="K4691" s="593">
        <f t="shared" si="89"/>
        <v>1365039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69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799"/>
    </row>
    <row r="4692" spans="1:27" s="210" customFormat="1" ht="15.75" customHeight="1">
      <c r="A4692" s="203" t="str">
        <f>IF(B4692&lt;&gt;"",IF(AND(B4692&gt;=_TM1,B4692&lt;=_TM2,OR(TH!L4692="1111",TH!M4692="1111")),TH!D4692,""),"")</f>
        <v/>
      </c>
      <c r="B4692" s="36">
        <f t="shared" si="87"/>
        <v>9</v>
      </c>
      <c r="C4692" s="183">
        <f t="shared" si="88"/>
        <v>42257</v>
      </c>
      <c r="D4692" s="190" t="s">
        <v>2015</v>
      </c>
      <c r="E4692" s="190">
        <v>42257</v>
      </c>
      <c r="F4692" s="191" t="s">
        <v>1791</v>
      </c>
      <c r="G4692" s="482" t="s">
        <v>1021</v>
      </c>
      <c r="H4692" s="192" t="s">
        <v>2016</v>
      </c>
      <c r="I4692" s="255">
        <v>500</v>
      </c>
      <c r="J4692" s="255">
        <v>22322.402988630649</v>
      </c>
      <c r="K4692" s="593">
        <f t="shared" si="89"/>
        <v>11161201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69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799"/>
    </row>
    <row r="4693" spans="1:27" s="210" customFormat="1" ht="15.75" customHeight="1">
      <c r="A4693" s="203" t="str">
        <f>IF(B4693&lt;&gt;"",IF(AND(B4693&gt;=_TM1,B4693&lt;=_TM2,OR(TH!L4693="1111",TH!M4693="1111")),TH!D4693,""),"")</f>
        <v/>
      </c>
      <c r="B4693" s="36">
        <f t="shared" si="87"/>
        <v>9</v>
      </c>
      <c r="C4693" s="183">
        <f t="shared" si="88"/>
        <v>42257</v>
      </c>
      <c r="D4693" s="190" t="s">
        <v>2015</v>
      </c>
      <c r="E4693" s="190">
        <v>42257</v>
      </c>
      <c r="F4693" s="191" t="s">
        <v>1792</v>
      </c>
      <c r="G4693" s="482" t="s">
        <v>1021</v>
      </c>
      <c r="H4693" s="192" t="s">
        <v>2016</v>
      </c>
      <c r="I4693" s="255">
        <v>2070</v>
      </c>
      <c r="J4693" s="255">
        <v>6343.4166766252574</v>
      </c>
      <c r="K4693" s="593">
        <f t="shared" si="89"/>
        <v>13130873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69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799"/>
    </row>
    <row r="4694" spans="1:27" s="210" customFormat="1" ht="15.75" customHeight="1">
      <c r="A4694" s="203" t="str">
        <f>IF(B4694&lt;&gt;"",IF(AND(B4694&gt;=_TM1,B4694&lt;=_TM2,OR(TH!L4694="1111",TH!M4694="1111")),TH!D4694,""),"")</f>
        <v/>
      </c>
      <c r="B4694" s="36">
        <f t="shared" si="87"/>
        <v>9</v>
      </c>
      <c r="C4694" s="183">
        <f t="shared" si="88"/>
        <v>42257</v>
      </c>
      <c r="D4694" s="190" t="s">
        <v>2015</v>
      </c>
      <c r="E4694" s="190">
        <v>42257</v>
      </c>
      <c r="F4694" s="191" t="s">
        <v>413</v>
      </c>
      <c r="G4694" s="482" t="s">
        <v>1023</v>
      </c>
      <c r="H4694" s="192" t="s">
        <v>2016</v>
      </c>
      <c r="I4694" s="255">
        <v>401</v>
      </c>
      <c r="J4694" s="255">
        <v>7628.159294675942</v>
      </c>
      <c r="K4694" s="593">
        <f t="shared" si="89"/>
        <v>3058892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69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799"/>
    </row>
    <row r="4695" spans="1:27" s="210" customFormat="1" ht="15.75" customHeight="1">
      <c r="A4695" s="203" t="str">
        <f>IF(B4695&lt;&gt;"",IF(AND(B4695&gt;=_TM1,B4695&lt;=_TM2,OR(TH!L4695="1111",TH!M4695="1111")),TH!D4695,""),"")</f>
        <v/>
      </c>
      <c r="B4695" s="36">
        <f t="shared" si="87"/>
        <v>9</v>
      </c>
      <c r="C4695" s="183">
        <f t="shared" si="88"/>
        <v>42257</v>
      </c>
      <c r="D4695" s="190" t="s">
        <v>2015</v>
      </c>
      <c r="E4695" s="190">
        <v>42257</v>
      </c>
      <c r="F4695" s="191" t="s">
        <v>1024</v>
      </c>
      <c r="G4695" s="482" t="s">
        <v>1023</v>
      </c>
      <c r="H4695" s="192" t="s">
        <v>2016</v>
      </c>
      <c r="I4695" s="255">
        <v>34</v>
      </c>
      <c r="J4695" s="255">
        <v>6263.1202629970894</v>
      </c>
      <c r="K4695" s="593">
        <f t="shared" si="89"/>
        <v>212946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69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799"/>
    </row>
    <row r="4696" spans="1:27" s="210" customFormat="1" ht="15.75" customHeight="1">
      <c r="A4696" s="203" t="str">
        <f>IF(B4696&lt;&gt;"",IF(AND(B4696&gt;=_TM1,B4696&lt;=_TM2,OR(TH!L4696="1111",TH!M4696="1111")),TH!D4696,""),"")</f>
        <v/>
      </c>
      <c r="B4696" s="36">
        <f t="shared" si="87"/>
        <v>9</v>
      </c>
      <c r="C4696" s="183">
        <f t="shared" si="88"/>
        <v>42258</v>
      </c>
      <c r="D4696" s="190" t="s">
        <v>2015</v>
      </c>
      <c r="E4696" s="190">
        <v>42258</v>
      </c>
      <c r="F4696" s="191" t="s">
        <v>1011</v>
      </c>
      <c r="G4696" s="482" t="s">
        <v>1025</v>
      </c>
      <c r="H4696" s="192" t="s">
        <v>2016</v>
      </c>
      <c r="I4696" s="255">
        <v>1000</v>
      </c>
      <c r="J4696" s="255">
        <v>11000.60866705899</v>
      </c>
      <c r="K4696" s="593">
        <f t="shared" si="89"/>
        <v>11000609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69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799"/>
    </row>
    <row r="4697" spans="1:27" s="210" customFormat="1" ht="15.75" customHeight="1">
      <c r="A4697" s="203" t="str">
        <f>IF(B4697&lt;&gt;"",IF(AND(B4697&gt;=_TM1,B4697&lt;=_TM2,OR(TH!L4697="1111",TH!M4697="1111")),TH!D4697,""),"")</f>
        <v/>
      </c>
      <c r="B4697" s="36">
        <f t="shared" si="87"/>
        <v>9</v>
      </c>
      <c r="C4697" s="183">
        <f t="shared" si="88"/>
        <v>42258</v>
      </c>
      <c r="D4697" s="190" t="s">
        <v>2015</v>
      </c>
      <c r="E4697" s="190">
        <v>42258</v>
      </c>
      <c r="F4697" s="191" t="s">
        <v>1702</v>
      </c>
      <c r="G4697" s="482" t="s">
        <v>1026</v>
      </c>
      <c r="H4697" s="192" t="s">
        <v>2016</v>
      </c>
      <c r="I4697" s="255">
        <v>500</v>
      </c>
      <c r="J4697" s="255">
        <v>9956.7552898928079</v>
      </c>
      <c r="K4697" s="593">
        <f t="shared" si="89"/>
        <v>4978378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69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799"/>
    </row>
    <row r="4698" spans="1:27" s="210" customFormat="1" ht="15.75" customHeight="1">
      <c r="A4698" s="203" t="str">
        <f>IF(B4698&lt;&gt;"",IF(AND(B4698&gt;=_TM1,B4698&lt;=_TM2,OR(TH!L4698="1111",TH!M4698="1111")),TH!D4698,""),"")</f>
        <v/>
      </c>
      <c r="B4698" s="36">
        <f t="shared" si="87"/>
        <v>9</v>
      </c>
      <c r="C4698" s="183">
        <f t="shared" si="88"/>
        <v>42259</v>
      </c>
      <c r="D4698" s="190" t="s">
        <v>2015</v>
      </c>
      <c r="E4698" s="190">
        <v>42259</v>
      </c>
      <c r="F4698" s="191" t="s">
        <v>398</v>
      </c>
      <c r="G4698" s="482" t="s">
        <v>1027</v>
      </c>
      <c r="H4698" s="192" t="s">
        <v>2016</v>
      </c>
      <c r="I4698" s="255">
        <v>931</v>
      </c>
      <c r="J4698" s="255">
        <v>6584.3059175097605</v>
      </c>
      <c r="K4698" s="593">
        <f t="shared" si="89"/>
        <v>6129989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69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799"/>
    </row>
    <row r="4699" spans="1:27" s="210" customFormat="1" ht="15.75" customHeight="1">
      <c r="A4699" s="203" t="str">
        <f>IF(B4699&lt;&gt;"",IF(AND(B4699&gt;=_TM1,B4699&lt;=_TM2,OR(TH!L4699="1111",TH!M4699="1111")),TH!D4699,""),"")</f>
        <v/>
      </c>
      <c r="B4699" s="36">
        <f t="shared" si="87"/>
        <v>9</v>
      </c>
      <c r="C4699" s="183">
        <f t="shared" si="88"/>
        <v>42259</v>
      </c>
      <c r="D4699" s="190" t="s">
        <v>2015</v>
      </c>
      <c r="E4699" s="190">
        <v>42259</v>
      </c>
      <c r="F4699" s="191" t="s">
        <v>446</v>
      </c>
      <c r="G4699" s="482" t="s">
        <v>1027</v>
      </c>
      <c r="H4699" s="192" t="s">
        <v>2016</v>
      </c>
      <c r="I4699" s="255">
        <v>311</v>
      </c>
      <c r="J4699" s="255">
        <v>7306.9736401632708</v>
      </c>
      <c r="K4699" s="593">
        <f t="shared" si="89"/>
        <v>2272469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69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799"/>
    </row>
    <row r="4700" spans="1:27" s="210" customFormat="1" ht="15.75" customHeight="1">
      <c r="A4700" s="203" t="str">
        <f>IF(B4700&lt;&gt;"",IF(AND(B4700&gt;=_TM1,B4700&lt;=_TM2,OR(TH!L4700="1111",TH!M4700="1111")),TH!D4700,""),"")</f>
        <v/>
      </c>
      <c r="B4700" s="36">
        <f t="shared" si="87"/>
        <v>9</v>
      </c>
      <c r="C4700" s="183">
        <f t="shared" si="88"/>
        <v>42259</v>
      </c>
      <c r="D4700" s="190" t="s">
        <v>2015</v>
      </c>
      <c r="E4700" s="190">
        <v>42259</v>
      </c>
      <c r="F4700" s="191" t="s">
        <v>401</v>
      </c>
      <c r="G4700" s="482" t="s">
        <v>1027</v>
      </c>
      <c r="H4700" s="192" t="s">
        <v>2016</v>
      </c>
      <c r="I4700" s="255">
        <v>311</v>
      </c>
      <c r="J4700" s="255">
        <v>7788.7521219322771</v>
      </c>
      <c r="K4700" s="593">
        <f t="shared" si="89"/>
        <v>2422302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69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799"/>
    </row>
    <row r="4701" spans="1:27" s="210" customFormat="1" ht="15.75" customHeight="1">
      <c r="A4701" s="203" t="str">
        <f>IF(B4701&lt;&gt;"",IF(AND(B4701&gt;=_TM1,B4701&lt;=_TM2,OR(TH!L4701="1111",TH!M4701="1111")),TH!D4701,""),"")</f>
        <v/>
      </c>
      <c r="B4701" s="36">
        <f t="shared" si="87"/>
        <v>9</v>
      </c>
      <c r="C4701" s="183">
        <f t="shared" si="88"/>
        <v>42259</v>
      </c>
      <c r="D4701" s="190" t="s">
        <v>2015</v>
      </c>
      <c r="E4701" s="190">
        <v>42259</v>
      </c>
      <c r="F4701" s="191" t="s">
        <v>1948</v>
      </c>
      <c r="G4701" s="482" t="s">
        <v>1028</v>
      </c>
      <c r="H4701" s="192" t="s">
        <v>2016</v>
      </c>
      <c r="I4701" s="255">
        <v>1667</v>
      </c>
      <c r="J4701" s="255">
        <v>9956.7552898928079</v>
      </c>
      <c r="K4701" s="593">
        <f t="shared" si="89"/>
        <v>16597911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69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799"/>
    </row>
    <row r="4702" spans="1:27" s="210" customFormat="1" ht="15.75" customHeight="1">
      <c r="A4702" s="203" t="str">
        <f>IF(B4702&lt;&gt;"",IF(AND(B4702&gt;=_TM1,B4702&lt;=_TM2,OR(TH!L4702="1111",TH!M4702="1111")),TH!D4702,""),"")</f>
        <v/>
      </c>
      <c r="B4702" s="36">
        <f t="shared" si="87"/>
        <v>9</v>
      </c>
      <c r="C4702" s="183">
        <f t="shared" si="88"/>
        <v>42259</v>
      </c>
      <c r="D4702" s="190" t="s">
        <v>2015</v>
      </c>
      <c r="E4702" s="190">
        <v>42259</v>
      </c>
      <c r="F4702" s="191" t="s">
        <v>1766</v>
      </c>
      <c r="G4702" s="482" t="s">
        <v>1029</v>
      </c>
      <c r="H4702" s="192" t="s">
        <v>2016</v>
      </c>
      <c r="I4702" s="255">
        <v>1500</v>
      </c>
      <c r="J4702" s="255">
        <v>10037.051703520976</v>
      </c>
      <c r="K4702" s="593">
        <f t="shared" si="89"/>
        <v>15055578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69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799"/>
    </row>
    <row r="4703" spans="1:27" s="210" customFormat="1" ht="15.75" customHeight="1">
      <c r="A4703" s="203" t="str">
        <f>IF(B4703&lt;&gt;"",IF(AND(B4703&gt;=_TM1,B4703&lt;=_TM2,OR(TH!L4703="1111",TH!M4703="1111")),TH!D4703,""),"")</f>
        <v/>
      </c>
      <c r="B4703" s="36">
        <f t="shared" si="87"/>
        <v>9</v>
      </c>
      <c r="C4703" s="183">
        <f t="shared" si="88"/>
        <v>42262</v>
      </c>
      <c r="D4703" s="190" t="s">
        <v>2015</v>
      </c>
      <c r="E4703" s="190">
        <v>42262</v>
      </c>
      <c r="F4703" s="191" t="s">
        <v>1030</v>
      </c>
      <c r="G4703" s="482" t="s">
        <v>1031</v>
      </c>
      <c r="H4703" s="192" t="s">
        <v>2016</v>
      </c>
      <c r="I4703" s="255">
        <v>203</v>
      </c>
      <c r="J4703" s="255">
        <v>12927.722594135019</v>
      </c>
      <c r="K4703" s="593">
        <f t="shared" si="89"/>
        <v>2624328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69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799"/>
    </row>
    <row r="4704" spans="1:27" s="210" customFormat="1" ht="15.75" customHeight="1">
      <c r="A4704" s="203" t="str">
        <f>IF(B4704&lt;&gt;"",IF(AND(B4704&gt;=_TM1,B4704&lt;=_TM2,OR(TH!L4704="1111",TH!M4704="1111")),TH!D4704,""),"")</f>
        <v/>
      </c>
      <c r="B4704" s="36">
        <f t="shared" si="87"/>
        <v>9</v>
      </c>
      <c r="C4704" s="183">
        <f t="shared" si="88"/>
        <v>42262</v>
      </c>
      <c r="D4704" s="190" t="s">
        <v>2015</v>
      </c>
      <c r="E4704" s="190">
        <v>42262</v>
      </c>
      <c r="F4704" s="191" t="s">
        <v>2010</v>
      </c>
      <c r="G4704" s="482" t="s">
        <v>1032</v>
      </c>
      <c r="H4704" s="192" t="s">
        <v>2016</v>
      </c>
      <c r="I4704" s="255">
        <v>110</v>
      </c>
      <c r="J4704" s="255">
        <v>9394.6803944956337</v>
      </c>
      <c r="K4704" s="593">
        <f t="shared" si="89"/>
        <v>1033415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69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799"/>
    </row>
    <row r="4705" spans="1:27" s="210" customFormat="1" ht="15.75" customHeight="1">
      <c r="A4705" s="203" t="str">
        <f>IF(B4705&lt;&gt;"",IF(AND(B4705&gt;=_TM1,B4705&lt;=_TM2,OR(TH!L4705="1111",TH!M4705="1111")),TH!D4705,""),"")</f>
        <v/>
      </c>
      <c r="B4705" s="36">
        <f t="shared" si="87"/>
        <v>9</v>
      </c>
      <c r="C4705" s="183">
        <f t="shared" si="88"/>
        <v>42262</v>
      </c>
      <c r="D4705" s="190" t="s">
        <v>2015</v>
      </c>
      <c r="E4705" s="190">
        <v>42262</v>
      </c>
      <c r="F4705" s="191" t="s">
        <v>1948</v>
      </c>
      <c r="G4705" s="482" t="s">
        <v>1032</v>
      </c>
      <c r="H4705" s="192" t="s">
        <v>2016</v>
      </c>
      <c r="I4705" s="255">
        <v>10</v>
      </c>
      <c r="J4705" s="255">
        <v>9956.7552898928079</v>
      </c>
      <c r="K4705" s="593">
        <f t="shared" si="89"/>
        <v>99568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69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799"/>
    </row>
    <row r="4706" spans="1:27" s="210" customFormat="1" ht="15.75" customHeight="1">
      <c r="A4706" s="203" t="str">
        <f>IF(B4706&lt;&gt;"",IF(AND(B4706&gt;=_TM1,B4706&lt;=_TM2,OR(TH!L4706="1111",TH!M4706="1111")),TH!D4706,""),"")</f>
        <v/>
      </c>
      <c r="B4706" s="36">
        <f t="shared" si="87"/>
        <v>9</v>
      </c>
      <c r="C4706" s="183">
        <f t="shared" si="88"/>
        <v>42262</v>
      </c>
      <c r="D4706" s="190" t="s">
        <v>2015</v>
      </c>
      <c r="E4706" s="190">
        <v>42262</v>
      </c>
      <c r="F4706" s="191" t="s">
        <v>1949</v>
      </c>
      <c r="G4706" s="482" t="s">
        <v>1032</v>
      </c>
      <c r="H4706" s="192" t="s">
        <v>2016</v>
      </c>
      <c r="I4706" s="255">
        <v>10</v>
      </c>
      <c r="J4706" s="255">
        <v>12205.054871481507</v>
      </c>
      <c r="K4706" s="593">
        <f t="shared" si="89"/>
        <v>122051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69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799"/>
    </row>
    <row r="4707" spans="1:27" s="210" customFormat="1" ht="15.75" customHeight="1">
      <c r="A4707" s="203" t="str">
        <f>IF(B4707&lt;&gt;"",IF(AND(B4707&gt;=_TM1,B4707&lt;=_TM2,OR(TH!L4707="1111",TH!M4707="1111")),TH!D4707,""),"")</f>
        <v/>
      </c>
      <c r="B4707" s="36">
        <f t="shared" si="87"/>
        <v>9</v>
      </c>
      <c r="C4707" s="183">
        <f t="shared" si="88"/>
        <v>42262</v>
      </c>
      <c r="D4707" s="190" t="s">
        <v>2015</v>
      </c>
      <c r="E4707" s="190">
        <v>42262</v>
      </c>
      <c r="F4707" s="191" t="s">
        <v>1950</v>
      </c>
      <c r="G4707" s="482" t="s">
        <v>1032</v>
      </c>
      <c r="H4707" s="192" t="s">
        <v>2016</v>
      </c>
      <c r="I4707" s="255">
        <v>10</v>
      </c>
      <c r="J4707" s="255">
        <v>8752.3090854702914</v>
      </c>
      <c r="K4707" s="593">
        <f t="shared" si="89"/>
        <v>87523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69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799"/>
    </row>
    <row r="4708" spans="1:27" s="210" customFormat="1" ht="15.75" customHeight="1">
      <c r="A4708" s="203" t="str">
        <f>IF(B4708&lt;&gt;"",IF(AND(B4708&gt;=_TM1,B4708&lt;=_TM2,OR(TH!L4708="1111",TH!M4708="1111")),TH!D4708,""),"")</f>
        <v/>
      </c>
      <c r="B4708" s="36">
        <f t="shared" si="87"/>
        <v>9</v>
      </c>
      <c r="C4708" s="183">
        <f t="shared" si="88"/>
        <v>42262</v>
      </c>
      <c r="D4708" s="190" t="s">
        <v>2015</v>
      </c>
      <c r="E4708" s="190">
        <v>42262</v>
      </c>
      <c r="F4708" s="191" t="s">
        <v>1951</v>
      </c>
      <c r="G4708" s="482" t="s">
        <v>1032</v>
      </c>
      <c r="H4708" s="192" t="s">
        <v>2016</v>
      </c>
      <c r="I4708" s="255">
        <v>10</v>
      </c>
      <c r="J4708" s="255">
        <v>9715.8660490083057</v>
      </c>
      <c r="K4708" s="593">
        <f t="shared" si="89"/>
        <v>97159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69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799"/>
    </row>
    <row r="4709" spans="1:27" s="210" customFormat="1" ht="15.75" customHeight="1">
      <c r="A4709" s="203" t="str">
        <f>IF(B4709&lt;&gt;"",IF(AND(B4709&gt;=_TM1,B4709&lt;=_TM2,OR(TH!L4709="1111",TH!M4709="1111")),TH!D4709,""),"")</f>
        <v/>
      </c>
      <c r="B4709" s="36">
        <f t="shared" si="87"/>
        <v>9</v>
      </c>
      <c r="C4709" s="183">
        <f t="shared" si="88"/>
        <v>42262</v>
      </c>
      <c r="D4709" s="190" t="s">
        <v>2015</v>
      </c>
      <c r="E4709" s="190">
        <v>42262</v>
      </c>
      <c r="F4709" s="191" t="s">
        <v>1952</v>
      </c>
      <c r="G4709" s="482" t="s">
        <v>1032</v>
      </c>
      <c r="H4709" s="192" t="s">
        <v>2016</v>
      </c>
      <c r="I4709" s="255">
        <v>10</v>
      </c>
      <c r="J4709" s="255">
        <v>10679.42301254632</v>
      </c>
      <c r="K4709" s="593">
        <f t="shared" si="89"/>
        <v>106794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69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799"/>
    </row>
    <row r="4710" spans="1:27" s="210" customFormat="1" ht="15.75" customHeight="1">
      <c r="A4710" s="203" t="str">
        <f>IF(B4710&lt;&gt;"",IF(AND(B4710&gt;=_TM1,B4710&lt;=_TM2,OR(TH!L4710="1111",TH!M4710="1111")),TH!D4710,""),"")</f>
        <v/>
      </c>
      <c r="B4710" s="36">
        <f t="shared" si="87"/>
        <v>9</v>
      </c>
      <c r="C4710" s="183">
        <f t="shared" si="88"/>
        <v>42262</v>
      </c>
      <c r="D4710" s="190" t="s">
        <v>2015</v>
      </c>
      <c r="E4710" s="190">
        <v>42262</v>
      </c>
      <c r="F4710" s="191" t="s">
        <v>2011</v>
      </c>
      <c r="G4710" s="482" t="s">
        <v>1032</v>
      </c>
      <c r="H4710" s="192" t="s">
        <v>2016</v>
      </c>
      <c r="I4710" s="255">
        <v>10</v>
      </c>
      <c r="J4710" s="255">
        <v>16781.950448287073</v>
      </c>
      <c r="K4710" s="593">
        <f t="shared" si="89"/>
        <v>167820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69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799"/>
    </row>
    <row r="4711" spans="1:27" s="210" customFormat="1" ht="15.75" customHeight="1">
      <c r="A4711" s="203" t="str">
        <f>IF(B4711&lt;&gt;"",IF(AND(B4711&gt;=_TM1,B4711&lt;=_TM2,OR(TH!L4711="1111",TH!M4711="1111")),TH!D4711,""),"")</f>
        <v/>
      </c>
      <c r="B4711" s="36">
        <f t="shared" si="87"/>
        <v>9</v>
      </c>
      <c r="C4711" s="183">
        <f t="shared" si="88"/>
        <v>42263</v>
      </c>
      <c r="D4711" s="190" t="s">
        <v>2015</v>
      </c>
      <c r="E4711" s="190">
        <v>42263</v>
      </c>
      <c r="F4711" s="191" t="s">
        <v>713</v>
      </c>
      <c r="G4711" s="482" t="s">
        <v>1033</v>
      </c>
      <c r="H4711" s="192" t="s">
        <v>2016</v>
      </c>
      <c r="I4711" s="255">
        <v>500</v>
      </c>
      <c r="J4711" s="255">
        <v>8591.7162582139572</v>
      </c>
      <c r="K4711" s="593">
        <f t="shared" si="89"/>
        <v>4295858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69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799"/>
    </row>
    <row r="4712" spans="1:27" s="210" customFormat="1" ht="15.75" customHeight="1">
      <c r="A4712" s="203" t="str">
        <f>IF(B4712&lt;&gt;"",IF(AND(B4712&gt;=_TM1,B4712&lt;=_TM2,OR(TH!L4712="1111",TH!M4712="1111")),TH!D4712,""),"")</f>
        <v/>
      </c>
      <c r="B4712" s="36">
        <f t="shared" ref="B4712:B4721" si="90">IF(C4712&lt;&gt;"",MONTH(C4712),"")</f>
        <v>9</v>
      </c>
      <c r="C4712" s="183">
        <f t="shared" ref="C4712:C4721" si="91">E4712</f>
        <v>42263</v>
      </c>
      <c r="D4712" s="190" t="s">
        <v>2015</v>
      </c>
      <c r="E4712" s="190">
        <v>42263</v>
      </c>
      <c r="F4712" s="191" t="s">
        <v>1034</v>
      </c>
      <c r="G4712" s="482" t="s">
        <v>1033</v>
      </c>
      <c r="H4712" s="192" t="s">
        <v>2016</v>
      </c>
      <c r="I4712" s="255">
        <v>500</v>
      </c>
      <c r="J4712" s="255">
        <v>9635.5696353801377</v>
      </c>
      <c r="K4712" s="593">
        <f t="shared" ref="K4712:K4721" si="92">ROUND(I4712*J4712,0)</f>
        <v>4817785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69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799"/>
    </row>
    <row r="4713" spans="1:27" s="210" customFormat="1" ht="15.75" customHeight="1">
      <c r="A4713" s="203" t="str">
        <f>IF(B4713&lt;&gt;"",IF(AND(B4713&gt;=_TM1,B4713&lt;=_TM2,OR(TH!L4713="1111",TH!M4713="1111")),TH!D4713,""),"")</f>
        <v/>
      </c>
      <c r="B4713" s="36">
        <f t="shared" si="90"/>
        <v>9</v>
      </c>
      <c r="C4713" s="183">
        <f t="shared" si="91"/>
        <v>42263</v>
      </c>
      <c r="D4713" s="190" t="s">
        <v>2015</v>
      </c>
      <c r="E4713" s="190">
        <v>42263</v>
      </c>
      <c r="F4713" s="191" t="s">
        <v>1731</v>
      </c>
      <c r="G4713" s="482" t="s">
        <v>1035</v>
      </c>
      <c r="H4713" s="192" t="s">
        <v>2016</v>
      </c>
      <c r="I4713" s="255">
        <v>1000</v>
      </c>
      <c r="J4713" s="255">
        <v>1365.0390316788528</v>
      </c>
      <c r="K4713" s="593">
        <f t="shared" si="92"/>
        <v>1365039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69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799"/>
    </row>
    <row r="4714" spans="1:27" s="210" customFormat="1" ht="15.75" customHeight="1">
      <c r="A4714" s="203" t="str">
        <f>IF(B4714&lt;&gt;"",IF(AND(B4714&gt;=_TM1,B4714&lt;=_TM2,OR(TH!L4714="1111",TH!M4714="1111")),TH!D4714,""),"")</f>
        <v/>
      </c>
      <c r="B4714" s="36">
        <f t="shared" si="90"/>
        <v>9</v>
      </c>
      <c r="C4714" s="183">
        <f t="shared" si="91"/>
        <v>42263</v>
      </c>
      <c r="D4714" s="190" t="s">
        <v>2015</v>
      </c>
      <c r="E4714" s="190">
        <v>42263</v>
      </c>
      <c r="F4714" s="191" t="s">
        <v>1793</v>
      </c>
      <c r="G4714" s="482" t="s">
        <v>1035</v>
      </c>
      <c r="H4714" s="192" t="s">
        <v>2016</v>
      </c>
      <c r="I4714" s="255">
        <v>1000</v>
      </c>
      <c r="J4714" s="255">
        <v>1284.742618050685</v>
      </c>
      <c r="K4714" s="593">
        <f t="shared" si="92"/>
        <v>1284743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69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799"/>
    </row>
    <row r="4715" spans="1:27" s="210" customFormat="1" ht="15.75" customHeight="1">
      <c r="A4715" s="203" t="str">
        <f>IF(B4715&lt;&gt;"",IF(AND(B4715&gt;=_TM1,B4715&lt;=_TM2,OR(TH!L4715="1111",TH!M4715="1111")),TH!D4715,""),"")</f>
        <v/>
      </c>
      <c r="B4715" s="36">
        <f t="shared" si="90"/>
        <v>9</v>
      </c>
      <c r="C4715" s="183">
        <f t="shared" si="91"/>
        <v>42263</v>
      </c>
      <c r="D4715" s="190" t="s">
        <v>2015</v>
      </c>
      <c r="E4715" s="190">
        <v>42263</v>
      </c>
      <c r="F4715" s="191" t="s">
        <v>1794</v>
      </c>
      <c r="G4715" s="482" t="s">
        <v>1035</v>
      </c>
      <c r="H4715" s="192" t="s">
        <v>2016</v>
      </c>
      <c r="I4715" s="255">
        <v>500</v>
      </c>
      <c r="J4715" s="255">
        <v>3773.931440523887</v>
      </c>
      <c r="K4715" s="593">
        <f t="shared" si="92"/>
        <v>1886966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69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799"/>
    </row>
    <row r="4716" spans="1:27" s="210" customFormat="1" ht="15.75" customHeight="1">
      <c r="A4716" s="203" t="str">
        <f>IF(B4716&lt;&gt;"",IF(AND(B4716&gt;=_TM1,B4716&lt;=_TM2,OR(TH!L4716="1111",TH!M4716="1111")),TH!D4716,""),"")</f>
        <v/>
      </c>
      <c r="B4716" s="36">
        <f t="shared" si="90"/>
        <v>9</v>
      </c>
      <c r="C4716" s="183">
        <f t="shared" si="91"/>
        <v>42263</v>
      </c>
      <c r="D4716" s="190" t="s">
        <v>2015</v>
      </c>
      <c r="E4716" s="190">
        <v>42263</v>
      </c>
      <c r="F4716" s="191" t="s">
        <v>1795</v>
      </c>
      <c r="G4716" s="482" t="s">
        <v>1035</v>
      </c>
      <c r="H4716" s="192" t="s">
        <v>2016</v>
      </c>
      <c r="I4716" s="255">
        <v>500</v>
      </c>
      <c r="J4716" s="255">
        <v>2810.3744769858731</v>
      </c>
      <c r="K4716" s="593">
        <f t="shared" si="92"/>
        <v>1405187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69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799"/>
    </row>
    <row r="4717" spans="1:27" s="210" customFormat="1" ht="15.75" customHeight="1">
      <c r="A4717" s="203" t="str">
        <f>IF(B4717&lt;&gt;"",IF(AND(B4717&gt;=_TM1,B4717&lt;=_TM2,OR(TH!L4717="1111",TH!M4717="1111")),TH!D4717,""),"")</f>
        <v/>
      </c>
      <c r="B4717" s="36">
        <f t="shared" si="90"/>
        <v>9</v>
      </c>
      <c r="C4717" s="183">
        <f t="shared" si="91"/>
        <v>42265</v>
      </c>
      <c r="D4717" s="190" t="s">
        <v>2015</v>
      </c>
      <c r="E4717" s="190">
        <v>42265</v>
      </c>
      <c r="F4717" s="191" t="s">
        <v>1140</v>
      </c>
      <c r="G4717" s="482" t="s">
        <v>1036</v>
      </c>
      <c r="H4717" s="192" t="s">
        <v>2016</v>
      </c>
      <c r="I4717" s="255">
        <v>810</v>
      </c>
      <c r="J4717" s="255">
        <v>9153.7911536111296</v>
      </c>
      <c r="K4717" s="593">
        <f t="shared" si="92"/>
        <v>7414571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69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799"/>
    </row>
    <row r="4718" spans="1:27" s="210" customFormat="1" ht="15.75" customHeight="1">
      <c r="A4718" s="203" t="str">
        <f>IF(B4718&lt;&gt;"",IF(AND(B4718&gt;=_TM1,B4718&lt;=_TM2,OR(TH!L4718="1111",TH!M4718="1111")),TH!D4718,""),"")</f>
        <v/>
      </c>
      <c r="B4718" s="36">
        <f t="shared" si="90"/>
        <v>9</v>
      </c>
      <c r="C4718" s="183">
        <f t="shared" si="91"/>
        <v>42265</v>
      </c>
      <c r="D4718" s="190" t="s">
        <v>2015</v>
      </c>
      <c r="E4718" s="190">
        <v>42265</v>
      </c>
      <c r="F4718" s="191" t="s">
        <v>1140</v>
      </c>
      <c r="G4718" s="482" t="s">
        <v>1036</v>
      </c>
      <c r="H4718" s="192" t="s">
        <v>2016</v>
      </c>
      <c r="I4718" s="255">
        <v>50</v>
      </c>
      <c r="J4718" s="255">
        <v>9153.7911536111296</v>
      </c>
      <c r="K4718" s="593">
        <f t="shared" si="92"/>
        <v>457690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69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799"/>
    </row>
    <row r="4719" spans="1:27" s="210" customFormat="1" ht="15.75" customHeight="1">
      <c r="A4719" s="203" t="str">
        <f>IF(B4719&lt;&gt;"",IF(AND(B4719&gt;=_TM1,B4719&lt;=_TM2,OR(TH!L4719="1111",TH!M4719="1111")),TH!D4719,""),"")</f>
        <v/>
      </c>
      <c r="B4719" s="36">
        <f t="shared" si="90"/>
        <v>9</v>
      </c>
      <c r="C4719" s="183">
        <f t="shared" si="91"/>
        <v>42265</v>
      </c>
      <c r="D4719" s="190" t="s">
        <v>2015</v>
      </c>
      <c r="E4719" s="190">
        <v>42265</v>
      </c>
      <c r="F4719" s="191" t="s">
        <v>1654</v>
      </c>
      <c r="G4719" s="482" t="s">
        <v>1036</v>
      </c>
      <c r="H4719" s="192" t="s">
        <v>2016</v>
      </c>
      <c r="I4719" s="255">
        <v>1720</v>
      </c>
      <c r="J4719" s="255">
        <v>802.96413628167818</v>
      </c>
      <c r="K4719" s="593">
        <f t="shared" si="92"/>
        <v>1381098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69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799"/>
    </row>
    <row r="4720" spans="1:27" s="210" customFormat="1" ht="15.75" customHeight="1">
      <c r="A4720" s="203" t="str">
        <f>IF(B4720&lt;&gt;"",IF(AND(B4720&gt;=_TM1,B4720&lt;=_TM2,OR(TH!L4720="1111",TH!M4720="1111")),TH!D4720,""),"")</f>
        <v/>
      </c>
      <c r="B4720" s="36">
        <f t="shared" si="90"/>
        <v>9</v>
      </c>
      <c r="C4720" s="183">
        <f t="shared" si="91"/>
        <v>42266</v>
      </c>
      <c r="D4720" s="190" t="s">
        <v>2015</v>
      </c>
      <c r="E4720" s="190">
        <v>42266</v>
      </c>
      <c r="F4720" s="191" t="s">
        <v>1791</v>
      </c>
      <c r="G4720" s="482" t="s">
        <v>1037</v>
      </c>
      <c r="H4720" s="192" t="s">
        <v>2016</v>
      </c>
      <c r="I4720" s="255">
        <v>210</v>
      </c>
      <c r="J4720" s="255">
        <v>22322.402988630649</v>
      </c>
      <c r="K4720" s="593">
        <f t="shared" si="92"/>
        <v>4687705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69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799"/>
    </row>
    <row r="4721" spans="1:27" s="210" customFormat="1" ht="15.75" customHeight="1">
      <c r="A4721" s="203" t="str">
        <f>IF(B4721&lt;&gt;"",IF(AND(B4721&gt;=_TM1,B4721&lt;=_TM2,OR(TH!L4721="1111",TH!M4721="1111")),TH!D4721,""),"")</f>
        <v/>
      </c>
      <c r="B4721" s="36">
        <f t="shared" si="90"/>
        <v>9</v>
      </c>
      <c r="C4721" s="183">
        <f t="shared" si="91"/>
        <v>42266</v>
      </c>
      <c r="D4721" s="190" t="s">
        <v>2015</v>
      </c>
      <c r="E4721" s="190">
        <v>42266</v>
      </c>
      <c r="F4721" s="191" t="s">
        <v>451</v>
      </c>
      <c r="G4721" s="482" t="s">
        <v>1038</v>
      </c>
      <c r="H4721" s="192" t="s">
        <v>2016</v>
      </c>
      <c r="I4721" s="255">
        <v>304</v>
      </c>
      <c r="J4721" s="255">
        <v>10759.719426174488</v>
      </c>
      <c r="K4721" s="593">
        <f t="shared" si="92"/>
        <v>3270955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69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799"/>
    </row>
    <row r="4722" spans="1:27" s="210" customFormat="1" ht="15.75" customHeight="1">
      <c r="A4722" s="203" t="str">
        <f>IF(B4722&lt;&gt;"",IF(AND(B4722&gt;=_TM1,B4722&lt;=_TM2,OR(TH!L4722="1111",TH!M4722="1111")),TH!D4722,""),"")</f>
        <v/>
      </c>
      <c r="B4722" s="36">
        <f t="shared" ref="B4722:B4976" si="93">IF(C4722&lt;&gt;"",MONTH(C4722),"")</f>
        <v>9</v>
      </c>
      <c r="C4722" s="183">
        <f t="shared" ref="C4722:C4976" si="94">E4722</f>
        <v>42266</v>
      </c>
      <c r="D4722" s="190" t="s">
        <v>2015</v>
      </c>
      <c r="E4722" s="190">
        <v>42266</v>
      </c>
      <c r="F4722" s="191" t="s">
        <v>539</v>
      </c>
      <c r="G4722" s="482" t="s">
        <v>1038</v>
      </c>
      <c r="H4722" s="192" t="s">
        <v>2016</v>
      </c>
      <c r="I4722" s="255">
        <v>203</v>
      </c>
      <c r="J4722" s="255">
        <v>7547.862881047774</v>
      </c>
      <c r="K4722" s="593">
        <f t="shared" ref="K4722:K4976" si="95">ROUND(I4722*J4722,0)</f>
        <v>1532216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69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799"/>
    </row>
    <row r="4723" spans="1:27" s="210" customFormat="1" ht="15.75" customHeight="1">
      <c r="A4723" s="203" t="str">
        <f>IF(B4723&lt;&gt;"",IF(AND(B4723&gt;=_TM1,B4723&lt;=_TM2,OR(TH!L4723="1111",TH!M4723="1111")),TH!D4723,""),"")</f>
        <v/>
      </c>
      <c r="B4723" s="36">
        <f t="shared" si="93"/>
        <v>9</v>
      </c>
      <c r="C4723" s="183">
        <f t="shared" si="94"/>
        <v>42268</v>
      </c>
      <c r="D4723" s="190" t="s">
        <v>2015</v>
      </c>
      <c r="E4723" s="190">
        <v>42268</v>
      </c>
      <c r="F4723" s="191" t="s">
        <v>760</v>
      </c>
      <c r="G4723" s="482" t="s">
        <v>1039</v>
      </c>
      <c r="H4723" s="192" t="s">
        <v>2016</v>
      </c>
      <c r="I4723" s="255">
        <v>496</v>
      </c>
      <c r="J4723" s="255">
        <v>7788.7521219322771</v>
      </c>
      <c r="K4723" s="593">
        <f t="shared" si="95"/>
        <v>3863221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69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799"/>
    </row>
    <row r="4724" spans="1:27" s="210" customFormat="1" ht="15.75" customHeight="1">
      <c r="A4724" s="203" t="str">
        <f>IF(B4724&lt;&gt;"",IF(AND(B4724&gt;=_TM1,B4724&lt;=_TM2,OR(TH!L4724="1111",TH!M4724="1111")),TH!D4724,""),"")</f>
        <v/>
      </c>
      <c r="B4724" s="36">
        <f t="shared" si="93"/>
        <v>9</v>
      </c>
      <c r="C4724" s="183">
        <f t="shared" si="94"/>
        <v>42268</v>
      </c>
      <c r="D4724" s="190" t="s">
        <v>2015</v>
      </c>
      <c r="E4724" s="190">
        <v>42268</v>
      </c>
      <c r="F4724" s="191" t="s">
        <v>2010</v>
      </c>
      <c r="G4724" s="482" t="s">
        <v>1040</v>
      </c>
      <c r="H4724" s="192" t="s">
        <v>2016</v>
      </c>
      <c r="I4724" s="255">
        <v>50</v>
      </c>
      <c r="J4724" s="255">
        <v>9394.6803944956337</v>
      </c>
      <c r="K4724" s="593">
        <f t="shared" si="95"/>
        <v>469734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69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799"/>
    </row>
    <row r="4725" spans="1:27" s="210" customFormat="1" ht="15.75" customHeight="1">
      <c r="A4725" s="203" t="str">
        <f>IF(B4725&lt;&gt;"",IF(AND(B4725&gt;=_TM1,B4725&lt;=_TM2,OR(TH!L4725="1111",TH!M4725="1111")),TH!D4725,""),"")</f>
        <v/>
      </c>
      <c r="B4725" s="36">
        <f t="shared" si="93"/>
        <v>9</v>
      </c>
      <c r="C4725" s="183">
        <f t="shared" si="94"/>
        <v>42268</v>
      </c>
      <c r="D4725" s="190" t="s">
        <v>2015</v>
      </c>
      <c r="E4725" s="190">
        <v>42268</v>
      </c>
      <c r="F4725" s="191" t="s">
        <v>1950</v>
      </c>
      <c r="G4725" s="482" t="s">
        <v>1040</v>
      </c>
      <c r="H4725" s="192" t="s">
        <v>2016</v>
      </c>
      <c r="I4725" s="255">
        <v>50</v>
      </c>
      <c r="J4725" s="255">
        <v>8752.3090854702914</v>
      </c>
      <c r="K4725" s="593">
        <f t="shared" si="95"/>
        <v>437615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69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799"/>
    </row>
    <row r="4726" spans="1:27" s="210" customFormat="1" ht="15.75" customHeight="1">
      <c r="A4726" s="203" t="str">
        <f>IF(B4726&lt;&gt;"",IF(AND(B4726&gt;=_TM1,B4726&lt;=_TM2,OR(TH!L4726="1111",TH!M4726="1111")),TH!D4726,""),"")</f>
        <v/>
      </c>
      <c r="B4726" s="36">
        <f t="shared" si="93"/>
        <v>9</v>
      </c>
      <c r="C4726" s="183">
        <f t="shared" si="94"/>
        <v>42268</v>
      </c>
      <c r="D4726" s="190" t="s">
        <v>2015</v>
      </c>
      <c r="E4726" s="190">
        <v>42268</v>
      </c>
      <c r="F4726" s="191" t="s">
        <v>1951</v>
      </c>
      <c r="G4726" s="482" t="s">
        <v>1040</v>
      </c>
      <c r="H4726" s="192" t="s">
        <v>2016</v>
      </c>
      <c r="I4726" s="255">
        <v>50</v>
      </c>
      <c r="J4726" s="255">
        <v>9715.8660490083057</v>
      </c>
      <c r="K4726" s="593">
        <f t="shared" si="95"/>
        <v>485793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69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799"/>
    </row>
    <row r="4727" spans="1:27" s="210" customFormat="1" ht="15.75" customHeight="1">
      <c r="A4727" s="203" t="str">
        <f>IF(B4727&lt;&gt;"",IF(AND(B4727&gt;=_TM1,B4727&lt;=_TM2,OR(TH!L4727="1111",TH!M4727="1111")),TH!D4727,""),"")</f>
        <v/>
      </c>
      <c r="B4727" s="36">
        <f t="shared" si="93"/>
        <v>9</v>
      </c>
      <c r="C4727" s="183">
        <f t="shared" si="94"/>
        <v>42268</v>
      </c>
      <c r="D4727" s="190" t="s">
        <v>2015</v>
      </c>
      <c r="E4727" s="190">
        <v>42268</v>
      </c>
      <c r="F4727" s="191" t="s">
        <v>1766</v>
      </c>
      <c r="G4727" s="482" t="s">
        <v>1041</v>
      </c>
      <c r="H4727" s="192" t="s">
        <v>2016</v>
      </c>
      <c r="I4727" s="255">
        <v>1000</v>
      </c>
      <c r="J4727" s="255">
        <v>10037.051703520976</v>
      </c>
      <c r="K4727" s="593">
        <f t="shared" si="95"/>
        <v>10037052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69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799"/>
    </row>
    <row r="4728" spans="1:27" s="210" customFormat="1" ht="15.75" customHeight="1">
      <c r="A4728" s="203" t="str">
        <f>IF(B4728&lt;&gt;"",IF(AND(B4728&gt;=_TM1,B4728&lt;=_TM2,OR(TH!L4728="1111",TH!M4728="1111")),TH!D4728,""),"")</f>
        <v/>
      </c>
      <c r="B4728" s="36">
        <f t="shared" si="93"/>
        <v>9</v>
      </c>
      <c r="C4728" s="183">
        <f t="shared" si="94"/>
        <v>42268</v>
      </c>
      <c r="D4728" s="190" t="s">
        <v>2015</v>
      </c>
      <c r="E4728" s="190">
        <v>42268</v>
      </c>
      <c r="F4728" s="191" t="s">
        <v>1749</v>
      </c>
      <c r="G4728" s="482" t="s">
        <v>1041</v>
      </c>
      <c r="H4728" s="192" t="s">
        <v>2016</v>
      </c>
      <c r="I4728" s="255">
        <v>355</v>
      </c>
      <c r="J4728" s="255">
        <v>14854.836521211046</v>
      </c>
      <c r="K4728" s="593">
        <f t="shared" si="95"/>
        <v>5273467</v>
      </c>
      <c r="L4728" s="193" t="s">
        <v>172</v>
      </c>
      <c r="M4728" s="193" t="s">
        <v>167</v>
      </c>
      <c r="N4728" s="52" t="str">
        <f>IF(AND('331-CT'!$E$7=TH!H4728,OR(L4728="331",M4728="331")),"331",IF(AND(OR(L4728="131",M4728="131"),H4728='131-CT'!$E$7),"131",""))</f>
        <v/>
      </c>
      <c r="O4728" s="869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>x</v>
      </c>
      <c r="AA4728" s="799"/>
    </row>
    <row r="4729" spans="1:27" s="210" customFormat="1" ht="15.75" customHeight="1">
      <c r="A4729" s="203" t="str">
        <f>IF(B4729&lt;&gt;"",IF(AND(B4729&gt;=_TM1,B4729&lt;=_TM2,OR(TH!L4729="1111",TH!M4729="1111")),TH!D4729,""),"")</f>
        <v/>
      </c>
      <c r="B4729" s="36">
        <f t="shared" si="93"/>
        <v>9</v>
      </c>
      <c r="C4729" s="183">
        <f t="shared" si="94"/>
        <v>42268</v>
      </c>
      <c r="D4729" s="190" t="s">
        <v>2015</v>
      </c>
      <c r="E4729" s="190">
        <v>42268</v>
      </c>
      <c r="F4729" s="191" t="s">
        <v>567</v>
      </c>
      <c r="G4729" s="482" t="s">
        <v>1042</v>
      </c>
      <c r="H4729" s="192" t="s">
        <v>2016</v>
      </c>
      <c r="I4729" s="255">
        <v>21</v>
      </c>
      <c r="J4729" s="255">
        <v>41031.467363993754</v>
      </c>
      <c r="K4729" s="593">
        <f t="shared" si="95"/>
        <v>861661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69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>x</v>
      </c>
      <c r="AA4729" s="799"/>
    </row>
    <row r="4730" spans="1:27" s="210" customFormat="1" ht="15.75" customHeight="1">
      <c r="A4730" s="203" t="str">
        <f>IF(B4730&lt;&gt;"",IF(AND(B4730&gt;=_TM1,B4730&lt;=_TM2,OR(TH!L4730="1111",TH!M4730="1111")),TH!D4730,""),"")</f>
        <v/>
      </c>
      <c r="B4730" s="36">
        <f t="shared" si="93"/>
        <v>9</v>
      </c>
      <c r="C4730" s="183">
        <f t="shared" si="94"/>
        <v>42268</v>
      </c>
      <c r="D4730" s="190" t="s">
        <v>2015</v>
      </c>
      <c r="E4730" s="190">
        <v>42268</v>
      </c>
      <c r="F4730" s="191" t="s">
        <v>1043</v>
      </c>
      <c r="G4730" s="482" t="s">
        <v>1044</v>
      </c>
      <c r="H4730" s="192" t="s">
        <v>2016</v>
      </c>
      <c r="I4730" s="255">
        <v>50</v>
      </c>
      <c r="J4730" s="255">
        <v>19993.806993413786</v>
      </c>
      <c r="K4730" s="593">
        <f t="shared" si="95"/>
        <v>999690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69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>x</v>
      </c>
      <c r="AA4730" s="799"/>
    </row>
    <row r="4731" spans="1:27" s="210" customFormat="1" ht="15.75" customHeight="1">
      <c r="A4731" s="203" t="str">
        <f>IF(B4731&lt;&gt;"",IF(AND(B4731&gt;=_TM1,B4731&lt;=_TM2,OR(TH!L4731="1111",TH!M4731="1111")),TH!D4731,""),"")</f>
        <v/>
      </c>
      <c r="B4731" s="36">
        <f t="shared" si="93"/>
        <v>9</v>
      </c>
      <c r="C4731" s="183">
        <f t="shared" si="94"/>
        <v>42268</v>
      </c>
      <c r="D4731" s="190" t="s">
        <v>2015</v>
      </c>
      <c r="E4731" s="190">
        <v>42268</v>
      </c>
      <c r="F4731" s="191" t="s">
        <v>1045</v>
      </c>
      <c r="G4731" s="482" t="s">
        <v>1044</v>
      </c>
      <c r="H4731" s="192" t="s">
        <v>2016</v>
      </c>
      <c r="I4731" s="255">
        <v>50</v>
      </c>
      <c r="J4731" s="255">
        <v>26497.816497295375</v>
      </c>
      <c r="K4731" s="593">
        <f t="shared" si="95"/>
        <v>1324891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69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>x</v>
      </c>
      <c r="AA4731" s="799"/>
    </row>
    <row r="4732" spans="1:27" s="210" customFormat="1" ht="15.75" customHeight="1">
      <c r="A4732" s="203" t="str">
        <f>IF(B4732&lt;&gt;"",IF(AND(B4732&gt;=_TM1,B4732&lt;=_TM2,OR(TH!L4732="1111",TH!M4732="1111")),TH!D4732,""),"")</f>
        <v/>
      </c>
      <c r="B4732" s="36">
        <f t="shared" si="93"/>
        <v>9</v>
      </c>
      <c r="C4732" s="183">
        <f t="shared" si="94"/>
        <v>42268</v>
      </c>
      <c r="D4732" s="190" t="s">
        <v>2015</v>
      </c>
      <c r="E4732" s="190">
        <v>42268</v>
      </c>
      <c r="F4732" s="191" t="s">
        <v>1046</v>
      </c>
      <c r="G4732" s="482" t="s">
        <v>1044</v>
      </c>
      <c r="H4732" s="192" t="s">
        <v>2016</v>
      </c>
      <c r="I4732" s="255">
        <v>20</v>
      </c>
      <c r="J4732" s="255">
        <v>10920.312253430822</v>
      </c>
      <c r="K4732" s="593">
        <f t="shared" si="95"/>
        <v>218406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69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>x</v>
      </c>
      <c r="AA4732" s="799"/>
    </row>
    <row r="4733" spans="1:27" s="210" customFormat="1" ht="15.75" customHeight="1">
      <c r="A4733" s="203" t="str">
        <f>IF(B4733&lt;&gt;"",IF(AND(B4733&gt;=_TM1,B4733&lt;=_TM2,OR(TH!L4733="1111",TH!M4733="1111")),TH!D4733,""),"")</f>
        <v/>
      </c>
      <c r="B4733" s="36">
        <f t="shared" si="93"/>
        <v>9</v>
      </c>
      <c r="C4733" s="183">
        <f t="shared" si="94"/>
        <v>42268</v>
      </c>
      <c r="D4733" s="190" t="s">
        <v>2015</v>
      </c>
      <c r="E4733" s="190">
        <v>42268</v>
      </c>
      <c r="F4733" s="191" t="s">
        <v>1956</v>
      </c>
      <c r="G4733" s="482" t="s">
        <v>1047</v>
      </c>
      <c r="H4733" s="192" t="s">
        <v>2016</v>
      </c>
      <c r="I4733" s="255">
        <v>3200</v>
      </c>
      <c r="J4733" s="255">
        <v>3131.5601314985447</v>
      </c>
      <c r="K4733" s="593">
        <f t="shared" si="95"/>
        <v>10020992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69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>x</v>
      </c>
      <c r="AA4733" s="799"/>
    </row>
    <row r="4734" spans="1:27" s="210" customFormat="1" ht="15.75" customHeight="1">
      <c r="A4734" s="203" t="str">
        <f>IF(B4734&lt;&gt;"",IF(AND(B4734&gt;=_TM1,B4734&lt;=_TM2,OR(TH!L4734="1111",TH!M4734="1111")),TH!D4734,""),"")</f>
        <v/>
      </c>
      <c r="B4734" s="36">
        <f t="shared" si="93"/>
        <v>9</v>
      </c>
      <c r="C4734" s="183">
        <f t="shared" si="94"/>
        <v>42269</v>
      </c>
      <c r="D4734" s="190" t="s">
        <v>2015</v>
      </c>
      <c r="E4734" s="190">
        <v>42269</v>
      </c>
      <c r="F4734" s="191" t="s">
        <v>999</v>
      </c>
      <c r="G4734" s="482" t="s">
        <v>1048</v>
      </c>
      <c r="H4734" s="192" t="s">
        <v>2016</v>
      </c>
      <c r="I4734" s="255">
        <v>300</v>
      </c>
      <c r="J4734" s="255">
        <v>6022.2310221125863</v>
      </c>
      <c r="K4734" s="593">
        <f t="shared" si="95"/>
        <v>1806669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69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>x</v>
      </c>
      <c r="AA4734" s="799"/>
    </row>
    <row r="4735" spans="1:27" s="210" customFormat="1" ht="15.75" customHeight="1">
      <c r="A4735" s="203" t="str">
        <f>IF(B4735&lt;&gt;"",IF(AND(B4735&gt;=_TM1,B4735&lt;=_TM2,OR(TH!L4735="1111",TH!M4735="1111")),TH!D4735,""),"")</f>
        <v/>
      </c>
      <c r="B4735" s="36">
        <f t="shared" si="93"/>
        <v>9</v>
      </c>
      <c r="C4735" s="183">
        <f t="shared" si="94"/>
        <v>42270</v>
      </c>
      <c r="D4735" s="190" t="s">
        <v>2015</v>
      </c>
      <c r="E4735" s="190">
        <v>42270</v>
      </c>
      <c r="F4735" s="191" t="s">
        <v>1049</v>
      </c>
      <c r="G4735" s="482" t="s">
        <v>1050</v>
      </c>
      <c r="H4735" s="192" t="s">
        <v>2016</v>
      </c>
      <c r="I4735" s="255">
        <v>555</v>
      </c>
      <c r="J4735" s="255">
        <v>8109.9377764449491</v>
      </c>
      <c r="K4735" s="593">
        <f t="shared" si="95"/>
        <v>4501015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69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>x</v>
      </c>
      <c r="AA4735" s="799"/>
    </row>
    <row r="4736" spans="1:27" s="210" customFormat="1" ht="15.75" customHeight="1">
      <c r="A4736" s="203" t="str">
        <f>IF(B4736&lt;&gt;"",IF(AND(B4736&gt;=_TM1,B4736&lt;=_TM2,OR(TH!L4736="1111",TH!M4736="1111")),TH!D4736,""),"")</f>
        <v/>
      </c>
      <c r="B4736" s="36">
        <f t="shared" si="93"/>
        <v>9</v>
      </c>
      <c r="C4736" s="183">
        <f t="shared" si="94"/>
        <v>42270</v>
      </c>
      <c r="D4736" s="190" t="s">
        <v>2015</v>
      </c>
      <c r="E4736" s="190">
        <v>42270</v>
      </c>
      <c r="F4736" s="191" t="s">
        <v>1052</v>
      </c>
      <c r="G4736" s="482" t="s">
        <v>1053</v>
      </c>
      <c r="H4736" s="192" t="s">
        <v>2016</v>
      </c>
      <c r="I4736" s="255">
        <v>1097</v>
      </c>
      <c r="J4736" s="255">
        <v>5701.0453675999142</v>
      </c>
      <c r="K4736" s="593">
        <f t="shared" si="95"/>
        <v>6254047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69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>x</v>
      </c>
      <c r="AA4736" s="799"/>
    </row>
    <row r="4737" spans="1:27" s="210" customFormat="1" ht="15.75" customHeight="1">
      <c r="A4737" s="203" t="str">
        <f>IF(B4737&lt;&gt;"",IF(AND(B4737&gt;=_TM1,B4737&lt;=_TM2,OR(TH!L4737="1111",TH!M4737="1111")),TH!D4737,""),"")</f>
        <v/>
      </c>
      <c r="B4737" s="36">
        <f t="shared" si="93"/>
        <v>9</v>
      </c>
      <c r="C4737" s="183">
        <f t="shared" si="94"/>
        <v>42275</v>
      </c>
      <c r="D4737" s="190" t="s">
        <v>2015</v>
      </c>
      <c r="E4737" s="190">
        <v>42275</v>
      </c>
      <c r="F4737" s="191" t="s">
        <v>1948</v>
      </c>
      <c r="G4737" s="482" t="s">
        <v>1054</v>
      </c>
      <c r="H4737" s="192" t="s">
        <v>2016</v>
      </c>
      <c r="I4737" s="255">
        <v>44</v>
      </c>
      <c r="J4737" s="255">
        <v>9956.7552898928079</v>
      </c>
      <c r="K4737" s="593">
        <f t="shared" si="95"/>
        <v>438097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69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>x</v>
      </c>
      <c r="AA4737" s="799"/>
    </row>
    <row r="4738" spans="1:27" s="210" customFormat="1" ht="15.75" customHeight="1">
      <c r="A4738" s="203" t="str">
        <f>IF(B4738&lt;&gt;"",IF(AND(B4738&gt;=_TM1,B4738&lt;=_TM2,OR(TH!L4738="1111",TH!M4738="1111")),TH!D4738,""),"")</f>
        <v/>
      </c>
      <c r="B4738" s="36">
        <f t="shared" si="93"/>
        <v>9</v>
      </c>
      <c r="C4738" s="183">
        <f t="shared" si="94"/>
        <v>42275</v>
      </c>
      <c r="D4738" s="190" t="s">
        <v>2015</v>
      </c>
      <c r="E4738" s="190">
        <v>42275</v>
      </c>
      <c r="F4738" s="191" t="s">
        <v>2009</v>
      </c>
      <c r="G4738" s="482" t="s">
        <v>1054</v>
      </c>
      <c r="H4738" s="192" t="s">
        <v>2016</v>
      </c>
      <c r="I4738" s="255">
        <v>44</v>
      </c>
      <c r="J4738" s="255">
        <v>8190.2341900731171</v>
      </c>
      <c r="K4738" s="593">
        <f t="shared" si="95"/>
        <v>360370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69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>x</v>
      </c>
      <c r="AA4738" s="799"/>
    </row>
    <row r="4739" spans="1:27" s="210" customFormat="1" ht="15.75" customHeight="1">
      <c r="A4739" s="203" t="str">
        <f>IF(B4739&lt;&gt;"",IF(AND(B4739&gt;=_TM1,B4739&lt;=_TM2,OR(TH!L4739="1111",TH!M4739="1111")),TH!D4739,""),"")</f>
        <v/>
      </c>
      <c r="B4739" s="36">
        <f t="shared" si="93"/>
        <v>9</v>
      </c>
      <c r="C4739" s="183">
        <f t="shared" si="94"/>
        <v>42275</v>
      </c>
      <c r="D4739" s="190" t="s">
        <v>2015</v>
      </c>
      <c r="E4739" s="190">
        <v>42275</v>
      </c>
      <c r="F4739" s="191" t="s">
        <v>1949</v>
      </c>
      <c r="G4739" s="482" t="s">
        <v>1054</v>
      </c>
      <c r="H4739" s="192" t="s">
        <v>2016</v>
      </c>
      <c r="I4739" s="255">
        <v>44</v>
      </c>
      <c r="J4739" s="255">
        <v>12205.054871481507</v>
      </c>
      <c r="K4739" s="593">
        <f t="shared" si="95"/>
        <v>537022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69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>x</v>
      </c>
      <c r="AA4739" s="799"/>
    </row>
    <row r="4740" spans="1:27" s="210" customFormat="1" ht="15.75" customHeight="1">
      <c r="A4740" s="203" t="str">
        <f>IF(B4740&lt;&gt;"",IF(AND(B4740&gt;=_TM1,B4740&lt;=_TM2,OR(TH!L4740="1111",TH!M4740="1111")),TH!D4740,""),"")</f>
        <v/>
      </c>
      <c r="B4740" s="36">
        <f t="shared" si="93"/>
        <v>9</v>
      </c>
      <c r="C4740" s="183">
        <f t="shared" si="94"/>
        <v>42276</v>
      </c>
      <c r="D4740" s="190" t="s">
        <v>2015</v>
      </c>
      <c r="E4740" s="190">
        <v>42276</v>
      </c>
      <c r="F4740" s="191" t="s">
        <v>494</v>
      </c>
      <c r="G4740" s="482" t="s">
        <v>1055</v>
      </c>
      <c r="H4740" s="192" t="s">
        <v>2016</v>
      </c>
      <c r="I4740" s="255">
        <v>1018</v>
      </c>
      <c r="J4740" s="255">
        <v>5460.1561267154111</v>
      </c>
      <c r="K4740" s="593">
        <f t="shared" si="95"/>
        <v>5558439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69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>x</v>
      </c>
      <c r="AA4740" s="799"/>
    </row>
    <row r="4741" spans="1:27" s="210" customFormat="1" ht="15.75" customHeight="1">
      <c r="A4741" s="203" t="str">
        <f>IF(B4741&lt;&gt;"",IF(AND(B4741&gt;=_TM1,B4741&lt;=_TM2,OR(TH!L4741="1111",TH!M4741="1111")),TH!D4741,""),"")</f>
        <v/>
      </c>
      <c r="B4741" s="36">
        <f t="shared" si="93"/>
        <v>9</v>
      </c>
      <c r="C4741" s="183">
        <f t="shared" si="94"/>
        <v>42276</v>
      </c>
      <c r="D4741" s="190" t="s">
        <v>2015</v>
      </c>
      <c r="E4741" s="190">
        <v>42276</v>
      </c>
      <c r="F4741" s="191" t="s">
        <v>682</v>
      </c>
      <c r="G4741" s="482" t="s">
        <v>1055</v>
      </c>
      <c r="H4741" s="192" t="s">
        <v>2016</v>
      </c>
      <c r="I4741" s="255">
        <v>400</v>
      </c>
      <c r="J4741" s="255">
        <v>4255.7099222928946</v>
      </c>
      <c r="K4741" s="593">
        <f t="shared" si="95"/>
        <v>1702284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69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>x</v>
      </c>
      <c r="AA4741" s="799"/>
    </row>
    <row r="4742" spans="1:27" s="210" customFormat="1" ht="15.75" customHeight="1">
      <c r="A4742" s="203" t="str">
        <f>IF(B4742&lt;&gt;"",IF(AND(B4742&gt;=_TM1,B4742&lt;=_TM2,OR(TH!L4742="1111",TH!M4742="1111")),TH!D4742,""),"")</f>
        <v/>
      </c>
      <c r="B4742" s="36">
        <f t="shared" si="93"/>
        <v>9</v>
      </c>
      <c r="C4742" s="183">
        <f t="shared" si="94"/>
        <v>42276</v>
      </c>
      <c r="D4742" s="190" t="s">
        <v>2015</v>
      </c>
      <c r="E4742" s="190">
        <v>42276</v>
      </c>
      <c r="F4742" s="191" t="s">
        <v>398</v>
      </c>
      <c r="G4742" s="482" t="s">
        <v>1056</v>
      </c>
      <c r="H4742" s="192" t="s">
        <v>2016</v>
      </c>
      <c r="I4742" s="255">
        <v>1270</v>
      </c>
      <c r="J4742" s="255">
        <v>6584.3059175097605</v>
      </c>
      <c r="K4742" s="593">
        <f t="shared" si="95"/>
        <v>8362069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69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>x</v>
      </c>
      <c r="AA4742" s="799"/>
    </row>
    <row r="4743" spans="1:27" s="210" customFormat="1" ht="15.75" customHeight="1">
      <c r="A4743" s="203" t="str">
        <f>IF(B4743&lt;&gt;"",IF(AND(B4743&gt;=_TM1,B4743&lt;=_TM2,OR(TH!L4743="1111",TH!M4743="1111")),TH!D4743,""),"")</f>
        <v/>
      </c>
      <c r="B4743" s="36">
        <f t="shared" si="93"/>
        <v>9</v>
      </c>
      <c r="C4743" s="183">
        <f t="shared" si="94"/>
        <v>42276</v>
      </c>
      <c r="D4743" s="190" t="s">
        <v>2015</v>
      </c>
      <c r="E4743" s="190">
        <v>42276</v>
      </c>
      <c r="F4743" s="191" t="s">
        <v>536</v>
      </c>
      <c r="G4743" s="482" t="s">
        <v>1056</v>
      </c>
      <c r="H4743" s="192" t="s">
        <v>2016</v>
      </c>
      <c r="I4743" s="255">
        <v>320</v>
      </c>
      <c r="J4743" s="255">
        <v>15416.91141660822</v>
      </c>
      <c r="K4743" s="593">
        <f t="shared" si="95"/>
        <v>4933412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69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>x</v>
      </c>
      <c r="AA4743" s="799"/>
    </row>
    <row r="4744" spans="1:27" s="210" customFormat="1" ht="15.75" customHeight="1">
      <c r="A4744" s="203" t="str">
        <f>IF(B4744&lt;&gt;"",IF(AND(B4744&gt;=_TM1,B4744&lt;=_TM2,OR(TH!L4744="1111",TH!M4744="1111")),TH!D4744,""),"")</f>
        <v/>
      </c>
      <c r="B4744" s="36">
        <f t="shared" si="93"/>
        <v>9</v>
      </c>
      <c r="C4744" s="183">
        <f t="shared" si="94"/>
        <v>42277</v>
      </c>
      <c r="D4744" s="190" t="s">
        <v>2015</v>
      </c>
      <c r="E4744" s="190">
        <v>42277</v>
      </c>
      <c r="F4744" s="191" t="s">
        <v>454</v>
      </c>
      <c r="G4744" s="482" t="s">
        <v>1057</v>
      </c>
      <c r="H4744" s="192" t="s">
        <v>2016</v>
      </c>
      <c r="I4744" s="255">
        <v>268</v>
      </c>
      <c r="J4744" s="255">
        <v>58214.899880421661</v>
      </c>
      <c r="K4744" s="593">
        <f t="shared" si="95"/>
        <v>15601593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69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>x</v>
      </c>
      <c r="AA4744" s="799"/>
    </row>
    <row r="4745" spans="1:27" s="210" customFormat="1" ht="15.75" customHeight="1">
      <c r="A4745" s="203" t="str">
        <f>IF(B4745&lt;&gt;"",IF(AND(B4745&gt;=_TM1,B4745&lt;=_TM2,OR(TH!L4745="1111",TH!M4745="1111")),TH!D4745,""),"")</f>
        <v/>
      </c>
      <c r="B4745" s="36">
        <f t="shared" si="93"/>
        <v>9</v>
      </c>
      <c r="C4745" s="183">
        <f t="shared" si="94"/>
        <v>42277</v>
      </c>
      <c r="D4745" s="190" t="s">
        <v>2015</v>
      </c>
      <c r="E4745" s="190">
        <v>42277</v>
      </c>
      <c r="F4745" s="191" t="s">
        <v>1049</v>
      </c>
      <c r="G4745" s="482" t="s">
        <v>1058</v>
      </c>
      <c r="H4745" s="192" t="s">
        <v>2016</v>
      </c>
      <c r="I4745" s="255">
        <v>514</v>
      </c>
      <c r="J4745" s="255">
        <v>8109.9377764449491</v>
      </c>
      <c r="K4745" s="593">
        <f t="shared" si="95"/>
        <v>4168508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69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>x</v>
      </c>
      <c r="AA4745" s="799"/>
    </row>
    <row r="4746" spans="1:27" s="210" customFormat="1" ht="15.75" customHeight="1">
      <c r="A4746" s="203" t="str">
        <f>IF(B4746&lt;&gt;"",IF(AND(B4746&gt;=_TM1,B4746&lt;=_TM2,OR(TH!L4746="1111",TH!M4746="1111")),TH!D4746,""),"")</f>
        <v/>
      </c>
      <c r="B4746" s="36">
        <f t="shared" si="93"/>
        <v>9</v>
      </c>
      <c r="C4746" s="183">
        <f t="shared" si="94"/>
        <v>42277</v>
      </c>
      <c r="D4746" s="190" t="s">
        <v>2015</v>
      </c>
      <c r="E4746" s="190">
        <v>42277</v>
      </c>
      <c r="F4746" s="191" t="s">
        <v>1060</v>
      </c>
      <c r="G4746" s="482" t="s">
        <v>1058</v>
      </c>
      <c r="H4746" s="192" t="s">
        <v>2016</v>
      </c>
      <c r="I4746" s="255">
        <v>497</v>
      </c>
      <c r="J4746" s="255">
        <v>9474.9768081238017</v>
      </c>
      <c r="K4746" s="593">
        <f t="shared" si="95"/>
        <v>4709063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69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>x</v>
      </c>
      <c r="AA4746" s="799"/>
    </row>
    <row r="4747" spans="1:27" s="210" customFormat="1" ht="15.75" customHeight="1">
      <c r="A4747" s="203" t="str">
        <f>IF(B4747&lt;&gt;"",IF(AND(B4747&gt;=_TM1,B4747&lt;=_TM2,OR(TH!L4747="1111",TH!M4747="1111")),TH!D4747,""),"")</f>
        <v/>
      </c>
      <c r="B4747" s="36">
        <f t="shared" si="93"/>
        <v>9</v>
      </c>
      <c r="C4747" s="183">
        <f t="shared" si="94"/>
        <v>42277</v>
      </c>
      <c r="D4747" s="190" t="s">
        <v>2015</v>
      </c>
      <c r="E4747" s="190">
        <v>42277</v>
      </c>
      <c r="F4747" s="191" t="s">
        <v>1061</v>
      </c>
      <c r="G4747" s="482" t="s">
        <v>1058</v>
      </c>
      <c r="H4747" s="192" t="s">
        <v>2016</v>
      </c>
      <c r="I4747" s="255">
        <v>500</v>
      </c>
      <c r="J4747" s="255">
        <v>8190.2341900731171</v>
      </c>
      <c r="K4747" s="593">
        <f t="shared" si="95"/>
        <v>4095117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69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>x</v>
      </c>
      <c r="AA4747" s="799"/>
    </row>
    <row r="4748" spans="1:27" s="210" customFormat="1" ht="15.75" customHeight="1">
      <c r="A4748" s="203" t="str">
        <f>IF(B4748&lt;&gt;"",IF(AND(B4748&gt;=_TM1,B4748&lt;=_TM2,OR(TH!L4748="1111",TH!M4748="1111")),TH!D4748,""),"")</f>
        <v/>
      </c>
      <c r="B4748" s="36">
        <f t="shared" si="93"/>
        <v>9</v>
      </c>
      <c r="C4748" s="183">
        <f t="shared" si="94"/>
        <v>42277</v>
      </c>
      <c r="D4748" s="190" t="s">
        <v>2015</v>
      </c>
      <c r="E4748" s="190">
        <v>42277</v>
      </c>
      <c r="F4748" s="191" t="s">
        <v>1062</v>
      </c>
      <c r="G4748" s="482" t="s">
        <v>1063</v>
      </c>
      <c r="H4748" s="192" t="s">
        <v>2016</v>
      </c>
      <c r="I4748" s="255">
        <v>1000</v>
      </c>
      <c r="J4748" s="255">
        <v>5701.0453675999142</v>
      </c>
      <c r="K4748" s="593">
        <f t="shared" si="95"/>
        <v>5701045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69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>x</v>
      </c>
      <c r="AA4748" s="799"/>
    </row>
    <row r="4749" spans="1:27" s="836" customFormat="1" ht="15.75" customHeight="1">
      <c r="A4749" s="884" t="str">
        <f>IF(B4749&lt;&gt;"",IF(AND(B4749&gt;=_TM1,B4749&lt;=_TM2,OR(TH!L4749="1111",TH!M4749="1111")),TH!D4749,""),"")</f>
        <v/>
      </c>
      <c r="B4749" s="826">
        <f t="shared" si="93"/>
        <v>10</v>
      </c>
      <c r="C4749" s="827">
        <f t="shared" si="94"/>
        <v>42278</v>
      </c>
      <c r="D4749" s="828" t="s">
        <v>2015</v>
      </c>
      <c r="E4749" s="828">
        <v>42278</v>
      </c>
      <c r="F4749" s="829" t="s">
        <v>1948</v>
      </c>
      <c r="G4749" s="830" t="s">
        <v>1065</v>
      </c>
      <c r="H4749" s="838" t="s">
        <v>2016</v>
      </c>
      <c r="I4749" s="832">
        <v>20</v>
      </c>
      <c r="J4749" s="832">
        <v>9246.5105112078254</v>
      </c>
      <c r="K4749" s="833">
        <f t="shared" si="95"/>
        <v>184930</v>
      </c>
      <c r="L4749" s="886" t="s">
        <v>172</v>
      </c>
      <c r="M4749" s="886" t="s">
        <v>167</v>
      </c>
      <c r="N4749" s="52" t="str">
        <f>IF(AND('331-CT'!$E$7=TH!H4749,OR(L4749="331",M4749="331")),"331",IF(AND(OR(L4749="131",M4749="131"),H4749='131-CT'!$E$7),"131",""))</f>
        <v/>
      </c>
      <c r="O4749" s="869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/>
      </c>
      <c r="AA4749" s="835"/>
    </row>
    <row r="4750" spans="1:27" s="210" customFormat="1" ht="15.75" customHeight="1">
      <c r="A4750" s="203" t="str">
        <f>IF(B4750&lt;&gt;"",IF(AND(B4750&gt;=_TM1,B4750&lt;=_TM2,OR(TH!L4750="1111",TH!M4750="1111")),TH!D4750,""),"")</f>
        <v/>
      </c>
      <c r="B4750" s="36">
        <f t="shared" si="93"/>
        <v>10</v>
      </c>
      <c r="C4750" s="183">
        <f t="shared" si="94"/>
        <v>42278</v>
      </c>
      <c r="D4750" s="190" t="s">
        <v>2015</v>
      </c>
      <c r="E4750" s="190">
        <v>42278</v>
      </c>
      <c r="F4750" s="191" t="s">
        <v>1949</v>
      </c>
      <c r="G4750" s="482" t="s">
        <v>1065</v>
      </c>
      <c r="H4750" s="192" t="s">
        <v>2016</v>
      </c>
      <c r="I4750" s="255">
        <v>20</v>
      </c>
      <c r="J4750" s="255">
        <v>11334.432239545076</v>
      </c>
      <c r="K4750" s="593">
        <f t="shared" si="95"/>
        <v>226689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69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/>
      </c>
      <c r="AA4750" s="799"/>
    </row>
    <row r="4751" spans="1:27" s="210" customFormat="1" ht="15.75" customHeight="1">
      <c r="A4751" s="203" t="str">
        <f>IF(B4751&lt;&gt;"",IF(AND(B4751&gt;=_TM1,B4751&lt;=_TM2,OR(TH!L4751="1111",TH!M4751="1111")),TH!D4751,""),"")</f>
        <v/>
      </c>
      <c r="B4751" s="36">
        <f t="shared" si="93"/>
        <v>10</v>
      </c>
      <c r="C4751" s="183">
        <f t="shared" si="94"/>
        <v>42278</v>
      </c>
      <c r="D4751" s="190" t="s">
        <v>2015</v>
      </c>
      <c r="E4751" s="190">
        <v>42278</v>
      </c>
      <c r="F4751" s="191" t="s">
        <v>1952</v>
      </c>
      <c r="G4751" s="482" t="s">
        <v>1065</v>
      </c>
      <c r="H4751" s="192" t="s">
        <v>2016</v>
      </c>
      <c r="I4751" s="255">
        <v>50</v>
      </c>
      <c r="J4751" s="255">
        <v>9917.6282096019422</v>
      </c>
      <c r="K4751" s="593">
        <f t="shared" si="95"/>
        <v>495881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69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/>
      </c>
      <c r="AA4751" s="799"/>
    </row>
    <row r="4752" spans="1:27" s="210" customFormat="1" ht="15.75" customHeight="1">
      <c r="A4752" s="203" t="str">
        <f>IF(B4752&lt;&gt;"",IF(AND(B4752&gt;=_TM1,B4752&lt;=_TM2,OR(TH!L4752="1111",TH!M4752="1111")),TH!D4752,""),"")</f>
        <v/>
      </c>
      <c r="B4752" s="36">
        <f t="shared" si="93"/>
        <v>10</v>
      </c>
      <c r="C4752" s="183">
        <f t="shared" si="94"/>
        <v>42279</v>
      </c>
      <c r="D4752" s="190" t="s">
        <v>2015</v>
      </c>
      <c r="E4752" s="190">
        <v>42279</v>
      </c>
      <c r="F4752" s="191" t="s">
        <v>413</v>
      </c>
      <c r="G4752" s="482" t="s">
        <v>1066</v>
      </c>
      <c r="H4752" s="192" t="s">
        <v>2016</v>
      </c>
      <c r="I4752" s="255">
        <v>298</v>
      </c>
      <c r="J4752" s="255">
        <v>7084.0201497156722</v>
      </c>
      <c r="K4752" s="593">
        <f t="shared" si="95"/>
        <v>2111038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69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/>
      </c>
      <c r="AA4752" s="799"/>
    </row>
    <row r="4753" spans="1:27" s="210" customFormat="1" ht="15.75" customHeight="1">
      <c r="A4753" s="203" t="str">
        <f>IF(B4753&lt;&gt;"",IF(AND(B4753&gt;=_TM1,B4753&lt;=_TM2,OR(TH!L4753="1111",TH!M4753="1111")),TH!D4753,""),"")</f>
        <v/>
      </c>
      <c r="B4753" s="36">
        <f t="shared" si="93"/>
        <v>10</v>
      </c>
      <c r="C4753" s="183">
        <f t="shared" si="94"/>
        <v>42279</v>
      </c>
      <c r="D4753" s="190" t="s">
        <v>2015</v>
      </c>
      <c r="E4753" s="190">
        <v>42279</v>
      </c>
      <c r="F4753" s="191" t="s">
        <v>413</v>
      </c>
      <c r="G4753" s="482" t="s">
        <v>1066</v>
      </c>
      <c r="H4753" s="192" t="s">
        <v>2016</v>
      </c>
      <c r="I4753" s="255">
        <v>207</v>
      </c>
      <c r="J4753" s="255">
        <v>7084.0201497156722</v>
      </c>
      <c r="K4753" s="593">
        <f t="shared" si="95"/>
        <v>1466392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69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/>
      </c>
      <c r="AA4753" s="799"/>
    </row>
    <row r="4754" spans="1:27" s="210" customFormat="1" ht="15.75" customHeight="1">
      <c r="A4754" s="203" t="str">
        <f>IF(B4754&lt;&gt;"",IF(AND(B4754&gt;=_TM1,B4754&lt;=_TM2,OR(TH!L4754="1111",TH!M4754="1111")),TH!D4754,""),"")</f>
        <v/>
      </c>
      <c r="B4754" s="36">
        <f t="shared" si="93"/>
        <v>10</v>
      </c>
      <c r="C4754" s="183">
        <f t="shared" si="94"/>
        <v>42279</v>
      </c>
      <c r="D4754" s="190" t="s">
        <v>2015</v>
      </c>
      <c r="E4754" s="190">
        <v>42279</v>
      </c>
      <c r="F4754" s="191" t="s">
        <v>595</v>
      </c>
      <c r="G4754" s="482" t="s">
        <v>1067</v>
      </c>
      <c r="H4754" s="192" t="s">
        <v>2016</v>
      </c>
      <c r="I4754" s="255">
        <v>238</v>
      </c>
      <c r="J4754" s="255">
        <v>6934.8828834058695</v>
      </c>
      <c r="K4754" s="593">
        <f t="shared" si="95"/>
        <v>1650502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69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/>
      </c>
      <c r="AA4754" s="799"/>
    </row>
    <row r="4755" spans="1:27" s="210" customFormat="1" ht="15.75" customHeight="1">
      <c r="A4755" s="203" t="str">
        <f>IF(B4755&lt;&gt;"",IF(AND(B4755&gt;=_TM1,B4755&lt;=_TM2,OR(TH!L4755="1111",TH!M4755="1111")),TH!D4755,""),"")</f>
        <v/>
      </c>
      <c r="B4755" s="36">
        <f t="shared" si="93"/>
        <v>10</v>
      </c>
      <c r="C4755" s="183">
        <f t="shared" si="94"/>
        <v>42280</v>
      </c>
      <c r="D4755" s="190" t="s">
        <v>2015</v>
      </c>
      <c r="E4755" s="190">
        <v>42280</v>
      </c>
      <c r="F4755" s="191" t="s">
        <v>1948</v>
      </c>
      <c r="G4755" s="482" t="s">
        <v>1068</v>
      </c>
      <c r="H4755" s="192" t="s">
        <v>2016</v>
      </c>
      <c r="I4755" s="255">
        <v>2000</v>
      </c>
      <c r="J4755" s="255">
        <v>9246.5105112078254</v>
      </c>
      <c r="K4755" s="593">
        <f t="shared" si="95"/>
        <v>18493021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69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/>
      </c>
      <c r="AA4755" s="799"/>
    </row>
    <row r="4756" spans="1:27" s="210" customFormat="1" ht="15.75" customHeight="1">
      <c r="A4756" s="203" t="str">
        <f>IF(B4756&lt;&gt;"",IF(AND(B4756&gt;=_TM1,B4756&lt;=_TM2,OR(TH!L4756="1111",TH!M4756="1111")),TH!D4756,""),"")</f>
        <v/>
      </c>
      <c r="B4756" s="36">
        <f t="shared" si="93"/>
        <v>10</v>
      </c>
      <c r="C4756" s="183">
        <f t="shared" si="94"/>
        <v>42280</v>
      </c>
      <c r="D4756" s="190" t="s">
        <v>2015</v>
      </c>
      <c r="E4756" s="190">
        <v>42280</v>
      </c>
      <c r="F4756" s="191" t="s">
        <v>446</v>
      </c>
      <c r="G4756" s="482" t="s">
        <v>1069</v>
      </c>
      <c r="H4756" s="192" t="s">
        <v>2016</v>
      </c>
      <c r="I4756" s="255">
        <v>606</v>
      </c>
      <c r="J4756" s="255">
        <v>6785.7456170960659</v>
      </c>
      <c r="K4756" s="593">
        <f t="shared" si="95"/>
        <v>4112162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69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/>
      </c>
      <c r="AA4756" s="799"/>
    </row>
    <row r="4757" spans="1:27" s="210" customFormat="1" ht="15.75" customHeight="1">
      <c r="A4757" s="203" t="str">
        <f>IF(B4757&lt;&gt;"",IF(AND(B4757&gt;=_TM1,B4757&lt;=_TM2,OR(TH!L4757="1111",TH!M4757="1111")),TH!D4757,""),"")</f>
        <v/>
      </c>
      <c r="B4757" s="36">
        <f t="shared" si="93"/>
        <v>10</v>
      </c>
      <c r="C4757" s="183">
        <f t="shared" si="94"/>
        <v>42280</v>
      </c>
      <c r="D4757" s="190" t="s">
        <v>2015</v>
      </c>
      <c r="E4757" s="190">
        <v>42280</v>
      </c>
      <c r="F4757" s="191" t="s">
        <v>501</v>
      </c>
      <c r="G4757" s="482" t="s">
        <v>1069</v>
      </c>
      <c r="H4757" s="192" t="s">
        <v>2016</v>
      </c>
      <c r="I4757" s="255">
        <v>513</v>
      </c>
      <c r="J4757" s="255">
        <v>11781.844038474488</v>
      </c>
      <c r="K4757" s="593">
        <f t="shared" si="95"/>
        <v>6044086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69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/>
      </c>
      <c r="AA4757" s="799"/>
    </row>
    <row r="4758" spans="1:27" s="210" customFormat="1" ht="15.75" customHeight="1">
      <c r="A4758" s="203" t="str">
        <f>IF(B4758&lt;&gt;"",IF(AND(B4758&gt;=_TM1,B4758&lt;=_TM2,OR(TH!L4758="1111",TH!M4758="1111")),TH!D4758,""),"")</f>
        <v/>
      </c>
      <c r="B4758" s="36">
        <f t="shared" si="93"/>
        <v>10</v>
      </c>
      <c r="C4758" s="183">
        <f t="shared" si="94"/>
        <v>42280</v>
      </c>
      <c r="D4758" s="190" t="s">
        <v>2015</v>
      </c>
      <c r="E4758" s="190">
        <v>42280</v>
      </c>
      <c r="F4758" s="191" t="s">
        <v>1070</v>
      </c>
      <c r="G4758" s="482" t="s">
        <v>1069</v>
      </c>
      <c r="H4758" s="192" t="s">
        <v>2016</v>
      </c>
      <c r="I4758" s="255">
        <v>618</v>
      </c>
      <c r="J4758" s="255">
        <v>6040.0592855470477</v>
      </c>
      <c r="K4758" s="593">
        <f t="shared" si="95"/>
        <v>3732757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69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/>
      </c>
      <c r="AA4758" s="799"/>
    </row>
    <row r="4759" spans="1:27" s="210" customFormat="1" ht="15.75" customHeight="1">
      <c r="A4759" s="203" t="str">
        <f>IF(B4759&lt;&gt;"",IF(AND(B4759&gt;=_TM1,B4759&lt;=_TM2,OR(TH!L4759="1111",TH!M4759="1111")),TH!D4759,""),"")</f>
        <v/>
      </c>
      <c r="B4759" s="36">
        <f t="shared" si="93"/>
        <v>10</v>
      </c>
      <c r="C4759" s="183">
        <f t="shared" si="94"/>
        <v>42280</v>
      </c>
      <c r="D4759" s="190" t="s">
        <v>2015</v>
      </c>
      <c r="E4759" s="190">
        <v>42280</v>
      </c>
      <c r="F4759" s="191" t="s">
        <v>1796</v>
      </c>
      <c r="G4759" s="482" t="s">
        <v>1071</v>
      </c>
      <c r="H4759" s="192" t="s">
        <v>2016</v>
      </c>
      <c r="I4759" s="255">
        <v>1000</v>
      </c>
      <c r="J4759" s="255">
        <v>1267.6667636333309</v>
      </c>
      <c r="K4759" s="593">
        <f t="shared" si="95"/>
        <v>1267667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69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/>
      </c>
      <c r="AA4759" s="799"/>
    </row>
    <row r="4760" spans="1:27" s="210" customFormat="1" ht="15.75" customHeight="1">
      <c r="A4760" s="203" t="str">
        <f>IF(B4760&lt;&gt;"",IF(AND(B4760&gt;=_TM1,B4760&lt;=_TM2,OR(TH!L4760="1111",TH!M4760="1111")),TH!D4760,""),"")</f>
        <v/>
      </c>
      <c r="B4760" s="36">
        <f t="shared" si="93"/>
        <v>10</v>
      </c>
      <c r="C4760" s="183">
        <f t="shared" si="94"/>
        <v>42280</v>
      </c>
      <c r="D4760" s="190" t="s">
        <v>2015</v>
      </c>
      <c r="E4760" s="190">
        <v>42280</v>
      </c>
      <c r="F4760" s="191" t="s">
        <v>1797</v>
      </c>
      <c r="G4760" s="482" t="s">
        <v>1071</v>
      </c>
      <c r="H4760" s="192" t="s">
        <v>2016</v>
      </c>
      <c r="I4760" s="255">
        <v>155</v>
      </c>
      <c r="J4760" s="255">
        <v>8351.6869133490036</v>
      </c>
      <c r="K4760" s="593">
        <f t="shared" si="95"/>
        <v>1294511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69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/>
      </c>
      <c r="AA4760" s="799"/>
    </row>
    <row r="4761" spans="1:27" s="210" customFormat="1" ht="15.75" customHeight="1">
      <c r="A4761" s="203" t="str">
        <f>IF(B4761&lt;&gt;"",IF(AND(B4761&gt;=_TM1,B4761&lt;=_TM2,OR(TH!L4761="1111",TH!M4761="1111")),TH!D4761,""),"")</f>
        <v/>
      </c>
      <c r="B4761" s="36">
        <f t="shared" si="93"/>
        <v>10</v>
      </c>
      <c r="C4761" s="183">
        <f t="shared" si="94"/>
        <v>42280</v>
      </c>
      <c r="D4761" s="190" t="s">
        <v>2015</v>
      </c>
      <c r="E4761" s="190">
        <v>42280</v>
      </c>
      <c r="F4761" s="191" t="s">
        <v>1798</v>
      </c>
      <c r="G4761" s="482" t="s">
        <v>1071</v>
      </c>
      <c r="H4761" s="192" t="s">
        <v>2016</v>
      </c>
      <c r="I4761" s="255">
        <v>103</v>
      </c>
      <c r="J4761" s="255">
        <v>6711.1769839411636</v>
      </c>
      <c r="K4761" s="593">
        <f t="shared" si="95"/>
        <v>691251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69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/>
      </c>
      <c r="AA4761" s="799"/>
    </row>
    <row r="4762" spans="1:27" s="210" customFormat="1" ht="15.75" customHeight="1">
      <c r="A4762" s="203" t="str">
        <f>IF(B4762&lt;&gt;"",IF(AND(B4762&gt;=_TM1,B4762&lt;=_TM2,OR(TH!L4762="1111",TH!M4762="1111")),TH!D4762,""),"")</f>
        <v/>
      </c>
      <c r="B4762" s="36">
        <f t="shared" si="93"/>
        <v>10</v>
      </c>
      <c r="C4762" s="183">
        <f t="shared" si="94"/>
        <v>42280</v>
      </c>
      <c r="D4762" s="190" t="s">
        <v>2015</v>
      </c>
      <c r="E4762" s="190">
        <v>42280</v>
      </c>
      <c r="F4762" s="191" t="s">
        <v>1799</v>
      </c>
      <c r="G4762" s="482" t="s">
        <v>1071</v>
      </c>
      <c r="H4762" s="192" t="s">
        <v>2016</v>
      </c>
      <c r="I4762" s="255">
        <v>250</v>
      </c>
      <c r="J4762" s="255">
        <v>11259.863606390174</v>
      </c>
      <c r="K4762" s="593">
        <f t="shared" si="95"/>
        <v>2814966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69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/>
      </c>
      <c r="AA4762" s="799"/>
    </row>
    <row r="4763" spans="1:27" s="210" customFormat="1" ht="15.75" customHeight="1">
      <c r="A4763" s="203" t="str">
        <f>IF(B4763&lt;&gt;"",IF(AND(B4763&gt;=_TM1,B4763&lt;=_TM2,OR(TH!L4763="1111",TH!M4763="1111")),TH!D4763,""),"")</f>
        <v/>
      </c>
      <c r="B4763" s="36">
        <f t="shared" si="93"/>
        <v>10</v>
      </c>
      <c r="C4763" s="183">
        <f t="shared" si="94"/>
        <v>42280</v>
      </c>
      <c r="D4763" s="190" t="s">
        <v>2015</v>
      </c>
      <c r="E4763" s="190">
        <v>42280</v>
      </c>
      <c r="F4763" s="191" t="s">
        <v>1800</v>
      </c>
      <c r="G4763" s="482" t="s">
        <v>1071</v>
      </c>
      <c r="H4763" s="192" t="s">
        <v>2016</v>
      </c>
      <c r="I4763" s="255">
        <v>59</v>
      </c>
      <c r="J4763" s="255">
        <v>17523.628791401927</v>
      </c>
      <c r="K4763" s="593">
        <f t="shared" si="95"/>
        <v>1033894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69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/>
      </c>
      <c r="AA4763" s="799"/>
    </row>
    <row r="4764" spans="1:27" s="210" customFormat="1" ht="15.75" customHeight="1">
      <c r="A4764" s="203" t="str">
        <f>IF(B4764&lt;&gt;"",IF(AND(B4764&gt;=_TM1,B4764&lt;=_TM2,OR(TH!L4764="1111",TH!M4764="1111")),TH!D4764,""),"")</f>
        <v/>
      </c>
      <c r="B4764" s="36">
        <f t="shared" si="93"/>
        <v>10</v>
      </c>
      <c r="C4764" s="183">
        <f t="shared" si="94"/>
        <v>42282</v>
      </c>
      <c r="D4764" s="190" t="s">
        <v>2015</v>
      </c>
      <c r="E4764" s="190">
        <v>42282</v>
      </c>
      <c r="F4764" s="191" t="s">
        <v>1072</v>
      </c>
      <c r="G4764" s="482" t="s">
        <v>1073</v>
      </c>
      <c r="H4764" s="192" t="s">
        <v>2016</v>
      </c>
      <c r="I4764" s="255">
        <v>110</v>
      </c>
      <c r="J4764" s="255">
        <v>9246.5105112078254</v>
      </c>
      <c r="K4764" s="593">
        <f t="shared" si="95"/>
        <v>1017116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69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/>
      </c>
      <c r="AA4764" s="799"/>
    </row>
    <row r="4765" spans="1:27" s="210" customFormat="1" ht="15.75" customHeight="1">
      <c r="A4765" s="203" t="str">
        <f>IF(B4765&lt;&gt;"",IF(AND(B4765&gt;=_TM1,B4765&lt;=_TM2,OR(TH!L4765="1111",TH!M4765="1111")),TH!D4765,""),"")</f>
        <v/>
      </c>
      <c r="B4765" s="36">
        <f t="shared" si="93"/>
        <v>10</v>
      </c>
      <c r="C4765" s="183">
        <f t="shared" si="94"/>
        <v>42282</v>
      </c>
      <c r="D4765" s="190" t="s">
        <v>2015</v>
      </c>
      <c r="E4765" s="190">
        <v>42282</v>
      </c>
      <c r="F4765" s="191" t="s">
        <v>602</v>
      </c>
      <c r="G4765" s="482" t="s">
        <v>1073</v>
      </c>
      <c r="H4765" s="192" t="s">
        <v>2016</v>
      </c>
      <c r="I4765" s="255">
        <v>967</v>
      </c>
      <c r="J4765" s="255">
        <v>9395.6477775176299</v>
      </c>
      <c r="K4765" s="593">
        <f t="shared" si="95"/>
        <v>9085591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69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/>
      </c>
      <c r="AA4765" s="799"/>
    </row>
    <row r="4766" spans="1:27" s="210" customFormat="1" ht="15.75" customHeight="1">
      <c r="A4766" s="203" t="str">
        <f>IF(B4766&lt;&gt;"",IF(AND(B4766&gt;=_TM1,B4766&lt;=_TM2,OR(TH!L4766="1111",TH!M4766="1111")),TH!D4766,""),"")</f>
        <v/>
      </c>
      <c r="B4766" s="36">
        <f t="shared" si="93"/>
        <v>10</v>
      </c>
      <c r="C4766" s="183">
        <f t="shared" si="94"/>
        <v>42282</v>
      </c>
      <c r="D4766" s="190" t="s">
        <v>2015</v>
      </c>
      <c r="E4766" s="190">
        <v>42282</v>
      </c>
      <c r="F4766" s="191" t="s">
        <v>727</v>
      </c>
      <c r="G4766" s="482" t="s">
        <v>1074</v>
      </c>
      <c r="H4766" s="192" t="s">
        <v>2016</v>
      </c>
      <c r="I4766" s="255">
        <v>167</v>
      </c>
      <c r="J4766" s="255">
        <v>7307.7260491803781</v>
      </c>
      <c r="K4766" s="593">
        <f t="shared" si="95"/>
        <v>1220390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69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/>
      </c>
      <c r="AA4766" s="799"/>
    </row>
    <row r="4767" spans="1:27" s="210" customFormat="1" ht="15.75" customHeight="1">
      <c r="A4767" s="203" t="str">
        <f>IF(B4767&lt;&gt;"",IF(AND(B4767&gt;=_TM1,B4767&lt;=_TM2,OR(TH!L4767="1111",TH!M4767="1111")),TH!D4767,""),"")</f>
        <v/>
      </c>
      <c r="B4767" s="36">
        <f t="shared" si="93"/>
        <v>10</v>
      </c>
      <c r="C4767" s="183">
        <f t="shared" si="94"/>
        <v>42282</v>
      </c>
      <c r="D4767" s="190" t="s">
        <v>2015</v>
      </c>
      <c r="E4767" s="190">
        <v>42282</v>
      </c>
      <c r="F4767" s="191" t="s">
        <v>1780</v>
      </c>
      <c r="G4767" s="482" t="s">
        <v>1074</v>
      </c>
      <c r="H4767" s="192" t="s">
        <v>2016</v>
      </c>
      <c r="I4767" s="255">
        <v>105</v>
      </c>
      <c r="J4767" s="255">
        <v>6487.4710844764577</v>
      </c>
      <c r="K4767" s="593">
        <f t="shared" si="95"/>
        <v>681184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69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/>
      </c>
      <c r="AA4767" s="799"/>
    </row>
    <row r="4768" spans="1:27" s="210" customFormat="1" ht="15.75" customHeight="1">
      <c r="A4768" s="203" t="str">
        <f>IF(B4768&lt;&gt;"",IF(AND(B4768&gt;=_TM1,B4768&lt;=_TM2,OR(TH!L4768="1111",TH!M4768="1111")),TH!D4768,""),"")</f>
        <v/>
      </c>
      <c r="B4768" s="36">
        <f t="shared" si="93"/>
        <v>10</v>
      </c>
      <c r="C4768" s="183">
        <f t="shared" si="94"/>
        <v>42282</v>
      </c>
      <c r="D4768" s="190" t="s">
        <v>2015</v>
      </c>
      <c r="E4768" s="190">
        <v>42282</v>
      </c>
      <c r="F4768" s="191" t="s">
        <v>1777</v>
      </c>
      <c r="G4768" s="482" t="s">
        <v>1074</v>
      </c>
      <c r="H4768" s="192" t="s">
        <v>2016</v>
      </c>
      <c r="I4768" s="255">
        <v>147</v>
      </c>
      <c r="J4768" s="255">
        <v>11781.844038474488</v>
      </c>
      <c r="K4768" s="593">
        <f t="shared" si="95"/>
        <v>1731931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69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/>
      </c>
      <c r="AA4768" s="799"/>
    </row>
    <row r="4769" spans="1:27" s="210" customFormat="1" ht="15.75" customHeight="1">
      <c r="A4769" s="203" t="str">
        <f>IF(B4769&lt;&gt;"",IF(AND(B4769&gt;=_TM1,B4769&lt;=_TM2,OR(TH!L4769="1111",TH!M4769="1111")),TH!D4769,""),"")</f>
        <v/>
      </c>
      <c r="B4769" s="36">
        <f t="shared" si="93"/>
        <v>10</v>
      </c>
      <c r="C4769" s="183">
        <f t="shared" si="94"/>
        <v>42282</v>
      </c>
      <c r="D4769" s="190" t="s">
        <v>2015</v>
      </c>
      <c r="E4769" s="190">
        <v>42282</v>
      </c>
      <c r="F4769" s="191" t="s">
        <v>1801</v>
      </c>
      <c r="G4769" s="482" t="s">
        <v>1074</v>
      </c>
      <c r="H4769" s="192" t="s">
        <v>2016</v>
      </c>
      <c r="I4769" s="255">
        <v>100</v>
      </c>
      <c r="J4769" s="255">
        <v>5965.4906523921454</v>
      </c>
      <c r="K4769" s="593">
        <f t="shared" si="95"/>
        <v>596549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69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/>
      </c>
      <c r="AA4769" s="799"/>
    </row>
    <row r="4770" spans="1:27" s="210" customFormat="1" ht="15.75" customHeight="1">
      <c r="A4770" s="203" t="str">
        <f>IF(B4770&lt;&gt;"",IF(AND(B4770&gt;=_TM1,B4770&lt;=_TM2,OR(TH!L4770="1111",TH!M4770="1111")),TH!D4770,""),"")</f>
        <v/>
      </c>
      <c r="B4770" s="36">
        <f t="shared" si="93"/>
        <v>10</v>
      </c>
      <c r="C4770" s="183">
        <f t="shared" si="94"/>
        <v>42282</v>
      </c>
      <c r="D4770" s="190" t="s">
        <v>2015</v>
      </c>
      <c r="E4770" s="190">
        <v>42282</v>
      </c>
      <c r="F4770" s="191" t="s">
        <v>1747</v>
      </c>
      <c r="G4770" s="482" t="s">
        <v>1074</v>
      </c>
      <c r="H4770" s="192" t="s">
        <v>2016</v>
      </c>
      <c r="I4770" s="255">
        <v>110</v>
      </c>
      <c r="J4770" s="255">
        <v>5294.3729539980286</v>
      </c>
      <c r="K4770" s="593">
        <f t="shared" si="95"/>
        <v>582381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69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/>
      </c>
      <c r="AA4770" s="799"/>
    </row>
    <row r="4771" spans="1:27" s="210" customFormat="1" ht="15.75" customHeight="1">
      <c r="A4771" s="203" t="str">
        <f>IF(B4771&lt;&gt;"",IF(AND(B4771&gt;=_TM1,B4771&lt;=_TM2,OR(TH!L4771="1111",TH!M4771="1111")),TH!D4771,""),"")</f>
        <v/>
      </c>
      <c r="B4771" s="36">
        <f t="shared" si="93"/>
        <v>10</v>
      </c>
      <c r="C4771" s="183">
        <f t="shared" si="94"/>
        <v>42283</v>
      </c>
      <c r="D4771" s="190" t="s">
        <v>2015</v>
      </c>
      <c r="E4771" s="190">
        <v>42283</v>
      </c>
      <c r="F4771" s="191" t="s">
        <v>1075</v>
      </c>
      <c r="G4771" s="482" t="s">
        <v>1076</v>
      </c>
      <c r="H4771" s="192" t="s">
        <v>2016</v>
      </c>
      <c r="I4771" s="255">
        <v>998</v>
      </c>
      <c r="J4771" s="255">
        <v>8799.0987122784136</v>
      </c>
      <c r="K4771" s="593">
        <f t="shared" si="95"/>
        <v>8781501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69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/>
      </c>
      <c r="AA4771" s="799"/>
    </row>
    <row r="4772" spans="1:27" s="210" customFormat="1" ht="15.75" customHeight="1">
      <c r="A4772" s="203" t="str">
        <f>IF(B4772&lt;&gt;"",IF(AND(B4772&gt;=_TM1,B4772&lt;=_TM2,OR(TH!L4772="1111",TH!M4772="1111")),TH!D4772,""),"")</f>
        <v/>
      </c>
      <c r="B4772" s="36">
        <f t="shared" si="93"/>
        <v>10</v>
      </c>
      <c r="C4772" s="183">
        <f t="shared" si="94"/>
        <v>42283</v>
      </c>
      <c r="D4772" s="190" t="s">
        <v>2015</v>
      </c>
      <c r="E4772" s="190">
        <v>42283</v>
      </c>
      <c r="F4772" s="191" t="s">
        <v>409</v>
      </c>
      <c r="G4772" s="482" t="s">
        <v>1077</v>
      </c>
      <c r="H4772" s="192" t="s">
        <v>2016</v>
      </c>
      <c r="I4772" s="255">
        <v>4110</v>
      </c>
      <c r="J4772" s="255">
        <v>5518.0788534627345</v>
      </c>
      <c r="K4772" s="593">
        <f t="shared" si="95"/>
        <v>22679304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69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/>
      </c>
      <c r="AA4772" s="799"/>
    </row>
    <row r="4773" spans="1:27" s="210" customFormat="1" ht="15.75" customHeight="1">
      <c r="A4773" s="203" t="str">
        <f>IF(B4773&lt;&gt;"",IF(AND(B4773&gt;=_TM1,B4773&lt;=_TM2,OR(TH!L4773="1111",TH!M4773="1111")),TH!D4773,""),"")</f>
        <v/>
      </c>
      <c r="B4773" s="36">
        <f t="shared" si="93"/>
        <v>10</v>
      </c>
      <c r="C4773" s="183">
        <f t="shared" si="94"/>
        <v>42285</v>
      </c>
      <c r="D4773" s="190" t="s">
        <v>2015</v>
      </c>
      <c r="E4773" s="190">
        <v>42285</v>
      </c>
      <c r="F4773" s="191" t="s">
        <v>1948</v>
      </c>
      <c r="G4773" s="482" t="s">
        <v>1078</v>
      </c>
      <c r="H4773" s="192" t="s">
        <v>2016</v>
      </c>
      <c r="I4773" s="255">
        <v>20</v>
      </c>
      <c r="J4773" s="255">
        <v>9246.5105112078254</v>
      </c>
      <c r="K4773" s="593">
        <f t="shared" si="95"/>
        <v>184930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69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/>
      </c>
      <c r="AA4773" s="799"/>
    </row>
    <row r="4774" spans="1:27" s="210" customFormat="1" ht="15.75" customHeight="1">
      <c r="A4774" s="203" t="str">
        <f>IF(B4774&lt;&gt;"",IF(AND(B4774&gt;=_TM1,B4774&lt;=_TM2,OR(TH!L4774="1111",TH!M4774="1111")),TH!D4774,""),"")</f>
        <v/>
      </c>
      <c r="B4774" s="36">
        <f t="shared" si="93"/>
        <v>10</v>
      </c>
      <c r="C4774" s="183">
        <f t="shared" si="94"/>
        <v>42285</v>
      </c>
      <c r="D4774" s="190" t="s">
        <v>2015</v>
      </c>
      <c r="E4774" s="190">
        <v>42285</v>
      </c>
      <c r="F4774" s="191" t="s">
        <v>1949</v>
      </c>
      <c r="G4774" s="482" t="s">
        <v>1078</v>
      </c>
      <c r="H4774" s="192" t="s">
        <v>2016</v>
      </c>
      <c r="I4774" s="255">
        <v>20</v>
      </c>
      <c r="J4774" s="255">
        <v>11334.432239545076</v>
      </c>
      <c r="K4774" s="593">
        <f t="shared" si="95"/>
        <v>226689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69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/>
      </c>
      <c r="AA4774" s="799"/>
    </row>
    <row r="4775" spans="1:27" s="210" customFormat="1" ht="15.75" customHeight="1">
      <c r="A4775" s="203" t="str">
        <f>IF(B4775&lt;&gt;"",IF(AND(B4775&gt;=_TM1,B4775&lt;=_TM2,OR(TH!L4775="1111",TH!M4775="1111")),TH!D4775,""),"")</f>
        <v/>
      </c>
      <c r="B4775" s="36">
        <f t="shared" si="93"/>
        <v>10</v>
      </c>
      <c r="C4775" s="183">
        <f t="shared" si="94"/>
        <v>42285</v>
      </c>
      <c r="D4775" s="190" t="s">
        <v>2015</v>
      </c>
      <c r="E4775" s="190">
        <v>42285</v>
      </c>
      <c r="F4775" s="191" t="s">
        <v>1950</v>
      </c>
      <c r="G4775" s="482" t="s">
        <v>1078</v>
      </c>
      <c r="H4775" s="192" t="s">
        <v>2016</v>
      </c>
      <c r="I4775" s="255">
        <v>50</v>
      </c>
      <c r="J4775" s="255">
        <v>8127.9810138842986</v>
      </c>
      <c r="K4775" s="593">
        <f t="shared" si="95"/>
        <v>406399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69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/>
      </c>
      <c r="AA4775" s="799"/>
    </row>
    <row r="4776" spans="1:27" s="210" customFormat="1" ht="15.75" customHeight="1">
      <c r="A4776" s="203" t="str">
        <f>IF(B4776&lt;&gt;"",IF(AND(B4776&gt;=_TM1,B4776&lt;=_TM2,OR(TH!L4776="1111",TH!M4776="1111")),TH!D4776,""),"")</f>
        <v/>
      </c>
      <c r="B4776" s="36">
        <f t="shared" si="93"/>
        <v>10</v>
      </c>
      <c r="C4776" s="183">
        <f t="shared" si="94"/>
        <v>42285</v>
      </c>
      <c r="D4776" s="190" t="s">
        <v>2015</v>
      </c>
      <c r="E4776" s="190">
        <v>42285</v>
      </c>
      <c r="F4776" s="191" t="s">
        <v>1951</v>
      </c>
      <c r="G4776" s="482" t="s">
        <v>1078</v>
      </c>
      <c r="H4776" s="192" t="s">
        <v>2016</v>
      </c>
      <c r="I4776" s="255">
        <v>20</v>
      </c>
      <c r="J4776" s="255">
        <v>9022.8046117431204</v>
      </c>
      <c r="K4776" s="593">
        <f t="shared" si="95"/>
        <v>180456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69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/>
      </c>
      <c r="AA4776" s="799"/>
    </row>
    <row r="4777" spans="1:27" s="210" customFormat="1" ht="15.75" customHeight="1">
      <c r="A4777" s="203" t="str">
        <f>IF(B4777&lt;&gt;"",IF(AND(B4777&gt;=_TM1,B4777&lt;=_TM2,OR(TH!L4777="1111",TH!M4777="1111")),TH!D4777,""),"")</f>
        <v/>
      </c>
      <c r="B4777" s="36">
        <f t="shared" si="93"/>
        <v>10</v>
      </c>
      <c r="C4777" s="183">
        <f t="shared" si="94"/>
        <v>42285</v>
      </c>
      <c r="D4777" s="190" t="s">
        <v>2015</v>
      </c>
      <c r="E4777" s="190">
        <v>42285</v>
      </c>
      <c r="F4777" s="191" t="s">
        <v>1952</v>
      </c>
      <c r="G4777" s="482" t="s">
        <v>1078</v>
      </c>
      <c r="H4777" s="192" t="s">
        <v>2016</v>
      </c>
      <c r="I4777" s="255">
        <v>50</v>
      </c>
      <c r="J4777" s="255">
        <v>9917.6282096019422</v>
      </c>
      <c r="K4777" s="593">
        <f t="shared" si="95"/>
        <v>495881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69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/>
      </c>
      <c r="AA4777" s="799"/>
    </row>
    <row r="4778" spans="1:27" s="210" customFormat="1" ht="15.75" customHeight="1">
      <c r="A4778" s="203" t="str">
        <f>IF(B4778&lt;&gt;"",IF(AND(B4778&gt;=_TM1,B4778&lt;=_TM2,OR(TH!L4778="1111",TH!M4778="1111")),TH!D4778,""),"")</f>
        <v/>
      </c>
      <c r="B4778" s="36">
        <f t="shared" si="93"/>
        <v>10</v>
      </c>
      <c r="C4778" s="183">
        <f t="shared" si="94"/>
        <v>42285</v>
      </c>
      <c r="D4778" s="190" t="s">
        <v>2015</v>
      </c>
      <c r="E4778" s="190">
        <v>42285</v>
      </c>
      <c r="F4778" s="191" t="s">
        <v>398</v>
      </c>
      <c r="G4778" s="482" t="s">
        <v>1079</v>
      </c>
      <c r="H4778" s="192" t="s">
        <v>2016</v>
      </c>
      <c r="I4778" s="255">
        <v>919</v>
      </c>
      <c r="J4778" s="255">
        <v>6114.6279187019491</v>
      </c>
      <c r="K4778" s="593">
        <f t="shared" si="95"/>
        <v>5619343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69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/>
      </c>
      <c r="AA4778" s="799"/>
    </row>
    <row r="4779" spans="1:27" s="210" customFormat="1" ht="15.75" customHeight="1">
      <c r="A4779" s="203" t="str">
        <f>IF(B4779&lt;&gt;"",IF(AND(B4779&gt;=_TM1,B4779&lt;=_TM2,OR(TH!L4779="1111",TH!M4779="1111")),TH!D4779,""),"")</f>
        <v/>
      </c>
      <c r="B4779" s="36">
        <f t="shared" si="93"/>
        <v>10</v>
      </c>
      <c r="C4779" s="183">
        <f t="shared" si="94"/>
        <v>42285</v>
      </c>
      <c r="D4779" s="190" t="s">
        <v>2015</v>
      </c>
      <c r="E4779" s="190">
        <v>42285</v>
      </c>
      <c r="F4779" s="191" t="s">
        <v>919</v>
      </c>
      <c r="G4779" s="482" t="s">
        <v>1079</v>
      </c>
      <c r="H4779" s="192" t="s">
        <v>2016</v>
      </c>
      <c r="I4779" s="255">
        <v>311</v>
      </c>
      <c r="J4779" s="255">
        <v>6711.1769839411636</v>
      </c>
      <c r="K4779" s="593">
        <f t="shared" si="95"/>
        <v>2087176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69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/>
      </c>
      <c r="AA4779" s="799"/>
    </row>
    <row r="4780" spans="1:27" s="210" customFormat="1" ht="15.75" customHeight="1">
      <c r="A4780" s="203" t="str">
        <f>IF(B4780&lt;&gt;"",IF(AND(B4780&gt;=_TM1,B4780&lt;=_TM2,OR(TH!L4780="1111",TH!M4780="1111")),TH!D4780,""),"")</f>
        <v/>
      </c>
      <c r="B4780" s="36">
        <f t="shared" si="93"/>
        <v>10</v>
      </c>
      <c r="C4780" s="183">
        <f t="shared" si="94"/>
        <v>42286</v>
      </c>
      <c r="D4780" s="190" t="s">
        <v>2015</v>
      </c>
      <c r="E4780" s="190">
        <v>42286</v>
      </c>
      <c r="F4780" s="191" t="s">
        <v>518</v>
      </c>
      <c r="G4780" s="482" t="s">
        <v>1080</v>
      </c>
      <c r="H4780" s="192" t="s">
        <v>2016</v>
      </c>
      <c r="I4780" s="255">
        <v>485</v>
      </c>
      <c r="J4780" s="255">
        <v>7755.137848109789</v>
      </c>
      <c r="K4780" s="593">
        <f t="shared" si="95"/>
        <v>3761242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69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/>
      </c>
      <c r="AA4780" s="799"/>
    </row>
    <row r="4781" spans="1:27" s="210" customFormat="1" ht="15.75" customHeight="1">
      <c r="A4781" s="203" t="str">
        <f>IF(B4781&lt;&gt;"",IF(AND(B4781&gt;=_TM1,B4781&lt;=_TM2,OR(TH!L4781="1111",TH!M4781="1111")),TH!D4781,""),"")</f>
        <v/>
      </c>
      <c r="B4781" s="36">
        <f t="shared" si="93"/>
        <v>10</v>
      </c>
      <c r="C4781" s="183">
        <f t="shared" si="94"/>
        <v>42286</v>
      </c>
      <c r="D4781" s="190" t="s">
        <v>2015</v>
      </c>
      <c r="E4781" s="190">
        <v>42286</v>
      </c>
      <c r="F4781" s="191" t="s">
        <v>1676</v>
      </c>
      <c r="G4781" s="482" t="s">
        <v>1080</v>
      </c>
      <c r="H4781" s="192" t="s">
        <v>2016</v>
      </c>
      <c r="I4781" s="255">
        <v>1000</v>
      </c>
      <c r="J4781" s="255">
        <v>1043.9608641686254</v>
      </c>
      <c r="K4781" s="593">
        <f t="shared" si="95"/>
        <v>1043961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69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/>
      </c>
      <c r="AA4781" s="799"/>
    </row>
    <row r="4782" spans="1:27" s="210" customFormat="1" ht="15.75" customHeight="1">
      <c r="A4782" s="203" t="str">
        <f>IF(B4782&lt;&gt;"",IF(AND(B4782&gt;=_TM1,B4782&lt;=_TM2,OR(TH!L4782="1111",TH!M4782="1111")),TH!D4782,""),"")</f>
        <v/>
      </c>
      <c r="B4782" s="36">
        <f t="shared" si="93"/>
        <v>10</v>
      </c>
      <c r="C4782" s="183">
        <f t="shared" si="94"/>
        <v>42286</v>
      </c>
      <c r="D4782" s="190" t="s">
        <v>2015</v>
      </c>
      <c r="E4782" s="190">
        <v>42286</v>
      </c>
      <c r="F4782" s="191" t="s">
        <v>952</v>
      </c>
      <c r="G4782" s="482" t="s">
        <v>1081</v>
      </c>
      <c r="H4782" s="192" t="s">
        <v>2016</v>
      </c>
      <c r="I4782" s="255">
        <v>157</v>
      </c>
      <c r="J4782" s="255">
        <v>24011.099875878386</v>
      </c>
      <c r="K4782" s="593">
        <f t="shared" si="95"/>
        <v>3769743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69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/>
      </c>
      <c r="AA4782" s="799"/>
    </row>
    <row r="4783" spans="1:27" s="210" customFormat="1" ht="15.75" customHeight="1">
      <c r="A4783" s="203" t="str">
        <f>IF(B4783&lt;&gt;"",IF(AND(B4783&gt;=_TM1,B4783&lt;=_TM2,OR(TH!L4783="1111",TH!M4783="1111")),TH!D4783,""),"")</f>
        <v/>
      </c>
      <c r="B4783" s="36">
        <f t="shared" si="93"/>
        <v>10</v>
      </c>
      <c r="C4783" s="183">
        <f t="shared" si="94"/>
        <v>42286</v>
      </c>
      <c r="D4783" s="190" t="s">
        <v>2015</v>
      </c>
      <c r="E4783" s="190">
        <v>42286</v>
      </c>
      <c r="F4783" s="191" t="s">
        <v>1802</v>
      </c>
      <c r="G4783" s="482" t="s">
        <v>1082</v>
      </c>
      <c r="H4783" s="192" t="s">
        <v>2016</v>
      </c>
      <c r="I4783" s="255">
        <v>200</v>
      </c>
      <c r="J4783" s="255">
        <v>6934.8828834058695</v>
      </c>
      <c r="K4783" s="593">
        <f t="shared" si="95"/>
        <v>1386977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69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/>
      </c>
      <c r="AA4783" s="799"/>
    </row>
    <row r="4784" spans="1:27" s="210" customFormat="1" ht="15.75" customHeight="1">
      <c r="A4784" s="203" t="str">
        <f>IF(B4784&lt;&gt;"",IF(AND(B4784&gt;=_TM1,B4784&lt;=_TM2,OR(TH!L4784="1111",TH!M4784="1111")),TH!D4784,""),"")</f>
        <v/>
      </c>
      <c r="B4784" s="36">
        <f t="shared" si="93"/>
        <v>10</v>
      </c>
      <c r="C4784" s="183">
        <f t="shared" si="94"/>
        <v>42286</v>
      </c>
      <c r="D4784" s="190" t="s">
        <v>2015</v>
      </c>
      <c r="E4784" s="190">
        <v>42286</v>
      </c>
      <c r="F4784" s="191" t="s">
        <v>1803</v>
      </c>
      <c r="G4784" s="482" t="s">
        <v>1082</v>
      </c>
      <c r="H4784" s="192" t="s">
        <v>2016</v>
      </c>
      <c r="I4784" s="255">
        <v>10</v>
      </c>
      <c r="J4784" s="255">
        <v>18343.883756105846</v>
      </c>
      <c r="K4784" s="593">
        <f t="shared" si="95"/>
        <v>183439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69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/>
      </c>
      <c r="AA4784" s="799"/>
    </row>
    <row r="4785" spans="1:27" s="210" customFormat="1" ht="15.75" customHeight="1">
      <c r="A4785" s="203" t="str">
        <f>IF(B4785&lt;&gt;"",IF(AND(B4785&gt;=_TM1,B4785&lt;=_TM2,OR(TH!L4785="1111",TH!M4785="1111")),TH!D4785,""),"")</f>
        <v/>
      </c>
      <c r="B4785" s="36">
        <f t="shared" si="93"/>
        <v>10</v>
      </c>
      <c r="C4785" s="183">
        <f t="shared" si="94"/>
        <v>42286</v>
      </c>
      <c r="D4785" s="190" t="s">
        <v>2015</v>
      </c>
      <c r="E4785" s="190">
        <v>42286</v>
      </c>
      <c r="F4785" s="191" t="s">
        <v>1804</v>
      </c>
      <c r="G4785" s="482" t="s">
        <v>1082</v>
      </c>
      <c r="H4785" s="192" t="s">
        <v>2016</v>
      </c>
      <c r="I4785" s="255">
        <v>55</v>
      </c>
      <c r="J4785" s="255">
        <v>18716.726921880356</v>
      </c>
      <c r="K4785" s="593">
        <f t="shared" si="95"/>
        <v>1029420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69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/>
      </c>
      <c r="AA4785" s="799"/>
    </row>
    <row r="4786" spans="1:27" s="210" customFormat="1" ht="15.75" customHeight="1">
      <c r="A4786" s="203" t="str">
        <f>IF(B4786&lt;&gt;"",IF(AND(B4786&gt;=_TM1,B4786&lt;=_TM2,OR(TH!L4786="1111",TH!M4786="1111")),TH!D4786,""),"")</f>
        <v/>
      </c>
      <c r="B4786" s="36">
        <f t="shared" si="93"/>
        <v>10</v>
      </c>
      <c r="C4786" s="183">
        <f t="shared" si="94"/>
        <v>42286</v>
      </c>
      <c r="D4786" s="190" t="s">
        <v>2015</v>
      </c>
      <c r="E4786" s="190">
        <v>42286</v>
      </c>
      <c r="F4786" s="191" t="s">
        <v>742</v>
      </c>
      <c r="G4786" s="482" t="s">
        <v>1082</v>
      </c>
      <c r="H4786" s="192" t="s">
        <v>2016</v>
      </c>
      <c r="I4786" s="255">
        <v>105</v>
      </c>
      <c r="J4786" s="255">
        <v>14615.452098360756</v>
      </c>
      <c r="K4786" s="593">
        <f t="shared" si="95"/>
        <v>1534622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69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/>
      </c>
      <c r="AA4786" s="799"/>
    </row>
    <row r="4787" spans="1:27" s="210" customFormat="1" ht="15.75" customHeight="1">
      <c r="A4787" s="203" t="str">
        <f>IF(B4787&lt;&gt;"",IF(AND(B4787&gt;=_TM1,B4787&lt;=_TM2,OR(TH!L4787="1111",TH!M4787="1111")),TH!D4787,""),"")</f>
        <v/>
      </c>
      <c r="B4787" s="36">
        <f t="shared" si="93"/>
        <v>10</v>
      </c>
      <c r="C4787" s="183">
        <f t="shared" si="94"/>
        <v>42287</v>
      </c>
      <c r="D4787" s="190" t="s">
        <v>2015</v>
      </c>
      <c r="E4787" s="190">
        <v>42287</v>
      </c>
      <c r="F4787" s="191" t="s">
        <v>1083</v>
      </c>
      <c r="G4787" s="482" t="s">
        <v>1084</v>
      </c>
      <c r="H4787" s="192" t="s">
        <v>2016</v>
      </c>
      <c r="I4787" s="255">
        <v>710</v>
      </c>
      <c r="J4787" s="255">
        <v>13273.216701572524</v>
      </c>
      <c r="K4787" s="593">
        <f t="shared" si="95"/>
        <v>9423984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69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/>
      </c>
      <c r="AA4787" s="799"/>
    </row>
    <row r="4788" spans="1:27" s="210" customFormat="1" ht="15.75" customHeight="1">
      <c r="A4788" s="203" t="str">
        <f>IF(B4788&lt;&gt;"",IF(AND(B4788&gt;=_TM1,B4788&lt;=_TM2,OR(TH!L4788="1111",TH!M4788="1111")),TH!D4788,""),"")</f>
        <v/>
      </c>
      <c r="B4788" s="36">
        <f t="shared" si="93"/>
        <v>10</v>
      </c>
      <c r="C4788" s="183">
        <f t="shared" si="94"/>
        <v>42287</v>
      </c>
      <c r="D4788" s="190" t="s">
        <v>2015</v>
      </c>
      <c r="E4788" s="190">
        <v>42287</v>
      </c>
      <c r="F4788" s="191" t="s">
        <v>1691</v>
      </c>
      <c r="G4788" s="482" t="s">
        <v>1085</v>
      </c>
      <c r="H4788" s="192" t="s">
        <v>2016</v>
      </c>
      <c r="I4788" s="255">
        <v>1000</v>
      </c>
      <c r="J4788" s="255">
        <v>447.41179892941091</v>
      </c>
      <c r="K4788" s="593">
        <f t="shared" si="95"/>
        <v>447412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69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/>
      </c>
      <c r="AA4788" s="799"/>
    </row>
    <row r="4789" spans="1:27" s="210" customFormat="1" ht="15.75" customHeight="1">
      <c r="A4789" s="203" t="str">
        <f>IF(B4789&lt;&gt;"",IF(AND(B4789&gt;=_TM1,B4789&lt;=_TM2,OR(TH!L4789="1111",TH!M4789="1111")),TH!D4789,""),"")</f>
        <v/>
      </c>
      <c r="B4789" s="36">
        <f t="shared" si="93"/>
        <v>10</v>
      </c>
      <c r="C4789" s="183">
        <f t="shared" si="94"/>
        <v>42287</v>
      </c>
      <c r="D4789" s="190" t="s">
        <v>2015</v>
      </c>
      <c r="E4789" s="190">
        <v>42287</v>
      </c>
      <c r="F4789" s="191" t="s">
        <v>1692</v>
      </c>
      <c r="G4789" s="482" t="s">
        <v>1085</v>
      </c>
      <c r="H4789" s="192" t="s">
        <v>2016</v>
      </c>
      <c r="I4789" s="255">
        <v>1000</v>
      </c>
      <c r="J4789" s="255">
        <v>596.54906523921454</v>
      </c>
      <c r="K4789" s="593">
        <f t="shared" si="95"/>
        <v>596549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69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/>
      </c>
      <c r="AA4789" s="799"/>
    </row>
    <row r="4790" spans="1:27" s="210" customFormat="1" ht="15.75" customHeight="1">
      <c r="A4790" s="203" t="str">
        <f>IF(B4790&lt;&gt;"",IF(AND(B4790&gt;=_TM1,B4790&lt;=_TM2,OR(TH!L4790="1111",TH!M4790="1111")),TH!D4790,""),"")</f>
        <v/>
      </c>
      <c r="B4790" s="36">
        <f t="shared" si="93"/>
        <v>10</v>
      </c>
      <c r="C4790" s="183">
        <f t="shared" si="94"/>
        <v>42287</v>
      </c>
      <c r="D4790" s="190" t="s">
        <v>2015</v>
      </c>
      <c r="E4790" s="190">
        <v>42287</v>
      </c>
      <c r="F4790" s="191" t="s">
        <v>1805</v>
      </c>
      <c r="G4790" s="482" t="s">
        <v>1086</v>
      </c>
      <c r="H4790" s="192" t="s">
        <v>2016</v>
      </c>
      <c r="I4790" s="255">
        <v>65</v>
      </c>
      <c r="J4790" s="255">
        <v>9544.7850438274327</v>
      </c>
      <c r="K4790" s="593">
        <f t="shared" si="95"/>
        <v>620411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69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/>
      </c>
      <c r="AA4790" s="799"/>
    </row>
    <row r="4791" spans="1:27" s="210" customFormat="1" ht="15.75" customHeight="1">
      <c r="A4791" s="203" t="str">
        <f>IF(B4791&lt;&gt;"",IF(AND(B4791&gt;=_TM1,B4791&lt;=_TM2,OR(TH!L4791="1111",TH!M4791="1111")),TH!D4791,""),"")</f>
        <v/>
      </c>
      <c r="B4791" s="36">
        <f t="shared" si="93"/>
        <v>10</v>
      </c>
      <c r="C4791" s="183">
        <f t="shared" si="94"/>
        <v>42287</v>
      </c>
      <c r="D4791" s="190" t="s">
        <v>2015</v>
      </c>
      <c r="E4791" s="190">
        <v>42287</v>
      </c>
      <c r="F4791" s="191" t="s">
        <v>1746</v>
      </c>
      <c r="G4791" s="482" t="s">
        <v>1086</v>
      </c>
      <c r="H4791" s="192" t="s">
        <v>2016</v>
      </c>
      <c r="I4791" s="255">
        <v>65</v>
      </c>
      <c r="J4791" s="255">
        <v>7978.843747574495</v>
      </c>
      <c r="K4791" s="593">
        <f t="shared" si="95"/>
        <v>518625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69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/>
      </c>
      <c r="AA4791" s="799"/>
    </row>
    <row r="4792" spans="1:27" s="210" customFormat="1" ht="15.75" customHeight="1">
      <c r="A4792" s="203" t="str">
        <f>IF(B4792&lt;&gt;"",IF(AND(B4792&gt;=_TM1,B4792&lt;=_TM2,OR(TH!L4792="1111",TH!M4792="1111")),TH!D4792,""),"")</f>
        <v/>
      </c>
      <c r="B4792" s="36">
        <f t="shared" si="93"/>
        <v>10</v>
      </c>
      <c r="C4792" s="183">
        <f t="shared" si="94"/>
        <v>42287</v>
      </c>
      <c r="D4792" s="190" t="s">
        <v>2015</v>
      </c>
      <c r="E4792" s="190">
        <v>42287</v>
      </c>
      <c r="F4792" s="191" t="s">
        <v>1743</v>
      </c>
      <c r="G4792" s="482" t="s">
        <v>1086</v>
      </c>
      <c r="H4792" s="192" t="s">
        <v>2016</v>
      </c>
      <c r="I4792" s="255">
        <v>105</v>
      </c>
      <c r="J4792" s="255">
        <v>6412.9024513215563</v>
      </c>
      <c r="K4792" s="593">
        <f t="shared" si="95"/>
        <v>673355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69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/>
      </c>
      <c r="AA4792" s="799"/>
    </row>
    <row r="4793" spans="1:27" s="210" customFormat="1" ht="15.75" customHeight="1">
      <c r="A4793" s="203" t="str">
        <f>IF(B4793&lt;&gt;"",IF(AND(B4793&gt;=_TM1,B4793&lt;=_TM2,OR(TH!L4793="1111",TH!M4793="1111")),TH!D4793,""),"")</f>
        <v/>
      </c>
      <c r="B4793" s="36">
        <f t="shared" si="93"/>
        <v>10</v>
      </c>
      <c r="C4793" s="183">
        <f t="shared" si="94"/>
        <v>42287</v>
      </c>
      <c r="D4793" s="190" t="s">
        <v>2015</v>
      </c>
      <c r="E4793" s="190">
        <v>42287</v>
      </c>
      <c r="F4793" s="191" t="s">
        <v>1744</v>
      </c>
      <c r="G4793" s="482" t="s">
        <v>1086</v>
      </c>
      <c r="H4793" s="192" t="s">
        <v>2016</v>
      </c>
      <c r="I4793" s="255">
        <v>105</v>
      </c>
      <c r="J4793" s="255">
        <v>5890.9220192372441</v>
      </c>
      <c r="K4793" s="593">
        <f t="shared" si="95"/>
        <v>618547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69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/>
      </c>
      <c r="AA4793" s="799"/>
    </row>
    <row r="4794" spans="1:27" s="210" customFormat="1" ht="15.75" customHeight="1">
      <c r="A4794" s="203" t="str">
        <f>IF(B4794&lt;&gt;"",IF(AND(B4794&gt;=_TM1,B4794&lt;=_TM2,OR(TH!L4794="1111",TH!M4794="1111")),TH!D4794,""),"")</f>
        <v/>
      </c>
      <c r="B4794" s="36">
        <f t="shared" si="93"/>
        <v>10</v>
      </c>
      <c r="C4794" s="183">
        <f t="shared" si="94"/>
        <v>42287</v>
      </c>
      <c r="D4794" s="190" t="s">
        <v>2015</v>
      </c>
      <c r="E4794" s="190">
        <v>42287</v>
      </c>
      <c r="F4794" s="191" t="s">
        <v>748</v>
      </c>
      <c r="G4794" s="482" t="s">
        <v>1086</v>
      </c>
      <c r="H4794" s="192" t="s">
        <v>2016</v>
      </c>
      <c r="I4794" s="255">
        <v>150</v>
      </c>
      <c r="J4794" s="255">
        <v>13944.334399966641</v>
      </c>
      <c r="K4794" s="593">
        <f t="shared" si="95"/>
        <v>2091650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69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/>
      </c>
      <c r="AA4794" s="799"/>
    </row>
    <row r="4795" spans="1:27" s="210" customFormat="1" ht="15.75" customHeight="1">
      <c r="A4795" s="203" t="str">
        <f>IF(B4795&lt;&gt;"",IF(AND(B4795&gt;=_TM1,B4795&lt;=_TM2,OR(TH!L4795="1111",TH!M4795="1111")),TH!D4795,""),"")</f>
        <v/>
      </c>
      <c r="B4795" s="36">
        <f t="shared" si="93"/>
        <v>10</v>
      </c>
      <c r="C4795" s="183">
        <f t="shared" si="94"/>
        <v>42287</v>
      </c>
      <c r="D4795" s="190" t="s">
        <v>2015</v>
      </c>
      <c r="E4795" s="190">
        <v>42287</v>
      </c>
      <c r="F4795" s="191" t="s">
        <v>728</v>
      </c>
      <c r="G4795" s="482" t="s">
        <v>1086</v>
      </c>
      <c r="H4795" s="192" t="s">
        <v>2016</v>
      </c>
      <c r="I4795" s="255">
        <v>300</v>
      </c>
      <c r="J4795" s="255">
        <v>12676.667636333308</v>
      </c>
      <c r="K4795" s="593">
        <f t="shared" si="95"/>
        <v>3803000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69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/>
      </c>
      <c r="AA4795" s="799"/>
    </row>
    <row r="4796" spans="1:27" s="210" customFormat="1" ht="15.75" customHeight="1">
      <c r="A4796" s="203" t="str">
        <f>IF(B4796&lt;&gt;"",IF(AND(B4796&gt;=_TM1,B4796&lt;=_TM2,OR(TH!L4796="1111",TH!M4796="1111")),TH!D4796,""),"")</f>
        <v/>
      </c>
      <c r="B4796" s="36">
        <f t="shared" si="93"/>
        <v>10</v>
      </c>
      <c r="C4796" s="183">
        <f t="shared" si="94"/>
        <v>42289</v>
      </c>
      <c r="D4796" s="190" t="s">
        <v>2015</v>
      </c>
      <c r="E4796" s="190">
        <v>42289</v>
      </c>
      <c r="F4796" s="191" t="s">
        <v>1806</v>
      </c>
      <c r="G4796" s="482" t="s">
        <v>1087</v>
      </c>
      <c r="H4796" s="192" t="s">
        <v>2016</v>
      </c>
      <c r="I4796" s="255">
        <v>220</v>
      </c>
      <c r="J4796" s="255">
        <v>9097.3732448980209</v>
      </c>
      <c r="K4796" s="593">
        <f t="shared" si="95"/>
        <v>2001422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69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/>
      </c>
      <c r="AA4796" s="799"/>
    </row>
    <row r="4797" spans="1:27" s="210" customFormat="1" ht="15.75" customHeight="1">
      <c r="A4797" s="203" t="str">
        <f>IF(B4797&lt;&gt;"",IF(AND(B4797&gt;=_TM1,B4797&lt;=_TM2,OR(TH!L4797="1111",TH!M4797="1111")),TH!D4797,""),"")</f>
        <v/>
      </c>
      <c r="B4797" s="36">
        <f t="shared" si="93"/>
        <v>10</v>
      </c>
      <c r="C4797" s="183">
        <f t="shared" si="94"/>
        <v>42289</v>
      </c>
      <c r="D4797" s="190" t="s">
        <v>2015</v>
      </c>
      <c r="E4797" s="190">
        <v>42289</v>
      </c>
      <c r="F4797" s="191" t="s">
        <v>1782</v>
      </c>
      <c r="G4797" s="482" t="s">
        <v>1087</v>
      </c>
      <c r="H4797" s="192" t="s">
        <v>2016</v>
      </c>
      <c r="I4797" s="255">
        <v>140</v>
      </c>
      <c r="J4797" s="255">
        <v>10588.745907996057</v>
      </c>
      <c r="K4797" s="593">
        <f t="shared" si="95"/>
        <v>1482424</v>
      </c>
      <c r="L4797" s="193" t="s">
        <v>172</v>
      </c>
      <c r="M4797" s="193" t="s">
        <v>167</v>
      </c>
      <c r="N4797" s="52" t="str">
        <f>IF(AND('331-CT'!$E$7=TH!H4797,OR(L4797="331",M4797="331")),"331",IF(AND(OR(L4797="131",M4797="131"),H4797='131-CT'!$E$7),"131",""))</f>
        <v/>
      </c>
      <c r="O4797" s="869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/>
      </c>
      <c r="AA4797" s="799"/>
    </row>
    <row r="4798" spans="1:27" s="210" customFormat="1" ht="15.75" customHeight="1">
      <c r="A4798" s="203" t="str">
        <f>IF(B4798&lt;&gt;"",IF(AND(B4798&gt;=_TM1,B4798&lt;=_TM2,OR(TH!L4798="1111",TH!M4798="1111")),TH!D4798,""),"")</f>
        <v/>
      </c>
      <c r="B4798" s="36">
        <f t="shared" si="93"/>
        <v>10</v>
      </c>
      <c r="C4798" s="183">
        <f t="shared" si="94"/>
        <v>42289</v>
      </c>
      <c r="D4798" s="190" t="s">
        <v>2015</v>
      </c>
      <c r="E4798" s="190">
        <v>42289</v>
      </c>
      <c r="F4798" s="191" t="s">
        <v>1807</v>
      </c>
      <c r="G4798" s="482" t="s">
        <v>1087</v>
      </c>
      <c r="H4798" s="192" t="s">
        <v>2016</v>
      </c>
      <c r="I4798" s="255">
        <v>20</v>
      </c>
      <c r="J4798" s="255">
        <v>10290.47137537645</v>
      </c>
      <c r="K4798" s="593">
        <f t="shared" si="95"/>
        <v>205809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69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/>
      </c>
      <c r="AA4798" s="799"/>
    </row>
    <row r="4799" spans="1:27" s="210" customFormat="1" ht="15.75" customHeight="1">
      <c r="A4799" s="203" t="str">
        <f>IF(B4799&lt;&gt;"",IF(AND(B4799&gt;=_TM1,B4799&lt;=_TM2,OR(TH!L4799="1111",TH!M4799="1111")),TH!D4799,""),"")</f>
        <v/>
      </c>
      <c r="B4799" s="36">
        <f t="shared" si="93"/>
        <v>10</v>
      </c>
      <c r="C4799" s="183">
        <f t="shared" si="94"/>
        <v>42289</v>
      </c>
      <c r="D4799" s="190" t="s">
        <v>2015</v>
      </c>
      <c r="E4799" s="190">
        <v>42289</v>
      </c>
      <c r="F4799" s="191" t="s">
        <v>1761</v>
      </c>
      <c r="G4799" s="482" t="s">
        <v>1087</v>
      </c>
      <c r="H4799" s="192" t="s">
        <v>2016</v>
      </c>
      <c r="I4799" s="255">
        <v>102</v>
      </c>
      <c r="J4799" s="255">
        <v>10812.451807460764</v>
      </c>
      <c r="K4799" s="593">
        <f t="shared" si="95"/>
        <v>1102870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69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/>
      </c>
      <c r="AA4799" s="799"/>
    </row>
    <row r="4800" spans="1:27" s="210" customFormat="1" ht="15.75" customHeight="1">
      <c r="A4800" s="203" t="str">
        <f>IF(B4800&lt;&gt;"",IF(AND(B4800&gt;=_TM1,B4800&lt;=_TM2,OR(TH!L4800="1111",TH!M4800="1111")),TH!D4800,""),"")</f>
        <v/>
      </c>
      <c r="B4800" s="36">
        <f t="shared" si="93"/>
        <v>10</v>
      </c>
      <c r="C4800" s="183">
        <f t="shared" si="94"/>
        <v>42289</v>
      </c>
      <c r="D4800" s="190" t="s">
        <v>2015</v>
      </c>
      <c r="E4800" s="190">
        <v>42289</v>
      </c>
      <c r="F4800" s="191" t="s">
        <v>1088</v>
      </c>
      <c r="G4800" s="482" t="s">
        <v>1089</v>
      </c>
      <c r="H4800" s="192" t="s">
        <v>2016</v>
      </c>
      <c r="I4800" s="255">
        <v>300</v>
      </c>
      <c r="J4800" s="255">
        <v>8202.5496470392009</v>
      </c>
      <c r="K4800" s="593">
        <f t="shared" si="95"/>
        <v>2460765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69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/>
      </c>
      <c r="AA4800" s="799"/>
    </row>
    <row r="4801" spans="1:27" s="210" customFormat="1" ht="15.75" customHeight="1">
      <c r="A4801" s="203" t="str">
        <f>IF(B4801&lt;&gt;"",IF(AND(B4801&gt;=_TM1,B4801&lt;=_TM2,OR(TH!L4801="1111",TH!M4801="1111")),TH!D4801,""),"")</f>
        <v/>
      </c>
      <c r="B4801" s="36">
        <f t="shared" si="93"/>
        <v>10</v>
      </c>
      <c r="C4801" s="183">
        <f t="shared" si="94"/>
        <v>42289</v>
      </c>
      <c r="D4801" s="190" t="s">
        <v>2015</v>
      </c>
      <c r="E4801" s="190">
        <v>42289</v>
      </c>
      <c r="F4801" s="191" t="s">
        <v>1091</v>
      </c>
      <c r="G4801" s="482" t="s">
        <v>1092</v>
      </c>
      <c r="H4801" s="192" t="s">
        <v>2016</v>
      </c>
      <c r="I4801" s="255">
        <v>300</v>
      </c>
      <c r="J4801" s="255">
        <v>26173.590237370536</v>
      </c>
      <c r="K4801" s="593">
        <f t="shared" si="95"/>
        <v>7852077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69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/>
      </c>
      <c r="AA4801" s="799"/>
    </row>
    <row r="4802" spans="1:27" s="210" customFormat="1" ht="15.75" customHeight="1">
      <c r="A4802" s="203" t="str">
        <f>IF(B4802&lt;&gt;"",IF(AND(B4802&gt;=_TM1,B4802&lt;=_TM2,OR(TH!L4802="1111",TH!M4802="1111")),TH!D4802,""),"")</f>
        <v/>
      </c>
      <c r="B4802" s="36">
        <f t="shared" si="93"/>
        <v>10</v>
      </c>
      <c r="C4802" s="183">
        <f t="shared" si="94"/>
        <v>42289</v>
      </c>
      <c r="D4802" s="190" t="s">
        <v>2015</v>
      </c>
      <c r="E4802" s="190">
        <v>42289</v>
      </c>
      <c r="F4802" s="191" t="s">
        <v>1094</v>
      </c>
      <c r="G4802" s="482" t="s">
        <v>1092</v>
      </c>
      <c r="H4802" s="192" t="s">
        <v>2016</v>
      </c>
      <c r="I4802" s="255">
        <v>50</v>
      </c>
      <c r="J4802" s="255">
        <v>41534.728667280317</v>
      </c>
      <c r="K4802" s="593">
        <f t="shared" si="95"/>
        <v>2076736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69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/>
      </c>
      <c r="AA4802" s="799"/>
    </row>
    <row r="4803" spans="1:27" s="210" customFormat="1" ht="15.75" customHeight="1">
      <c r="A4803" s="203" t="str">
        <f>IF(B4803&lt;&gt;"",IF(AND(B4803&gt;=_TM1,B4803&lt;=_TM2,OR(TH!L4803="1111",TH!M4803="1111")),TH!D4803,""),"")</f>
        <v/>
      </c>
      <c r="B4803" s="36">
        <f t="shared" si="93"/>
        <v>10</v>
      </c>
      <c r="C4803" s="183">
        <f t="shared" si="94"/>
        <v>42289</v>
      </c>
      <c r="D4803" s="190" t="s">
        <v>2015</v>
      </c>
      <c r="E4803" s="190">
        <v>42289</v>
      </c>
      <c r="F4803" s="191" t="s">
        <v>1740</v>
      </c>
      <c r="G4803" s="482" t="s">
        <v>1095</v>
      </c>
      <c r="H4803" s="192" t="s">
        <v>2016</v>
      </c>
      <c r="I4803" s="255">
        <v>1400</v>
      </c>
      <c r="J4803" s="255">
        <v>8799.0987122784136</v>
      </c>
      <c r="K4803" s="593">
        <f t="shared" si="95"/>
        <v>12318738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69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/>
      </c>
      <c r="AA4803" s="799"/>
    </row>
    <row r="4804" spans="1:27" s="210" customFormat="1" ht="15.75" customHeight="1">
      <c r="A4804" s="203" t="str">
        <f>IF(B4804&lt;&gt;"",IF(AND(B4804&gt;=_TM1,B4804&lt;=_TM2,OR(TH!L4804="1111",TH!M4804="1111")),TH!D4804,""),"")</f>
        <v/>
      </c>
      <c r="B4804" s="36">
        <f t="shared" si="93"/>
        <v>10</v>
      </c>
      <c r="C4804" s="183">
        <f t="shared" si="94"/>
        <v>42290</v>
      </c>
      <c r="D4804" s="190" t="s">
        <v>2015</v>
      </c>
      <c r="E4804" s="190">
        <v>42290</v>
      </c>
      <c r="F4804" s="191" t="s">
        <v>2008</v>
      </c>
      <c r="G4804" s="482" t="s">
        <v>1097</v>
      </c>
      <c r="H4804" s="192" t="s">
        <v>2016</v>
      </c>
      <c r="I4804" s="255">
        <v>200</v>
      </c>
      <c r="J4804" s="255">
        <v>3206.4512256607782</v>
      </c>
      <c r="K4804" s="593">
        <f t="shared" si="95"/>
        <v>641290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69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/>
      </c>
      <c r="AA4804" s="799"/>
    </row>
    <row r="4805" spans="1:27" s="210" customFormat="1" ht="15.75" customHeight="1">
      <c r="A4805" s="203" t="str">
        <f>IF(B4805&lt;&gt;"",IF(AND(B4805&gt;=_TM1,B4805&lt;=_TM2,OR(TH!L4805="1111",TH!M4805="1111")),TH!D4805,""),"")</f>
        <v/>
      </c>
      <c r="B4805" s="36">
        <f t="shared" si="93"/>
        <v>10</v>
      </c>
      <c r="C4805" s="183">
        <f t="shared" si="94"/>
        <v>42290</v>
      </c>
      <c r="D4805" s="190" t="s">
        <v>2015</v>
      </c>
      <c r="E4805" s="190">
        <v>42290</v>
      </c>
      <c r="F4805" s="191" t="s">
        <v>746</v>
      </c>
      <c r="G4805" s="482" t="s">
        <v>1098</v>
      </c>
      <c r="H4805" s="192" t="s">
        <v>2016</v>
      </c>
      <c r="I4805" s="255">
        <v>1000</v>
      </c>
      <c r="J4805" s="255">
        <v>17225.354258782321</v>
      </c>
      <c r="K4805" s="593">
        <f t="shared" si="95"/>
        <v>17225354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69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/>
      </c>
      <c r="AA4805" s="799"/>
    </row>
    <row r="4806" spans="1:27" s="210" customFormat="1" ht="15.75" customHeight="1">
      <c r="A4806" s="203" t="str">
        <f>IF(B4806&lt;&gt;"",IF(AND(B4806&gt;=_TM1,B4806&lt;=_TM2,OR(TH!L4806="1111",TH!M4806="1111")),TH!D4806,""),"")</f>
        <v/>
      </c>
      <c r="B4806" s="36">
        <f t="shared" si="93"/>
        <v>10</v>
      </c>
      <c r="C4806" s="183">
        <f t="shared" si="94"/>
        <v>42291</v>
      </c>
      <c r="D4806" s="190" t="s">
        <v>2015</v>
      </c>
      <c r="E4806" s="190">
        <v>42291</v>
      </c>
      <c r="F4806" s="191" t="s">
        <v>1948</v>
      </c>
      <c r="G4806" s="482" t="s">
        <v>1099</v>
      </c>
      <c r="H4806" s="192" t="s">
        <v>2016</v>
      </c>
      <c r="I4806" s="255">
        <v>2107</v>
      </c>
      <c r="J4806" s="255">
        <v>9246.5105112078254</v>
      </c>
      <c r="K4806" s="593">
        <f t="shared" si="95"/>
        <v>19482398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69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/>
      </c>
      <c r="AA4806" s="799"/>
    </row>
    <row r="4807" spans="1:27" s="210" customFormat="1" ht="15.75" customHeight="1">
      <c r="A4807" s="203" t="str">
        <f>IF(B4807&lt;&gt;"",IF(AND(B4807&gt;=_TM1,B4807&lt;=_TM2,OR(TH!L4807="1111",TH!M4807="1111")),TH!D4807,""),"")</f>
        <v/>
      </c>
      <c r="B4807" s="36">
        <f t="shared" si="93"/>
        <v>10</v>
      </c>
      <c r="C4807" s="183">
        <f t="shared" si="94"/>
        <v>42293</v>
      </c>
      <c r="D4807" s="190" t="s">
        <v>2015</v>
      </c>
      <c r="E4807" s="190">
        <v>42293</v>
      </c>
      <c r="F4807" s="191" t="s">
        <v>1766</v>
      </c>
      <c r="G4807" s="482" t="s">
        <v>1100</v>
      </c>
      <c r="H4807" s="192" t="s">
        <v>2016</v>
      </c>
      <c r="I4807" s="255">
        <v>1500</v>
      </c>
      <c r="J4807" s="255">
        <v>9321.0791443627277</v>
      </c>
      <c r="K4807" s="593">
        <f t="shared" si="95"/>
        <v>13981619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69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/>
      </c>
      <c r="AA4807" s="799"/>
    </row>
    <row r="4808" spans="1:27" s="210" customFormat="1" ht="15.75" customHeight="1">
      <c r="A4808" s="203" t="str">
        <f>IF(B4808&lt;&gt;"",IF(AND(B4808&gt;=_TM1,B4808&lt;=_TM2,OR(TH!L4808="1111",TH!M4808="1111")),TH!D4808,""),"")</f>
        <v/>
      </c>
      <c r="B4808" s="36">
        <f t="shared" si="93"/>
        <v>10</v>
      </c>
      <c r="C4808" s="183">
        <f t="shared" si="94"/>
        <v>42293</v>
      </c>
      <c r="D4808" s="190" t="s">
        <v>2015</v>
      </c>
      <c r="E4808" s="190">
        <v>42293</v>
      </c>
      <c r="F4808" s="191" t="s">
        <v>398</v>
      </c>
      <c r="G4808" s="482" t="s">
        <v>1101</v>
      </c>
      <c r="H4808" s="192" t="s">
        <v>2016</v>
      </c>
      <c r="I4808" s="255">
        <v>1233</v>
      </c>
      <c r="J4808" s="255">
        <v>6114.6279187019491</v>
      </c>
      <c r="K4808" s="593">
        <f t="shared" si="95"/>
        <v>7539336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69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/>
      </c>
      <c r="AA4808" s="799"/>
    </row>
    <row r="4809" spans="1:27" s="210" customFormat="1" ht="15.75" customHeight="1">
      <c r="A4809" s="203" t="str">
        <f>IF(B4809&lt;&gt;"",IF(AND(B4809&gt;=_TM1,B4809&lt;=_TM2,OR(TH!L4809="1111",TH!M4809="1111")),TH!D4809,""),"")</f>
        <v/>
      </c>
      <c r="B4809" s="36">
        <f t="shared" si="93"/>
        <v>10</v>
      </c>
      <c r="C4809" s="183">
        <f t="shared" si="94"/>
        <v>42293</v>
      </c>
      <c r="D4809" s="190" t="s">
        <v>2015</v>
      </c>
      <c r="E4809" s="190">
        <v>42293</v>
      </c>
      <c r="F4809" s="191" t="s">
        <v>446</v>
      </c>
      <c r="G4809" s="482" t="s">
        <v>1101</v>
      </c>
      <c r="H4809" s="192" t="s">
        <v>2016</v>
      </c>
      <c r="I4809" s="255">
        <v>607</v>
      </c>
      <c r="J4809" s="255">
        <v>6785.7456170960659</v>
      </c>
      <c r="K4809" s="593">
        <f t="shared" si="95"/>
        <v>4118948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69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/>
      </c>
      <c r="AA4809" s="799"/>
    </row>
    <row r="4810" spans="1:27" s="210" customFormat="1" ht="15.75" customHeight="1">
      <c r="A4810" s="203" t="str">
        <f>IF(B4810&lt;&gt;"",IF(AND(B4810&gt;=_TM1,B4810&lt;=_TM2,OR(TH!L4810="1111",TH!M4810="1111")),TH!D4810,""),"")</f>
        <v/>
      </c>
      <c r="B4810" s="36">
        <f t="shared" si="93"/>
        <v>10</v>
      </c>
      <c r="C4810" s="183">
        <f t="shared" si="94"/>
        <v>42293</v>
      </c>
      <c r="D4810" s="190" t="s">
        <v>2015</v>
      </c>
      <c r="E4810" s="190">
        <v>42293</v>
      </c>
      <c r="F4810" s="191" t="s">
        <v>413</v>
      </c>
      <c r="G4810" s="482" t="s">
        <v>1102</v>
      </c>
      <c r="H4810" s="192" t="s">
        <v>2016</v>
      </c>
      <c r="I4810" s="255">
        <v>411</v>
      </c>
      <c r="J4810" s="255">
        <v>7084.0201497156722</v>
      </c>
      <c r="K4810" s="593">
        <f t="shared" si="95"/>
        <v>2911532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69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/>
      </c>
      <c r="AA4810" s="799"/>
    </row>
    <row r="4811" spans="1:27" s="210" customFormat="1" ht="15.75" customHeight="1">
      <c r="A4811" s="203" t="str">
        <f>IF(B4811&lt;&gt;"",IF(AND(B4811&gt;=_TM1,B4811&lt;=_TM2,OR(TH!L4811="1111",TH!M4811="1111")),TH!D4811,""),"")</f>
        <v/>
      </c>
      <c r="B4811" s="36">
        <f t="shared" si="93"/>
        <v>10</v>
      </c>
      <c r="C4811" s="183">
        <f t="shared" si="94"/>
        <v>42293</v>
      </c>
      <c r="D4811" s="190" t="s">
        <v>2015</v>
      </c>
      <c r="E4811" s="190">
        <v>42293</v>
      </c>
      <c r="F4811" s="191" t="s">
        <v>999</v>
      </c>
      <c r="G4811" s="482" t="s">
        <v>1102</v>
      </c>
      <c r="H4811" s="192" t="s">
        <v>2016</v>
      </c>
      <c r="I4811" s="255">
        <v>536</v>
      </c>
      <c r="J4811" s="255">
        <v>5592.6474866176359</v>
      </c>
      <c r="K4811" s="593">
        <f t="shared" si="95"/>
        <v>2997659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69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/>
      </c>
      <c r="AA4811" s="799"/>
    </row>
    <row r="4812" spans="1:27" s="210" customFormat="1" ht="15.75" customHeight="1">
      <c r="A4812" s="203" t="str">
        <f>IF(B4812&lt;&gt;"",IF(AND(B4812&gt;=_TM1,B4812&lt;=_TM2,OR(TH!L4812="1111",TH!M4812="1111")),TH!D4812,""),"")</f>
        <v/>
      </c>
      <c r="B4812" s="36">
        <f t="shared" si="93"/>
        <v>10</v>
      </c>
      <c r="C4812" s="183">
        <f t="shared" si="94"/>
        <v>42293</v>
      </c>
      <c r="D4812" s="190" t="s">
        <v>2015</v>
      </c>
      <c r="E4812" s="190">
        <v>42293</v>
      </c>
      <c r="F4812" s="191" t="s">
        <v>1103</v>
      </c>
      <c r="G4812" s="482" t="s">
        <v>1104</v>
      </c>
      <c r="H4812" s="192" t="s">
        <v>2016</v>
      </c>
      <c r="I4812" s="255">
        <v>203</v>
      </c>
      <c r="J4812" s="255">
        <v>5965.4906523921454</v>
      </c>
      <c r="K4812" s="593">
        <f t="shared" si="95"/>
        <v>1210995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69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/>
      </c>
      <c r="AA4812" s="799"/>
    </row>
    <row r="4813" spans="1:27" s="210" customFormat="1" ht="15.75" customHeight="1">
      <c r="A4813" s="203" t="str">
        <f>IF(B4813&lt;&gt;"",IF(AND(B4813&gt;=_TM1,B4813&lt;=_TM2,OR(TH!L4813="1111",TH!M4813="1111")),TH!D4813,""),"")</f>
        <v/>
      </c>
      <c r="B4813" s="36">
        <f t="shared" si="93"/>
        <v>10</v>
      </c>
      <c r="C4813" s="183">
        <f t="shared" si="94"/>
        <v>42293</v>
      </c>
      <c r="D4813" s="190" t="s">
        <v>2015</v>
      </c>
      <c r="E4813" s="190">
        <v>42293</v>
      </c>
      <c r="F4813" s="191" t="s">
        <v>1106</v>
      </c>
      <c r="G4813" s="482" t="s">
        <v>1104</v>
      </c>
      <c r="H4813" s="192" t="s">
        <v>2016</v>
      </c>
      <c r="I4813" s="255">
        <v>312</v>
      </c>
      <c r="J4813" s="255">
        <v>6934.8828834058695</v>
      </c>
      <c r="K4813" s="593">
        <f t="shared" si="95"/>
        <v>2163683</v>
      </c>
      <c r="L4813" s="193" t="s">
        <v>172</v>
      </c>
      <c r="M4813" s="193" t="s">
        <v>167</v>
      </c>
      <c r="N4813" s="52" t="str">
        <f>IF(AND('331-CT'!$E$7=TH!H4813,OR(L4813="331",M4813="331")),"331",IF(AND(OR(L4813="131",M4813="131"),H4813='131-CT'!$E$7),"131",""))</f>
        <v/>
      </c>
      <c r="O4813" s="869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799"/>
    </row>
    <row r="4814" spans="1:27" s="210" customFormat="1" ht="15.75" customHeight="1">
      <c r="A4814" s="203" t="str">
        <f>IF(B4814&lt;&gt;"",IF(AND(B4814&gt;=_TM1,B4814&lt;=_TM2,OR(TH!L4814="1111",TH!M4814="1111")),TH!D4814,""),"")</f>
        <v/>
      </c>
      <c r="B4814" s="36">
        <f t="shared" si="93"/>
        <v>10</v>
      </c>
      <c r="C4814" s="183">
        <f t="shared" si="94"/>
        <v>42293</v>
      </c>
      <c r="D4814" s="190" t="s">
        <v>2015</v>
      </c>
      <c r="E4814" s="190">
        <v>42293</v>
      </c>
      <c r="F4814" s="191" t="s">
        <v>1107</v>
      </c>
      <c r="G4814" s="482" t="s">
        <v>1104</v>
      </c>
      <c r="H4814" s="192" t="s">
        <v>2016</v>
      </c>
      <c r="I4814" s="255">
        <v>513</v>
      </c>
      <c r="J4814" s="255">
        <v>12452.961736868603</v>
      </c>
      <c r="K4814" s="593">
        <f t="shared" si="95"/>
        <v>6388369</v>
      </c>
      <c r="L4814" s="193" t="s">
        <v>172</v>
      </c>
      <c r="M4814" s="193" t="s">
        <v>167</v>
      </c>
      <c r="N4814" s="52" t="str">
        <f>IF(AND('331-CT'!$E$7=TH!H4814,OR(L4814="331",M4814="331")),"331",IF(AND(OR(L4814="131",M4814="131"),H4814='131-CT'!$E$7),"131",""))</f>
        <v/>
      </c>
      <c r="O4814" s="869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799"/>
    </row>
    <row r="4815" spans="1:27" s="210" customFormat="1" ht="15.75" customHeight="1">
      <c r="A4815" s="203" t="str">
        <f>IF(B4815&lt;&gt;"",IF(AND(B4815&gt;=_TM1,B4815&lt;=_TM2,OR(TH!L4815="1111",TH!M4815="1111")),TH!D4815,""),"")</f>
        <v/>
      </c>
      <c r="B4815" s="36">
        <f t="shared" si="93"/>
        <v>10</v>
      </c>
      <c r="C4815" s="183">
        <f t="shared" si="94"/>
        <v>42294</v>
      </c>
      <c r="D4815" s="190" t="s">
        <v>2015</v>
      </c>
      <c r="E4815" s="190">
        <v>42294</v>
      </c>
      <c r="F4815" s="191" t="s">
        <v>616</v>
      </c>
      <c r="G4815" s="482" t="s">
        <v>1108</v>
      </c>
      <c r="H4815" s="192" t="s">
        <v>2016</v>
      </c>
      <c r="I4815" s="255">
        <v>1056</v>
      </c>
      <c r="J4815" s="255">
        <v>4921.52978822352</v>
      </c>
      <c r="K4815" s="593">
        <f t="shared" si="95"/>
        <v>5197135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69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799"/>
    </row>
    <row r="4816" spans="1:27" s="210" customFormat="1" ht="15.75" customHeight="1">
      <c r="A4816" s="203" t="str">
        <f>IF(B4816&lt;&gt;"",IF(AND(B4816&gt;=_TM1,B4816&lt;=_TM2,OR(TH!L4816="1111",TH!M4816="1111")),TH!D4816,""),"")</f>
        <v/>
      </c>
      <c r="B4816" s="36">
        <f t="shared" si="93"/>
        <v>10</v>
      </c>
      <c r="C4816" s="183">
        <f t="shared" si="94"/>
        <v>42294</v>
      </c>
      <c r="D4816" s="190" t="s">
        <v>2015</v>
      </c>
      <c r="E4816" s="190">
        <v>42294</v>
      </c>
      <c r="F4816" s="191" t="s">
        <v>965</v>
      </c>
      <c r="G4816" s="482" t="s">
        <v>1109</v>
      </c>
      <c r="H4816" s="192" t="s">
        <v>2016</v>
      </c>
      <c r="I4816" s="255">
        <v>500</v>
      </c>
      <c r="J4816" s="255">
        <v>12974.942168952915</v>
      </c>
      <c r="K4816" s="593">
        <f t="shared" si="95"/>
        <v>6487471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69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799"/>
    </row>
    <row r="4817" spans="1:27" s="210" customFormat="1" ht="15.75" customHeight="1">
      <c r="A4817" s="203" t="str">
        <f>IF(B4817&lt;&gt;"",IF(AND(B4817&gt;=_TM1,B4817&lt;=_TM2,OR(TH!L4817="1111",TH!M4817="1111")),TH!D4817,""),"")</f>
        <v/>
      </c>
      <c r="B4817" s="36">
        <f t="shared" si="93"/>
        <v>10</v>
      </c>
      <c r="C4817" s="183">
        <f t="shared" si="94"/>
        <v>42294</v>
      </c>
      <c r="D4817" s="190" t="s">
        <v>2015</v>
      </c>
      <c r="E4817" s="190">
        <v>42294</v>
      </c>
      <c r="F4817" s="191" t="s">
        <v>1110</v>
      </c>
      <c r="G4817" s="482" t="s">
        <v>1111</v>
      </c>
      <c r="H4817" s="192" t="s">
        <v>2016</v>
      </c>
      <c r="I4817" s="255">
        <v>252</v>
      </c>
      <c r="J4817" s="255">
        <v>8500.8241796588063</v>
      </c>
      <c r="K4817" s="593">
        <f t="shared" si="95"/>
        <v>2142208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69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799"/>
    </row>
    <row r="4818" spans="1:27" s="210" customFormat="1" ht="15.75" customHeight="1">
      <c r="A4818" s="203" t="str">
        <f>IF(B4818&lt;&gt;"",IF(AND(B4818&gt;=_TM1,B4818&lt;=_TM2,OR(TH!L4818="1111",TH!M4818="1111")),TH!D4818,""),"")</f>
        <v/>
      </c>
      <c r="B4818" s="36">
        <f t="shared" si="93"/>
        <v>10</v>
      </c>
      <c r="C4818" s="183">
        <f t="shared" si="94"/>
        <v>42296</v>
      </c>
      <c r="D4818" s="190" t="s">
        <v>2015</v>
      </c>
      <c r="E4818" s="190">
        <v>42296</v>
      </c>
      <c r="F4818" s="191" t="s">
        <v>2009</v>
      </c>
      <c r="G4818" s="482" t="s">
        <v>1112</v>
      </c>
      <c r="H4818" s="192" t="s">
        <v>2016</v>
      </c>
      <c r="I4818" s="255">
        <v>44</v>
      </c>
      <c r="J4818" s="255">
        <v>7606.0005817999854</v>
      </c>
      <c r="K4818" s="593">
        <f t="shared" si="95"/>
        <v>334664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69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799"/>
    </row>
    <row r="4819" spans="1:27" s="210" customFormat="1" ht="15.75" customHeight="1">
      <c r="A4819" s="203" t="str">
        <f>IF(B4819&lt;&gt;"",IF(AND(B4819&gt;=_TM1,B4819&lt;=_TM2,OR(TH!L4819="1111",TH!M4819="1111")),TH!D4819,""),"")</f>
        <v/>
      </c>
      <c r="B4819" s="36">
        <f t="shared" si="93"/>
        <v>10</v>
      </c>
      <c r="C4819" s="183">
        <f t="shared" si="94"/>
        <v>42296</v>
      </c>
      <c r="D4819" s="190" t="s">
        <v>2015</v>
      </c>
      <c r="E4819" s="190">
        <v>42296</v>
      </c>
      <c r="F4819" s="191" t="s">
        <v>1948</v>
      </c>
      <c r="G4819" s="482" t="s">
        <v>1112</v>
      </c>
      <c r="H4819" s="192" t="s">
        <v>2016</v>
      </c>
      <c r="I4819" s="255">
        <v>44</v>
      </c>
      <c r="J4819" s="255">
        <v>9246.5105112078254</v>
      </c>
      <c r="K4819" s="593">
        <f t="shared" si="95"/>
        <v>406846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69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799"/>
    </row>
    <row r="4820" spans="1:27" s="210" customFormat="1" ht="15.75" customHeight="1">
      <c r="A4820" s="203" t="str">
        <f>IF(B4820&lt;&gt;"",IF(AND(B4820&gt;=_TM1,B4820&lt;=_TM2,OR(TH!L4820="1111",TH!M4820="1111")),TH!D4820,""),"")</f>
        <v/>
      </c>
      <c r="B4820" s="36">
        <f t="shared" si="93"/>
        <v>10</v>
      </c>
      <c r="C4820" s="183">
        <f t="shared" si="94"/>
        <v>42296</v>
      </c>
      <c r="D4820" s="190" t="s">
        <v>2015</v>
      </c>
      <c r="E4820" s="190">
        <v>42296</v>
      </c>
      <c r="F4820" s="191" t="s">
        <v>1949</v>
      </c>
      <c r="G4820" s="482" t="s">
        <v>1112</v>
      </c>
      <c r="H4820" s="192" t="s">
        <v>2016</v>
      </c>
      <c r="I4820" s="255">
        <v>44</v>
      </c>
      <c r="J4820" s="255">
        <v>11334.432239545076</v>
      </c>
      <c r="K4820" s="593">
        <f t="shared" si="95"/>
        <v>498715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69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799"/>
    </row>
    <row r="4821" spans="1:27" s="210" customFormat="1" ht="15.75" customHeight="1">
      <c r="A4821" s="203" t="str">
        <f>IF(B4821&lt;&gt;"",IF(AND(B4821&gt;=_TM1,B4821&lt;=_TM2,OR(TH!L4821="1111",TH!M4821="1111")),TH!D4821,""),"")</f>
        <v/>
      </c>
      <c r="B4821" s="36">
        <f t="shared" si="93"/>
        <v>10</v>
      </c>
      <c r="C4821" s="183">
        <f t="shared" si="94"/>
        <v>42296</v>
      </c>
      <c r="D4821" s="190" t="s">
        <v>2015</v>
      </c>
      <c r="E4821" s="190">
        <v>42296</v>
      </c>
      <c r="F4821" s="191" t="s">
        <v>1950</v>
      </c>
      <c r="G4821" s="482" t="s">
        <v>1112</v>
      </c>
      <c r="H4821" s="192" t="s">
        <v>2016</v>
      </c>
      <c r="I4821" s="255">
        <v>50</v>
      </c>
      <c r="J4821" s="255">
        <v>8127.9810138842986</v>
      </c>
      <c r="K4821" s="593">
        <f t="shared" si="95"/>
        <v>406399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69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799"/>
    </row>
    <row r="4822" spans="1:27" s="210" customFormat="1" ht="15.75" customHeight="1">
      <c r="A4822" s="203" t="str">
        <f>IF(B4822&lt;&gt;"",IF(AND(B4822&gt;=_TM1,B4822&lt;=_TM2,OR(TH!L4822="1111",TH!M4822="1111")),TH!D4822,""),"")</f>
        <v/>
      </c>
      <c r="B4822" s="36">
        <f t="shared" si="93"/>
        <v>10</v>
      </c>
      <c r="C4822" s="183">
        <f t="shared" si="94"/>
        <v>42296</v>
      </c>
      <c r="D4822" s="190" t="s">
        <v>2015</v>
      </c>
      <c r="E4822" s="190">
        <v>42296</v>
      </c>
      <c r="F4822" s="191" t="s">
        <v>1952</v>
      </c>
      <c r="G4822" s="482" t="s">
        <v>1112</v>
      </c>
      <c r="H4822" s="192" t="s">
        <v>2016</v>
      </c>
      <c r="I4822" s="255">
        <v>50</v>
      </c>
      <c r="J4822" s="255">
        <v>9917.6282096019422</v>
      </c>
      <c r="K4822" s="593">
        <f t="shared" si="95"/>
        <v>495881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69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799"/>
    </row>
    <row r="4823" spans="1:27" s="210" customFormat="1" ht="15.75" customHeight="1">
      <c r="A4823" s="203" t="str">
        <f>IF(B4823&lt;&gt;"",IF(AND(B4823&gt;=_TM1,B4823&lt;=_TM2,OR(TH!L4823="1111",TH!M4823="1111")),TH!D4823,""),"")</f>
        <v/>
      </c>
      <c r="B4823" s="36">
        <f t="shared" si="93"/>
        <v>10</v>
      </c>
      <c r="C4823" s="183">
        <f t="shared" si="94"/>
        <v>42296</v>
      </c>
      <c r="D4823" s="190" t="s">
        <v>2015</v>
      </c>
      <c r="E4823" s="190">
        <v>42296</v>
      </c>
      <c r="F4823" s="191" t="s">
        <v>2011</v>
      </c>
      <c r="G4823" s="482" t="s">
        <v>1112</v>
      </c>
      <c r="H4823" s="192" t="s">
        <v>2016</v>
      </c>
      <c r="I4823" s="255">
        <v>50</v>
      </c>
      <c r="J4823" s="255">
        <v>15584.844329374479</v>
      </c>
      <c r="K4823" s="593">
        <f t="shared" si="95"/>
        <v>779242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69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799"/>
    </row>
    <row r="4824" spans="1:27" s="210" customFormat="1" ht="15.75" customHeight="1">
      <c r="A4824" s="203" t="str">
        <f>IF(B4824&lt;&gt;"",IF(AND(B4824&gt;=_TM1,B4824&lt;=_TM2,OR(TH!L4824="1111",TH!M4824="1111")),TH!D4824,""),"")</f>
        <v/>
      </c>
      <c r="B4824" s="36">
        <f t="shared" si="93"/>
        <v>10</v>
      </c>
      <c r="C4824" s="183">
        <f t="shared" si="94"/>
        <v>42296</v>
      </c>
      <c r="D4824" s="190" t="s">
        <v>2015</v>
      </c>
      <c r="E4824" s="190">
        <v>42296</v>
      </c>
      <c r="F4824" s="191" t="s">
        <v>741</v>
      </c>
      <c r="G4824" s="482" t="s">
        <v>1113</v>
      </c>
      <c r="H4824" s="192" t="s">
        <v>2016</v>
      </c>
      <c r="I4824" s="255">
        <v>338</v>
      </c>
      <c r="J4824" s="255">
        <v>7382.2946823352795</v>
      </c>
      <c r="K4824" s="593">
        <f t="shared" si="95"/>
        <v>2495216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69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799"/>
    </row>
    <row r="4825" spans="1:27" s="210" customFormat="1" ht="15.75" customHeight="1">
      <c r="A4825" s="203" t="str">
        <f>IF(B4825&lt;&gt;"",IF(AND(B4825&gt;=_TM1,B4825&lt;=_TM2,OR(TH!L4825="1111",TH!M4825="1111")),TH!D4825,""),"")</f>
        <v/>
      </c>
      <c r="B4825" s="36">
        <f t="shared" si="93"/>
        <v>10</v>
      </c>
      <c r="C4825" s="183">
        <f t="shared" si="94"/>
        <v>42296</v>
      </c>
      <c r="D4825" s="190" t="s">
        <v>2015</v>
      </c>
      <c r="E4825" s="190">
        <v>42296</v>
      </c>
      <c r="F4825" s="191" t="s">
        <v>849</v>
      </c>
      <c r="G4825" s="482" t="s">
        <v>1114</v>
      </c>
      <c r="H4825" s="192" t="s">
        <v>2016</v>
      </c>
      <c r="I4825" s="255">
        <v>50</v>
      </c>
      <c r="J4825" s="255">
        <v>12452.961736868603</v>
      </c>
      <c r="K4825" s="593">
        <f t="shared" si="95"/>
        <v>622648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69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799"/>
    </row>
    <row r="4826" spans="1:27" s="210" customFormat="1" ht="15.75" customHeight="1">
      <c r="A4826" s="203" t="str">
        <f>IF(B4826&lt;&gt;"",IF(AND(B4826&gt;=_TM1,B4826&lt;=_TM2,OR(TH!L4826="1111",TH!M4826="1111")),TH!D4826,""),"")</f>
        <v/>
      </c>
      <c r="B4826" s="36">
        <f t="shared" si="93"/>
        <v>10</v>
      </c>
      <c r="C4826" s="183">
        <f t="shared" si="94"/>
        <v>42296</v>
      </c>
      <c r="D4826" s="190" t="s">
        <v>2015</v>
      </c>
      <c r="E4826" s="190">
        <v>42296</v>
      </c>
      <c r="F4826" s="191" t="s">
        <v>852</v>
      </c>
      <c r="G4826" s="482" t="s">
        <v>1114</v>
      </c>
      <c r="H4826" s="192" t="s">
        <v>2016</v>
      </c>
      <c r="I4826" s="255">
        <v>200</v>
      </c>
      <c r="J4826" s="255">
        <v>14242.608932586247</v>
      </c>
      <c r="K4826" s="593">
        <f t="shared" si="95"/>
        <v>2848522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69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799"/>
    </row>
    <row r="4827" spans="1:27" s="210" customFormat="1" ht="15.75" customHeight="1">
      <c r="A4827" s="203" t="str">
        <f>IF(B4827&lt;&gt;"",IF(AND(B4827&gt;=_TM1,B4827&lt;=_TM2,OR(TH!L4827="1111",TH!M4827="1111")),TH!D4827,""),"")</f>
        <v/>
      </c>
      <c r="B4827" s="36">
        <f t="shared" si="93"/>
        <v>10</v>
      </c>
      <c r="C4827" s="183">
        <f t="shared" si="94"/>
        <v>42296</v>
      </c>
      <c r="D4827" s="190" t="s">
        <v>2015</v>
      </c>
      <c r="E4827" s="190">
        <v>42296</v>
      </c>
      <c r="F4827" s="191" t="s">
        <v>853</v>
      </c>
      <c r="G4827" s="482" t="s">
        <v>1114</v>
      </c>
      <c r="H4827" s="192" t="s">
        <v>2016</v>
      </c>
      <c r="I4827" s="255">
        <v>100</v>
      </c>
      <c r="J4827" s="255">
        <v>15957.68749514899</v>
      </c>
      <c r="K4827" s="593">
        <f t="shared" si="95"/>
        <v>1595769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69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799"/>
    </row>
    <row r="4828" spans="1:27" s="210" customFormat="1" ht="15.75" customHeight="1">
      <c r="A4828" s="203" t="str">
        <f>IF(B4828&lt;&gt;"",IF(AND(B4828&gt;=_TM1,B4828&lt;=_TM2,OR(TH!L4828="1111",TH!M4828="1111")),TH!D4828,""),"")</f>
        <v/>
      </c>
      <c r="B4828" s="36">
        <f t="shared" si="93"/>
        <v>10</v>
      </c>
      <c r="C4828" s="183">
        <f t="shared" si="94"/>
        <v>42297</v>
      </c>
      <c r="D4828" s="190" t="s">
        <v>2015</v>
      </c>
      <c r="E4828" s="190">
        <v>42297</v>
      </c>
      <c r="F4828" s="191" t="s">
        <v>1115</v>
      </c>
      <c r="G4828" s="482" t="s">
        <v>1116</v>
      </c>
      <c r="H4828" s="192" t="s">
        <v>2016</v>
      </c>
      <c r="I4828" s="255">
        <v>300</v>
      </c>
      <c r="J4828" s="255">
        <v>10439.608641686254</v>
      </c>
      <c r="K4828" s="593">
        <f t="shared" si="95"/>
        <v>3131883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69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799"/>
    </row>
    <row r="4829" spans="1:27" s="210" customFormat="1" ht="15.75" customHeight="1">
      <c r="A4829" s="203" t="str">
        <f>IF(B4829&lt;&gt;"",IF(AND(B4829&gt;=_TM1,B4829&lt;=_TM2,OR(TH!L4829="1111",TH!M4829="1111")),TH!D4829,""),"")</f>
        <v/>
      </c>
      <c r="B4829" s="36">
        <f t="shared" si="93"/>
        <v>10</v>
      </c>
      <c r="C4829" s="183">
        <f t="shared" si="94"/>
        <v>42297</v>
      </c>
      <c r="D4829" s="190" t="s">
        <v>2015</v>
      </c>
      <c r="E4829" s="190">
        <v>42297</v>
      </c>
      <c r="F4829" s="191" t="s">
        <v>1117</v>
      </c>
      <c r="G4829" s="482" t="s">
        <v>1118</v>
      </c>
      <c r="H4829" s="192" t="s">
        <v>2016</v>
      </c>
      <c r="I4829" s="255">
        <v>200</v>
      </c>
      <c r="J4829" s="255">
        <v>29902.021895115628</v>
      </c>
      <c r="K4829" s="593">
        <f t="shared" si="95"/>
        <v>5980404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69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799"/>
    </row>
    <row r="4830" spans="1:27" s="210" customFormat="1" ht="15.75" customHeight="1">
      <c r="A4830" s="203" t="str">
        <f>IF(B4830&lt;&gt;"",IF(AND(B4830&gt;=_TM1,B4830&lt;=_TM2,OR(TH!L4830="1111",TH!M4830="1111")),TH!D4830,""),"")</f>
        <v/>
      </c>
      <c r="B4830" s="36">
        <f t="shared" si="93"/>
        <v>10</v>
      </c>
      <c r="C4830" s="183">
        <f t="shared" si="94"/>
        <v>42297</v>
      </c>
      <c r="D4830" s="190" t="s">
        <v>2015</v>
      </c>
      <c r="E4830" s="190">
        <v>42297</v>
      </c>
      <c r="F4830" s="191" t="s">
        <v>1119</v>
      </c>
      <c r="G4830" s="482" t="s">
        <v>1118</v>
      </c>
      <c r="H4830" s="192" t="s">
        <v>2016</v>
      </c>
      <c r="I4830" s="255">
        <v>150</v>
      </c>
      <c r="J4830" s="255">
        <v>31095.120025594057</v>
      </c>
      <c r="K4830" s="593">
        <f t="shared" si="95"/>
        <v>4664268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69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799"/>
    </row>
    <row r="4831" spans="1:27" s="210" customFormat="1" ht="15.75" customHeight="1">
      <c r="A4831" s="203" t="str">
        <f>IF(B4831&lt;&gt;"",IF(AND(B4831&gt;=_TM1,B4831&lt;=_TM2,OR(TH!L4831="1111",TH!M4831="1111")),TH!D4831,""),"")</f>
        <v/>
      </c>
      <c r="B4831" s="36">
        <f t="shared" si="93"/>
        <v>10</v>
      </c>
      <c r="C4831" s="183">
        <f t="shared" si="94"/>
        <v>42298</v>
      </c>
      <c r="D4831" s="190" t="s">
        <v>2015</v>
      </c>
      <c r="E4831" s="190">
        <v>42298</v>
      </c>
      <c r="F4831" s="191" t="s">
        <v>1120</v>
      </c>
      <c r="G4831" s="482" t="s">
        <v>1121</v>
      </c>
      <c r="H4831" s="192" t="s">
        <v>2016</v>
      </c>
      <c r="I4831" s="255">
        <v>1000</v>
      </c>
      <c r="J4831" s="255">
        <v>9992.1968427568445</v>
      </c>
      <c r="K4831" s="593">
        <f t="shared" si="95"/>
        <v>9992197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69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799"/>
    </row>
    <row r="4832" spans="1:27" s="210" customFormat="1" ht="15.75" customHeight="1">
      <c r="A4832" s="203" t="str">
        <f>IF(B4832&lt;&gt;"",IF(AND(B4832&gt;=_TM1,B4832&lt;=_TM2,OR(TH!L4832="1111",TH!M4832="1111")),TH!D4832,""),"")</f>
        <v/>
      </c>
      <c r="B4832" s="36">
        <f t="shared" si="93"/>
        <v>10</v>
      </c>
      <c r="C4832" s="183">
        <f t="shared" si="94"/>
        <v>42299</v>
      </c>
      <c r="D4832" s="190" t="s">
        <v>2015</v>
      </c>
      <c r="E4832" s="190">
        <v>42299</v>
      </c>
      <c r="F4832" s="191" t="s">
        <v>1122</v>
      </c>
      <c r="G4832" s="482" t="s">
        <v>1123</v>
      </c>
      <c r="H4832" s="192" t="s">
        <v>2016</v>
      </c>
      <c r="I4832" s="255">
        <v>173</v>
      </c>
      <c r="J4832" s="255">
        <v>8127.9810138842986</v>
      </c>
      <c r="K4832" s="593">
        <f t="shared" si="95"/>
        <v>1406141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69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799"/>
    </row>
    <row r="4833" spans="1:27" s="210" customFormat="1" ht="15.75" customHeight="1">
      <c r="A4833" s="203" t="str">
        <f>IF(B4833&lt;&gt;"",IF(AND(B4833&gt;=_TM1,B4833&lt;=_TM2,OR(TH!L4833="1111",TH!M4833="1111")),TH!D4833,""),"")</f>
        <v/>
      </c>
      <c r="B4833" s="36">
        <f t="shared" si="93"/>
        <v>10</v>
      </c>
      <c r="C4833" s="183">
        <f t="shared" si="94"/>
        <v>42299</v>
      </c>
      <c r="D4833" s="190" t="s">
        <v>2015</v>
      </c>
      <c r="E4833" s="190">
        <v>42299</v>
      </c>
      <c r="F4833" s="191" t="s">
        <v>540</v>
      </c>
      <c r="G4833" s="482" t="s">
        <v>1123</v>
      </c>
      <c r="H4833" s="192" t="s">
        <v>2016</v>
      </c>
      <c r="I4833" s="255">
        <v>318</v>
      </c>
      <c r="J4833" s="255">
        <v>6487.4710844764577</v>
      </c>
      <c r="K4833" s="593">
        <f t="shared" si="95"/>
        <v>2063016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69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799"/>
    </row>
    <row r="4834" spans="1:27" s="210" customFormat="1" ht="15.75" customHeight="1">
      <c r="A4834" s="203" t="str">
        <f>IF(B4834&lt;&gt;"",IF(AND(B4834&gt;=_TM1,B4834&lt;=_TM2,OR(TH!L4834="1111",TH!M4834="1111")),TH!D4834,""),"")</f>
        <v/>
      </c>
      <c r="B4834" s="36">
        <f t="shared" si="93"/>
        <v>10</v>
      </c>
      <c r="C4834" s="183">
        <f t="shared" si="94"/>
        <v>42299</v>
      </c>
      <c r="D4834" s="190" t="s">
        <v>2015</v>
      </c>
      <c r="E4834" s="190">
        <v>42299</v>
      </c>
      <c r="F4834" s="191" t="s">
        <v>451</v>
      </c>
      <c r="G4834" s="482" t="s">
        <v>1123</v>
      </c>
      <c r="H4834" s="192" t="s">
        <v>2016</v>
      </c>
      <c r="I4834" s="255">
        <v>512</v>
      </c>
      <c r="J4834" s="255">
        <v>9992.1968427568445</v>
      </c>
      <c r="K4834" s="593">
        <f t="shared" si="95"/>
        <v>5116005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69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799"/>
    </row>
    <row r="4835" spans="1:27" s="210" customFormat="1" ht="15.75" customHeight="1">
      <c r="A4835" s="203" t="str">
        <f>IF(B4835&lt;&gt;"",IF(AND(B4835&gt;=_TM1,B4835&lt;=_TM2,OR(TH!L4835="1111",TH!M4835="1111")),TH!D4835,""),"")</f>
        <v/>
      </c>
      <c r="B4835" s="36">
        <f t="shared" si="93"/>
        <v>10</v>
      </c>
      <c r="C4835" s="183">
        <f t="shared" si="94"/>
        <v>42299</v>
      </c>
      <c r="D4835" s="190" t="s">
        <v>2015</v>
      </c>
      <c r="E4835" s="190">
        <v>42299</v>
      </c>
      <c r="F4835" s="191" t="s">
        <v>931</v>
      </c>
      <c r="G4835" s="482" t="s">
        <v>1123</v>
      </c>
      <c r="H4835" s="192" t="s">
        <v>2016</v>
      </c>
      <c r="I4835" s="255">
        <v>207</v>
      </c>
      <c r="J4835" s="255">
        <v>7233.1574160254759</v>
      </c>
      <c r="K4835" s="593">
        <f t="shared" si="95"/>
        <v>1497264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69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799"/>
    </row>
    <row r="4836" spans="1:27" s="210" customFormat="1" ht="15.75" customHeight="1">
      <c r="A4836" s="203" t="str">
        <f>IF(B4836&lt;&gt;"",IF(AND(B4836&gt;=_TM1,B4836&lt;=_TM2,OR(TH!L4836="1111",TH!M4836="1111")),TH!D4836,""),"")</f>
        <v/>
      </c>
      <c r="B4836" s="36">
        <f t="shared" si="93"/>
        <v>10</v>
      </c>
      <c r="C4836" s="183">
        <f t="shared" si="94"/>
        <v>42299</v>
      </c>
      <c r="D4836" s="190" t="s">
        <v>2015</v>
      </c>
      <c r="E4836" s="190">
        <v>42299</v>
      </c>
      <c r="F4836" s="191" t="s">
        <v>1124</v>
      </c>
      <c r="G4836" s="482" t="s">
        <v>1125</v>
      </c>
      <c r="H4836" s="192" t="s">
        <v>2016</v>
      </c>
      <c r="I4836" s="255">
        <v>300</v>
      </c>
      <c r="J4836" s="255">
        <v>6636.6083507862622</v>
      </c>
      <c r="K4836" s="593">
        <f t="shared" si="95"/>
        <v>1990983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69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799"/>
    </row>
    <row r="4837" spans="1:27" s="210" customFormat="1" ht="15.75" customHeight="1">
      <c r="A4837" s="203" t="str">
        <f>IF(B4837&lt;&gt;"",IF(AND(B4837&gt;=_TM1,B4837&lt;=_TM2,OR(TH!L4837="1111",TH!M4837="1111")),TH!D4837,""),"")</f>
        <v/>
      </c>
      <c r="B4837" s="36">
        <f t="shared" si="93"/>
        <v>10</v>
      </c>
      <c r="C4837" s="183">
        <f t="shared" si="94"/>
        <v>42299</v>
      </c>
      <c r="D4837" s="190" t="s">
        <v>2015</v>
      </c>
      <c r="E4837" s="190">
        <v>42299</v>
      </c>
      <c r="F4837" s="191" t="s">
        <v>1953</v>
      </c>
      <c r="G4837" s="482" t="s">
        <v>1127</v>
      </c>
      <c r="H4837" s="192" t="s">
        <v>2016</v>
      </c>
      <c r="I4837" s="255">
        <v>800</v>
      </c>
      <c r="J4837" s="255">
        <v>5965.4906523921454</v>
      </c>
      <c r="K4837" s="593">
        <f t="shared" si="95"/>
        <v>4772393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69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799"/>
    </row>
    <row r="4838" spans="1:27" s="210" customFormat="1" ht="15.75" customHeight="1">
      <c r="A4838" s="203" t="str">
        <f>IF(B4838&lt;&gt;"",IF(AND(B4838&gt;=_TM1,B4838&lt;=_TM2,OR(TH!L4838="1111",TH!M4838="1111")),TH!D4838,""),"")</f>
        <v/>
      </c>
      <c r="B4838" s="36">
        <f t="shared" si="93"/>
        <v>10</v>
      </c>
      <c r="C4838" s="183">
        <f t="shared" si="94"/>
        <v>42300</v>
      </c>
      <c r="D4838" s="190" t="s">
        <v>2015</v>
      </c>
      <c r="E4838" s="190">
        <v>42300</v>
      </c>
      <c r="F4838" s="191" t="s">
        <v>436</v>
      </c>
      <c r="G4838" s="482" t="s">
        <v>1129</v>
      </c>
      <c r="H4838" s="192" t="s">
        <v>2016</v>
      </c>
      <c r="I4838" s="255">
        <v>221</v>
      </c>
      <c r="J4838" s="255">
        <v>6562.03971763136</v>
      </c>
      <c r="K4838" s="593">
        <f t="shared" si="95"/>
        <v>1450211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69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799"/>
    </row>
    <row r="4839" spans="1:27" s="210" customFormat="1" ht="15.75" customHeight="1">
      <c r="A4839" s="203" t="str">
        <f>IF(B4839&lt;&gt;"",IF(AND(B4839&gt;=_TM1,B4839&lt;=_TM2,OR(TH!L4839="1111",TH!M4839="1111")),TH!D4839,""),"")</f>
        <v/>
      </c>
      <c r="B4839" s="36">
        <f t="shared" si="93"/>
        <v>10</v>
      </c>
      <c r="C4839" s="183">
        <f t="shared" si="94"/>
        <v>42300</v>
      </c>
      <c r="D4839" s="190" t="s">
        <v>2015</v>
      </c>
      <c r="E4839" s="190">
        <v>42300</v>
      </c>
      <c r="F4839" s="191" t="s">
        <v>441</v>
      </c>
      <c r="G4839" s="482" t="s">
        <v>1129</v>
      </c>
      <c r="H4839" s="192" t="s">
        <v>2016</v>
      </c>
      <c r="I4839" s="255">
        <v>518</v>
      </c>
      <c r="J4839" s="255">
        <v>3803.0002908999927</v>
      </c>
      <c r="K4839" s="593">
        <f t="shared" si="95"/>
        <v>1969954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69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799"/>
    </row>
    <row r="4840" spans="1:27" s="210" customFormat="1" ht="15.75" customHeight="1">
      <c r="A4840" s="203" t="str">
        <f>IF(B4840&lt;&gt;"",IF(AND(B4840&gt;=_TM1,B4840&lt;=_TM2,OR(TH!L4840="1111",TH!M4840="1111")),TH!D4840,""),"")</f>
        <v/>
      </c>
      <c r="B4840" s="36">
        <f t="shared" si="93"/>
        <v>10</v>
      </c>
      <c r="C4840" s="183">
        <f t="shared" si="94"/>
        <v>42300</v>
      </c>
      <c r="D4840" s="190" t="s">
        <v>2015</v>
      </c>
      <c r="E4840" s="190">
        <v>42300</v>
      </c>
      <c r="F4840" s="191" t="s">
        <v>522</v>
      </c>
      <c r="G4840" s="482" t="s">
        <v>1129</v>
      </c>
      <c r="H4840" s="192" t="s">
        <v>2016</v>
      </c>
      <c r="I4840" s="255">
        <v>227</v>
      </c>
      <c r="J4840" s="255">
        <v>4026.7061903646986</v>
      </c>
      <c r="K4840" s="593">
        <f t="shared" si="95"/>
        <v>914062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69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799"/>
    </row>
    <row r="4841" spans="1:27" s="210" customFormat="1" ht="15.75" customHeight="1">
      <c r="A4841" s="203" t="str">
        <f>IF(B4841&lt;&gt;"",IF(AND(B4841&gt;=_TM1,B4841&lt;=_TM2,OR(TH!L4841="1111",TH!M4841="1111")),TH!D4841,""),"")</f>
        <v/>
      </c>
      <c r="B4841" s="36">
        <f t="shared" si="93"/>
        <v>10</v>
      </c>
      <c r="C4841" s="183">
        <f t="shared" si="94"/>
        <v>42300</v>
      </c>
      <c r="D4841" s="190" t="s">
        <v>2015</v>
      </c>
      <c r="E4841" s="190">
        <v>42300</v>
      </c>
      <c r="F4841" s="191" t="s">
        <v>439</v>
      </c>
      <c r="G4841" s="482" t="s">
        <v>1129</v>
      </c>
      <c r="H4841" s="192" t="s">
        <v>2016</v>
      </c>
      <c r="I4841" s="255">
        <v>204</v>
      </c>
      <c r="J4841" s="255">
        <v>4772.3925219137163</v>
      </c>
      <c r="K4841" s="593">
        <f t="shared" si="95"/>
        <v>973568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69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799"/>
    </row>
    <row r="4842" spans="1:27" s="210" customFormat="1" ht="15.75" customHeight="1">
      <c r="A4842" s="203" t="str">
        <f>IF(B4842&lt;&gt;"",IF(AND(B4842&gt;=_TM1,B4842&lt;=_TM2,OR(TH!L4842="1111",TH!M4842="1111")),TH!D4842,""),"")</f>
        <v/>
      </c>
      <c r="B4842" s="36">
        <f t="shared" si="93"/>
        <v>10</v>
      </c>
      <c r="C4842" s="183">
        <f t="shared" si="94"/>
        <v>42300</v>
      </c>
      <c r="D4842" s="190" t="s">
        <v>2015</v>
      </c>
      <c r="E4842" s="190">
        <v>42300</v>
      </c>
      <c r="F4842" s="191" t="s">
        <v>1130</v>
      </c>
      <c r="G4842" s="482" t="s">
        <v>1131</v>
      </c>
      <c r="H4842" s="192" t="s">
        <v>2016</v>
      </c>
      <c r="I4842" s="255">
        <v>50</v>
      </c>
      <c r="J4842" s="255">
        <v>37060.610677986202</v>
      </c>
      <c r="K4842" s="593">
        <f t="shared" si="95"/>
        <v>1853031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69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799"/>
    </row>
    <row r="4843" spans="1:27" s="210" customFormat="1" ht="15.75" customHeight="1">
      <c r="A4843" s="203" t="str">
        <f>IF(B4843&lt;&gt;"",IF(AND(B4843&gt;=_TM1,B4843&lt;=_TM2,OR(TH!L4843="1111",TH!M4843="1111")),TH!D4843,""),"")</f>
        <v/>
      </c>
      <c r="B4843" s="36">
        <f t="shared" si="93"/>
        <v>10</v>
      </c>
      <c r="C4843" s="183">
        <f t="shared" si="94"/>
        <v>42300</v>
      </c>
      <c r="D4843" s="190" t="s">
        <v>2015</v>
      </c>
      <c r="E4843" s="190">
        <v>42300</v>
      </c>
      <c r="F4843" s="191" t="s">
        <v>1132</v>
      </c>
      <c r="G4843" s="482" t="s">
        <v>1131</v>
      </c>
      <c r="H4843" s="192" t="s">
        <v>2016</v>
      </c>
      <c r="I4843" s="255">
        <v>38</v>
      </c>
      <c r="J4843" s="255">
        <v>36613.198879056792</v>
      </c>
      <c r="K4843" s="593">
        <f t="shared" si="95"/>
        <v>1391302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69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799"/>
    </row>
    <row r="4844" spans="1:27" s="210" customFormat="1" ht="15.75" customHeight="1">
      <c r="A4844" s="203" t="str">
        <f>IF(B4844&lt;&gt;"",IF(AND(B4844&gt;=_TM1,B4844&lt;=_TM2,OR(TH!L4844="1111",TH!M4844="1111")),TH!D4844,""),"")</f>
        <v/>
      </c>
      <c r="B4844" s="36">
        <f t="shared" si="93"/>
        <v>10</v>
      </c>
      <c r="C4844" s="183">
        <f t="shared" si="94"/>
        <v>42300</v>
      </c>
      <c r="D4844" s="190" t="s">
        <v>2015</v>
      </c>
      <c r="E4844" s="190">
        <v>42300</v>
      </c>
      <c r="F4844" s="191" t="s">
        <v>454</v>
      </c>
      <c r="G4844" s="482" t="s">
        <v>1131</v>
      </c>
      <c r="H4844" s="192" t="s">
        <v>2016</v>
      </c>
      <c r="I4844" s="255">
        <v>257</v>
      </c>
      <c r="J4844" s="255">
        <v>54062.259037303818</v>
      </c>
      <c r="K4844" s="593">
        <f t="shared" si="95"/>
        <v>13894001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69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799"/>
    </row>
    <row r="4845" spans="1:27" s="210" customFormat="1" ht="15.75" customHeight="1">
      <c r="A4845" s="203" t="str">
        <f>IF(B4845&lt;&gt;"",IF(AND(B4845&gt;=_TM1,B4845&lt;=_TM2,OR(TH!L4845="1111",TH!M4845="1111")),TH!D4845,""),"")</f>
        <v/>
      </c>
      <c r="B4845" s="36">
        <f t="shared" si="93"/>
        <v>10</v>
      </c>
      <c r="C4845" s="183">
        <f t="shared" si="94"/>
        <v>42300</v>
      </c>
      <c r="D4845" s="190" t="s">
        <v>2015</v>
      </c>
      <c r="E4845" s="190">
        <v>42300</v>
      </c>
      <c r="F4845" s="191" t="s">
        <v>1007</v>
      </c>
      <c r="G4845" s="482" t="s">
        <v>1131</v>
      </c>
      <c r="H4845" s="192" t="s">
        <v>2016</v>
      </c>
      <c r="I4845" s="255">
        <v>31</v>
      </c>
      <c r="J4845" s="255">
        <v>62115.671418033213</v>
      </c>
      <c r="K4845" s="593">
        <f t="shared" si="95"/>
        <v>1925586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69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799"/>
    </row>
    <row r="4846" spans="1:27" s="210" customFormat="1" ht="15.75" customHeight="1">
      <c r="A4846" s="203" t="str">
        <f>IF(B4846&lt;&gt;"",IF(AND(B4846&gt;=_TM1,B4846&lt;=_TM2,OR(TH!L4846="1111",TH!M4846="1111")),TH!D4846,""),"")</f>
        <v/>
      </c>
      <c r="B4846" s="36">
        <f t="shared" si="93"/>
        <v>10</v>
      </c>
      <c r="C4846" s="183">
        <f t="shared" si="94"/>
        <v>42300</v>
      </c>
      <c r="D4846" s="190" t="s">
        <v>2015</v>
      </c>
      <c r="E4846" s="190">
        <v>42300</v>
      </c>
      <c r="F4846" s="191" t="s">
        <v>661</v>
      </c>
      <c r="G4846" s="482" t="s">
        <v>1133</v>
      </c>
      <c r="H4846" s="192" t="s">
        <v>2016</v>
      </c>
      <c r="I4846" s="255">
        <v>180</v>
      </c>
      <c r="J4846" s="255">
        <v>8053.4123807293972</v>
      </c>
      <c r="K4846" s="593">
        <f t="shared" si="95"/>
        <v>1449614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69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799"/>
    </row>
    <row r="4847" spans="1:27" s="210" customFormat="1" ht="15.75" customHeight="1">
      <c r="A4847" s="203" t="str">
        <f>IF(B4847&lt;&gt;"",IF(AND(B4847&gt;=_TM1,B4847&lt;=_TM2,OR(TH!L4847="1111",TH!M4847="1111")),TH!D4847,""),"")</f>
        <v/>
      </c>
      <c r="B4847" s="36">
        <f t="shared" si="93"/>
        <v>10</v>
      </c>
      <c r="C4847" s="183">
        <f t="shared" si="94"/>
        <v>42300</v>
      </c>
      <c r="D4847" s="190" t="s">
        <v>2015</v>
      </c>
      <c r="E4847" s="190">
        <v>42300</v>
      </c>
      <c r="F4847" s="191" t="s">
        <v>432</v>
      </c>
      <c r="G4847" s="482" t="s">
        <v>1133</v>
      </c>
      <c r="H4847" s="192" t="s">
        <v>2016</v>
      </c>
      <c r="I4847" s="255">
        <v>120</v>
      </c>
      <c r="J4847" s="255">
        <v>9843.0595764470399</v>
      </c>
      <c r="K4847" s="593">
        <f t="shared" si="95"/>
        <v>1181167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69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799"/>
    </row>
    <row r="4848" spans="1:27" s="210" customFormat="1" ht="15.75" customHeight="1">
      <c r="A4848" s="203" t="str">
        <f>IF(B4848&lt;&gt;"",IF(AND(B4848&gt;=_TM1,B4848&lt;=_TM2,OR(TH!L4848="1111",TH!M4848="1111")),TH!D4848,""),"")</f>
        <v/>
      </c>
      <c r="B4848" s="36">
        <f t="shared" si="93"/>
        <v>10</v>
      </c>
      <c r="C4848" s="183">
        <f t="shared" si="94"/>
        <v>42300</v>
      </c>
      <c r="D4848" s="190" t="s">
        <v>2015</v>
      </c>
      <c r="E4848" s="190">
        <v>42300</v>
      </c>
      <c r="F4848" s="191" t="s">
        <v>1134</v>
      </c>
      <c r="G4848" s="482" t="s">
        <v>1133</v>
      </c>
      <c r="H4848" s="192" t="s">
        <v>2016</v>
      </c>
      <c r="I4848" s="255">
        <v>220</v>
      </c>
      <c r="J4848" s="255">
        <v>8053.4123807293972</v>
      </c>
      <c r="K4848" s="593">
        <f t="shared" si="95"/>
        <v>1771751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69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799"/>
    </row>
    <row r="4849" spans="1:27" s="210" customFormat="1" ht="15.75" customHeight="1">
      <c r="A4849" s="203" t="str">
        <f>IF(B4849&lt;&gt;"",IF(AND(B4849&gt;=_TM1,B4849&lt;=_TM2,OR(TH!L4849="1111",TH!M4849="1111")),TH!D4849,""),"")</f>
        <v/>
      </c>
      <c r="B4849" s="36">
        <f t="shared" si="93"/>
        <v>10</v>
      </c>
      <c r="C4849" s="183">
        <f t="shared" si="94"/>
        <v>42300</v>
      </c>
      <c r="D4849" s="190" t="s">
        <v>2015</v>
      </c>
      <c r="E4849" s="190">
        <v>42300</v>
      </c>
      <c r="F4849" s="191" t="s">
        <v>1135</v>
      </c>
      <c r="G4849" s="482" t="s">
        <v>1133</v>
      </c>
      <c r="H4849" s="192" t="s">
        <v>2016</v>
      </c>
      <c r="I4849" s="255">
        <v>360</v>
      </c>
      <c r="J4849" s="255">
        <v>9246.5105112078254</v>
      </c>
      <c r="K4849" s="593">
        <f t="shared" si="95"/>
        <v>3328744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69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799"/>
    </row>
    <row r="4850" spans="1:27" s="210" customFormat="1" ht="15.75" customHeight="1">
      <c r="A4850" s="203" t="str">
        <f>IF(B4850&lt;&gt;"",IF(AND(B4850&gt;=_TM1,B4850&lt;=_TM2,OR(TH!L4850="1111",TH!M4850="1111")),TH!D4850,""),"")</f>
        <v/>
      </c>
      <c r="B4850" s="36">
        <f t="shared" si="93"/>
        <v>10</v>
      </c>
      <c r="C4850" s="183">
        <f t="shared" si="94"/>
        <v>42300</v>
      </c>
      <c r="D4850" s="190" t="s">
        <v>2015</v>
      </c>
      <c r="E4850" s="190">
        <v>42300</v>
      </c>
      <c r="F4850" s="191" t="s">
        <v>602</v>
      </c>
      <c r="G4850" s="482" t="s">
        <v>1133</v>
      </c>
      <c r="H4850" s="192" t="s">
        <v>2016</v>
      </c>
      <c r="I4850" s="255">
        <v>767</v>
      </c>
      <c r="J4850" s="255">
        <v>9395.6477775176299</v>
      </c>
      <c r="K4850" s="593">
        <f t="shared" si="95"/>
        <v>7206462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69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799"/>
    </row>
    <row r="4851" spans="1:27" s="210" customFormat="1" ht="15.75" customHeight="1">
      <c r="A4851" s="203" t="str">
        <f>IF(B4851&lt;&gt;"",IF(AND(B4851&gt;=_TM1,B4851&lt;=_TM2,OR(TH!L4851="1111",TH!M4851="1111")),TH!D4851,""),"")</f>
        <v/>
      </c>
      <c r="B4851" s="36">
        <f t="shared" si="93"/>
        <v>10</v>
      </c>
      <c r="C4851" s="183">
        <f t="shared" si="94"/>
        <v>42300</v>
      </c>
      <c r="D4851" s="190" t="s">
        <v>2015</v>
      </c>
      <c r="E4851" s="190">
        <v>42300</v>
      </c>
      <c r="F4851" s="191" t="s">
        <v>2010</v>
      </c>
      <c r="G4851" s="482" t="s">
        <v>1136</v>
      </c>
      <c r="H4851" s="192" t="s">
        <v>2016</v>
      </c>
      <c r="I4851" s="255">
        <v>100</v>
      </c>
      <c r="J4851" s="255">
        <v>8724.5300791235113</v>
      </c>
      <c r="K4851" s="593">
        <f t="shared" si="95"/>
        <v>872453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69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799"/>
    </row>
    <row r="4852" spans="1:27" s="210" customFormat="1" ht="15.75" customHeight="1">
      <c r="A4852" s="203" t="str">
        <f>IF(B4852&lt;&gt;"",IF(AND(B4852&gt;=_TM1,B4852&lt;=_TM2,OR(TH!L4852="1111",TH!M4852="1111")),TH!D4852,""),"")</f>
        <v/>
      </c>
      <c r="B4852" s="36">
        <f t="shared" si="93"/>
        <v>10</v>
      </c>
      <c r="C4852" s="183">
        <f t="shared" si="94"/>
        <v>42300</v>
      </c>
      <c r="D4852" s="190" t="s">
        <v>2015</v>
      </c>
      <c r="E4852" s="190">
        <v>42300</v>
      </c>
      <c r="F4852" s="191" t="s">
        <v>1948</v>
      </c>
      <c r="G4852" s="482" t="s">
        <v>1136</v>
      </c>
      <c r="H4852" s="192" t="s">
        <v>2016</v>
      </c>
      <c r="I4852" s="255">
        <v>50</v>
      </c>
      <c r="J4852" s="255">
        <v>9246.5105112078254</v>
      </c>
      <c r="K4852" s="593">
        <f t="shared" si="95"/>
        <v>462326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69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799"/>
    </row>
    <row r="4853" spans="1:27" s="210" customFormat="1" ht="15.75" customHeight="1">
      <c r="A4853" s="203" t="str">
        <f>IF(B4853&lt;&gt;"",IF(AND(B4853&gt;=_TM1,B4853&lt;=_TM2,OR(TH!L4853="1111",TH!M4853="1111")),TH!D4853,""),"")</f>
        <v/>
      </c>
      <c r="B4853" s="36">
        <f t="shared" si="93"/>
        <v>10</v>
      </c>
      <c r="C4853" s="183">
        <f t="shared" si="94"/>
        <v>42300</v>
      </c>
      <c r="D4853" s="190" t="s">
        <v>2015</v>
      </c>
      <c r="E4853" s="190">
        <v>42300</v>
      </c>
      <c r="F4853" s="191" t="s">
        <v>1949</v>
      </c>
      <c r="G4853" s="482" t="s">
        <v>1136</v>
      </c>
      <c r="H4853" s="192" t="s">
        <v>2016</v>
      </c>
      <c r="I4853" s="255">
        <v>50</v>
      </c>
      <c r="J4853" s="255">
        <v>11334.432239545076</v>
      </c>
      <c r="K4853" s="593">
        <f t="shared" si="95"/>
        <v>566722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69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799"/>
    </row>
    <row r="4854" spans="1:27" s="210" customFormat="1" ht="15.75" customHeight="1">
      <c r="A4854" s="203" t="str">
        <f>IF(B4854&lt;&gt;"",IF(AND(B4854&gt;=_TM1,B4854&lt;=_TM2,OR(TH!L4854="1111",TH!M4854="1111")),TH!D4854,""),"")</f>
        <v/>
      </c>
      <c r="B4854" s="36">
        <f t="shared" si="93"/>
        <v>10</v>
      </c>
      <c r="C4854" s="183">
        <f t="shared" si="94"/>
        <v>42300</v>
      </c>
      <c r="D4854" s="190" t="s">
        <v>2015</v>
      </c>
      <c r="E4854" s="190">
        <v>42300</v>
      </c>
      <c r="F4854" s="191" t="s">
        <v>1951</v>
      </c>
      <c r="G4854" s="482" t="s">
        <v>1136</v>
      </c>
      <c r="H4854" s="192" t="s">
        <v>2016</v>
      </c>
      <c r="I4854" s="255">
        <v>50</v>
      </c>
      <c r="J4854" s="255">
        <v>9022.8046117431204</v>
      </c>
      <c r="K4854" s="593">
        <f t="shared" si="95"/>
        <v>451140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69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799"/>
    </row>
    <row r="4855" spans="1:27" s="210" customFormat="1" ht="15.75" customHeight="1">
      <c r="A4855" s="203" t="str">
        <f>IF(B4855&lt;&gt;"",IF(AND(B4855&gt;=_TM1,B4855&lt;=_TM2,OR(TH!L4855="1111",TH!M4855="1111")),TH!D4855,""),"")</f>
        <v/>
      </c>
      <c r="B4855" s="36">
        <f t="shared" si="93"/>
        <v>10</v>
      </c>
      <c r="C4855" s="183">
        <f t="shared" si="94"/>
        <v>42300</v>
      </c>
      <c r="D4855" s="190" t="s">
        <v>2015</v>
      </c>
      <c r="E4855" s="190">
        <v>42300</v>
      </c>
      <c r="F4855" s="191" t="s">
        <v>1137</v>
      </c>
      <c r="G4855" s="482" t="s">
        <v>1138</v>
      </c>
      <c r="H4855" s="192" t="s">
        <v>2016</v>
      </c>
      <c r="I4855" s="255">
        <v>1418</v>
      </c>
      <c r="J4855" s="255">
        <v>8351.6869133490036</v>
      </c>
      <c r="K4855" s="593">
        <f t="shared" si="95"/>
        <v>11842692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69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799"/>
    </row>
    <row r="4856" spans="1:27" s="210" customFormat="1" ht="15.75" customHeight="1">
      <c r="A4856" s="203" t="str">
        <f>IF(B4856&lt;&gt;"",IF(AND(B4856&gt;=_TM1,B4856&lt;=_TM2,OR(TH!L4856="1111",TH!M4856="1111")),TH!D4856,""),"")</f>
        <v/>
      </c>
      <c r="B4856" s="36">
        <f t="shared" si="93"/>
        <v>10</v>
      </c>
      <c r="C4856" s="183">
        <f t="shared" si="94"/>
        <v>42303</v>
      </c>
      <c r="D4856" s="190" t="s">
        <v>2015</v>
      </c>
      <c r="E4856" s="190">
        <v>42303</v>
      </c>
      <c r="F4856" s="191" t="s">
        <v>413</v>
      </c>
      <c r="G4856" s="482" t="s">
        <v>1139</v>
      </c>
      <c r="H4856" s="192" t="s">
        <v>2016</v>
      </c>
      <c r="I4856" s="255">
        <v>430</v>
      </c>
      <c r="J4856" s="255">
        <v>7084.0201497156722</v>
      </c>
      <c r="K4856" s="593">
        <f t="shared" si="95"/>
        <v>3046129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69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799"/>
    </row>
    <row r="4857" spans="1:27" s="210" customFormat="1" ht="15.75" customHeight="1">
      <c r="A4857" s="203" t="str">
        <f>IF(B4857&lt;&gt;"",IF(AND(B4857&gt;=_TM1,B4857&lt;=_TM2,OR(TH!L4857="1111",TH!M4857="1111")),TH!D4857,""),"")</f>
        <v/>
      </c>
      <c r="B4857" s="36">
        <f t="shared" si="93"/>
        <v>10</v>
      </c>
      <c r="C4857" s="183">
        <f t="shared" si="94"/>
        <v>42303</v>
      </c>
      <c r="D4857" s="190" t="s">
        <v>2015</v>
      </c>
      <c r="E4857" s="190">
        <v>42303</v>
      </c>
      <c r="F4857" s="191" t="s">
        <v>413</v>
      </c>
      <c r="G4857" s="482" t="s">
        <v>1139</v>
      </c>
      <c r="H4857" s="192" t="s">
        <v>2016</v>
      </c>
      <c r="I4857" s="255">
        <v>409</v>
      </c>
      <c r="J4857" s="255">
        <v>7084.0201497156722</v>
      </c>
      <c r="K4857" s="593">
        <f t="shared" si="95"/>
        <v>2897364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69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799"/>
    </row>
    <row r="4858" spans="1:27" s="210" customFormat="1" ht="15.75" customHeight="1">
      <c r="A4858" s="203" t="str">
        <f>IF(B4858&lt;&gt;"",IF(AND(B4858&gt;=_TM1,B4858&lt;=_TM2,OR(TH!L4858="1111",TH!M4858="1111")),TH!D4858,""),"")</f>
        <v/>
      </c>
      <c r="B4858" s="36">
        <f t="shared" si="93"/>
        <v>10</v>
      </c>
      <c r="C4858" s="183">
        <f t="shared" si="94"/>
        <v>42304</v>
      </c>
      <c r="D4858" s="190" t="s">
        <v>2015</v>
      </c>
      <c r="E4858" s="190">
        <v>42304</v>
      </c>
      <c r="F4858" s="191" t="s">
        <v>1140</v>
      </c>
      <c r="G4858" s="482" t="s">
        <v>1141</v>
      </c>
      <c r="H4858" s="192" t="s">
        <v>2016</v>
      </c>
      <c r="I4858" s="255">
        <v>726</v>
      </c>
      <c r="J4858" s="255">
        <v>8500.8241796588063</v>
      </c>
      <c r="K4858" s="593">
        <f t="shared" si="95"/>
        <v>6171598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69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799"/>
    </row>
    <row r="4859" spans="1:27" s="210" customFormat="1" ht="15.75" customHeight="1">
      <c r="A4859" s="203" t="str">
        <f>IF(B4859&lt;&gt;"",IF(AND(B4859&gt;=_TM1,B4859&lt;=_TM2,OR(TH!L4859="1111",TH!M4859="1111")),TH!D4859,""),"")</f>
        <v/>
      </c>
      <c r="B4859" s="36">
        <f t="shared" si="93"/>
        <v>10</v>
      </c>
      <c r="C4859" s="183">
        <f t="shared" si="94"/>
        <v>42304</v>
      </c>
      <c r="D4859" s="190" t="s">
        <v>2015</v>
      </c>
      <c r="E4859" s="190">
        <v>42304</v>
      </c>
      <c r="F4859" s="191" t="s">
        <v>1140</v>
      </c>
      <c r="G4859" s="482" t="s">
        <v>1141</v>
      </c>
      <c r="H4859" s="192" t="s">
        <v>2016</v>
      </c>
      <c r="I4859" s="255">
        <v>100</v>
      </c>
      <c r="J4859" s="255">
        <v>8500.8241796588063</v>
      </c>
      <c r="K4859" s="593">
        <f t="shared" si="95"/>
        <v>850082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69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799"/>
    </row>
    <row r="4860" spans="1:27" s="210" customFormat="1" ht="15.75" customHeight="1">
      <c r="A4860" s="203" t="str">
        <f>IF(B4860&lt;&gt;"",IF(AND(B4860&gt;=_TM1,B4860&lt;=_TM2,OR(TH!L4860="1111",TH!M4860="1111")),TH!D4860,""),"")</f>
        <v/>
      </c>
      <c r="B4860" s="36">
        <f t="shared" si="93"/>
        <v>10</v>
      </c>
      <c r="C4860" s="183">
        <f t="shared" si="94"/>
        <v>42304</v>
      </c>
      <c r="D4860" s="190" t="s">
        <v>2015</v>
      </c>
      <c r="E4860" s="190">
        <v>42304</v>
      </c>
      <c r="F4860" s="191" t="s">
        <v>1677</v>
      </c>
      <c r="G4860" s="482" t="s">
        <v>1141</v>
      </c>
      <c r="H4860" s="192" t="s">
        <v>2016</v>
      </c>
      <c r="I4860" s="255">
        <v>1652</v>
      </c>
      <c r="J4860" s="255">
        <v>671.11769839411636</v>
      </c>
      <c r="K4860" s="593">
        <f t="shared" si="95"/>
        <v>1108686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69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799"/>
    </row>
    <row r="4861" spans="1:27" s="210" customFormat="1" ht="15.75" customHeight="1">
      <c r="A4861" s="203" t="str">
        <f>IF(B4861&lt;&gt;"",IF(AND(B4861&gt;=_TM1,B4861&lt;=_TM2,OR(TH!L4861="1111",TH!M4861="1111")),TH!D4861,""),"")</f>
        <v/>
      </c>
      <c r="B4861" s="36">
        <f t="shared" si="93"/>
        <v>10</v>
      </c>
      <c r="C4861" s="183">
        <f t="shared" si="94"/>
        <v>42305</v>
      </c>
      <c r="D4861" s="190" t="s">
        <v>2015</v>
      </c>
      <c r="E4861" s="190">
        <v>42305</v>
      </c>
      <c r="F4861" s="191" t="s">
        <v>1122</v>
      </c>
      <c r="G4861" s="482" t="s">
        <v>1142</v>
      </c>
      <c r="H4861" s="192" t="s">
        <v>2016</v>
      </c>
      <c r="I4861" s="255">
        <v>103</v>
      </c>
      <c r="J4861" s="255">
        <v>8127.9810138842986</v>
      </c>
      <c r="K4861" s="593">
        <f t="shared" si="95"/>
        <v>837182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69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799"/>
    </row>
    <row r="4862" spans="1:27" s="210" customFormat="1" ht="15.75" customHeight="1">
      <c r="A4862" s="203" t="str">
        <f>IF(B4862&lt;&gt;"",IF(AND(B4862&gt;=_TM1,B4862&lt;=_TM2,OR(TH!L4862="1111",TH!M4862="1111")),TH!D4862,""),"")</f>
        <v/>
      </c>
      <c r="B4862" s="36">
        <f t="shared" si="93"/>
        <v>10</v>
      </c>
      <c r="C4862" s="183">
        <f t="shared" si="94"/>
        <v>42306</v>
      </c>
      <c r="D4862" s="190" t="s">
        <v>2015</v>
      </c>
      <c r="E4862" s="190">
        <v>42306</v>
      </c>
      <c r="F4862" s="191" t="s">
        <v>431</v>
      </c>
      <c r="G4862" s="482" t="s">
        <v>1143</v>
      </c>
      <c r="H4862" s="192" t="s">
        <v>2016</v>
      </c>
      <c r="I4862" s="255">
        <v>110</v>
      </c>
      <c r="J4862" s="255">
        <v>7904.2751144195927</v>
      </c>
      <c r="K4862" s="593">
        <f t="shared" si="95"/>
        <v>869470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69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799"/>
    </row>
    <row r="4863" spans="1:27" s="210" customFormat="1" ht="15.75" customHeight="1">
      <c r="A4863" s="203" t="str">
        <f>IF(B4863&lt;&gt;"",IF(AND(B4863&gt;=_TM1,B4863&lt;=_TM2,OR(TH!L4863="1111",TH!M4863="1111")),TH!D4863,""),"")</f>
        <v/>
      </c>
      <c r="B4863" s="36">
        <f t="shared" si="93"/>
        <v>10</v>
      </c>
      <c r="C4863" s="183">
        <f t="shared" si="94"/>
        <v>42306</v>
      </c>
      <c r="D4863" s="190" t="s">
        <v>2015</v>
      </c>
      <c r="E4863" s="190">
        <v>42306</v>
      </c>
      <c r="F4863" s="191" t="s">
        <v>1144</v>
      </c>
      <c r="G4863" s="482" t="s">
        <v>1143</v>
      </c>
      <c r="H4863" s="192" t="s">
        <v>2016</v>
      </c>
      <c r="I4863" s="255">
        <v>52</v>
      </c>
      <c r="J4863" s="255">
        <v>6412.9024513215563</v>
      </c>
      <c r="K4863" s="593">
        <f t="shared" si="95"/>
        <v>333471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69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799"/>
    </row>
    <row r="4864" spans="1:27" s="210" customFormat="1" ht="15.75" customHeight="1">
      <c r="A4864" s="203" t="str">
        <f>IF(B4864&lt;&gt;"",IF(AND(B4864&gt;=_TM1,B4864&lt;=_TM2,OR(TH!L4864="1111",TH!M4864="1111")),TH!D4864,""),"")</f>
        <v/>
      </c>
      <c r="B4864" s="36">
        <f t="shared" si="93"/>
        <v>10</v>
      </c>
      <c r="C4864" s="183">
        <f t="shared" si="94"/>
        <v>42306</v>
      </c>
      <c r="D4864" s="190" t="s">
        <v>2015</v>
      </c>
      <c r="E4864" s="190">
        <v>42306</v>
      </c>
      <c r="F4864" s="191" t="s">
        <v>602</v>
      </c>
      <c r="G4864" s="482" t="s">
        <v>1143</v>
      </c>
      <c r="H4864" s="192" t="s">
        <v>2016</v>
      </c>
      <c r="I4864" s="255">
        <v>204</v>
      </c>
      <c r="J4864" s="255">
        <v>9395.6477775176299</v>
      </c>
      <c r="K4864" s="593">
        <f t="shared" si="95"/>
        <v>1916712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69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799"/>
    </row>
    <row r="4865" spans="1:27" s="210" customFormat="1" ht="15.75" customHeight="1">
      <c r="A4865" s="203" t="str">
        <f>IF(B4865&lt;&gt;"",IF(AND(B4865&gt;=_TM1,B4865&lt;=_TM2,OR(TH!L4865="1111",TH!M4865="1111")),TH!D4865,""),"")</f>
        <v/>
      </c>
      <c r="B4865" s="36">
        <f t="shared" si="93"/>
        <v>10</v>
      </c>
      <c r="C4865" s="183">
        <f t="shared" si="94"/>
        <v>42306</v>
      </c>
      <c r="D4865" s="190" t="s">
        <v>2015</v>
      </c>
      <c r="E4865" s="190">
        <v>42306</v>
      </c>
      <c r="F4865" s="191" t="s">
        <v>430</v>
      </c>
      <c r="G4865" s="482" t="s">
        <v>1143</v>
      </c>
      <c r="H4865" s="192" t="s">
        <v>2016</v>
      </c>
      <c r="I4865" s="255">
        <v>52</v>
      </c>
      <c r="J4865" s="255">
        <v>6636.6083507862622</v>
      </c>
      <c r="K4865" s="593">
        <f t="shared" si="95"/>
        <v>345104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69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799"/>
    </row>
    <row r="4866" spans="1:27" s="210" customFormat="1" ht="15.75" customHeight="1">
      <c r="A4866" s="203" t="str">
        <f>IF(B4866&lt;&gt;"",IF(AND(B4866&gt;=_TM1,B4866&lt;=_TM2,OR(TH!L4866="1111",TH!M4866="1111")),TH!D4866,""),"")</f>
        <v/>
      </c>
      <c r="B4866" s="36">
        <f t="shared" si="93"/>
        <v>10</v>
      </c>
      <c r="C4866" s="183">
        <f t="shared" si="94"/>
        <v>42306</v>
      </c>
      <c r="D4866" s="190" t="s">
        <v>2015</v>
      </c>
      <c r="E4866" s="190">
        <v>42306</v>
      </c>
      <c r="F4866" s="191" t="s">
        <v>523</v>
      </c>
      <c r="G4866" s="482" t="s">
        <v>1143</v>
      </c>
      <c r="H4866" s="192" t="s">
        <v>2016</v>
      </c>
      <c r="I4866" s="255">
        <v>110</v>
      </c>
      <c r="J4866" s="255">
        <v>10066.765475911747</v>
      </c>
      <c r="K4866" s="593">
        <f t="shared" si="95"/>
        <v>1107344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69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799"/>
    </row>
    <row r="4867" spans="1:27" s="210" customFormat="1" ht="15.75" customHeight="1">
      <c r="A4867" s="203" t="str">
        <f>IF(B4867&lt;&gt;"",IF(AND(B4867&gt;=_TM1,B4867&lt;=_TM2,OR(TH!L4867="1111",TH!M4867="1111")),TH!D4867,""),"")</f>
        <v/>
      </c>
      <c r="B4867" s="36">
        <f t="shared" si="93"/>
        <v>10</v>
      </c>
      <c r="C4867" s="183">
        <f t="shared" si="94"/>
        <v>42306</v>
      </c>
      <c r="D4867" s="190" t="s">
        <v>2015</v>
      </c>
      <c r="E4867" s="190">
        <v>42306</v>
      </c>
      <c r="F4867" s="191" t="s">
        <v>1145</v>
      </c>
      <c r="G4867" s="482" t="s">
        <v>1143</v>
      </c>
      <c r="H4867" s="192" t="s">
        <v>2016</v>
      </c>
      <c r="I4867" s="255">
        <v>52</v>
      </c>
      <c r="J4867" s="255">
        <v>8575.3928128137086</v>
      </c>
      <c r="K4867" s="593">
        <f t="shared" si="95"/>
        <v>445920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69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799"/>
    </row>
    <row r="4868" spans="1:27" s="210" customFormat="1" ht="15.75" customHeight="1">
      <c r="A4868" s="203" t="str">
        <f>IF(B4868&lt;&gt;"",IF(AND(B4868&gt;=_TM1,B4868&lt;=_TM2,OR(TH!L4868="1111",TH!M4868="1111")),TH!D4868,""),"")</f>
        <v/>
      </c>
      <c r="B4868" s="36">
        <f t="shared" si="93"/>
        <v>10</v>
      </c>
      <c r="C4868" s="183">
        <f t="shared" si="94"/>
        <v>42306</v>
      </c>
      <c r="D4868" s="190" t="s">
        <v>2015</v>
      </c>
      <c r="E4868" s="190">
        <v>42306</v>
      </c>
      <c r="F4868" s="191" t="s">
        <v>1146</v>
      </c>
      <c r="G4868" s="482" t="s">
        <v>1143</v>
      </c>
      <c r="H4868" s="192" t="s">
        <v>2016</v>
      </c>
      <c r="I4868" s="255">
        <v>52</v>
      </c>
      <c r="J4868" s="255">
        <v>8873.6673454333159</v>
      </c>
      <c r="K4868" s="593">
        <f t="shared" si="95"/>
        <v>461431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69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799"/>
    </row>
    <row r="4869" spans="1:27" s="210" customFormat="1" ht="15.75" customHeight="1">
      <c r="A4869" s="203" t="str">
        <f>IF(B4869&lt;&gt;"",IF(AND(B4869&gt;=_TM1,B4869&lt;=_TM2,OR(TH!L4869="1111",TH!M4869="1111")),TH!D4869,""),"")</f>
        <v/>
      </c>
      <c r="B4869" s="36">
        <f t="shared" si="93"/>
        <v>10</v>
      </c>
      <c r="C4869" s="183">
        <f t="shared" si="94"/>
        <v>42306</v>
      </c>
      <c r="D4869" s="190" t="s">
        <v>2015</v>
      </c>
      <c r="E4869" s="190">
        <v>42306</v>
      </c>
      <c r="F4869" s="191" t="s">
        <v>432</v>
      </c>
      <c r="G4869" s="482" t="s">
        <v>1143</v>
      </c>
      <c r="H4869" s="192" t="s">
        <v>2016</v>
      </c>
      <c r="I4869" s="255">
        <v>131</v>
      </c>
      <c r="J4869" s="255">
        <v>9843.0595764470399</v>
      </c>
      <c r="K4869" s="593">
        <f t="shared" si="95"/>
        <v>1289441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69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799"/>
    </row>
    <row r="4870" spans="1:27" s="210" customFormat="1" ht="15.75" customHeight="1">
      <c r="A4870" s="203" t="str">
        <f>IF(B4870&lt;&gt;"",IF(AND(B4870&gt;=_TM1,B4870&lt;=_TM2,OR(TH!L4870="1111",TH!M4870="1111")),TH!D4870,""),"")</f>
        <v/>
      </c>
      <c r="B4870" s="36">
        <f t="shared" si="93"/>
        <v>10</v>
      </c>
      <c r="C4870" s="183">
        <f t="shared" si="94"/>
        <v>42306</v>
      </c>
      <c r="D4870" s="190" t="s">
        <v>2015</v>
      </c>
      <c r="E4870" s="190">
        <v>42306</v>
      </c>
      <c r="F4870" s="191" t="s">
        <v>523</v>
      </c>
      <c r="G4870" s="482" t="s">
        <v>1143</v>
      </c>
      <c r="H4870" s="192" t="s">
        <v>2016</v>
      </c>
      <c r="I4870" s="255">
        <v>104</v>
      </c>
      <c r="J4870" s="255">
        <v>10066.765475911747</v>
      </c>
      <c r="K4870" s="593">
        <f t="shared" si="95"/>
        <v>1046944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69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799"/>
    </row>
    <row r="4871" spans="1:27" s="210" customFormat="1" ht="15.75" customHeight="1">
      <c r="A4871" s="203" t="str">
        <f>IF(B4871&lt;&gt;"",IF(AND(B4871&gt;=_TM1,B4871&lt;=_TM2,OR(TH!L4871="1111",TH!M4871="1111")),TH!D4871,""),"")</f>
        <v/>
      </c>
      <c r="B4871" s="36">
        <f t="shared" si="93"/>
        <v>10</v>
      </c>
      <c r="C4871" s="183">
        <f t="shared" si="94"/>
        <v>42306</v>
      </c>
      <c r="D4871" s="190" t="s">
        <v>2015</v>
      </c>
      <c r="E4871" s="190">
        <v>42306</v>
      </c>
      <c r="F4871" s="191" t="s">
        <v>1740</v>
      </c>
      <c r="G4871" s="482" t="s">
        <v>1147</v>
      </c>
      <c r="H4871" s="192" t="s">
        <v>2016</v>
      </c>
      <c r="I4871" s="255">
        <v>1490</v>
      </c>
      <c r="J4871" s="255">
        <v>8799.0987122784136</v>
      </c>
      <c r="K4871" s="593">
        <f t="shared" si="95"/>
        <v>13110657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69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799"/>
    </row>
    <row r="4872" spans="1:27" s="210" customFormat="1" ht="15.75" customHeight="1">
      <c r="A4872" s="203" t="str">
        <f>IF(B4872&lt;&gt;"",IF(AND(B4872&gt;=_TM1,B4872&lt;=_TM2,OR(TH!L4872="1111",TH!M4872="1111")),TH!D4872,""),"")</f>
        <v/>
      </c>
      <c r="B4872" s="36">
        <f t="shared" si="93"/>
        <v>10</v>
      </c>
      <c r="C4872" s="183">
        <f t="shared" si="94"/>
        <v>42308</v>
      </c>
      <c r="D4872" s="190" t="s">
        <v>2015</v>
      </c>
      <c r="E4872" s="190">
        <v>42308</v>
      </c>
      <c r="F4872" s="191" t="s">
        <v>1120</v>
      </c>
      <c r="G4872" s="482" t="s">
        <v>1148</v>
      </c>
      <c r="H4872" s="192" t="s">
        <v>2016</v>
      </c>
      <c r="I4872" s="255">
        <v>1000</v>
      </c>
      <c r="J4872" s="255">
        <v>9992.1968427568445</v>
      </c>
      <c r="K4872" s="593">
        <f t="shared" si="95"/>
        <v>9992197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69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799"/>
    </row>
    <row r="4873" spans="1:27" s="210" customFormat="1" ht="15.75" customHeight="1">
      <c r="A4873" s="203" t="str">
        <f>IF(B4873&lt;&gt;"",IF(AND(B4873&gt;=_TM1,B4873&lt;=_TM2,OR(TH!L4873="1111",TH!M4873="1111")),TH!D4873,""),"")</f>
        <v/>
      </c>
      <c r="B4873" s="36">
        <f t="shared" si="93"/>
        <v>10</v>
      </c>
      <c r="C4873" s="183">
        <f t="shared" si="94"/>
        <v>42308</v>
      </c>
      <c r="D4873" s="190" t="s">
        <v>2015</v>
      </c>
      <c r="E4873" s="190">
        <v>42308</v>
      </c>
      <c r="F4873" s="191" t="s">
        <v>1948</v>
      </c>
      <c r="G4873" s="482" t="s">
        <v>1149</v>
      </c>
      <c r="H4873" s="192" t="s">
        <v>2016</v>
      </c>
      <c r="I4873" s="255">
        <v>1667</v>
      </c>
      <c r="J4873" s="255">
        <v>9246.5105112078254</v>
      </c>
      <c r="K4873" s="593">
        <f t="shared" si="95"/>
        <v>15413933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69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799"/>
    </row>
    <row r="4874" spans="1:27" s="210" customFormat="1" ht="15.75" customHeight="1">
      <c r="A4874" s="203" t="str">
        <f>IF(B4874&lt;&gt;"",IF(AND(B4874&gt;=_TM1,B4874&lt;=_TM2,OR(TH!L4874="1111",TH!M4874="1111")),TH!D4874,""),"")</f>
        <v/>
      </c>
      <c r="B4874" s="36">
        <f t="shared" si="93"/>
        <v>10</v>
      </c>
      <c r="C4874" s="183">
        <f t="shared" si="94"/>
        <v>42308</v>
      </c>
      <c r="D4874" s="190" t="s">
        <v>2015</v>
      </c>
      <c r="E4874" s="190">
        <v>42308</v>
      </c>
      <c r="F4874" s="191" t="s">
        <v>454</v>
      </c>
      <c r="G4874" s="482" t="s">
        <v>1150</v>
      </c>
      <c r="H4874" s="192" t="s">
        <v>2016</v>
      </c>
      <c r="I4874" s="255">
        <v>300</v>
      </c>
      <c r="J4874" s="255">
        <v>54062.259037303818</v>
      </c>
      <c r="K4874" s="593">
        <f t="shared" si="95"/>
        <v>16218678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69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799"/>
    </row>
    <row r="4875" spans="1:27" s="210" customFormat="1" ht="15.75" customHeight="1">
      <c r="A4875" s="203" t="str">
        <f>IF(B4875&lt;&gt;"",IF(AND(B4875&gt;=_TM1,B4875&lt;=_TM2,OR(TH!L4875="1111",TH!M4875="1111")),TH!D4875,""),"")</f>
        <v/>
      </c>
      <c r="B4875" s="36">
        <f t="shared" si="93"/>
        <v>11</v>
      </c>
      <c r="C4875" s="183">
        <f t="shared" si="94"/>
        <v>42311</v>
      </c>
      <c r="D4875" s="190" t="s">
        <v>2015</v>
      </c>
      <c r="E4875" s="190">
        <v>42311</v>
      </c>
      <c r="F4875" s="191" t="s">
        <v>454</v>
      </c>
      <c r="G4875" s="482" t="s">
        <v>1151</v>
      </c>
      <c r="H4875" s="192" t="s">
        <v>2016</v>
      </c>
      <c r="I4875" s="255">
        <v>248</v>
      </c>
      <c r="J4875" s="255">
        <v>54062.259037303818</v>
      </c>
      <c r="K4875" s="593">
        <f t="shared" si="95"/>
        <v>13407440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69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799"/>
    </row>
    <row r="4876" spans="1:27" s="210" customFormat="1" ht="15.75" customHeight="1">
      <c r="A4876" s="203" t="str">
        <f>IF(B4876&lt;&gt;"",IF(AND(B4876&gt;=_TM1,B4876&lt;=_TM2,OR(TH!L4876="1111",TH!M4876="1111")),TH!D4876,""),"")</f>
        <v/>
      </c>
      <c r="B4876" s="36">
        <f t="shared" si="93"/>
        <v>11</v>
      </c>
      <c r="C4876" s="183">
        <f t="shared" si="94"/>
        <v>42311</v>
      </c>
      <c r="D4876" s="190" t="s">
        <v>2015</v>
      </c>
      <c r="E4876" s="190">
        <v>42311</v>
      </c>
      <c r="F4876" s="191" t="s">
        <v>518</v>
      </c>
      <c r="G4876" s="482" t="s">
        <v>1152</v>
      </c>
      <c r="H4876" s="192" t="s">
        <v>2016</v>
      </c>
      <c r="I4876" s="255">
        <v>511</v>
      </c>
      <c r="J4876" s="255">
        <v>7755.137848109789</v>
      </c>
      <c r="K4876" s="593">
        <f t="shared" si="95"/>
        <v>3962875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69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799"/>
    </row>
    <row r="4877" spans="1:27" s="210" customFormat="1" ht="15.75" customHeight="1">
      <c r="A4877" s="203" t="str">
        <f>IF(B4877&lt;&gt;"",IF(AND(B4877&gt;=_TM1,B4877&lt;=_TM2,OR(TH!L4877="1111",TH!M4877="1111")),TH!D4877,""),"")</f>
        <v/>
      </c>
      <c r="B4877" s="36">
        <f t="shared" si="93"/>
        <v>11</v>
      </c>
      <c r="C4877" s="183">
        <f t="shared" si="94"/>
        <v>42311</v>
      </c>
      <c r="D4877" s="190" t="s">
        <v>2015</v>
      </c>
      <c r="E4877" s="190">
        <v>42311</v>
      </c>
      <c r="F4877" s="191" t="s">
        <v>1676</v>
      </c>
      <c r="G4877" s="482" t="s">
        <v>1152</v>
      </c>
      <c r="H4877" s="192" t="s">
        <v>2016</v>
      </c>
      <c r="I4877" s="255">
        <v>511</v>
      </c>
      <c r="J4877" s="255">
        <v>1043.9608641686254</v>
      </c>
      <c r="K4877" s="593">
        <f t="shared" si="95"/>
        <v>533464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69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799"/>
    </row>
    <row r="4878" spans="1:27" s="210" customFormat="1" ht="15.75" customHeight="1">
      <c r="A4878" s="203" t="str">
        <f>IF(B4878&lt;&gt;"",IF(AND(B4878&gt;=_TM1,B4878&lt;=_TM2,OR(TH!L4878="1111",TH!M4878="1111")),TH!D4878,""),"")</f>
        <v/>
      </c>
      <c r="B4878" s="36">
        <f t="shared" si="93"/>
        <v>11</v>
      </c>
      <c r="C4878" s="183">
        <f t="shared" si="94"/>
        <v>42311</v>
      </c>
      <c r="D4878" s="190" t="s">
        <v>2015</v>
      </c>
      <c r="E4878" s="190">
        <v>42311</v>
      </c>
      <c r="F4878" s="191" t="s">
        <v>398</v>
      </c>
      <c r="G4878" s="482" t="s">
        <v>1153</v>
      </c>
      <c r="H4878" s="192" t="s">
        <v>2016</v>
      </c>
      <c r="I4878" s="255">
        <v>643</v>
      </c>
      <c r="J4878" s="255">
        <v>6114.6279187019491</v>
      </c>
      <c r="K4878" s="593">
        <f t="shared" si="95"/>
        <v>3931706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69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799"/>
    </row>
    <row r="4879" spans="1:27" s="210" customFormat="1" ht="15.75" customHeight="1">
      <c r="A4879" s="203" t="str">
        <f>IF(B4879&lt;&gt;"",IF(AND(B4879&gt;=_TM1,B4879&lt;=_TM2,OR(TH!L4879="1111",TH!M4879="1111")),TH!D4879,""),"")</f>
        <v/>
      </c>
      <c r="B4879" s="36">
        <f t="shared" si="93"/>
        <v>11</v>
      </c>
      <c r="C4879" s="183">
        <f t="shared" si="94"/>
        <v>42311</v>
      </c>
      <c r="D4879" s="190" t="s">
        <v>2015</v>
      </c>
      <c r="E4879" s="190">
        <v>42311</v>
      </c>
      <c r="F4879" s="191" t="s">
        <v>501</v>
      </c>
      <c r="G4879" s="482" t="s">
        <v>1153</v>
      </c>
      <c r="H4879" s="192" t="s">
        <v>2016</v>
      </c>
      <c r="I4879" s="255">
        <v>601</v>
      </c>
      <c r="J4879" s="255">
        <v>11781.844038474488</v>
      </c>
      <c r="K4879" s="593">
        <f t="shared" si="95"/>
        <v>7080888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69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799"/>
    </row>
    <row r="4880" spans="1:27" s="210" customFormat="1" ht="15.75" customHeight="1">
      <c r="A4880" s="203" t="str">
        <f>IF(B4880&lt;&gt;"",IF(AND(B4880&gt;=_TM1,B4880&lt;=_TM2,OR(TH!L4880="1111",TH!M4880="1111")),TH!D4880,""),"")</f>
        <v/>
      </c>
      <c r="B4880" s="36">
        <f t="shared" si="93"/>
        <v>11</v>
      </c>
      <c r="C4880" s="183">
        <f t="shared" si="94"/>
        <v>42311</v>
      </c>
      <c r="D4880" s="190" t="s">
        <v>2015</v>
      </c>
      <c r="E4880" s="190">
        <v>42311</v>
      </c>
      <c r="F4880" s="191" t="s">
        <v>994</v>
      </c>
      <c r="G4880" s="482" t="s">
        <v>1153</v>
      </c>
      <c r="H4880" s="192" t="s">
        <v>2016</v>
      </c>
      <c r="I4880" s="255">
        <v>610</v>
      </c>
      <c r="J4880" s="255">
        <v>9693.9223101372372</v>
      </c>
      <c r="K4880" s="593">
        <f t="shared" si="95"/>
        <v>5913293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69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799"/>
    </row>
    <row r="4881" spans="1:27" s="210" customFormat="1" ht="15.75" customHeight="1">
      <c r="A4881" s="203" t="str">
        <f>IF(B4881&lt;&gt;"",IF(AND(B4881&gt;=_TM1,B4881&lt;=_TM2,OR(TH!L4881="1111",TH!M4881="1111")),TH!D4881,""),"")</f>
        <v/>
      </c>
      <c r="B4881" s="36">
        <f t="shared" si="93"/>
        <v>11</v>
      </c>
      <c r="C4881" s="183">
        <f t="shared" si="94"/>
        <v>42311</v>
      </c>
      <c r="D4881" s="190" t="s">
        <v>2015</v>
      </c>
      <c r="E4881" s="190">
        <v>42311</v>
      </c>
      <c r="F4881" s="191" t="s">
        <v>1808</v>
      </c>
      <c r="G4881" s="482" t="s">
        <v>1154</v>
      </c>
      <c r="H4881" s="192" t="s">
        <v>2016</v>
      </c>
      <c r="I4881" s="255">
        <v>86</v>
      </c>
      <c r="J4881" s="255">
        <v>3728.4316577450909</v>
      </c>
      <c r="K4881" s="593">
        <f t="shared" si="95"/>
        <v>320645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69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799"/>
    </row>
    <row r="4882" spans="1:27" s="210" customFormat="1" ht="15.75" customHeight="1">
      <c r="A4882" s="203" t="str">
        <f>IF(B4882&lt;&gt;"",IF(AND(B4882&gt;=_TM1,B4882&lt;=_TM2,OR(TH!L4882="1111",TH!M4882="1111")),TH!D4882,""),"")</f>
        <v/>
      </c>
      <c r="B4882" s="36">
        <f t="shared" si="93"/>
        <v>11</v>
      </c>
      <c r="C4882" s="183">
        <f t="shared" si="94"/>
        <v>42311</v>
      </c>
      <c r="D4882" s="190" t="s">
        <v>2015</v>
      </c>
      <c r="E4882" s="190">
        <v>42311</v>
      </c>
      <c r="F4882" s="191" t="s">
        <v>1809</v>
      </c>
      <c r="G4882" s="482" t="s">
        <v>1154</v>
      </c>
      <c r="H4882" s="192" t="s">
        <v>2016</v>
      </c>
      <c r="I4882" s="255">
        <v>250</v>
      </c>
      <c r="J4882" s="255">
        <v>6114.6279187019491</v>
      </c>
      <c r="K4882" s="593">
        <f t="shared" si="95"/>
        <v>1528657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69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799"/>
    </row>
    <row r="4883" spans="1:27" s="210" customFormat="1" ht="15.75" customHeight="1">
      <c r="A4883" s="203" t="str">
        <f>IF(B4883&lt;&gt;"",IF(AND(B4883&gt;=_TM1,B4883&lt;=_TM2,OR(TH!L4883="1111",TH!M4883="1111")),TH!D4883,""),"")</f>
        <v/>
      </c>
      <c r="B4883" s="36">
        <f t="shared" si="93"/>
        <v>11</v>
      </c>
      <c r="C4883" s="183">
        <f t="shared" si="94"/>
        <v>42311</v>
      </c>
      <c r="D4883" s="190" t="s">
        <v>2015</v>
      </c>
      <c r="E4883" s="190">
        <v>42311</v>
      </c>
      <c r="F4883" s="191" t="s">
        <v>1810</v>
      </c>
      <c r="G4883" s="482" t="s">
        <v>1154</v>
      </c>
      <c r="H4883" s="192" t="s">
        <v>2016</v>
      </c>
      <c r="I4883" s="255">
        <v>313</v>
      </c>
      <c r="J4883" s="255">
        <v>6263.7651850117527</v>
      </c>
      <c r="K4883" s="593">
        <f t="shared" si="95"/>
        <v>1960559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69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799"/>
    </row>
    <row r="4884" spans="1:27" s="210" customFormat="1" ht="15.75" customHeight="1">
      <c r="A4884" s="203" t="str">
        <f>IF(B4884&lt;&gt;"",IF(AND(B4884&gt;=_TM1,B4884&lt;=_TM2,OR(TH!L4884="1111",TH!M4884="1111")),TH!D4884,""),"")</f>
        <v/>
      </c>
      <c r="B4884" s="36">
        <f t="shared" si="93"/>
        <v>11</v>
      </c>
      <c r="C4884" s="183">
        <f t="shared" si="94"/>
        <v>42311</v>
      </c>
      <c r="D4884" s="190" t="s">
        <v>2015</v>
      </c>
      <c r="E4884" s="190">
        <v>42311</v>
      </c>
      <c r="F4884" s="191" t="s">
        <v>1811</v>
      </c>
      <c r="G4884" s="482" t="s">
        <v>1154</v>
      </c>
      <c r="H4884" s="192" t="s">
        <v>2016</v>
      </c>
      <c r="I4884" s="255">
        <v>100</v>
      </c>
      <c r="J4884" s="255">
        <v>10514.177274841155</v>
      </c>
      <c r="K4884" s="593">
        <f t="shared" si="95"/>
        <v>1051418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69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799"/>
    </row>
    <row r="4885" spans="1:27" s="210" customFormat="1" ht="15.75" customHeight="1">
      <c r="A4885" s="203" t="str">
        <f>IF(B4885&lt;&gt;"",IF(AND(B4885&gt;=_TM1,B4885&lt;=_TM2,OR(TH!L4885="1111",TH!M4885="1111")),TH!D4885,""),"")</f>
        <v/>
      </c>
      <c r="B4885" s="36">
        <f t="shared" si="93"/>
        <v>11</v>
      </c>
      <c r="C4885" s="183">
        <f t="shared" si="94"/>
        <v>42311</v>
      </c>
      <c r="D4885" s="190" t="s">
        <v>2015</v>
      </c>
      <c r="E4885" s="190">
        <v>42311</v>
      </c>
      <c r="F4885" s="191" t="s">
        <v>1728</v>
      </c>
      <c r="G4885" s="482" t="s">
        <v>1154</v>
      </c>
      <c r="H4885" s="192" t="s">
        <v>2016</v>
      </c>
      <c r="I4885" s="255">
        <v>10</v>
      </c>
      <c r="J4885" s="255">
        <v>12825.804902643113</v>
      </c>
      <c r="K4885" s="593">
        <f t="shared" si="95"/>
        <v>128258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69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799"/>
    </row>
    <row r="4886" spans="1:27" s="210" customFormat="1" ht="15.75" customHeight="1">
      <c r="A4886" s="203" t="str">
        <f>IF(B4886&lt;&gt;"",IF(AND(B4886&gt;=_TM1,B4886&lt;=_TM2,OR(TH!L4886="1111",TH!M4886="1111")),TH!D4886,""),"")</f>
        <v/>
      </c>
      <c r="B4886" s="36">
        <f t="shared" si="93"/>
        <v>11</v>
      </c>
      <c r="C4886" s="183">
        <f t="shared" si="94"/>
        <v>42311</v>
      </c>
      <c r="D4886" s="190" t="s">
        <v>2015</v>
      </c>
      <c r="E4886" s="190">
        <v>42311</v>
      </c>
      <c r="F4886" s="191" t="s">
        <v>1736</v>
      </c>
      <c r="G4886" s="482" t="s">
        <v>1154</v>
      </c>
      <c r="H4886" s="192" t="s">
        <v>2016</v>
      </c>
      <c r="I4886" s="255">
        <v>10</v>
      </c>
      <c r="J4886" s="255">
        <v>13422.353967882327</v>
      </c>
      <c r="K4886" s="593">
        <f t="shared" si="95"/>
        <v>134224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69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799"/>
    </row>
    <row r="4887" spans="1:27" s="210" customFormat="1" ht="15.75" customHeight="1">
      <c r="A4887" s="203" t="str">
        <f>IF(B4887&lt;&gt;"",IF(AND(B4887&gt;=_TM1,B4887&lt;=_TM2,OR(TH!L4887="1111",TH!M4887="1111")),TH!D4887,""),"")</f>
        <v/>
      </c>
      <c r="B4887" s="36">
        <f t="shared" si="93"/>
        <v>11</v>
      </c>
      <c r="C4887" s="183">
        <f t="shared" si="94"/>
        <v>42311</v>
      </c>
      <c r="D4887" s="190" t="s">
        <v>2015</v>
      </c>
      <c r="E4887" s="190">
        <v>42311</v>
      </c>
      <c r="F4887" s="191" t="s">
        <v>692</v>
      </c>
      <c r="G4887" s="482" t="s">
        <v>1154</v>
      </c>
      <c r="H4887" s="192" t="s">
        <v>2016</v>
      </c>
      <c r="I4887" s="255">
        <v>40</v>
      </c>
      <c r="J4887" s="255">
        <v>13347.785334727425</v>
      </c>
      <c r="K4887" s="593">
        <f t="shared" si="95"/>
        <v>533911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69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799"/>
    </row>
    <row r="4888" spans="1:27" s="210" customFormat="1" ht="15.75" customHeight="1">
      <c r="A4888" s="203" t="str">
        <f>IF(B4888&lt;&gt;"",IF(AND(B4888&gt;=_TM1,B4888&lt;=_TM2,OR(TH!L4888="1111",TH!M4888="1111")),TH!D4888,""),"")</f>
        <v/>
      </c>
      <c r="B4888" s="36">
        <f t="shared" si="93"/>
        <v>11</v>
      </c>
      <c r="C4888" s="183">
        <f t="shared" si="94"/>
        <v>42311</v>
      </c>
      <c r="D4888" s="190" t="s">
        <v>2015</v>
      </c>
      <c r="E4888" s="190">
        <v>42311</v>
      </c>
      <c r="F4888" s="191" t="s">
        <v>1752</v>
      </c>
      <c r="G4888" s="482" t="s">
        <v>1154</v>
      </c>
      <c r="H4888" s="192" t="s">
        <v>2016</v>
      </c>
      <c r="I4888" s="255">
        <v>25</v>
      </c>
      <c r="J4888" s="255">
        <v>11781.844038474488</v>
      </c>
      <c r="K4888" s="593">
        <f t="shared" si="95"/>
        <v>294546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69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799"/>
    </row>
    <row r="4889" spans="1:27" s="210" customFormat="1" ht="15.75" customHeight="1">
      <c r="A4889" s="203" t="str">
        <f>IF(B4889&lt;&gt;"",IF(AND(B4889&gt;=_TM1,B4889&lt;=_TM2,OR(TH!L4889="1111",TH!M4889="1111")),TH!D4889,""),"")</f>
        <v/>
      </c>
      <c r="B4889" s="36">
        <f t="shared" si="93"/>
        <v>11</v>
      </c>
      <c r="C4889" s="183">
        <f t="shared" si="94"/>
        <v>42311</v>
      </c>
      <c r="D4889" s="190" t="s">
        <v>2015</v>
      </c>
      <c r="E4889" s="190">
        <v>42311</v>
      </c>
      <c r="F4889" s="191" t="s">
        <v>1769</v>
      </c>
      <c r="G4889" s="482" t="s">
        <v>1154</v>
      </c>
      <c r="H4889" s="192" t="s">
        <v>2016</v>
      </c>
      <c r="I4889" s="255">
        <v>25</v>
      </c>
      <c r="J4889" s="255">
        <v>11632.706772164684</v>
      </c>
      <c r="K4889" s="593">
        <f t="shared" si="95"/>
        <v>290818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69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799"/>
    </row>
    <row r="4890" spans="1:27" s="210" customFormat="1" ht="15.75" customHeight="1">
      <c r="A4890" s="203" t="str">
        <f>IF(B4890&lt;&gt;"",IF(AND(B4890&gt;=_TM1,B4890&lt;=_TM2,OR(TH!L4890="1111",TH!M4890="1111")),TH!D4890,""),"")</f>
        <v/>
      </c>
      <c r="B4890" s="36">
        <f t="shared" si="93"/>
        <v>11</v>
      </c>
      <c r="C4890" s="183">
        <f t="shared" si="94"/>
        <v>42311</v>
      </c>
      <c r="D4890" s="190" t="s">
        <v>2015</v>
      </c>
      <c r="E4890" s="190">
        <v>42311</v>
      </c>
      <c r="F4890" s="191" t="s">
        <v>1812</v>
      </c>
      <c r="G4890" s="482" t="s">
        <v>1154</v>
      </c>
      <c r="H4890" s="192" t="s">
        <v>2016</v>
      </c>
      <c r="I4890" s="255">
        <v>400</v>
      </c>
      <c r="J4890" s="255">
        <v>7606.0005817999854</v>
      </c>
      <c r="K4890" s="593">
        <f t="shared" si="95"/>
        <v>3042400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69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799"/>
    </row>
    <row r="4891" spans="1:27" s="210" customFormat="1" ht="15.75" customHeight="1">
      <c r="A4891" s="203" t="str">
        <f>IF(B4891&lt;&gt;"",IF(AND(B4891&gt;=_TM1,B4891&lt;=_TM2,OR(TH!L4891="1111",TH!M4891="1111")),TH!D4891,""),"")</f>
        <v/>
      </c>
      <c r="B4891" s="36">
        <f t="shared" si="93"/>
        <v>11</v>
      </c>
      <c r="C4891" s="183">
        <f t="shared" si="94"/>
        <v>42312</v>
      </c>
      <c r="D4891" s="190" t="s">
        <v>2015</v>
      </c>
      <c r="E4891" s="190">
        <v>42312</v>
      </c>
      <c r="F4891" s="191" t="s">
        <v>1155</v>
      </c>
      <c r="G4891" s="482" t="s">
        <v>1156</v>
      </c>
      <c r="H4891" s="192" t="s">
        <v>2016</v>
      </c>
      <c r="I4891" s="255">
        <v>497</v>
      </c>
      <c r="J4891" s="255">
        <v>820.25496470392</v>
      </c>
      <c r="K4891" s="593">
        <f t="shared" si="95"/>
        <v>407667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69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799"/>
    </row>
    <row r="4892" spans="1:27" s="210" customFormat="1" ht="15.75" customHeight="1">
      <c r="A4892" s="203" t="str">
        <f>IF(B4892&lt;&gt;"",IF(AND(B4892&gt;=_TM1,B4892&lt;=_TM2,OR(TH!L4892="1111",TH!M4892="1111")),TH!D4892,""),"")</f>
        <v/>
      </c>
      <c r="B4892" s="36">
        <f t="shared" si="93"/>
        <v>11</v>
      </c>
      <c r="C4892" s="183">
        <f t="shared" si="94"/>
        <v>42312</v>
      </c>
      <c r="D4892" s="190" t="s">
        <v>2015</v>
      </c>
      <c r="E4892" s="190">
        <v>42312</v>
      </c>
      <c r="F4892" s="191" t="s">
        <v>1157</v>
      </c>
      <c r="G4892" s="482" t="s">
        <v>1158</v>
      </c>
      <c r="H4892" s="192" t="s">
        <v>2016</v>
      </c>
      <c r="I4892" s="255">
        <v>122</v>
      </c>
      <c r="J4892" s="255">
        <v>12229.255837403898</v>
      </c>
      <c r="K4892" s="593">
        <f t="shared" si="95"/>
        <v>1491969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69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799"/>
    </row>
    <row r="4893" spans="1:27" s="210" customFormat="1" ht="15.75" customHeight="1">
      <c r="A4893" s="203" t="str">
        <f>IF(B4893&lt;&gt;"",IF(AND(B4893&gt;=_TM1,B4893&lt;=_TM2,OR(TH!L4893="1111",TH!M4893="1111")),TH!D4893,""),"")</f>
        <v/>
      </c>
      <c r="B4893" s="36">
        <f t="shared" si="93"/>
        <v>11</v>
      </c>
      <c r="C4893" s="183">
        <f t="shared" si="94"/>
        <v>42312</v>
      </c>
      <c r="D4893" s="190" t="s">
        <v>2015</v>
      </c>
      <c r="E4893" s="190">
        <v>42312</v>
      </c>
      <c r="F4893" s="191" t="s">
        <v>1159</v>
      </c>
      <c r="G4893" s="482" t="s">
        <v>1158</v>
      </c>
      <c r="H4893" s="192" t="s">
        <v>2016</v>
      </c>
      <c r="I4893" s="255">
        <v>201</v>
      </c>
      <c r="J4893" s="255">
        <v>12602.099003178408</v>
      </c>
      <c r="K4893" s="593">
        <f t="shared" si="95"/>
        <v>2533022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69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799"/>
    </row>
    <row r="4894" spans="1:27" s="210" customFormat="1" ht="15.75" customHeight="1">
      <c r="A4894" s="203" t="str">
        <f>IF(B4894&lt;&gt;"",IF(AND(B4894&gt;=_TM1,B4894&lt;=_TM2,OR(TH!L4894="1111",TH!M4894="1111")),TH!D4894,""),"")</f>
        <v/>
      </c>
      <c r="B4894" s="36">
        <f t="shared" si="93"/>
        <v>11</v>
      </c>
      <c r="C4894" s="183">
        <f t="shared" si="94"/>
        <v>42312</v>
      </c>
      <c r="D4894" s="190" t="s">
        <v>2015</v>
      </c>
      <c r="E4894" s="190">
        <v>42312</v>
      </c>
      <c r="F4894" s="191" t="s">
        <v>1813</v>
      </c>
      <c r="G4894" s="482" t="s">
        <v>1160</v>
      </c>
      <c r="H4894" s="192" t="s">
        <v>2016</v>
      </c>
      <c r="I4894" s="255">
        <v>510</v>
      </c>
      <c r="J4894" s="255">
        <v>7009.4515165607709</v>
      </c>
      <c r="K4894" s="593">
        <f t="shared" si="95"/>
        <v>3574820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69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799"/>
    </row>
    <row r="4895" spans="1:27" s="210" customFormat="1" ht="15.75" customHeight="1">
      <c r="A4895" s="203" t="str">
        <f>IF(B4895&lt;&gt;"",IF(AND(B4895&gt;=_TM1,B4895&lt;=_TM2,OR(TH!L4895="1111",TH!M4895="1111")),TH!D4895,""),"")</f>
        <v/>
      </c>
      <c r="B4895" s="36">
        <f t="shared" si="93"/>
        <v>11</v>
      </c>
      <c r="C4895" s="183">
        <f t="shared" si="94"/>
        <v>42312</v>
      </c>
      <c r="D4895" s="190" t="s">
        <v>2015</v>
      </c>
      <c r="E4895" s="190">
        <v>42312</v>
      </c>
      <c r="F4895" s="191" t="s">
        <v>1814</v>
      </c>
      <c r="G4895" s="482" t="s">
        <v>1160</v>
      </c>
      <c r="H4895" s="192" t="s">
        <v>2016</v>
      </c>
      <c r="I4895" s="255">
        <v>350</v>
      </c>
      <c r="J4895" s="255">
        <v>4772.3925219137163</v>
      </c>
      <c r="K4895" s="593">
        <f t="shared" si="95"/>
        <v>1670337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69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799"/>
    </row>
    <row r="4896" spans="1:27" s="210" customFormat="1" ht="15.75" customHeight="1">
      <c r="A4896" s="203" t="str">
        <f>IF(B4896&lt;&gt;"",IF(AND(B4896&gt;=_TM1,B4896&lt;=_TM2,OR(TH!L4896="1111",TH!M4896="1111")),TH!D4896,""),"")</f>
        <v/>
      </c>
      <c r="B4896" s="36">
        <f t="shared" si="93"/>
        <v>11</v>
      </c>
      <c r="C4896" s="183">
        <f t="shared" si="94"/>
        <v>42312</v>
      </c>
      <c r="D4896" s="190" t="s">
        <v>2015</v>
      </c>
      <c r="E4896" s="190">
        <v>42312</v>
      </c>
      <c r="F4896" s="191" t="s">
        <v>1815</v>
      </c>
      <c r="G4896" s="482" t="s">
        <v>1160</v>
      </c>
      <c r="H4896" s="192" t="s">
        <v>2016</v>
      </c>
      <c r="I4896" s="255">
        <v>340</v>
      </c>
      <c r="J4896" s="255">
        <v>11483.569505854881</v>
      </c>
      <c r="K4896" s="593">
        <f t="shared" si="95"/>
        <v>3904414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69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799"/>
    </row>
    <row r="4897" spans="1:27" s="210" customFormat="1" ht="15.75" customHeight="1">
      <c r="A4897" s="203" t="str">
        <f>IF(B4897&lt;&gt;"",IF(AND(B4897&gt;=_TM1,B4897&lt;=_TM2,OR(TH!L4897="1111",TH!M4897="1111")),TH!D4897,""),"")</f>
        <v/>
      </c>
      <c r="B4897" s="36">
        <f t="shared" si="93"/>
        <v>11</v>
      </c>
      <c r="C4897" s="183">
        <f t="shared" si="94"/>
        <v>42312</v>
      </c>
      <c r="D4897" s="190" t="s">
        <v>2015</v>
      </c>
      <c r="E4897" s="190">
        <v>42312</v>
      </c>
      <c r="F4897" s="191" t="s">
        <v>1751</v>
      </c>
      <c r="G4897" s="482" t="s">
        <v>1160</v>
      </c>
      <c r="H4897" s="192" t="s">
        <v>2016</v>
      </c>
      <c r="I4897" s="255">
        <v>40</v>
      </c>
      <c r="J4897" s="255">
        <v>12005.549937939193</v>
      </c>
      <c r="K4897" s="593">
        <f t="shared" si="95"/>
        <v>480222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69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799"/>
    </row>
    <row r="4898" spans="1:27" s="210" customFormat="1" ht="15.75" customHeight="1">
      <c r="A4898" s="203" t="str">
        <f>IF(B4898&lt;&gt;"",IF(AND(B4898&gt;=_TM1,B4898&lt;=_TM2,OR(TH!L4898="1111",TH!M4898="1111")),TH!D4898,""),"")</f>
        <v/>
      </c>
      <c r="B4898" s="36">
        <f t="shared" si="93"/>
        <v>11</v>
      </c>
      <c r="C4898" s="183">
        <f t="shared" si="94"/>
        <v>42312</v>
      </c>
      <c r="D4898" s="190" t="s">
        <v>2015</v>
      </c>
      <c r="E4898" s="190">
        <v>42312</v>
      </c>
      <c r="F4898" s="191" t="s">
        <v>1816</v>
      </c>
      <c r="G4898" s="482" t="s">
        <v>1160</v>
      </c>
      <c r="H4898" s="192" t="s">
        <v>2016</v>
      </c>
      <c r="I4898" s="255">
        <v>2104</v>
      </c>
      <c r="J4898" s="255">
        <v>521.98043208431272</v>
      </c>
      <c r="K4898" s="593">
        <f t="shared" si="95"/>
        <v>1098247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69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799"/>
    </row>
    <row r="4899" spans="1:27" s="210" customFormat="1" ht="15.75" customHeight="1">
      <c r="A4899" s="203" t="str">
        <f>IF(B4899&lt;&gt;"",IF(AND(B4899&gt;=_TM1,B4899&lt;=_TM2,OR(TH!L4899="1111",TH!M4899="1111")),TH!D4899,""),"")</f>
        <v/>
      </c>
      <c r="B4899" s="36">
        <f t="shared" si="93"/>
        <v>11</v>
      </c>
      <c r="C4899" s="183">
        <f t="shared" si="94"/>
        <v>42312</v>
      </c>
      <c r="D4899" s="190" t="s">
        <v>2015</v>
      </c>
      <c r="E4899" s="190">
        <v>42312</v>
      </c>
      <c r="F4899" s="191" t="s">
        <v>1817</v>
      </c>
      <c r="G4899" s="482" t="s">
        <v>1160</v>
      </c>
      <c r="H4899" s="192" t="s">
        <v>2016</v>
      </c>
      <c r="I4899" s="255">
        <v>34</v>
      </c>
      <c r="J4899" s="255">
        <v>6636.6083507862622</v>
      </c>
      <c r="K4899" s="593">
        <f t="shared" si="95"/>
        <v>225645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69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799"/>
    </row>
    <row r="4900" spans="1:27" s="210" customFormat="1" ht="15.75" customHeight="1">
      <c r="A4900" s="203" t="str">
        <f>IF(B4900&lt;&gt;"",IF(AND(B4900&gt;=_TM1,B4900&lt;=_TM2,OR(TH!L4900="1111",TH!M4900="1111")),TH!D4900,""),"")</f>
        <v/>
      </c>
      <c r="B4900" s="36">
        <f t="shared" si="93"/>
        <v>11</v>
      </c>
      <c r="C4900" s="183">
        <f t="shared" si="94"/>
        <v>42312</v>
      </c>
      <c r="D4900" s="190" t="s">
        <v>2015</v>
      </c>
      <c r="E4900" s="190">
        <v>42312</v>
      </c>
      <c r="F4900" s="191" t="s">
        <v>1818</v>
      </c>
      <c r="G4900" s="482" t="s">
        <v>1160</v>
      </c>
      <c r="H4900" s="192" t="s">
        <v>2016</v>
      </c>
      <c r="I4900" s="255">
        <v>125</v>
      </c>
      <c r="J4900" s="255">
        <v>14615.452098360756</v>
      </c>
      <c r="K4900" s="593">
        <f t="shared" si="95"/>
        <v>1826932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69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799"/>
    </row>
    <row r="4901" spans="1:27" s="210" customFormat="1" ht="15.75" customHeight="1">
      <c r="A4901" s="203" t="str">
        <f>IF(B4901&lt;&gt;"",IF(AND(B4901&gt;=_TM1,B4901&lt;=_TM2,OR(TH!L4901="1111",TH!M4901="1111")),TH!D4901,""),"")</f>
        <v/>
      </c>
      <c r="B4901" s="36">
        <f t="shared" si="93"/>
        <v>11</v>
      </c>
      <c r="C4901" s="183">
        <f t="shared" si="94"/>
        <v>42312</v>
      </c>
      <c r="D4901" s="190" t="s">
        <v>2015</v>
      </c>
      <c r="E4901" s="190">
        <v>42312</v>
      </c>
      <c r="F4901" s="191" t="s">
        <v>694</v>
      </c>
      <c r="G4901" s="482" t="s">
        <v>1160</v>
      </c>
      <c r="H4901" s="192" t="s">
        <v>2016</v>
      </c>
      <c r="I4901" s="255">
        <v>35</v>
      </c>
      <c r="J4901" s="255">
        <v>10961.589073770567</v>
      </c>
      <c r="K4901" s="593">
        <f t="shared" si="95"/>
        <v>383656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69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799"/>
    </row>
    <row r="4902" spans="1:27" s="210" customFormat="1" ht="15.75" customHeight="1">
      <c r="A4902" s="203" t="str">
        <f>IF(B4902&lt;&gt;"",IF(AND(B4902&gt;=_TM1,B4902&lt;=_TM2,OR(TH!L4902="1111",TH!M4902="1111")),TH!D4902,""),"")</f>
        <v/>
      </c>
      <c r="B4902" s="36">
        <f t="shared" si="93"/>
        <v>11</v>
      </c>
      <c r="C4902" s="183">
        <f t="shared" si="94"/>
        <v>42312</v>
      </c>
      <c r="D4902" s="190" t="s">
        <v>2015</v>
      </c>
      <c r="E4902" s="190">
        <v>42312</v>
      </c>
      <c r="F4902" s="191" t="s">
        <v>1741</v>
      </c>
      <c r="G4902" s="482" t="s">
        <v>1160</v>
      </c>
      <c r="H4902" s="192" t="s">
        <v>2016</v>
      </c>
      <c r="I4902" s="255">
        <v>40</v>
      </c>
      <c r="J4902" s="255">
        <v>8277.1182801941031</v>
      </c>
      <c r="K4902" s="593">
        <f t="shared" si="95"/>
        <v>331085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69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799"/>
    </row>
    <row r="4903" spans="1:27" s="210" customFormat="1" ht="15.75" customHeight="1">
      <c r="A4903" s="203" t="str">
        <f>IF(B4903&lt;&gt;"",IF(AND(B4903&gt;=_TM1,B4903&lt;=_TM2,OR(TH!L4903="1111",TH!M4903="1111")),TH!D4903,""),"")</f>
        <v/>
      </c>
      <c r="B4903" s="36">
        <f t="shared" si="93"/>
        <v>11</v>
      </c>
      <c r="C4903" s="183">
        <f t="shared" si="94"/>
        <v>42313</v>
      </c>
      <c r="D4903" s="190" t="s">
        <v>2015</v>
      </c>
      <c r="E4903" s="190">
        <v>42313</v>
      </c>
      <c r="F4903" s="191" t="s">
        <v>1161</v>
      </c>
      <c r="G4903" s="482" t="s">
        <v>1162</v>
      </c>
      <c r="H4903" s="192" t="s">
        <v>2016</v>
      </c>
      <c r="I4903" s="255">
        <v>650</v>
      </c>
      <c r="J4903" s="255">
        <v>5741.7847529274404</v>
      </c>
      <c r="K4903" s="593">
        <f t="shared" si="95"/>
        <v>3732160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69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799"/>
    </row>
    <row r="4904" spans="1:27" s="210" customFormat="1" ht="15.75" customHeight="1">
      <c r="A4904" s="203" t="str">
        <f>IF(B4904&lt;&gt;"",IF(AND(B4904&gt;=_TM1,B4904&lt;=_TM2,OR(TH!L4904="1111",TH!M4904="1111")),TH!D4904,""),"")</f>
        <v/>
      </c>
      <c r="B4904" s="36">
        <f t="shared" si="93"/>
        <v>11</v>
      </c>
      <c r="C4904" s="183">
        <f t="shared" si="94"/>
        <v>42313</v>
      </c>
      <c r="D4904" s="190" t="s">
        <v>2015</v>
      </c>
      <c r="E4904" s="190">
        <v>42313</v>
      </c>
      <c r="F4904" s="191" t="s">
        <v>602</v>
      </c>
      <c r="G4904" s="482" t="s">
        <v>1162</v>
      </c>
      <c r="H4904" s="192" t="s">
        <v>2016</v>
      </c>
      <c r="I4904" s="255">
        <v>357</v>
      </c>
      <c r="J4904" s="255">
        <v>9395.6477775176299</v>
      </c>
      <c r="K4904" s="593">
        <f t="shared" si="95"/>
        <v>3354246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69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799"/>
    </row>
    <row r="4905" spans="1:27" s="210" customFormat="1" ht="15.75" customHeight="1">
      <c r="A4905" s="203" t="str">
        <f>IF(B4905&lt;&gt;"",IF(AND(B4905&gt;=_TM1,B4905&lt;=_TM2,OR(TH!L4905="1111",TH!M4905="1111")),TH!D4905,""),"")</f>
        <v/>
      </c>
      <c r="B4905" s="36">
        <f t="shared" si="93"/>
        <v>11</v>
      </c>
      <c r="C4905" s="183">
        <f t="shared" si="94"/>
        <v>42313</v>
      </c>
      <c r="D4905" s="190" t="s">
        <v>2015</v>
      </c>
      <c r="E4905" s="190">
        <v>42313</v>
      </c>
      <c r="F4905" s="191" t="s">
        <v>658</v>
      </c>
      <c r="G4905" s="482" t="s">
        <v>1162</v>
      </c>
      <c r="H4905" s="192" t="s">
        <v>2016</v>
      </c>
      <c r="I4905" s="255">
        <v>90</v>
      </c>
      <c r="J4905" s="255">
        <v>7382.2946823352795</v>
      </c>
      <c r="K4905" s="593">
        <f t="shared" si="95"/>
        <v>664407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69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799"/>
    </row>
    <row r="4906" spans="1:27" s="210" customFormat="1" ht="15.75" customHeight="1">
      <c r="A4906" s="203" t="str">
        <f>IF(B4906&lt;&gt;"",IF(AND(B4906&gt;=_TM1,B4906&lt;=_TM2,OR(TH!L4906="1111",TH!M4906="1111")),TH!D4906,""),"")</f>
        <v/>
      </c>
      <c r="B4906" s="36">
        <f t="shared" si="93"/>
        <v>11</v>
      </c>
      <c r="C4906" s="183">
        <f t="shared" si="94"/>
        <v>42313</v>
      </c>
      <c r="D4906" s="190" t="s">
        <v>2015</v>
      </c>
      <c r="E4906" s="190">
        <v>42313</v>
      </c>
      <c r="F4906" s="191" t="s">
        <v>1163</v>
      </c>
      <c r="G4906" s="482" t="s">
        <v>1162</v>
      </c>
      <c r="H4906" s="192" t="s">
        <v>2016</v>
      </c>
      <c r="I4906" s="255">
        <v>23</v>
      </c>
      <c r="J4906" s="255">
        <v>7456.8633154901818</v>
      </c>
      <c r="K4906" s="593">
        <f t="shared" si="95"/>
        <v>171508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69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799"/>
    </row>
    <row r="4907" spans="1:27" s="210" customFormat="1" ht="15.75" customHeight="1">
      <c r="A4907" s="203" t="str">
        <f>IF(B4907&lt;&gt;"",IF(AND(B4907&gt;=_TM1,B4907&lt;=_TM2,OR(TH!L4907="1111",TH!M4907="1111")),TH!D4907,""),"")</f>
        <v/>
      </c>
      <c r="B4907" s="36">
        <f t="shared" si="93"/>
        <v>11</v>
      </c>
      <c r="C4907" s="183">
        <f t="shared" si="94"/>
        <v>42313</v>
      </c>
      <c r="D4907" s="190" t="s">
        <v>2015</v>
      </c>
      <c r="E4907" s="190">
        <v>42313</v>
      </c>
      <c r="F4907" s="191" t="s">
        <v>1164</v>
      </c>
      <c r="G4907" s="482" t="s">
        <v>1162</v>
      </c>
      <c r="H4907" s="192" t="s">
        <v>2016</v>
      </c>
      <c r="I4907" s="255">
        <v>23</v>
      </c>
      <c r="J4907" s="255">
        <v>6114.6279187019491</v>
      </c>
      <c r="K4907" s="593">
        <f t="shared" si="95"/>
        <v>140636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69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799"/>
    </row>
    <row r="4908" spans="1:27" s="210" customFormat="1" ht="15.75" customHeight="1">
      <c r="A4908" s="203" t="str">
        <f>IF(B4908&lt;&gt;"",IF(AND(B4908&gt;=_TM1,B4908&lt;=_TM2,OR(TH!L4908="1111",TH!M4908="1111")),TH!D4908,""),"")</f>
        <v/>
      </c>
      <c r="B4908" s="36">
        <f t="shared" si="93"/>
        <v>11</v>
      </c>
      <c r="C4908" s="183">
        <f t="shared" si="94"/>
        <v>42313</v>
      </c>
      <c r="D4908" s="190" t="s">
        <v>2015</v>
      </c>
      <c r="E4908" s="190">
        <v>42313</v>
      </c>
      <c r="F4908" s="191" t="s">
        <v>1165</v>
      </c>
      <c r="G4908" s="482" t="s">
        <v>1166</v>
      </c>
      <c r="H4908" s="192" t="s">
        <v>2016</v>
      </c>
      <c r="I4908" s="255">
        <v>70</v>
      </c>
      <c r="J4908" s="255">
        <v>13198.648068417622</v>
      </c>
      <c r="K4908" s="593">
        <f t="shared" si="95"/>
        <v>923905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69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799"/>
    </row>
    <row r="4909" spans="1:27" s="210" customFormat="1" ht="15.75" customHeight="1">
      <c r="A4909" s="203" t="str">
        <f>IF(B4909&lt;&gt;"",IF(AND(B4909&gt;=_TM1,B4909&lt;=_TM2,OR(TH!L4909="1111",TH!M4909="1111")),TH!D4909,""),"")</f>
        <v/>
      </c>
      <c r="B4909" s="36">
        <f t="shared" si="93"/>
        <v>11</v>
      </c>
      <c r="C4909" s="183">
        <f t="shared" si="94"/>
        <v>42315</v>
      </c>
      <c r="D4909" s="190" t="s">
        <v>2015</v>
      </c>
      <c r="E4909" s="190">
        <v>42315</v>
      </c>
      <c r="F4909" s="191" t="s">
        <v>2008</v>
      </c>
      <c r="G4909" s="482" t="s">
        <v>1167</v>
      </c>
      <c r="H4909" s="192" t="s">
        <v>2016</v>
      </c>
      <c r="I4909" s="255">
        <v>150</v>
      </c>
      <c r="J4909" s="255">
        <v>3206.4512256607782</v>
      </c>
      <c r="K4909" s="593">
        <f t="shared" si="95"/>
        <v>480968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69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799"/>
    </row>
    <row r="4910" spans="1:27" s="210" customFormat="1" ht="15.75" customHeight="1">
      <c r="A4910" s="203" t="str">
        <f>IF(B4910&lt;&gt;"",IF(AND(B4910&gt;=_TM1,B4910&lt;=_TM2,OR(TH!L4910="1111",TH!M4910="1111")),TH!D4910,""),"")</f>
        <v/>
      </c>
      <c r="B4910" s="36">
        <f t="shared" si="93"/>
        <v>11</v>
      </c>
      <c r="C4910" s="183">
        <f t="shared" si="94"/>
        <v>42315</v>
      </c>
      <c r="D4910" s="190" t="s">
        <v>2015</v>
      </c>
      <c r="E4910" s="190">
        <v>42315</v>
      </c>
      <c r="F4910" s="191" t="s">
        <v>398</v>
      </c>
      <c r="G4910" s="482" t="s">
        <v>1168</v>
      </c>
      <c r="H4910" s="192" t="s">
        <v>2016</v>
      </c>
      <c r="I4910" s="255">
        <v>1188</v>
      </c>
      <c r="J4910" s="255">
        <v>6114.6279187019491</v>
      </c>
      <c r="K4910" s="593">
        <f t="shared" si="95"/>
        <v>7264178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69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799"/>
    </row>
    <row r="4911" spans="1:27" s="210" customFormat="1" ht="15.75" customHeight="1">
      <c r="A4911" s="203" t="str">
        <f>IF(B4911&lt;&gt;"",IF(AND(B4911&gt;=_TM1,B4911&lt;=_TM2,OR(TH!L4911="1111",TH!M4911="1111")),TH!D4911,""),"")</f>
        <v/>
      </c>
      <c r="B4911" s="36">
        <f t="shared" si="93"/>
        <v>11</v>
      </c>
      <c r="C4911" s="183">
        <f t="shared" si="94"/>
        <v>42315</v>
      </c>
      <c r="D4911" s="190" t="s">
        <v>2015</v>
      </c>
      <c r="E4911" s="190">
        <v>42315</v>
      </c>
      <c r="F4911" s="191" t="s">
        <v>1169</v>
      </c>
      <c r="G4911" s="482" t="s">
        <v>1168</v>
      </c>
      <c r="H4911" s="192" t="s">
        <v>2016</v>
      </c>
      <c r="I4911" s="255">
        <v>304</v>
      </c>
      <c r="J4911" s="255">
        <v>8500.8241796588063</v>
      </c>
      <c r="K4911" s="593">
        <f t="shared" si="95"/>
        <v>2584251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69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799"/>
    </row>
    <row r="4912" spans="1:27" s="210" customFormat="1" ht="15.75" customHeight="1">
      <c r="A4912" s="203" t="str">
        <f>IF(B4912&lt;&gt;"",IF(AND(B4912&gt;=_TM1,B4912&lt;=_TM2,OR(TH!L4912="1111",TH!M4912="1111")),TH!D4912,""),"")</f>
        <v/>
      </c>
      <c r="B4912" s="36">
        <f t="shared" si="93"/>
        <v>11</v>
      </c>
      <c r="C4912" s="183">
        <f t="shared" si="94"/>
        <v>42317</v>
      </c>
      <c r="D4912" s="190" t="s">
        <v>2015</v>
      </c>
      <c r="E4912" s="190">
        <v>42317</v>
      </c>
      <c r="F4912" s="191" t="s">
        <v>760</v>
      </c>
      <c r="G4912" s="482" t="s">
        <v>1170</v>
      </c>
      <c r="H4912" s="192" t="s">
        <v>2016</v>
      </c>
      <c r="I4912" s="255">
        <v>519</v>
      </c>
      <c r="J4912" s="255">
        <v>7233.1574160254759</v>
      </c>
      <c r="K4912" s="593">
        <f t="shared" si="95"/>
        <v>3754009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69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799"/>
    </row>
    <row r="4913" spans="1:27" s="210" customFormat="1" ht="15.75" customHeight="1">
      <c r="A4913" s="203" t="str">
        <f>IF(B4913&lt;&gt;"",IF(AND(B4913&gt;=_TM1,B4913&lt;=_TM2,OR(TH!L4913="1111",TH!M4913="1111")),TH!D4913,""),"")</f>
        <v/>
      </c>
      <c r="B4913" s="36">
        <f t="shared" si="93"/>
        <v>11</v>
      </c>
      <c r="C4913" s="183">
        <f t="shared" si="94"/>
        <v>42317</v>
      </c>
      <c r="D4913" s="190" t="s">
        <v>2015</v>
      </c>
      <c r="E4913" s="190">
        <v>42317</v>
      </c>
      <c r="F4913" s="191" t="s">
        <v>451</v>
      </c>
      <c r="G4913" s="482" t="s">
        <v>1171</v>
      </c>
      <c r="H4913" s="192" t="s">
        <v>2016</v>
      </c>
      <c r="I4913" s="255">
        <v>100</v>
      </c>
      <c r="J4913" s="255">
        <v>9992.1968427568445</v>
      </c>
      <c r="K4913" s="593">
        <f t="shared" si="95"/>
        <v>999220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69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799"/>
    </row>
    <row r="4914" spans="1:27" s="210" customFormat="1" ht="15.75" customHeight="1">
      <c r="A4914" s="203" t="str">
        <f>IF(B4914&lt;&gt;"",IF(AND(B4914&gt;=_TM1,B4914&lt;=_TM2,OR(TH!L4914="1111",TH!M4914="1111")),TH!D4914,""),"")</f>
        <v/>
      </c>
      <c r="B4914" s="36">
        <f t="shared" si="93"/>
        <v>11</v>
      </c>
      <c r="C4914" s="183">
        <f t="shared" si="94"/>
        <v>42317</v>
      </c>
      <c r="D4914" s="190" t="s">
        <v>2015</v>
      </c>
      <c r="E4914" s="190">
        <v>42317</v>
      </c>
      <c r="F4914" s="191" t="s">
        <v>1173</v>
      </c>
      <c r="G4914" s="482" t="s">
        <v>1174</v>
      </c>
      <c r="H4914" s="192" t="s">
        <v>2016</v>
      </c>
      <c r="I4914" s="255">
        <v>400</v>
      </c>
      <c r="J4914" s="255">
        <v>7755.137848109789</v>
      </c>
      <c r="K4914" s="593">
        <f t="shared" si="95"/>
        <v>3102055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69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799"/>
    </row>
    <row r="4915" spans="1:27" s="210" customFormat="1" ht="15.75" customHeight="1">
      <c r="A4915" s="203" t="str">
        <f>IF(B4915&lt;&gt;"",IF(AND(B4915&gt;=_TM1,B4915&lt;=_TM2,OR(TH!L4915="1111",TH!M4915="1111")),TH!D4915,""),"")</f>
        <v/>
      </c>
      <c r="B4915" s="36">
        <f t="shared" si="93"/>
        <v>11</v>
      </c>
      <c r="C4915" s="183">
        <f t="shared" si="94"/>
        <v>42317</v>
      </c>
      <c r="D4915" s="190" t="s">
        <v>2015</v>
      </c>
      <c r="E4915" s="190">
        <v>42317</v>
      </c>
      <c r="F4915" s="191" t="s">
        <v>1819</v>
      </c>
      <c r="G4915" s="482" t="s">
        <v>1176</v>
      </c>
      <c r="H4915" s="192" t="s">
        <v>2016</v>
      </c>
      <c r="I4915" s="255">
        <v>500</v>
      </c>
      <c r="J4915" s="255">
        <v>13124.07943526272</v>
      </c>
      <c r="K4915" s="593">
        <f t="shared" si="95"/>
        <v>6562040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69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799"/>
    </row>
    <row r="4916" spans="1:27" s="210" customFormat="1" ht="15.75" customHeight="1">
      <c r="A4916" s="203" t="str">
        <f>IF(B4916&lt;&gt;"",IF(AND(B4916&gt;=_TM1,B4916&lt;=_TM2,OR(TH!L4916="1111",TH!M4916="1111")),TH!D4916,""),"")</f>
        <v/>
      </c>
      <c r="B4916" s="36">
        <f t="shared" si="93"/>
        <v>11</v>
      </c>
      <c r="C4916" s="183">
        <f t="shared" si="94"/>
        <v>42317</v>
      </c>
      <c r="D4916" s="190" t="s">
        <v>2015</v>
      </c>
      <c r="E4916" s="190">
        <v>42317</v>
      </c>
      <c r="F4916" s="191" t="s">
        <v>1751</v>
      </c>
      <c r="G4916" s="482" t="s">
        <v>1176</v>
      </c>
      <c r="H4916" s="192" t="s">
        <v>2016</v>
      </c>
      <c r="I4916" s="255">
        <v>340</v>
      </c>
      <c r="J4916" s="255">
        <v>12005.549937939193</v>
      </c>
      <c r="K4916" s="593">
        <f t="shared" si="95"/>
        <v>4081887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69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799"/>
    </row>
    <row r="4917" spans="1:27" s="210" customFormat="1" ht="15.75" customHeight="1">
      <c r="A4917" s="203" t="str">
        <f>IF(B4917&lt;&gt;"",IF(AND(B4917&gt;=_TM1,B4917&lt;=_TM2,OR(TH!L4917="1111",TH!M4917="1111")),TH!D4917,""),"")</f>
        <v/>
      </c>
      <c r="B4917" s="36">
        <f t="shared" si="93"/>
        <v>11</v>
      </c>
      <c r="C4917" s="183">
        <f t="shared" si="94"/>
        <v>42317</v>
      </c>
      <c r="D4917" s="190" t="s">
        <v>2015</v>
      </c>
      <c r="E4917" s="190">
        <v>42317</v>
      </c>
      <c r="F4917" s="191" t="s">
        <v>1820</v>
      </c>
      <c r="G4917" s="482" t="s">
        <v>1176</v>
      </c>
      <c r="H4917" s="192" t="s">
        <v>2016</v>
      </c>
      <c r="I4917" s="255">
        <v>422</v>
      </c>
      <c r="J4917" s="255">
        <v>12378.393103713701</v>
      </c>
      <c r="K4917" s="593">
        <f t="shared" si="95"/>
        <v>5223682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69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799"/>
    </row>
    <row r="4918" spans="1:27" s="210" customFormat="1" ht="15.75" customHeight="1">
      <c r="A4918" s="203" t="str">
        <f>IF(B4918&lt;&gt;"",IF(AND(B4918&gt;=_TM1,B4918&lt;=_TM2,OR(TH!L4918="1111",TH!M4918="1111")),TH!D4918,""),"")</f>
        <v/>
      </c>
      <c r="B4918" s="36">
        <f t="shared" si="93"/>
        <v>11</v>
      </c>
      <c r="C4918" s="183">
        <f t="shared" si="94"/>
        <v>42319</v>
      </c>
      <c r="D4918" s="190" t="s">
        <v>2015</v>
      </c>
      <c r="E4918" s="190">
        <v>42319</v>
      </c>
      <c r="F4918" s="191" t="s">
        <v>474</v>
      </c>
      <c r="G4918" s="482" t="s">
        <v>1177</v>
      </c>
      <c r="H4918" s="192" t="s">
        <v>2016</v>
      </c>
      <c r="I4918" s="255">
        <v>154</v>
      </c>
      <c r="J4918" s="255">
        <v>9022.8046117431204</v>
      </c>
      <c r="K4918" s="593">
        <f t="shared" si="95"/>
        <v>1389512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69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799"/>
    </row>
    <row r="4919" spans="1:27" s="210" customFormat="1" ht="15.75" customHeight="1">
      <c r="A4919" s="203" t="str">
        <f>IF(B4919&lt;&gt;"",IF(AND(B4919&gt;=_TM1,B4919&lt;=_TM2,OR(TH!L4919="1111",TH!M4919="1111")),TH!D4919,""),"")</f>
        <v/>
      </c>
      <c r="B4919" s="36">
        <f t="shared" si="93"/>
        <v>11</v>
      </c>
      <c r="C4919" s="183">
        <f t="shared" si="94"/>
        <v>42321</v>
      </c>
      <c r="D4919" s="190" t="s">
        <v>2015</v>
      </c>
      <c r="E4919" s="190">
        <v>42321</v>
      </c>
      <c r="F4919" s="191" t="s">
        <v>1030</v>
      </c>
      <c r="G4919" s="482" t="s">
        <v>1179</v>
      </c>
      <c r="H4919" s="192" t="s">
        <v>2016</v>
      </c>
      <c r="I4919" s="255">
        <v>104</v>
      </c>
      <c r="J4919" s="255">
        <v>12005.549937939193</v>
      </c>
      <c r="K4919" s="593">
        <f t="shared" si="95"/>
        <v>1248577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69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799"/>
    </row>
    <row r="4920" spans="1:27" s="210" customFormat="1" ht="15.75" customHeight="1">
      <c r="A4920" s="203" t="str">
        <f>IF(B4920&lt;&gt;"",IF(AND(B4920&gt;=_TM1,B4920&lt;=_TM2,OR(TH!L4920="1111",TH!M4920="1111")),TH!D4920,""),"")</f>
        <v/>
      </c>
      <c r="B4920" s="36">
        <f t="shared" si="93"/>
        <v>11</v>
      </c>
      <c r="C4920" s="183">
        <f t="shared" si="94"/>
        <v>42321</v>
      </c>
      <c r="D4920" s="190" t="s">
        <v>2015</v>
      </c>
      <c r="E4920" s="190">
        <v>42321</v>
      </c>
      <c r="F4920" s="191" t="s">
        <v>494</v>
      </c>
      <c r="G4920" s="482" t="s">
        <v>1180</v>
      </c>
      <c r="H4920" s="192" t="s">
        <v>2016</v>
      </c>
      <c r="I4920" s="255">
        <v>736</v>
      </c>
      <c r="J4920" s="255">
        <v>5070.6670545333236</v>
      </c>
      <c r="K4920" s="593">
        <f t="shared" si="95"/>
        <v>3732011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69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799"/>
    </row>
    <row r="4921" spans="1:27" s="210" customFormat="1" ht="15.75" customHeight="1">
      <c r="A4921" s="203" t="str">
        <f>IF(B4921&lt;&gt;"",IF(AND(B4921&gt;=_TM1,B4921&lt;=_TM2,OR(TH!L4921="1111",TH!M4921="1111")),TH!D4921,""),"")</f>
        <v/>
      </c>
      <c r="B4921" s="36">
        <f t="shared" si="93"/>
        <v>11</v>
      </c>
      <c r="C4921" s="183">
        <f t="shared" si="94"/>
        <v>42321</v>
      </c>
      <c r="D4921" s="190" t="s">
        <v>2015</v>
      </c>
      <c r="E4921" s="190">
        <v>42321</v>
      </c>
      <c r="F4921" s="191" t="s">
        <v>1948</v>
      </c>
      <c r="G4921" s="482" t="s">
        <v>1181</v>
      </c>
      <c r="H4921" s="192" t="s">
        <v>2016</v>
      </c>
      <c r="I4921" s="255">
        <v>2667</v>
      </c>
      <c r="J4921" s="255">
        <v>9246.5105112078254</v>
      </c>
      <c r="K4921" s="593">
        <f t="shared" si="95"/>
        <v>24660444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69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799"/>
    </row>
    <row r="4922" spans="1:27" s="210" customFormat="1" ht="15.75" customHeight="1">
      <c r="A4922" s="203" t="str">
        <f>IF(B4922&lt;&gt;"",IF(AND(B4922&gt;=_TM1,B4922&lt;=_TM2,OR(TH!L4922="1111",TH!M4922="1111")),TH!D4922,""),"")</f>
        <v/>
      </c>
      <c r="B4922" s="36">
        <f t="shared" si="93"/>
        <v>11</v>
      </c>
      <c r="C4922" s="183">
        <f t="shared" si="94"/>
        <v>42321</v>
      </c>
      <c r="D4922" s="190" t="s">
        <v>2015</v>
      </c>
      <c r="E4922" s="190">
        <v>42321</v>
      </c>
      <c r="F4922" s="191" t="s">
        <v>441</v>
      </c>
      <c r="G4922" s="482" t="s">
        <v>1182</v>
      </c>
      <c r="H4922" s="192" t="s">
        <v>2016</v>
      </c>
      <c r="I4922" s="255">
        <v>1010</v>
      </c>
      <c r="J4922" s="255">
        <v>3803.0002908999927</v>
      </c>
      <c r="K4922" s="593">
        <f t="shared" si="95"/>
        <v>3841030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69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799"/>
    </row>
    <row r="4923" spans="1:27" s="210" customFormat="1" ht="15.75" customHeight="1">
      <c r="A4923" s="203" t="str">
        <f>IF(B4923&lt;&gt;"",IF(AND(B4923&gt;=_TM1,B4923&lt;=_TM2,OR(TH!L4923="1111",TH!M4923="1111")),TH!D4923,""),"")</f>
        <v/>
      </c>
      <c r="B4923" s="36">
        <f t="shared" si="93"/>
        <v>11</v>
      </c>
      <c r="C4923" s="183">
        <f t="shared" si="94"/>
        <v>42324</v>
      </c>
      <c r="D4923" s="190" t="s">
        <v>2015</v>
      </c>
      <c r="E4923" s="190">
        <v>42324</v>
      </c>
      <c r="F4923" s="191" t="s">
        <v>1183</v>
      </c>
      <c r="G4923" s="482" t="s">
        <v>1184</v>
      </c>
      <c r="H4923" s="192" t="s">
        <v>2016</v>
      </c>
      <c r="I4923" s="255">
        <v>103</v>
      </c>
      <c r="J4923" s="255">
        <v>12154.687204248996</v>
      </c>
      <c r="K4923" s="593">
        <f t="shared" si="95"/>
        <v>1251933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69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799"/>
    </row>
    <row r="4924" spans="1:27" s="210" customFormat="1" ht="15.75" customHeight="1">
      <c r="A4924" s="203" t="str">
        <f>IF(B4924&lt;&gt;"",IF(AND(B4924&gt;=_TM1,B4924&lt;=_TM2,OR(TH!L4924="1111",TH!M4924="1111")),TH!D4924,""),"")</f>
        <v/>
      </c>
      <c r="B4924" s="36">
        <f t="shared" si="93"/>
        <v>11</v>
      </c>
      <c r="C4924" s="183">
        <f t="shared" si="94"/>
        <v>42324</v>
      </c>
      <c r="D4924" s="190" t="s">
        <v>2015</v>
      </c>
      <c r="E4924" s="190">
        <v>42324</v>
      </c>
      <c r="F4924" s="191" t="s">
        <v>1185</v>
      </c>
      <c r="G4924" s="482" t="s">
        <v>1184</v>
      </c>
      <c r="H4924" s="192" t="s">
        <v>2016</v>
      </c>
      <c r="I4924" s="255">
        <v>104</v>
      </c>
      <c r="J4924" s="255">
        <v>16628.805193543107</v>
      </c>
      <c r="K4924" s="593">
        <f t="shared" si="95"/>
        <v>1729396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69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799"/>
    </row>
    <row r="4925" spans="1:27" s="210" customFormat="1" ht="15.75" customHeight="1">
      <c r="A4925" s="203" t="str">
        <f>IF(B4925&lt;&gt;"",IF(AND(B4925&gt;=_TM1,B4925&lt;=_TM2,OR(TH!L4925="1111",TH!M4925="1111")),TH!D4925,""),"")</f>
        <v/>
      </c>
      <c r="B4925" s="36">
        <f t="shared" si="93"/>
        <v>11</v>
      </c>
      <c r="C4925" s="183">
        <f t="shared" si="94"/>
        <v>42324</v>
      </c>
      <c r="D4925" s="190" t="s">
        <v>2015</v>
      </c>
      <c r="E4925" s="190">
        <v>42324</v>
      </c>
      <c r="F4925" s="191" t="s">
        <v>1949</v>
      </c>
      <c r="G4925" s="482" t="s">
        <v>1186</v>
      </c>
      <c r="H4925" s="192" t="s">
        <v>2016</v>
      </c>
      <c r="I4925" s="255">
        <v>100</v>
      </c>
      <c r="J4925" s="255">
        <v>11334.432239545076</v>
      </c>
      <c r="K4925" s="593">
        <f t="shared" si="95"/>
        <v>1133443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69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799"/>
    </row>
    <row r="4926" spans="1:27" s="210" customFormat="1" ht="15.75" customHeight="1">
      <c r="A4926" s="203" t="str">
        <f>IF(B4926&lt;&gt;"",IF(AND(B4926&gt;=_TM1,B4926&lt;=_TM2,OR(TH!L4926="1111",TH!M4926="1111")),TH!D4926,""),"")</f>
        <v/>
      </c>
      <c r="B4926" s="36">
        <f t="shared" si="93"/>
        <v>11</v>
      </c>
      <c r="C4926" s="183">
        <f t="shared" si="94"/>
        <v>42326</v>
      </c>
      <c r="D4926" s="190" t="s">
        <v>2015</v>
      </c>
      <c r="E4926" s="190">
        <v>42326</v>
      </c>
      <c r="F4926" s="191" t="s">
        <v>1957</v>
      </c>
      <c r="G4926" s="482" t="s">
        <v>1187</v>
      </c>
      <c r="H4926" s="192" t="s">
        <v>2016</v>
      </c>
      <c r="I4926" s="255">
        <v>600</v>
      </c>
      <c r="J4926" s="255">
        <v>6114.6279187019491</v>
      </c>
      <c r="K4926" s="593">
        <f t="shared" si="95"/>
        <v>3668777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69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799"/>
    </row>
    <row r="4927" spans="1:27" s="210" customFormat="1" ht="15.75" customHeight="1">
      <c r="A4927" s="203" t="str">
        <f>IF(B4927&lt;&gt;"",IF(AND(B4927&gt;=_TM1,B4927&lt;=_TM2,OR(TH!L4927="1111",TH!M4927="1111")),TH!D4927,""),"")</f>
        <v/>
      </c>
      <c r="B4927" s="36">
        <f t="shared" si="93"/>
        <v>11</v>
      </c>
      <c r="C4927" s="183">
        <f t="shared" si="94"/>
        <v>42326</v>
      </c>
      <c r="D4927" s="190" t="s">
        <v>2015</v>
      </c>
      <c r="E4927" s="190">
        <v>42326</v>
      </c>
      <c r="F4927" s="191" t="s">
        <v>1956</v>
      </c>
      <c r="G4927" s="482" t="s">
        <v>1187</v>
      </c>
      <c r="H4927" s="192" t="s">
        <v>2016</v>
      </c>
      <c r="I4927" s="255">
        <v>1500</v>
      </c>
      <c r="J4927" s="255">
        <v>2908.1766930411709</v>
      </c>
      <c r="K4927" s="593">
        <f t="shared" si="95"/>
        <v>4362265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69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799"/>
    </row>
    <row r="4928" spans="1:27" s="210" customFormat="1" ht="15.75" customHeight="1">
      <c r="A4928" s="203" t="str">
        <f>IF(B4928&lt;&gt;"",IF(AND(B4928&gt;=_TM1,B4928&lt;=_TM2,OR(TH!L4928="1111",TH!M4928="1111")),TH!D4928,""),"")</f>
        <v/>
      </c>
      <c r="B4928" s="36">
        <f t="shared" si="93"/>
        <v>11</v>
      </c>
      <c r="C4928" s="183">
        <f t="shared" si="94"/>
        <v>42326</v>
      </c>
      <c r="D4928" s="190" t="s">
        <v>2015</v>
      </c>
      <c r="E4928" s="190">
        <v>42326</v>
      </c>
      <c r="F4928" s="191" t="s">
        <v>1188</v>
      </c>
      <c r="G4928" s="482" t="s">
        <v>1189</v>
      </c>
      <c r="H4928" s="192" t="s">
        <v>2016</v>
      </c>
      <c r="I4928" s="255">
        <v>505</v>
      </c>
      <c r="J4928" s="255">
        <v>6338.3338181666541</v>
      </c>
      <c r="K4928" s="593">
        <f t="shared" si="95"/>
        <v>3200859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69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799"/>
    </row>
    <row r="4929" spans="1:27" s="210" customFormat="1" ht="15.75" customHeight="1">
      <c r="A4929" s="203" t="str">
        <f>IF(B4929&lt;&gt;"",IF(AND(B4929&gt;=_TM1,B4929&lt;=_TM2,OR(TH!L4929="1111",TH!M4929="1111")),TH!D4929,""),"")</f>
        <v/>
      </c>
      <c r="B4929" s="36">
        <f t="shared" si="93"/>
        <v>11</v>
      </c>
      <c r="C4929" s="183">
        <f t="shared" si="94"/>
        <v>42326</v>
      </c>
      <c r="D4929" s="190" t="s">
        <v>2015</v>
      </c>
      <c r="E4929" s="190">
        <v>42326</v>
      </c>
      <c r="F4929" s="191" t="s">
        <v>1678</v>
      </c>
      <c r="G4929" s="482" t="s">
        <v>1189</v>
      </c>
      <c r="H4929" s="192" t="s">
        <v>2016</v>
      </c>
      <c r="I4929" s="255">
        <v>505</v>
      </c>
      <c r="J4929" s="255">
        <v>820.25496470392</v>
      </c>
      <c r="K4929" s="593">
        <f t="shared" si="95"/>
        <v>414229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69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799"/>
    </row>
    <row r="4930" spans="1:27" s="210" customFormat="1" ht="15.75" customHeight="1">
      <c r="A4930" s="203" t="str">
        <f>IF(B4930&lt;&gt;"",IF(AND(B4930&gt;=_TM1,B4930&lt;=_TM2,OR(TH!L4930="1111",TH!M4930="1111")),TH!D4930,""),"")</f>
        <v/>
      </c>
      <c r="B4930" s="36">
        <f t="shared" si="93"/>
        <v>11</v>
      </c>
      <c r="C4930" s="183">
        <f t="shared" si="94"/>
        <v>42326</v>
      </c>
      <c r="D4930" s="190" t="s">
        <v>2015</v>
      </c>
      <c r="E4930" s="190">
        <v>42326</v>
      </c>
      <c r="F4930" s="191" t="s">
        <v>518</v>
      </c>
      <c r="G4930" s="482" t="s">
        <v>1189</v>
      </c>
      <c r="H4930" s="192" t="s">
        <v>2016</v>
      </c>
      <c r="I4930" s="255">
        <v>1002</v>
      </c>
      <c r="J4930" s="255">
        <v>7755.137848109789</v>
      </c>
      <c r="K4930" s="593">
        <f t="shared" si="95"/>
        <v>7770648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69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799"/>
    </row>
    <row r="4931" spans="1:27" s="210" customFormat="1" ht="15.75" customHeight="1">
      <c r="A4931" s="203" t="str">
        <f>IF(B4931&lt;&gt;"",IF(AND(B4931&gt;=_TM1,B4931&lt;=_TM2,OR(TH!L4931="1111",TH!M4931="1111")),TH!D4931,""),"")</f>
        <v/>
      </c>
      <c r="B4931" s="36">
        <f t="shared" si="93"/>
        <v>11</v>
      </c>
      <c r="C4931" s="183">
        <f t="shared" si="94"/>
        <v>42326</v>
      </c>
      <c r="D4931" s="190" t="s">
        <v>2015</v>
      </c>
      <c r="E4931" s="190">
        <v>42326</v>
      </c>
      <c r="F4931" s="191" t="s">
        <v>1676</v>
      </c>
      <c r="G4931" s="482" t="s">
        <v>1189</v>
      </c>
      <c r="H4931" s="192" t="s">
        <v>2016</v>
      </c>
      <c r="I4931" s="255">
        <v>1002</v>
      </c>
      <c r="J4931" s="255">
        <v>1193.0981304784291</v>
      </c>
      <c r="K4931" s="593">
        <f t="shared" si="95"/>
        <v>1195484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69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799"/>
    </row>
    <row r="4932" spans="1:27" s="210" customFormat="1" ht="15.75" customHeight="1">
      <c r="A4932" s="203" t="str">
        <f>IF(B4932&lt;&gt;"",IF(AND(B4932&gt;=_TM1,B4932&lt;=_TM2,OR(TH!L4932="1111",TH!M4932="1111")),TH!D4932,""),"")</f>
        <v/>
      </c>
      <c r="B4932" s="36">
        <f t="shared" si="93"/>
        <v>11</v>
      </c>
      <c r="C4932" s="183">
        <f t="shared" si="94"/>
        <v>42326</v>
      </c>
      <c r="D4932" s="190" t="s">
        <v>2015</v>
      </c>
      <c r="E4932" s="190">
        <v>42326</v>
      </c>
      <c r="F4932" s="191" t="s">
        <v>1190</v>
      </c>
      <c r="G4932" s="482" t="s">
        <v>1191</v>
      </c>
      <c r="H4932" s="192" t="s">
        <v>2016</v>
      </c>
      <c r="I4932" s="255">
        <v>195</v>
      </c>
      <c r="J4932" s="255">
        <v>7755.137848109789</v>
      </c>
      <c r="K4932" s="593">
        <f t="shared" si="95"/>
        <v>1512252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69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799"/>
    </row>
    <row r="4933" spans="1:27" s="210" customFormat="1" ht="15.75" customHeight="1">
      <c r="A4933" s="203" t="str">
        <f>IF(B4933&lt;&gt;"",IF(AND(B4933&gt;=_TM1,B4933&lt;=_TM2,OR(TH!L4933="1111",TH!M4933="1111")),TH!D4933,""),"")</f>
        <v/>
      </c>
      <c r="B4933" s="36">
        <f t="shared" si="93"/>
        <v>11</v>
      </c>
      <c r="C4933" s="183">
        <f t="shared" si="94"/>
        <v>42326</v>
      </c>
      <c r="D4933" s="190" t="s">
        <v>2015</v>
      </c>
      <c r="E4933" s="190">
        <v>42326</v>
      </c>
      <c r="F4933" s="191" t="s">
        <v>1192</v>
      </c>
      <c r="G4933" s="482" t="s">
        <v>1191</v>
      </c>
      <c r="H4933" s="192" t="s">
        <v>2016</v>
      </c>
      <c r="I4933" s="255">
        <v>102</v>
      </c>
      <c r="J4933" s="255">
        <v>10439.608641686254</v>
      </c>
      <c r="K4933" s="593">
        <f t="shared" si="95"/>
        <v>1064840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69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799"/>
    </row>
    <row r="4934" spans="1:27" s="210" customFormat="1" ht="15.75" customHeight="1">
      <c r="A4934" s="203" t="str">
        <f>IF(B4934&lt;&gt;"",IF(AND(B4934&gt;=_TM1,B4934&lt;=_TM2,OR(TH!L4934="1111",TH!M4934="1111")),TH!D4934,""),"")</f>
        <v/>
      </c>
      <c r="B4934" s="36">
        <f t="shared" si="93"/>
        <v>11</v>
      </c>
      <c r="C4934" s="183">
        <f t="shared" si="94"/>
        <v>42327</v>
      </c>
      <c r="D4934" s="190" t="s">
        <v>2015</v>
      </c>
      <c r="E4934" s="190">
        <v>42327</v>
      </c>
      <c r="F4934" s="191" t="s">
        <v>1193</v>
      </c>
      <c r="G4934" s="482" t="s">
        <v>1194</v>
      </c>
      <c r="H4934" s="192" t="s">
        <v>2016</v>
      </c>
      <c r="I4934" s="255">
        <v>305</v>
      </c>
      <c r="J4934" s="255">
        <v>6263.7651850117527</v>
      </c>
      <c r="K4934" s="593">
        <f t="shared" si="95"/>
        <v>1910448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69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799"/>
    </row>
    <row r="4935" spans="1:27" s="210" customFormat="1" ht="15.75" customHeight="1">
      <c r="A4935" s="203" t="str">
        <f>IF(B4935&lt;&gt;"",IF(AND(B4935&gt;=_TM1,B4935&lt;=_TM2,OR(TH!L4935="1111",TH!M4935="1111")),TH!D4935,""),"")</f>
        <v/>
      </c>
      <c r="B4935" s="36">
        <f t="shared" si="93"/>
        <v>11</v>
      </c>
      <c r="C4935" s="183">
        <f t="shared" si="94"/>
        <v>42327</v>
      </c>
      <c r="D4935" s="190" t="s">
        <v>2015</v>
      </c>
      <c r="E4935" s="190">
        <v>42327</v>
      </c>
      <c r="F4935" s="191" t="s">
        <v>413</v>
      </c>
      <c r="G4935" s="482" t="s">
        <v>1195</v>
      </c>
      <c r="H4935" s="192" t="s">
        <v>2016</v>
      </c>
      <c r="I4935" s="255">
        <v>486</v>
      </c>
      <c r="J4935" s="255">
        <v>7084.0201497156722</v>
      </c>
      <c r="K4935" s="593">
        <f t="shared" si="95"/>
        <v>3442834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69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799"/>
    </row>
    <row r="4936" spans="1:27" s="210" customFormat="1" ht="15.75" customHeight="1">
      <c r="A4936" s="203" t="str">
        <f>IF(B4936&lt;&gt;"",IF(AND(B4936&gt;=_TM1,B4936&lt;=_TM2,OR(TH!L4936="1111",TH!M4936="1111")),TH!D4936,""),"")</f>
        <v/>
      </c>
      <c r="B4936" s="36">
        <f t="shared" si="93"/>
        <v>11</v>
      </c>
      <c r="C4936" s="183">
        <f t="shared" si="94"/>
        <v>42327</v>
      </c>
      <c r="D4936" s="190" t="s">
        <v>2015</v>
      </c>
      <c r="E4936" s="190">
        <v>42327</v>
      </c>
      <c r="F4936" s="191" t="s">
        <v>413</v>
      </c>
      <c r="G4936" s="482" t="s">
        <v>1195</v>
      </c>
      <c r="H4936" s="192" t="s">
        <v>2016</v>
      </c>
      <c r="I4936" s="255">
        <v>200</v>
      </c>
      <c r="J4936" s="255">
        <v>7084.0201497156722</v>
      </c>
      <c r="K4936" s="593">
        <f t="shared" si="95"/>
        <v>1416804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69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799"/>
    </row>
    <row r="4937" spans="1:27" s="210" customFormat="1" ht="15.75" customHeight="1">
      <c r="A4937" s="203" t="str">
        <f>IF(B4937&lt;&gt;"",IF(AND(B4937&gt;=_TM1,B4937&lt;=_TM2,OR(TH!L4937="1111",TH!M4937="1111")),TH!D4937,""),"")</f>
        <v/>
      </c>
      <c r="B4937" s="36">
        <f t="shared" si="93"/>
        <v>11</v>
      </c>
      <c r="C4937" s="183">
        <f t="shared" si="94"/>
        <v>42327</v>
      </c>
      <c r="D4937" s="190" t="s">
        <v>2015</v>
      </c>
      <c r="E4937" s="190">
        <v>42327</v>
      </c>
      <c r="F4937" s="191" t="s">
        <v>413</v>
      </c>
      <c r="G4937" s="482" t="s">
        <v>1195</v>
      </c>
      <c r="H4937" s="192" t="s">
        <v>2016</v>
      </c>
      <c r="I4937" s="255">
        <v>100</v>
      </c>
      <c r="J4937" s="255">
        <v>7084.0201497156722</v>
      </c>
      <c r="K4937" s="593">
        <f t="shared" si="95"/>
        <v>708402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69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799"/>
    </row>
    <row r="4938" spans="1:27" s="210" customFormat="1" ht="15.75" customHeight="1">
      <c r="A4938" s="203" t="str">
        <f>IF(B4938&lt;&gt;"",IF(AND(B4938&gt;=_TM1,B4938&lt;=_TM2,OR(TH!L4938="1111",TH!M4938="1111")),TH!D4938,""),"")</f>
        <v/>
      </c>
      <c r="B4938" s="36">
        <f t="shared" si="93"/>
        <v>11</v>
      </c>
      <c r="C4938" s="183">
        <f t="shared" si="94"/>
        <v>42327</v>
      </c>
      <c r="D4938" s="190" t="s">
        <v>2015</v>
      </c>
      <c r="E4938" s="190">
        <v>42327</v>
      </c>
      <c r="F4938" s="191" t="s">
        <v>413</v>
      </c>
      <c r="G4938" s="482" t="s">
        <v>1195</v>
      </c>
      <c r="H4938" s="192" t="s">
        <v>2016</v>
      </c>
      <c r="I4938" s="255">
        <v>102</v>
      </c>
      <c r="J4938" s="255">
        <v>7084.0201497156722</v>
      </c>
      <c r="K4938" s="593">
        <f t="shared" si="95"/>
        <v>722570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69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799"/>
    </row>
    <row r="4939" spans="1:27" s="210" customFormat="1" ht="15.75" customHeight="1">
      <c r="A4939" s="203" t="str">
        <f>IF(B4939&lt;&gt;"",IF(AND(B4939&gt;=_TM1,B4939&lt;=_TM2,OR(TH!L4939="1111",TH!M4939="1111")),TH!D4939,""),"")</f>
        <v/>
      </c>
      <c r="B4939" s="36">
        <f t="shared" si="93"/>
        <v>11</v>
      </c>
      <c r="C4939" s="183">
        <f t="shared" si="94"/>
        <v>42329</v>
      </c>
      <c r="D4939" s="190" t="s">
        <v>2015</v>
      </c>
      <c r="E4939" s="190">
        <v>42329</v>
      </c>
      <c r="F4939" s="191" t="s">
        <v>1196</v>
      </c>
      <c r="G4939" s="482" t="s">
        <v>1197</v>
      </c>
      <c r="H4939" s="192" t="s">
        <v>2016</v>
      </c>
      <c r="I4939" s="255">
        <v>1200</v>
      </c>
      <c r="J4939" s="255">
        <v>12602.099003178408</v>
      </c>
      <c r="K4939" s="593">
        <f t="shared" si="95"/>
        <v>15122519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69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799"/>
    </row>
    <row r="4940" spans="1:27" s="210" customFormat="1" ht="15.75" customHeight="1">
      <c r="A4940" s="203" t="str">
        <f>IF(B4940&lt;&gt;"",IF(AND(B4940&gt;=_TM1,B4940&lt;=_TM2,OR(TH!L4940="1111",TH!M4940="1111")),TH!D4940,""),"")</f>
        <v/>
      </c>
      <c r="B4940" s="36">
        <f t="shared" si="93"/>
        <v>11</v>
      </c>
      <c r="C4940" s="183">
        <f t="shared" si="94"/>
        <v>42329</v>
      </c>
      <c r="D4940" s="190" t="s">
        <v>2015</v>
      </c>
      <c r="E4940" s="190">
        <v>42329</v>
      </c>
      <c r="F4940" s="191" t="s">
        <v>446</v>
      </c>
      <c r="G4940" s="482" t="s">
        <v>1197</v>
      </c>
      <c r="H4940" s="192" t="s">
        <v>2016</v>
      </c>
      <c r="I4940" s="255">
        <v>634</v>
      </c>
      <c r="J4940" s="255">
        <v>6785.7456170960659</v>
      </c>
      <c r="K4940" s="593">
        <f t="shared" si="95"/>
        <v>4302163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69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799"/>
    </row>
    <row r="4941" spans="1:27" s="210" customFormat="1" ht="15.75" customHeight="1">
      <c r="A4941" s="203" t="str">
        <f>IF(B4941&lt;&gt;"",IF(AND(B4941&gt;=_TM1,B4941&lt;=_TM2,OR(TH!L4941="1111",TH!M4941="1111")),TH!D4941,""),"")</f>
        <v/>
      </c>
      <c r="B4941" s="36">
        <f t="shared" si="93"/>
        <v>11</v>
      </c>
      <c r="C4941" s="183">
        <f t="shared" si="94"/>
        <v>42329</v>
      </c>
      <c r="D4941" s="190" t="s">
        <v>2015</v>
      </c>
      <c r="E4941" s="190">
        <v>42329</v>
      </c>
      <c r="F4941" s="191" t="s">
        <v>595</v>
      </c>
      <c r="G4941" s="482" t="s">
        <v>1198</v>
      </c>
      <c r="H4941" s="192" t="s">
        <v>2016</v>
      </c>
      <c r="I4941" s="255">
        <v>422</v>
      </c>
      <c r="J4941" s="255">
        <v>6934.8828834058695</v>
      </c>
      <c r="K4941" s="593">
        <f t="shared" si="95"/>
        <v>2926521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69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799"/>
    </row>
    <row r="4942" spans="1:27" s="210" customFormat="1" ht="15.75" customHeight="1">
      <c r="A4942" s="203" t="str">
        <f>IF(B4942&lt;&gt;"",IF(AND(B4942&gt;=_TM1,B4942&lt;=_TM2,OR(TH!L4942="1111",TH!M4942="1111")),TH!D4942,""),"")</f>
        <v/>
      </c>
      <c r="B4942" s="36">
        <f t="shared" si="93"/>
        <v>11</v>
      </c>
      <c r="C4942" s="183">
        <f t="shared" si="94"/>
        <v>42329</v>
      </c>
      <c r="D4942" s="190" t="s">
        <v>2015</v>
      </c>
      <c r="E4942" s="190">
        <v>42329</v>
      </c>
      <c r="F4942" s="191" t="s">
        <v>539</v>
      </c>
      <c r="G4942" s="482" t="s">
        <v>1198</v>
      </c>
      <c r="H4942" s="192" t="s">
        <v>2016</v>
      </c>
      <c r="I4942" s="255">
        <v>204</v>
      </c>
      <c r="J4942" s="255">
        <v>7009.4515165607709</v>
      </c>
      <c r="K4942" s="593">
        <f t="shared" si="95"/>
        <v>1429928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69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799"/>
    </row>
    <row r="4943" spans="1:27" s="210" customFormat="1" ht="15.75" customHeight="1">
      <c r="A4943" s="203" t="str">
        <f>IF(B4943&lt;&gt;"",IF(AND(B4943&gt;=_TM1,B4943&lt;=_TM2,OR(TH!L4943="1111",TH!M4943="1111")),TH!D4943,""),"")</f>
        <v/>
      </c>
      <c r="B4943" s="36">
        <f t="shared" si="93"/>
        <v>11</v>
      </c>
      <c r="C4943" s="183">
        <f t="shared" si="94"/>
        <v>42329</v>
      </c>
      <c r="D4943" s="190" t="s">
        <v>2015</v>
      </c>
      <c r="E4943" s="190">
        <v>42329</v>
      </c>
      <c r="F4943" s="191" t="s">
        <v>998</v>
      </c>
      <c r="G4943" s="482" t="s">
        <v>1198</v>
      </c>
      <c r="H4943" s="192" t="s">
        <v>2016</v>
      </c>
      <c r="I4943" s="255">
        <v>104</v>
      </c>
      <c r="J4943" s="255">
        <v>8799.0987122784136</v>
      </c>
      <c r="K4943" s="593">
        <f t="shared" si="95"/>
        <v>915106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69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799"/>
    </row>
    <row r="4944" spans="1:27" s="210" customFormat="1" ht="15.75" customHeight="1">
      <c r="A4944" s="203" t="str">
        <f>IF(B4944&lt;&gt;"",IF(AND(B4944&gt;=_TM1,B4944&lt;=_TM2,OR(TH!L4944="1111",TH!M4944="1111")),TH!D4944,""),"")</f>
        <v/>
      </c>
      <c r="B4944" s="36">
        <f t="shared" si="93"/>
        <v>11</v>
      </c>
      <c r="C4944" s="183">
        <f t="shared" si="94"/>
        <v>42329</v>
      </c>
      <c r="D4944" s="190" t="s">
        <v>2015</v>
      </c>
      <c r="E4944" s="190">
        <v>42329</v>
      </c>
      <c r="F4944" s="191" t="s">
        <v>451</v>
      </c>
      <c r="G4944" s="482" t="s">
        <v>1198</v>
      </c>
      <c r="H4944" s="192" t="s">
        <v>2016</v>
      </c>
      <c r="I4944" s="255">
        <v>316</v>
      </c>
      <c r="J4944" s="255">
        <v>9992.1968427568445</v>
      </c>
      <c r="K4944" s="593">
        <f t="shared" si="95"/>
        <v>3157534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69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799"/>
    </row>
    <row r="4945" spans="1:27" s="210" customFormat="1" ht="15.75" customHeight="1">
      <c r="A4945" s="203" t="str">
        <f>IF(B4945&lt;&gt;"",IF(AND(B4945&gt;=_TM1,B4945&lt;=_TM2,OR(TH!L4945="1111",TH!M4945="1111")),TH!D4945,""),"")</f>
        <v/>
      </c>
      <c r="B4945" s="36">
        <f t="shared" si="93"/>
        <v>11</v>
      </c>
      <c r="C4945" s="183">
        <f t="shared" si="94"/>
        <v>42331</v>
      </c>
      <c r="D4945" s="190" t="s">
        <v>2015</v>
      </c>
      <c r="E4945" s="190">
        <v>42331</v>
      </c>
      <c r="F4945" s="191" t="s">
        <v>1199</v>
      </c>
      <c r="G4945" s="482" t="s">
        <v>1200</v>
      </c>
      <c r="H4945" s="192" t="s">
        <v>2016</v>
      </c>
      <c r="I4945" s="255">
        <v>212</v>
      </c>
      <c r="J4945" s="255">
        <v>9097.3732448980209</v>
      </c>
      <c r="K4945" s="593">
        <f t="shared" si="95"/>
        <v>1928643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69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799"/>
    </row>
    <row r="4946" spans="1:27" s="210" customFormat="1" ht="15.75" customHeight="1">
      <c r="A4946" s="203" t="str">
        <f>IF(B4946&lt;&gt;"",IF(AND(B4946&gt;=_TM1,B4946&lt;=_TM2,OR(TH!L4946="1111",TH!M4946="1111")),TH!D4946,""),"")</f>
        <v/>
      </c>
      <c r="B4946" s="36">
        <f t="shared" si="93"/>
        <v>11</v>
      </c>
      <c r="C4946" s="183">
        <f t="shared" si="94"/>
        <v>42332</v>
      </c>
      <c r="D4946" s="190" t="s">
        <v>2015</v>
      </c>
      <c r="E4946" s="190">
        <v>42332</v>
      </c>
      <c r="F4946" s="191" t="s">
        <v>538</v>
      </c>
      <c r="G4946" s="482" t="s">
        <v>1201</v>
      </c>
      <c r="H4946" s="192" t="s">
        <v>2016</v>
      </c>
      <c r="I4946" s="255">
        <v>100</v>
      </c>
      <c r="J4946" s="255">
        <v>6636.6083507862622</v>
      </c>
      <c r="K4946" s="593">
        <f t="shared" si="95"/>
        <v>663661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69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799"/>
    </row>
    <row r="4947" spans="1:27" s="210" customFormat="1" ht="15.75" customHeight="1">
      <c r="A4947" s="203" t="str">
        <f>IF(B4947&lt;&gt;"",IF(AND(B4947&gt;=_TM1,B4947&lt;=_TM2,OR(TH!L4947="1111",TH!M4947="1111")),TH!D4947,""),"")</f>
        <v/>
      </c>
      <c r="B4947" s="36">
        <f t="shared" si="93"/>
        <v>11</v>
      </c>
      <c r="C4947" s="183">
        <f t="shared" si="94"/>
        <v>42332</v>
      </c>
      <c r="D4947" s="190" t="s">
        <v>2015</v>
      </c>
      <c r="E4947" s="190">
        <v>42332</v>
      </c>
      <c r="F4947" s="191" t="s">
        <v>539</v>
      </c>
      <c r="G4947" s="482" t="s">
        <v>1201</v>
      </c>
      <c r="H4947" s="192" t="s">
        <v>2016</v>
      </c>
      <c r="I4947" s="255">
        <v>181</v>
      </c>
      <c r="J4947" s="255">
        <v>7009.4515165607709</v>
      </c>
      <c r="K4947" s="593">
        <f t="shared" si="95"/>
        <v>1268711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69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799"/>
    </row>
    <row r="4948" spans="1:27" s="210" customFormat="1" ht="15.75" customHeight="1">
      <c r="A4948" s="203" t="str">
        <f>IF(B4948&lt;&gt;"",IF(AND(B4948&gt;=_TM1,B4948&lt;=_TM2,OR(TH!L4948="1111",TH!M4948="1111")),TH!D4948,""),"")</f>
        <v/>
      </c>
      <c r="B4948" s="36">
        <f t="shared" si="93"/>
        <v>11</v>
      </c>
      <c r="C4948" s="183">
        <f t="shared" si="94"/>
        <v>42332</v>
      </c>
      <c r="D4948" s="190" t="s">
        <v>2015</v>
      </c>
      <c r="E4948" s="190">
        <v>42332</v>
      </c>
      <c r="F4948" s="191" t="s">
        <v>2010</v>
      </c>
      <c r="G4948" s="482" t="s">
        <v>1202</v>
      </c>
      <c r="H4948" s="192" t="s">
        <v>2016</v>
      </c>
      <c r="I4948" s="255">
        <v>2000</v>
      </c>
      <c r="J4948" s="255">
        <v>8724.5300791235113</v>
      </c>
      <c r="K4948" s="593">
        <f t="shared" si="95"/>
        <v>17449060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69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799"/>
    </row>
    <row r="4949" spans="1:27" s="210" customFormat="1" ht="15.75" customHeight="1">
      <c r="A4949" s="203" t="str">
        <f>IF(B4949&lt;&gt;"",IF(AND(B4949&gt;=_TM1,B4949&lt;=_TM2,OR(TH!L4949="1111",TH!M4949="1111")),TH!D4949,""),"")</f>
        <v/>
      </c>
      <c r="B4949" s="36">
        <f t="shared" si="93"/>
        <v>11</v>
      </c>
      <c r="C4949" s="183">
        <f t="shared" si="94"/>
        <v>42332</v>
      </c>
      <c r="D4949" s="190" t="s">
        <v>2015</v>
      </c>
      <c r="E4949" s="190">
        <v>42332</v>
      </c>
      <c r="F4949" s="191" t="s">
        <v>781</v>
      </c>
      <c r="G4949" s="482" t="s">
        <v>1203</v>
      </c>
      <c r="H4949" s="192" t="s">
        <v>2016</v>
      </c>
      <c r="I4949" s="255">
        <v>800</v>
      </c>
      <c r="J4949" s="255">
        <v>10365.040008531352</v>
      </c>
      <c r="K4949" s="593">
        <f t="shared" si="95"/>
        <v>8292032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69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799"/>
    </row>
    <row r="4950" spans="1:27" s="210" customFormat="1" ht="15.75" customHeight="1">
      <c r="A4950" s="203" t="str">
        <f>IF(B4950&lt;&gt;"",IF(AND(B4950&gt;=_TM1,B4950&lt;=_TM2,OR(TH!L4950="1111",TH!M4950="1111")),TH!D4950,""),"")</f>
        <v/>
      </c>
      <c r="B4950" s="36">
        <f t="shared" si="93"/>
        <v>11</v>
      </c>
      <c r="C4950" s="183">
        <f t="shared" si="94"/>
        <v>42332</v>
      </c>
      <c r="D4950" s="190" t="s">
        <v>2015</v>
      </c>
      <c r="E4950" s="190">
        <v>42332</v>
      </c>
      <c r="F4950" s="191" t="s">
        <v>1821</v>
      </c>
      <c r="G4950" s="482" t="s">
        <v>1204</v>
      </c>
      <c r="H4950" s="192" t="s">
        <v>2016</v>
      </c>
      <c r="I4950" s="255">
        <v>130</v>
      </c>
      <c r="J4950" s="255">
        <v>20655.511383907804</v>
      </c>
      <c r="K4950" s="593">
        <f t="shared" si="95"/>
        <v>2685216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69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799"/>
    </row>
    <row r="4951" spans="1:27" s="210" customFormat="1" ht="15.75" customHeight="1">
      <c r="A4951" s="203" t="str">
        <f>IF(B4951&lt;&gt;"",IF(AND(B4951&gt;=_TM1,B4951&lt;=_TM2,OR(TH!L4951="1111",TH!M4951="1111")),TH!D4951,""),"")</f>
        <v/>
      </c>
      <c r="B4951" s="36">
        <f t="shared" si="93"/>
        <v>11</v>
      </c>
      <c r="C4951" s="183">
        <f t="shared" si="94"/>
        <v>42332</v>
      </c>
      <c r="D4951" s="190" t="s">
        <v>2015</v>
      </c>
      <c r="E4951" s="190">
        <v>42332</v>
      </c>
      <c r="F4951" s="191" t="s">
        <v>1822</v>
      </c>
      <c r="G4951" s="482" t="s">
        <v>1204</v>
      </c>
      <c r="H4951" s="192" t="s">
        <v>2016</v>
      </c>
      <c r="I4951" s="255">
        <v>200</v>
      </c>
      <c r="J4951" s="255">
        <v>12602.099003178408</v>
      </c>
      <c r="K4951" s="593">
        <f t="shared" si="95"/>
        <v>2520420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69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799"/>
    </row>
    <row r="4952" spans="1:27" s="210" customFormat="1" ht="15.75" customHeight="1">
      <c r="A4952" s="203" t="str">
        <f>IF(B4952&lt;&gt;"",IF(AND(B4952&gt;=_TM1,B4952&lt;=_TM2,OR(TH!L4952="1111",TH!M4952="1111")),TH!D4952,""),"")</f>
        <v/>
      </c>
      <c r="B4952" s="36">
        <f t="shared" si="93"/>
        <v>11</v>
      </c>
      <c r="C4952" s="183">
        <f t="shared" si="94"/>
        <v>42332</v>
      </c>
      <c r="D4952" s="190" t="s">
        <v>2015</v>
      </c>
      <c r="E4952" s="190">
        <v>42332</v>
      </c>
      <c r="F4952" s="191" t="s">
        <v>1823</v>
      </c>
      <c r="G4952" s="482" t="s">
        <v>1204</v>
      </c>
      <c r="H4952" s="192" t="s">
        <v>2016</v>
      </c>
      <c r="I4952" s="255">
        <v>510</v>
      </c>
      <c r="J4952" s="255">
        <v>10066.765475911747</v>
      </c>
      <c r="K4952" s="593">
        <f t="shared" si="95"/>
        <v>5134050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69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799"/>
    </row>
    <row r="4953" spans="1:27" s="210" customFormat="1" ht="15.75" customHeight="1">
      <c r="A4953" s="203" t="str">
        <f>IF(B4953&lt;&gt;"",IF(AND(B4953&gt;=_TM1,B4953&lt;=_TM2,OR(TH!L4953="1111",TH!M4953="1111")),TH!D4953,""),"")</f>
        <v/>
      </c>
      <c r="B4953" s="36">
        <f t="shared" si="93"/>
        <v>11</v>
      </c>
      <c r="C4953" s="183">
        <f t="shared" si="94"/>
        <v>42332</v>
      </c>
      <c r="D4953" s="190" t="s">
        <v>2015</v>
      </c>
      <c r="E4953" s="190">
        <v>42332</v>
      </c>
      <c r="F4953" s="191" t="s">
        <v>1824</v>
      </c>
      <c r="G4953" s="482" t="s">
        <v>1204</v>
      </c>
      <c r="H4953" s="192" t="s">
        <v>2016</v>
      </c>
      <c r="I4953" s="255">
        <v>250</v>
      </c>
      <c r="J4953" s="255">
        <v>9470.2164106725304</v>
      </c>
      <c r="K4953" s="593">
        <f t="shared" si="95"/>
        <v>2367554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69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799"/>
    </row>
    <row r="4954" spans="1:27" s="210" customFormat="1" ht="15.75" customHeight="1">
      <c r="A4954" s="203" t="str">
        <f>IF(B4954&lt;&gt;"",IF(AND(B4954&gt;=_TM1,B4954&lt;=_TM2,OR(TH!L4954="1111",TH!M4954="1111")),TH!D4954,""),"")</f>
        <v/>
      </c>
      <c r="B4954" s="36">
        <f t="shared" si="93"/>
        <v>11</v>
      </c>
      <c r="C4954" s="183">
        <f t="shared" si="94"/>
        <v>42334</v>
      </c>
      <c r="D4954" s="190" t="s">
        <v>2015</v>
      </c>
      <c r="E4954" s="190">
        <v>42334</v>
      </c>
      <c r="F4954" s="191" t="s">
        <v>781</v>
      </c>
      <c r="G4954" s="482" t="s">
        <v>1205</v>
      </c>
      <c r="H4954" s="192" t="s">
        <v>2016</v>
      </c>
      <c r="I4954" s="255">
        <v>600</v>
      </c>
      <c r="J4954" s="255">
        <v>10365.040008531352</v>
      </c>
      <c r="K4954" s="593">
        <f t="shared" si="95"/>
        <v>6219024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69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799"/>
    </row>
    <row r="4955" spans="1:27" s="210" customFormat="1" ht="15.75" customHeight="1">
      <c r="A4955" s="203" t="str">
        <f>IF(B4955&lt;&gt;"",IF(AND(B4955&gt;=_TM1,B4955&lt;=_TM2,OR(TH!L4955="1111",TH!M4955="1111")),TH!D4955,""),"")</f>
        <v/>
      </c>
      <c r="B4955" s="36">
        <f t="shared" si="93"/>
        <v>11</v>
      </c>
      <c r="C4955" s="183">
        <f t="shared" si="94"/>
        <v>42335</v>
      </c>
      <c r="D4955" s="190" t="s">
        <v>2015</v>
      </c>
      <c r="E4955" s="190">
        <v>42335</v>
      </c>
      <c r="F4955" s="191" t="s">
        <v>616</v>
      </c>
      <c r="G4955" s="482" t="s">
        <v>1206</v>
      </c>
      <c r="H4955" s="192" t="s">
        <v>2016</v>
      </c>
      <c r="I4955" s="255">
        <v>1031</v>
      </c>
      <c r="J4955" s="255">
        <v>4921.52978822352</v>
      </c>
      <c r="K4955" s="593">
        <f t="shared" si="95"/>
        <v>5074097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69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799"/>
    </row>
    <row r="4956" spans="1:27" s="210" customFormat="1" ht="15.75" customHeight="1">
      <c r="A4956" s="203" t="str">
        <f>IF(B4956&lt;&gt;"",IF(AND(B4956&gt;=_TM1,B4956&lt;=_TM2,OR(TH!L4956="1111",TH!M4956="1111")),TH!D4956,""),"")</f>
        <v/>
      </c>
      <c r="B4956" s="36">
        <f t="shared" si="93"/>
        <v>11</v>
      </c>
      <c r="C4956" s="183">
        <f t="shared" si="94"/>
        <v>42335</v>
      </c>
      <c r="D4956" s="190" t="s">
        <v>2015</v>
      </c>
      <c r="E4956" s="190">
        <v>42335</v>
      </c>
      <c r="F4956" s="191" t="s">
        <v>616</v>
      </c>
      <c r="G4956" s="482" t="s">
        <v>1206</v>
      </c>
      <c r="H4956" s="192" t="s">
        <v>2016</v>
      </c>
      <c r="I4956" s="255">
        <v>980</v>
      </c>
      <c r="J4956" s="255">
        <v>4921.52978822352</v>
      </c>
      <c r="K4956" s="593">
        <f t="shared" si="95"/>
        <v>4823099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69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799"/>
    </row>
    <row r="4957" spans="1:27" s="210" customFormat="1" ht="15.75" customHeight="1">
      <c r="A4957" s="203" t="str">
        <f>IF(B4957&lt;&gt;"",IF(AND(B4957&gt;=_TM1,B4957&lt;=_TM2,OR(TH!L4957="1111",TH!M4957="1111")),TH!D4957,""),"")</f>
        <v/>
      </c>
      <c r="B4957" s="36">
        <f t="shared" si="93"/>
        <v>11</v>
      </c>
      <c r="C4957" s="183">
        <f t="shared" si="94"/>
        <v>42335</v>
      </c>
      <c r="D4957" s="190" t="s">
        <v>2015</v>
      </c>
      <c r="E4957" s="190">
        <v>42335</v>
      </c>
      <c r="F4957" s="191" t="s">
        <v>451</v>
      </c>
      <c r="G4957" s="482" t="s">
        <v>1207</v>
      </c>
      <c r="H4957" s="192" t="s">
        <v>2016</v>
      </c>
      <c r="I4957" s="255">
        <v>100</v>
      </c>
      <c r="J4957" s="255">
        <v>9992.1968427568445</v>
      </c>
      <c r="K4957" s="593">
        <f t="shared" si="95"/>
        <v>999220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69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799"/>
    </row>
    <row r="4958" spans="1:27" s="210" customFormat="1" ht="15.75" customHeight="1">
      <c r="A4958" s="203" t="str">
        <f>IF(B4958&lt;&gt;"",IF(AND(B4958&gt;=_TM1,B4958&lt;=_TM2,OR(TH!L4958="1111",TH!M4958="1111")),TH!D4958,""),"")</f>
        <v/>
      </c>
      <c r="B4958" s="36">
        <f t="shared" si="93"/>
        <v>11</v>
      </c>
      <c r="C4958" s="183">
        <f t="shared" si="94"/>
        <v>42335</v>
      </c>
      <c r="D4958" s="190" t="s">
        <v>2015</v>
      </c>
      <c r="E4958" s="190">
        <v>42335</v>
      </c>
      <c r="F4958" s="191" t="s">
        <v>409</v>
      </c>
      <c r="G4958" s="482" t="s">
        <v>1208</v>
      </c>
      <c r="H4958" s="192" t="s">
        <v>2016</v>
      </c>
      <c r="I4958" s="255">
        <v>1178</v>
      </c>
      <c r="J4958" s="255">
        <v>5518.0788534627345</v>
      </c>
      <c r="K4958" s="593">
        <f t="shared" si="95"/>
        <v>6500297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69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799"/>
    </row>
    <row r="4959" spans="1:27" s="210" customFormat="1" ht="15.75" customHeight="1">
      <c r="A4959" s="203" t="str">
        <f>IF(B4959&lt;&gt;"",IF(AND(B4959&gt;=_TM1,B4959&lt;=_TM2,OR(TH!L4959="1111",TH!M4959="1111")),TH!D4959,""),"")</f>
        <v/>
      </c>
      <c r="B4959" s="36">
        <f t="shared" si="93"/>
        <v>11</v>
      </c>
      <c r="C4959" s="183">
        <f t="shared" si="94"/>
        <v>42335</v>
      </c>
      <c r="D4959" s="190" t="s">
        <v>2015</v>
      </c>
      <c r="E4959" s="190">
        <v>42335</v>
      </c>
      <c r="F4959" s="191" t="s">
        <v>1766</v>
      </c>
      <c r="G4959" s="482" t="s">
        <v>1209</v>
      </c>
      <c r="H4959" s="192" t="s">
        <v>2016</v>
      </c>
      <c r="I4959" s="255">
        <v>1500</v>
      </c>
      <c r="J4959" s="255">
        <v>9321.0791443627277</v>
      </c>
      <c r="K4959" s="593">
        <f t="shared" si="95"/>
        <v>13981619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69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799"/>
    </row>
    <row r="4960" spans="1:27" s="210" customFormat="1" ht="15.75" customHeight="1">
      <c r="A4960" s="203" t="str">
        <f>IF(B4960&lt;&gt;"",IF(AND(B4960&gt;=_TM1,B4960&lt;=_TM2,OR(TH!L4960="1111",TH!M4960="1111")),TH!D4960,""),"")</f>
        <v/>
      </c>
      <c r="B4960" s="36">
        <f t="shared" si="93"/>
        <v>11</v>
      </c>
      <c r="C4960" s="183">
        <f t="shared" si="94"/>
        <v>42335</v>
      </c>
      <c r="D4960" s="190" t="s">
        <v>2015</v>
      </c>
      <c r="E4960" s="190">
        <v>42335</v>
      </c>
      <c r="F4960" s="191" t="s">
        <v>728</v>
      </c>
      <c r="G4960" s="482" t="s">
        <v>1209</v>
      </c>
      <c r="H4960" s="192" t="s">
        <v>2016</v>
      </c>
      <c r="I4960" s="255">
        <v>200</v>
      </c>
      <c r="J4960" s="255">
        <v>12676.667636333308</v>
      </c>
      <c r="K4960" s="593">
        <f t="shared" si="95"/>
        <v>2535334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69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799"/>
    </row>
    <row r="4961" spans="1:27" s="210" customFormat="1" ht="15.75" customHeight="1">
      <c r="A4961" s="203" t="str">
        <f>IF(B4961&lt;&gt;"",IF(AND(B4961&gt;=_TM1,B4961&lt;=_TM2,OR(TH!L4961="1111",TH!M4961="1111")),TH!D4961,""),"")</f>
        <v/>
      </c>
      <c r="B4961" s="36">
        <f t="shared" si="93"/>
        <v>11</v>
      </c>
      <c r="C4961" s="183">
        <f t="shared" si="94"/>
        <v>42335</v>
      </c>
      <c r="D4961" s="190" t="s">
        <v>2015</v>
      </c>
      <c r="E4961" s="190">
        <v>42335</v>
      </c>
      <c r="F4961" s="191" t="s">
        <v>1824</v>
      </c>
      <c r="G4961" s="482" t="s">
        <v>1209</v>
      </c>
      <c r="H4961" s="192" t="s">
        <v>2016</v>
      </c>
      <c r="I4961" s="255">
        <v>260</v>
      </c>
      <c r="J4961" s="255">
        <v>9470.2164106725304</v>
      </c>
      <c r="K4961" s="593">
        <f t="shared" si="95"/>
        <v>2462256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69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799"/>
    </row>
    <row r="4962" spans="1:27" s="210" customFormat="1" ht="15.75" customHeight="1">
      <c r="A4962" s="203" t="str">
        <f>IF(B4962&lt;&gt;"",IF(AND(B4962&gt;=_TM1,B4962&lt;=_TM2,OR(TH!L4962="1111",TH!M4962="1111")),TH!D4962,""),"")</f>
        <v/>
      </c>
      <c r="B4962" s="36">
        <f t="shared" si="93"/>
        <v>11</v>
      </c>
      <c r="C4962" s="183">
        <f t="shared" si="94"/>
        <v>42338</v>
      </c>
      <c r="D4962" s="190" t="s">
        <v>2015</v>
      </c>
      <c r="E4962" s="190">
        <v>42338</v>
      </c>
      <c r="F4962" s="191" t="s">
        <v>494</v>
      </c>
      <c r="G4962" s="482" t="s">
        <v>1210</v>
      </c>
      <c r="H4962" s="192" t="s">
        <v>2016</v>
      </c>
      <c r="I4962" s="255">
        <v>1066</v>
      </c>
      <c r="J4962" s="255">
        <v>5070.6670545333236</v>
      </c>
      <c r="K4962" s="593">
        <f t="shared" si="95"/>
        <v>5405331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69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799"/>
    </row>
    <row r="4963" spans="1:27" s="210" customFormat="1" ht="15.75" customHeight="1">
      <c r="A4963" s="203" t="str">
        <f>IF(B4963&lt;&gt;"",IF(AND(B4963&gt;=_TM1,B4963&lt;=_TM2,OR(TH!L4963="1111",TH!M4963="1111")),TH!D4963,""),"")</f>
        <v/>
      </c>
      <c r="B4963" s="36">
        <f t="shared" si="93"/>
        <v>11</v>
      </c>
      <c r="C4963" s="183">
        <f t="shared" si="94"/>
        <v>42338</v>
      </c>
      <c r="D4963" s="190" t="s">
        <v>2015</v>
      </c>
      <c r="E4963" s="190">
        <v>42338</v>
      </c>
      <c r="F4963" s="191" t="s">
        <v>746</v>
      </c>
      <c r="G4963" s="482" t="s">
        <v>1211</v>
      </c>
      <c r="H4963" s="192" t="s">
        <v>2016</v>
      </c>
      <c r="I4963" s="255">
        <v>1000</v>
      </c>
      <c r="J4963" s="255">
        <v>17225.354258782321</v>
      </c>
      <c r="K4963" s="593">
        <f t="shared" si="95"/>
        <v>17225354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69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799"/>
    </row>
    <row r="4964" spans="1:27" s="210" customFormat="1" ht="15.75" customHeight="1">
      <c r="A4964" s="203" t="str">
        <f>IF(B4964&lt;&gt;"",IF(AND(B4964&gt;=_TM1,B4964&lt;=_TM2,OR(TH!L4964="1111",TH!M4964="1111")),TH!D4964,""),"")</f>
        <v/>
      </c>
      <c r="B4964" s="36">
        <f t="shared" si="93"/>
        <v>11</v>
      </c>
      <c r="C4964" s="183">
        <f t="shared" si="94"/>
        <v>42338</v>
      </c>
      <c r="D4964" s="190" t="s">
        <v>2015</v>
      </c>
      <c r="E4964" s="190">
        <v>42338</v>
      </c>
      <c r="F4964" s="191" t="s">
        <v>748</v>
      </c>
      <c r="G4964" s="482" t="s">
        <v>1211</v>
      </c>
      <c r="H4964" s="192" t="s">
        <v>2016</v>
      </c>
      <c r="I4964" s="255">
        <v>250</v>
      </c>
      <c r="J4964" s="255">
        <v>13944.334399966641</v>
      </c>
      <c r="K4964" s="593">
        <f t="shared" si="95"/>
        <v>3486084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69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799"/>
    </row>
    <row r="4965" spans="1:27" s="210" customFormat="1" ht="15.75" customHeight="1">
      <c r="A4965" s="203" t="str">
        <f>IF(B4965&lt;&gt;"",IF(AND(B4965&gt;=_TM1,B4965&lt;=_TM2,OR(TH!L4965="1111",TH!M4965="1111")),TH!D4965,""),"")</f>
        <v/>
      </c>
      <c r="B4965" s="36">
        <f t="shared" si="93"/>
        <v>11</v>
      </c>
      <c r="C4965" s="183">
        <f t="shared" si="94"/>
        <v>42338</v>
      </c>
      <c r="D4965" s="190" t="s">
        <v>2015</v>
      </c>
      <c r="E4965" s="190">
        <v>42338</v>
      </c>
      <c r="F4965" s="191" t="s">
        <v>1212</v>
      </c>
      <c r="G4965" s="482" t="s">
        <v>1213</v>
      </c>
      <c r="H4965" s="192" t="s">
        <v>2016</v>
      </c>
      <c r="I4965" s="255">
        <v>63</v>
      </c>
      <c r="J4965" s="255">
        <v>60027.749689695971</v>
      </c>
      <c r="K4965" s="593">
        <f t="shared" si="95"/>
        <v>3781748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69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799"/>
    </row>
    <row r="4966" spans="1:27" s="210" customFormat="1" ht="15.75" customHeight="1">
      <c r="A4966" s="203" t="str">
        <f>IF(B4966&lt;&gt;"",IF(AND(B4966&gt;=_TM1,B4966&lt;=_TM2,OR(TH!L4966="1111",TH!M4966="1111")),TH!D4966,""),"")</f>
        <v/>
      </c>
      <c r="B4966" s="36">
        <f t="shared" si="93"/>
        <v>11</v>
      </c>
      <c r="C4966" s="183">
        <f t="shared" si="94"/>
        <v>42338</v>
      </c>
      <c r="D4966" s="190" t="s">
        <v>2015</v>
      </c>
      <c r="E4966" s="190">
        <v>42338</v>
      </c>
      <c r="F4966" s="191" t="s">
        <v>841</v>
      </c>
      <c r="G4966" s="482" t="s">
        <v>1213</v>
      </c>
      <c r="H4966" s="192" t="s">
        <v>2016</v>
      </c>
      <c r="I4966" s="255">
        <v>41</v>
      </c>
      <c r="J4966" s="255">
        <v>46157.983922884225</v>
      </c>
      <c r="K4966" s="593">
        <f t="shared" si="95"/>
        <v>1892477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69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799"/>
    </row>
    <row r="4967" spans="1:27" s="210" customFormat="1" ht="15.75" customHeight="1">
      <c r="A4967" s="203" t="str">
        <f>IF(B4967&lt;&gt;"",IF(AND(B4967&gt;=_TM1,B4967&lt;=_TM2,OR(TH!L4967="1111",TH!M4967="1111")),TH!D4967,""),"")</f>
        <v/>
      </c>
      <c r="B4967" s="36">
        <f t="shared" si="93"/>
        <v>11</v>
      </c>
      <c r="C4967" s="183">
        <f t="shared" si="94"/>
        <v>42338</v>
      </c>
      <c r="D4967" s="190" t="s">
        <v>2015</v>
      </c>
      <c r="E4967" s="190">
        <v>42338</v>
      </c>
      <c r="F4967" s="191" t="s">
        <v>921</v>
      </c>
      <c r="G4967" s="482" t="s">
        <v>1213</v>
      </c>
      <c r="H4967" s="192" t="s">
        <v>2016</v>
      </c>
      <c r="I4967" s="255">
        <v>50</v>
      </c>
      <c r="J4967" s="255">
        <v>14690.020731515659</v>
      </c>
      <c r="K4967" s="593">
        <f t="shared" si="95"/>
        <v>734501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69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799"/>
    </row>
    <row r="4968" spans="1:27" s="210" customFormat="1" ht="15.75" customHeight="1">
      <c r="A4968" s="203" t="str">
        <f>IF(B4968&lt;&gt;"",IF(AND(B4968&gt;=_TM1,B4968&lt;=_TM2,OR(TH!L4968="1111",TH!M4968="1111")),TH!D4968,""),"")</f>
        <v/>
      </c>
      <c r="B4968" s="36">
        <f t="shared" si="93"/>
        <v>11</v>
      </c>
      <c r="C4968" s="183">
        <f t="shared" si="94"/>
        <v>42338</v>
      </c>
      <c r="D4968" s="190" t="s">
        <v>2015</v>
      </c>
      <c r="E4968" s="190">
        <v>42338</v>
      </c>
      <c r="F4968" s="191" t="s">
        <v>927</v>
      </c>
      <c r="G4968" s="482" t="s">
        <v>1213</v>
      </c>
      <c r="H4968" s="192" t="s">
        <v>2016</v>
      </c>
      <c r="I4968" s="255">
        <v>21</v>
      </c>
      <c r="J4968" s="255">
        <v>63830.74998059596</v>
      </c>
      <c r="K4968" s="593">
        <f t="shared" si="95"/>
        <v>1340446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69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799"/>
    </row>
    <row r="4969" spans="1:27" s="210" customFormat="1" ht="15.75" customHeight="1">
      <c r="A4969" s="203" t="str">
        <f>IF(B4969&lt;&gt;"",IF(AND(B4969&gt;=_TM1,B4969&lt;=_TM2,OR(TH!L4969="1111",TH!M4969="1111")),TH!D4969,""),"")</f>
        <v/>
      </c>
      <c r="B4969" s="36">
        <f t="shared" si="93"/>
        <v>11</v>
      </c>
      <c r="C4969" s="183">
        <f t="shared" si="94"/>
        <v>42338</v>
      </c>
      <c r="D4969" s="190" t="s">
        <v>2015</v>
      </c>
      <c r="E4969" s="190">
        <v>42338</v>
      </c>
      <c r="F4969" s="191" t="s">
        <v>624</v>
      </c>
      <c r="G4969" s="482" t="s">
        <v>1213</v>
      </c>
      <c r="H4969" s="192" t="s">
        <v>2016</v>
      </c>
      <c r="I4969" s="255">
        <v>50</v>
      </c>
      <c r="J4969" s="255">
        <v>42951.532697223447</v>
      </c>
      <c r="K4969" s="593">
        <f t="shared" si="95"/>
        <v>2147577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69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799"/>
    </row>
    <row r="4970" spans="1:27" s="210" customFormat="1" ht="15.75" customHeight="1">
      <c r="A4970" s="203" t="str">
        <f>IF(B4970&lt;&gt;"",IF(AND(B4970&gt;=_TM1,B4970&lt;=_TM2,OR(TH!L4970="1111",TH!M4970="1111")),TH!D4970,""),"")</f>
        <v/>
      </c>
      <c r="B4970" s="36">
        <f t="shared" si="93"/>
        <v>12</v>
      </c>
      <c r="C4970" s="183">
        <f t="shared" si="94"/>
        <v>42339</v>
      </c>
      <c r="D4970" s="190" t="s">
        <v>2015</v>
      </c>
      <c r="E4970" s="190">
        <v>42339</v>
      </c>
      <c r="F4970" s="191" t="s">
        <v>439</v>
      </c>
      <c r="G4970" s="482" t="s">
        <v>1214</v>
      </c>
      <c r="H4970" s="192" t="s">
        <v>2016</v>
      </c>
      <c r="I4970" s="255">
        <v>500</v>
      </c>
      <c r="J4970" s="255">
        <v>4772.3925219137163</v>
      </c>
      <c r="K4970" s="593">
        <f t="shared" si="95"/>
        <v>2386196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69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799"/>
    </row>
    <row r="4971" spans="1:27" s="210" customFormat="1" ht="15.75" customHeight="1">
      <c r="A4971" s="203" t="str">
        <f>IF(B4971&lt;&gt;"",IF(AND(B4971&gt;=_TM1,B4971&lt;=_TM2,OR(TH!L4971="1111",TH!M4971="1111")),TH!D4971,""),"")</f>
        <v/>
      </c>
      <c r="B4971" s="36">
        <f t="shared" si="93"/>
        <v>12</v>
      </c>
      <c r="C4971" s="183">
        <f t="shared" si="94"/>
        <v>42339</v>
      </c>
      <c r="D4971" s="190" t="s">
        <v>2015</v>
      </c>
      <c r="E4971" s="190">
        <v>42339</v>
      </c>
      <c r="F4971" s="191" t="s">
        <v>1215</v>
      </c>
      <c r="G4971" s="482" t="s">
        <v>1214</v>
      </c>
      <c r="H4971" s="192" t="s">
        <v>2016</v>
      </c>
      <c r="I4971" s="255">
        <v>216</v>
      </c>
      <c r="J4971" s="255">
        <v>3057.3139593509745</v>
      </c>
      <c r="K4971" s="593">
        <f t="shared" si="95"/>
        <v>660380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69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799"/>
    </row>
    <row r="4972" spans="1:27" s="210" customFormat="1" ht="15.75" customHeight="1">
      <c r="A4972" s="203" t="str">
        <f>IF(B4972&lt;&gt;"",IF(AND(B4972&gt;=_TM1,B4972&lt;=_TM2,OR(TH!L4972="1111",TH!M4972="1111")),TH!D4972,""),"")</f>
        <v/>
      </c>
      <c r="B4972" s="36">
        <f t="shared" si="93"/>
        <v>12</v>
      </c>
      <c r="C4972" s="183">
        <f t="shared" si="94"/>
        <v>42339</v>
      </c>
      <c r="D4972" s="190" t="s">
        <v>2015</v>
      </c>
      <c r="E4972" s="190">
        <v>42339</v>
      </c>
      <c r="F4972" s="191" t="s">
        <v>1949</v>
      </c>
      <c r="G4972" s="482" t="s">
        <v>1216</v>
      </c>
      <c r="H4972" s="192" t="s">
        <v>2016</v>
      </c>
      <c r="I4972" s="255">
        <v>30</v>
      </c>
      <c r="J4972" s="255">
        <v>11334.432239545076</v>
      </c>
      <c r="K4972" s="593">
        <f t="shared" si="95"/>
        <v>340033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69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799"/>
    </row>
    <row r="4973" spans="1:27" s="210" customFormat="1" ht="15.75" customHeight="1">
      <c r="A4973" s="203" t="str">
        <f>IF(B4973&lt;&gt;"",IF(AND(B4973&gt;=_TM1,B4973&lt;=_TM2,OR(TH!L4973="1111",TH!M4973="1111")),TH!D4973,""),"")</f>
        <v/>
      </c>
      <c r="B4973" s="36">
        <f t="shared" si="93"/>
        <v>12</v>
      </c>
      <c r="C4973" s="183">
        <f t="shared" si="94"/>
        <v>42339</v>
      </c>
      <c r="D4973" s="190" t="s">
        <v>2015</v>
      </c>
      <c r="E4973" s="190">
        <v>42339</v>
      </c>
      <c r="F4973" s="191" t="s">
        <v>1950</v>
      </c>
      <c r="G4973" s="482" t="s">
        <v>1216</v>
      </c>
      <c r="H4973" s="192" t="s">
        <v>2016</v>
      </c>
      <c r="I4973" s="255">
        <v>30</v>
      </c>
      <c r="J4973" s="255">
        <v>8127.9810138842986</v>
      </c>
      <c r="K4973" s="593">
        <f t="shared" si="95"/>
        <v>243839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69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799"/>
    </row>
    <row r="4974" spans="1:27" s="210" customFormat="1" ht="15.75" customHeight="1">
      <c r="A4974" s="203" t="str">
        <f>IF(B4974&lt;&gt;"",IF(AND(B4974&gt;=_TM1,B4974&lt;=_TM2,OR(TH!L4974="1111",TH!M4974="1111")),TH!D4974,""),"")</f>
        <v/>
      </c>
      <c r="B4974" s="36">
        <f t="shared" si="93"/>
        <v>12</v>
      </c>
      <c r="C4974" s="183">
        <f t="shared" si="94"/>
        <v>42339</v>
      </c>
      <c r="D4974" s="190" t="s">
        <v>2015</v>
      </c>
      <c r="E4974" s="190">
        <v>42339</v>
      </c>
      <c r="F4974" s="191" t="s">
        <v>1951</v>
      </c>
      <c r="G4974" s="482" t="s">
        <v>1216</v>
      </c>
      <c r="H4974" s="192" t="s">
        <v>2016</v>
      </c>
      <c r="I4974" s="255">
        <v>60</v>
      </c>
      <c r="J4974" s="255">
        <v>9022.8046117431204</v>
      </c>
      <c r="K4974" s="593">
        <f t="shared" si="95"/>
        <v>541368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69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799"/>
    </row>
    <row r="4975" spans="1:27" s="210" customFormat="1" ht="15.75" customHeight="1">
      <c r="A4975" s="203" t="str">
        <f>IF(B4975&lt;&gt;"",IF(AND(B4975&gt;=_TM1,B4975&lt;=_TM2,OR(TH!L4975="1111",TH!M4975="1111")),TH!D4975,""),"")</f>
        <v/>
      </c>
      <c r="B4975" s="36">
        <f t="shared" si="93"/>
        <v>12</v>
      </c>
      <c r="C4975" s="183">
        <f t="shared" si="94"/>
        <v>42339</v>
      </c>
      <c r="D4975" s="190" t="s">
        <v>2015</v>
      </c>
      <c r="E4975" s="190">
        <v>42339</v>
      </c>
      <c r="F4975" s="191" t="s">
        <v>1952</v>
      </c>
      <c r="G4975" s="482" t="s">
        <v>1216</v>
      </c>
      <c r="H4975" s="192" t="s">
        <v>2016</v>
      </c>
      <c r="I4975" s="255">
        <v>20</v>
      </c>
      <c r="J4975" s="255">
        <v>9917.6282096019422</v>
      </c>
      <c r="K4975" s="593">
        <f t="shared" si="95"/>
        <v>198353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69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799"/>
    </row>
    <row r="4976" spans="1:27" s="210" customFormat="1" ht="15.75" customHeight="1">
      <c r="A4976" s="203" t="str">
        <f>IF(B4976&lt;&gt;"",IF(AND(B4976&gt;=_TM1,B4976&lt;=_TM2,OR(TH!L4976="1111",TH!M4976="1111")),TH!D4976,""),"")</f>
        <v/>
      </c>
      <c r="B4976" s="36">
        <f t="shared" si="93"/>
        <v>12</v>
      </c>
      <c r="C4976" s="183">
        <f t="shared" si="94"/>
        <v>42339</v>
      </c>
      <c r="D4976" s="190" t="s">
        <v>2015</v>
      </c>
      <c r="E4976" s="190">
        <v>42339</v>
      </c>
      <c r="F4976" s="191" t="s">
        <v>2011</v>
      </c>
      <c r="G4976" s="482" t="s">
        <v>1216</v>
      </c>
      <c r="H4976" s="192" t="s">
        <v>2016</v>
      </c>
      <c r="I4976" s="255">
        <v>10</v>
      </c>
      <c r="J4976" s="255">
        <v>15584.844329374479</v>
      </c>
      <c r="K4976" s="593">
        <f t="shared" si="95"/>
        <v>155848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69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799"/>
    </row>
    <row r="4977" spans="1:27" s="210" customFormat="1" ht="15.75" customHeight="1">
      <c r="A4977" s="203" t="str">
        <f>IF(B4977&lt;&gt;"",IF(AND(B4977&gt;=_TM1,B4977&lt;=_TM2,OR(TH!L4977="1111",TH!M4977="1111")),TH!D4977,""),"")</f>
        <v/>
      </c>
      <c r="B4977" s="36">
        <f t="shared" ref="B4977:B4986" si="96">IF(C4977&lt;&gt;"",MONTH(C4977),"")</f>
        <v>12</v>
      </c>
      <c r="C4977" s="183">
        <f t="shared" ref="C4977:C4986" si="97">E4977</f>
        <v>42340</v>
      </c>
      <c r="D4977" s="190" t="s">
        <v>2015</v>
      </c>
      <c r="E4977" s="190">
        <v>42340</v>
      </c>
      <c r="F4977" s="191" t="s">
        <v>451</v>
      </c>
      <c r="G4977" s="482" t="s">
        <v>1217</v>
      </c>
      <c r="H4977" s="192" t="s">
        <v>2016</v>
      </c>
      <c r="I4977" s="255">
        <v>306</v>
      </c>
      <c r="J4977" s="255">
        <v>9992.1968427568445</v>
      </c>
      <c r="K4977" s="593">
        <f t="shared" ref="K4977:K4986" si="98">ROUND(I4977*J4977,0)</f>
        <v>3057612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69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799"/>
    </row>
    <row r="4978" spans="1:27" s="210" customFormat="1" ht="15.75" customHeight="1">
      <c r="A4978" s="203" t="str">
        <f>IF(B4978&lt;&gt;"",IF(AND(B4978&gt;=_TM1,B4978&lt;=_TM2,OR(TH!L4978="1111",TH!M4978="1111")),TH!D4978,""),"")</f>
        <v/>
      </c>
      <c r="B4978" s="36">
        <f t="shared" si="96"/>
        <v>12</v>
      </c>
      <c r="C4978" s="183">
        <f t="shared" si="97"/>
        <v>42340</v>
      </c>
      <c r="D4978" s="190" t="s">
        <v>2015</v>
      </c>
      <c r="E4978" s="190">
        <v>42340</v>
      </c>
      <c r="F4978" s="191" t="s">
        <v>1155</v>
      </c>
      <c r="G4978" s="482" t="s">
        <v>1218</v>
      </c>
      <c r="H4978" s="192" t="s">
        <v>2016</v>
      </c>
      <c r="I4978" s="255">
        <v>500</v>
      </c>
      <c r="J4978" s="255">
        <v>5890.9220192372441</v>
      </c>
      <c r="K4978" s="593">
        <f t="shared" si="98"/>
        <v>2945461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69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799"/>
    </row>
    <row r="4979" spans="1:27" s="210" customFormat="1" ht="15.75" customHeight="1">
      <c r="A4979" s="203" t="str">
        <f>IF(B4979&lt;&gt;"",IF(AND(B4979&gt;=_TM1,B4979&lt;=_TM2,OR(TH!L4979="1111",TH!M4979="1111")),TH!D4979,""),"")</f>
        <v/>
      </c>
      <c r="B4979" s="36">
        <f t="shared" si="96"/>
        <v>12</v>
      </c>
      <c r="C4979" s="183">
        <f t="shared" si="97"/>
        <v>42340</v>
      </c>
      <c r="D4979" s="190" t="s">
        <v>2015</v>
      </c>
      <c r="E4979" s="190">
        <v>42340</v>
      </c>
      <c r="F4979" s="191" t="s">
        <v>999</v>
      </c>
      <c r="G4979" s="482" t="s">
        <v>1219</v>
      </c>
      <c r="H4979" s="192" t="s">
        <v>2016</v>
      </c>
      <c r="I4979" s="255">
        <v>306</v>
      </c>
      <c r="J4979" s="255">
        <v>5592.6474866176359</v>
      </c>
      <c r="K4979" s="593">
        <f t="shared" si="98"/>
        <v>1711350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69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799"/>
    </row>
    <row r="4980" spans="1:27" s="210" customFormat="1" ht="15.75" customHeight="1">
      <c r="A4980" s="203" t="str">
        <f>IF(B4980&lt;&gt;"",IF(AND(B4980&gt;=_TM1,B4980&lt;=_TM2,OR(TH!L4980="1111",TH!M4980="1111")),TH!D4980,""),"")</f>
        <v/>
      </c>
      <c r="B4980" s="36">
        <f t="shared" si="96"/>
        <v>12</v>
      </c>
      <c r="C4980" s="183">
        <f t="shared" si="97"/>
        <v>42340</v>
      </c>
      <c r="D4980" s="190" t="s">
        <v>2015</v>
      </c>
      <c r="E4980" s="190">
        <v>42340</v>
      </c>
      <c r="F4980" s="191" t="s">
        <v>413</v>
      </c>
      <c r="G4980" s="482" t="s">
        <v>1219</v>
      </c>
      <c r="H4980" s="192" t="s">
        <v>2016</v>
      </c>
      <c r="I4980" s="255">
        <v>522</v>
      </c>
      <c r="J4980" s="255">
        <v>7084.0201497156722</v>
      </c>
      <c r="K4980" s="593">
        <f t="shared" si="98"/>
        <v>3697859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69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799"/>
    </row>
    <row r="4981" spans="1:27" s="210" customFormat="1" ht="15.75" customHeight="1">
      <c r="A4981" s="203" t="str">
        <f>IF(B4981&lt;&gt;"",IF(AND(B4981&gt;=_TM1,B4981&lt;=_TM2,OR(TH!L4981="1111",TH!M4981="1111")),TH!D4981,""),"")</f>
        <v/>
      </c>
      <c r="B4981" s="36">
        <f t="shared" si="96"/>
        <v>12</v>
      </c>
      <c r="C4981" s="183">
        <f t="shared" si="97"/>
        <v>42340</v>
      </c>
      <c r="D4981" s="190" t="s">
        <v>2015</v>
      </c>
      <c r="E4981" s="190">
        <v>42340</v>
      </c>
      <c r="F4981" s="191" t="s">
        <v>1950</v>
      </c>
      <c r="G4981" s="482" t="s">
        <v>1220</v>
      </c>
      <c r="H4981" s="192" t="s">
        <v>2016</v>
      </c>
      <c r="I4981" s="255">
        <v>100</v>
      </c>
      <c r="J4981" s="255">
        <v>8127.9810138842986</v>
      </c>
      <c r="K4981" s="593">
        <f t="shared" si="98"/>
        <v>812798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69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799"/>
    </row>
    <row r="4982" spans="1:27" s="210" customFormat="1" ht="15.75" customHeight="1">
      <c r="A4982" s="203" t="str">
        <f>IF(B4982&lt;&gt;"",IF(AND(B4982&gt;=_TM1,B4982&lt;=_TM2,OR(TH!L4982="1111",TH!M4982="1111")),TH!D4982,""),"")</f>
        <v/>
      </c>
      <c r="B4982" s="36">
        <f t="shared" si="96"/>
        <v>12</v>
      </c>
      <c r="C4982" s="183">
        <f t="shared" si="97"/>
        <v>42340</v>
      </c>
      <c r="D4982" s="190" t="s">
        <v>2015</v>
      </c>
      <c r="E4982" s="190">
        <v>42340</v>
      </c>
      <c r="F4982" s="191" t="s">
        <v>1952</v>
      </c>
      <c r="G4982" s="482" t="s">
        <v>1220</v>
      </c>
      <c r="H4982" s="192" t="s">
        <v>2016</v>
      </c>
      <c r="I4982" s="255">
        <v>20</v>
      </c>
      <c r="J4982" s="255">
        <v>9917.6282096019422</v>
      </c>
      <c r="K4982" s="593">
        <f t="shared" si="98"/>
        <v>198353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69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799"/>
    </row>
    <row r="4983" spans="1:27" s="210" customFormat="1" ht="15.75" customHeight="1">
      <c r="A4983" s="203" t="str">
        <f>IF(B4983&lt;&gt;"",IF(AND(B4983&gt;=_TM1,B4983&lt;=_TM2,OR(TH!L4983="1111",TH!M4983="1111")),TH!D4983,""),"")</f>
        <v/>
      </c>
      <c r="B4983" s="36">
        <f t="shared" si="96"/>
        <v>12</v>
      </c>
      <c r="C4983" s="183">
        <f t="shared" si="97"/>
        <v>42340</v>
      </c>
      <c r="D4983" s="190" t="s">
        <v>2015</v>
      </c>
      <c r="E4983" s="190">
        <v>42340</v>
      </c>
      <c r="F4983" s="191" t="s">
        <v>2011</v>
      </c>
      <c r="G4983" s="482" t="s">
        <v>1220</v>
      </c>
      <c r="H4983" s="192" t="s">
        <v>2016</v>
      </c>
      <c r="I4983" s="255">
        <v>20</v>
      </c>
      <c r="J4983" s="255">
        <v>15584.844329374479</v>
      </c>
      <c r="K4983" s="593">
        <f t="shared" si="98"/>
        <v>311697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69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799"/>
    </row>
    <row r="4984" spans="1:27" s="210" customFormat="1" ht="15.75" customHeight="1">
      <c r="A4984" s="203" t="str">
        <f>IF(B4984&lt;&gt;"",IF(AND(B4984&gt;=_TM1,B4984&lt;=_TM2,OR(TH!L4984="1111",TH!M4984="1111")),TH!D4984,""),"")</f>
        <v/>
      </c>
      <c r="B4984" s="36">
        <f t="shared" si="96"/>
        <v>12</v>
      </c>
      <c r="C4984" s="183">
        <f t="shared" si="97"/>
        <v>42341</v>
      </c>
      <c r="D4984" s="190" t="s">
        <v>2015</v>
      </c>
      <c r="E4984" s="190">
        <v>42341</v>
      </c>
      <c r="F4984" s="191" t="s">
        <v>424</v>
      </c>
      <c r="G4984" s="482" t="s">
        <v>1221</v>
      </c>
      <c r="H4984" s="192" t="s">
        <v>2016</v>
      </c>
      <c r="I4984" s="255">
        <v>2820</v>
      </c>
      <c r="J4984" s="255">
        <v>7829.7064812646913</v>
      </c>
      <c r="K4984" s="593">
        <f t="shared" si="98"/>
        <v>22079772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69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799"/>
    </row>
    <row r="4985" spans="1:27" s="210" customFormat="1" ht="15.75" customHeight="1">
      <c r="A4985" s="203" t="str">
        <f>IF(B4985&lt;&gt;"",IF(AND(B4985&gt;=_TM1,B4985&lt;=_TM2,OR(TH!L4985="1111",TH!M4985="1111")),TH!D4985,""),"")</f>
        <v/>
      </c>
      <c r="B4985" s="36">
        <f t="shared" si="96"/>
        <v>12</v>
      </c>
      <c r="C4985" s="183">
        <f t="shared" si="97"/>
        <v>42341</v>
      </c>
      <c r="D4985" s="190" t="s">
        <v>2015</v>
      </c>
      <c r="E4985" s="190">
        <v>42341</v>
      </c>
      <c r="F4985" s="191" t="s">
        <v>602</v>
      </c>
      <c r="G4985" s="482" t="s">
        <v>1221</v>
      </c>
      <c r="H4985" s="192" t="s">
        <v>2016</v>
      </c>
      <c r="I4985" s="255">
        <v>406</v>
      </c>
      <c r="J4985" s="255">
        <v>9395.6477775176299</v>
      </c>
      <c r="K4985" s="593">
        <f t="shared" si="98"/>
        <v>3814633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69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799"/>
    </row>
    <row r="4986" spans="1:27" s="210" customFormat="1" ht="15.75" customHeight="1">
      <c r="A4986" s="203" t="str">
        <f>IF(B4986&lt;&gt;"",IF(AND(B4986&gt;=_TM1,B4986&lt;=_TM2,OR(TH!L4986="1111",TH!M4986="1111")),TH!D4986,""),"")</f>
        <v/>
      </c>
      <c r="B4986" s="36">
        <f t="shared" si="96"/>
        <v>12</v>
      </c>
      <c r="C4986" s="183">
        <f t="shared" si="97"/>
        <v>42341</v>
      </c>
      <c r="D4986" s="190" t="s">
        <v>2015</v>
      </c>
      <c r="E4986" s="190">
        <v>42341</v>
      </c>
      <c r="F4986" s="191" t="s">
        <v>1948</v>
      </c>
      <c r="G4986" s="482" t="s">
        <v>1222</v>
      </c>
      <c r="H4986" s="192" t="s">
        <v>2016</v>
      </c>
      <c r="I4986" s="255">
        <v>3000</v>
      </c>
      <c r="J4986" s="255">
        <v>9246.5105112078254</v>
      </c>
      <c r="K4986" s="593">
        <f t="shared" si="98"/>
        <v>27739532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69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799"/>
    </row>
    <row r="4987" spans="1:27" s="210" customFormat="1" ht="15.75" customHeight="1">
      <c r="A4987" s="203" t="str">
        <f>IF(B4987&lt;&gt;"",IF(AND(B4987&gt;=_TM1,B4987&lt;=_TM2,OR(TH!L4987="1111",TH!M4987="1111")),TH!D4987,""),"")</f>
        <v/>
      </c>
      <c r="B4987" s="36">
        <f t="shared" si="72"/>
        <v>12</v>
      </c>
      <c r="C4987" s="183">
        <f t="shared" si="73"/>
        <v>42341</v>
      </c>
      <c r="D4987" s="190" t="s">
        <v>2015</v>
      </c>
      <c r="E4987" s="190">
        <v>42341</v>
      </c>
      <c r="F4987" s="191" t="s">
        <v>1948</v>
      </c>
      <c r="G4987" s="482" t="s">
        <v>1223</v>
      </c>
      <c r="H4987" s="192" t="s">
        <v>2016</v>
      </c>
      <c r="I4987" s="255">
        <v>400</v>
      </c>
      <c r="J4987" s="255">
        <v>9246.5105112078254</v>
      </c>
      <c r="K4987" s="593">
        <f t="shared" si="74"/>
        <v>3698604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69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799"/>
    </row>
    <row r="4988" spans="1:27" s="210" customFormat="1" ht="15.75" customHeight="1">
      <c r="A4988" s="203" t="str">
        <f>IF(B4988&lt;&gt;"",IF(AND(B4988&gt;=_TM1,B4988&lt;=_TM2,OR(TH!L4988="1111",TH!M4988="1111")),TH!D4988,""),"")</f>
        <v/>
      </c>
      <c r="B4988" s="36">
        <f t="shared" si="72"/>
        <v>12</v>
      </c>
      <c r="C4988" s="183">
        <f t="shared" si="73"/>
        <v>42341</v>
      </c>
      <c r="D4988" s="190" t="s">
        <v>2015</v>
      </c>
      <c r="E4988" s="190">
        <v>42341</v>
      </c>
      <c r="F4988" s="191" t="s">
        <v>1224</v>
      </c>
      <c r="G4988" s="482" t="s">
        <v>1225</v>
      </c>
      <c r="H4988" s="192" t="s">
        <v>2016</v>
      </c>
      <c r="I4988" s="255">
        <v>87</v>
      </c>
      <c r="J4988" s="255">
        <v>20655.511383907804</v>
      </c>
      <c r="K4988" s="593">
        <f t="shared" si="74"/>
        <v>1797029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69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799"/>
    </row>
    <row r="4989" spans="1:27" s="210" customFormat="1" ht="15.75" customHeight="1">
      <c r="A4989" s="203" t="str">
        <f>IF(B4989&lt;&gt;"",IF(AND(B4989&gt;=_TM1,B4989&lt;=_TM2,OR(TH!L4989="1111",TH!M4989="1111")),TH!D4989,""),"")</f>
        <v/>
      </c>
      <c r="B4989" s="36">
        <f t="shared" si="72"/>
        <v>12</v>
      </c>
      <c r="C4989" s="183">
        <f t="shared" si="73"/>
        <v>42341</v>
      </c>
      <c r="D4989" s="190" t="s">
        <v>2015</v>
      </c>
      <c r="E4989" s="190">
        <v>42341</v>
      </c>
      <c r="F4989" s="191" t="s">
        <v>1227</v>
      </c>
      <c r="G4989" s="482" t="s">
        <v>1225</v>
      </c>
      <c r="H4989" s="192" t="s">
        <v>2016</v>
      </c>
      <c r="I4989" s="255">
        <v>78</v>
      </c>
      <c r="J4989" s="255">
        <v>20730.080017062704</v>
      </c>
      <c r="K4989" s="593">
        <f t="shared" si="74"/>
        <v>1616946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69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799"/>
    </row>
    <row r="4990" spans="1:27" s="210" customFormat="1" ht="15.75" customHeight="1">
      <c r="A4990" s="203" t="str">
        <f>IF(B4990&lt;&gt;"",IF(AND(B4990&gt;=_TM1,B4990&lt;=_TM2,OR(TH!L4990="1111",TH!M4990="1111")),TH!D4990,""),"")</f>
        <v/>
      </c>
      <c r="B4990" s="36">
        <f t="shared" si="72"/>
        <v>12</v>
      </c>
      <c r="C4990" s="183">
        <f t="shared" si="73"/>
        <v>42341</v>
      </c>
      <c r="D4990" s="190" t="s">
        <v>2015</v>
      </c>
      <c r="E4990" s="190">
        <v>42341</v>
      </c>
      <c r="F4990" s="191" t="s">
        <v>1228</v>
      </c>
      <c r="G4990" s="482" t="s">
        <v>1225</v>
      </c>
      <c r="H4990" s="192" t="s">
        <v>2016</v>
      </c>
      <c r="I4990" s="255">
        <v>104</v>
      </c>
      <c r="J4990" s="255">
        <v>16852.511093007808</v>
      </c>
      <c r="K4990" s="593">
        <f t="shared" si="74"/>
        <v>1752661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69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799"/>
    </row>
    <row r="4991" spans="1:27" s="210" customFormat="1" ht="15.75" customHeight="1">
      <c r="A4991" s="203" t="str">
        <f>IF(B4991&lt;&gt;"",IF(AND(B4991&gt;=_TM1,B4991&lt;=_TM2,OR(TH!L4991="1111",TH!M4991="1111")),TH!D4991,""),"")</f>
        <v/>
      </c>
      <c r="B4991" s="36">
        <f t="shared" si="72"/>
        <v>12</v>
      </c>
      <c r="C4991" s="183">
        <f t="shared" si="73"/>
        <v>42341</v>
      </c>
      <c r="D4991" s="190" t="s">
        <v>2015</v>
      </c>
      <c r="E4991" s="190">
        <v>42341</v>
      </c>
      <c r="F4991" s="191" t="s">
        <v>1679</v>
      </c>
      <c r="G4991" s="482" t="s">
        <v>1225</v>
      </c>
      <c r="H4991" s="192" t="s">
        <v>2016</v>
      </c>
      <c r="I4991" s="255">
        <v>274</v>
      </c>
      <c r="J4991" s="255">
        <v>3281.01985881568</v>
      </c>
      <c r="K4991" s="593">
        <f t="shared" si="74"/>
        <v>898999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69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799"/>
    </row>
    <row r="4992" spans="1:27" s="210" customFormat="1" ht="15.75" customHeight="1">
      <c r="A4992" s="203" t="str">
        <f>IF(B4992&lt;&gt;"",IF(AND(B4992&gt;=_TM1,B4992&lt;=_TM2,OR(TH!L4992="1111",TH!M4992="1111")),TH!D4992,""),"")</f>
        <v/>
      </c>
      <c r="B4992" s="36">
        <f t="shared" si="72"/>
        <v>12</v>
      </c>
      <c r="C4992" s="183">
        <f t="shared" si="73"/>
        <v>42341</v>
      </c>
      <c r="D4992" s="190" t="s">
        <v>2015</v>
      </c>
      <c r="E4992" s="190">
        <v>42341</v>
      </c>
      <c r="F4992" s="191" t="s">
        <v>1680</v>
      </c>
      <c r="G4992" s="482" t="s">
        <v>1225</v>
      </c>
      <c r="H4992" s="192" t="s">
        <v>2016</v>
      </c>
      <c r="I4992" s="255">
        <v>156</v>
      </c>
      <c r="J4992" s="255">
        <v>3430.1571251254836</v>
      </c>
      <c r="K4992" s="593">
        <f t="shared" si="74"/>
        <v>535105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69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799"/>
    </row>
    <row r="4993" spans="1:27" s="210" customFormat="1" ht="15.75" customHeight="1">
      <c r="A4993" s="203" t="str">
        <f>IF(B4993&lt;&gt;"",IF(AND(B4993&gt;=_TM1,B4993&lt;=_TM2,OR(TH!L4993="1111",TH!M4993="1111")),TH!D4993,""),"")</f>
        <v/>
      </c>
      <c r="B4993" s="36">
        <f t="shared" si="72"/>
        <v>12</v>
      </c>
      <c r="C4993" s="183">
        <f t="shared" si="73"/>
        <v>42341</v>
      </c>
      <c r="D4993" s="190" t="s">
        <v>2015</v>
      </c>
      <c r="E4993" s="190">
        <v>42341</v>
      </c>
      <c r="F4993" s="191" t="s">
        <v>1681</v>
      </c>
      <c r="G4993" s="482" t="s">
        <v>1225</v>
      </c>
      <c r="H4993" s="192" t="s">
        <v>2016</v>
      </c>
      <c r="I4993" s="255">
        <v>312</v>
      </c>
      <c r="J4993" s="255">
        <v>1640.50992940784</v>
      </c>
      <c r="K4993" s="593">
        <f t="shared" si="74"/>
        <v>511839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69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799"/>
    </row>
    <row r="4994" spans="1:27" s="210" customFormat="1" ht="15.75" customHeight="1">
      <c r="A4994" s="203" t="str">
        <f>IF(B4994&lt;&gt;"",IF(AND(B4994&gt;=_TM1,B4994&lt;=_TM2,OR(TH!L4994="1111",TH!M4994="1111")),TH!D4994,""),"")</f>
        <v/>
      </c>
      <c r="B4994" s="36">
        <f t="shared" si="72"/>
        <v>12</v>
      </c>
      <c r="C4994" s="183">
        <f t="shared" si="73"/>
        <v>42341</v>
      </c>
      <c r="D4994" s="190" t="s">
        <v>2015</v>
      </c>
      <c r="E4994" s="190">
        <v>42341</v>
      </c>
      <c r="F4994" s="191" t="s">
        <v>1682</v>
      </c>
      <c r="G4994" s="482" t="s">
        <v>1225</v>
      </c>
      <c r="H4994" s="192" t="s">
        <v>2016</v>
      </c>
      <c r="I4994" s="255">
        <v>435</v>
      </c>
      <c r="J4994" s="255">
        <v>1342.2353967882327</v>
      </c>
      <c r="K4994" s="593">
        <f t="shared" si="74"/>
        <v>583872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69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799"/>
    </row>
    <row r="4995" spans="1:27" s="210" customFormat="1" ht="15.75" customHeight="1">
      <c r="A4995" s="203" t="str">
        <f>IF(B4995&lt;&gt;"",IF(AND(B4995&gt;=_TM1,B4995&lt;=_TM2,OR(TH!L4995="1111",TH!M4995="1111")),TH!D4995,""),"")</f>
        <v/>
      </c>
      <c r="B4995" s="36">
        <f t="shared" si="72"/>
        <v>12</v>
      </c>
      <c r="C4995" s="183">
        <f t="shared" si="73"/>
        <v>42341</v>
      </c>
      <c r="D4995" s="190" t="s">
        <v>2015</v>
      </c>
      <c r="E4995" s="190">
        <v>42341</v>
      </c>
      <c r="F4995" s="191" t="s">
        <v>1683</v>
      </c>
      <c r="G4995" s="482" t="s">
        <v>1225</v>
      </c>
      <c r="H4995" s="192" t="s">
        <v>2016</v>
      </c>
      <c r="I4995" s="255">
        <v>508</v>
      </c>
      <c r="J4995" s="255">
        <v>2460.76489411176</v>
      </c>
      <c r="K4995" s="593">
        <f t="shared" si="74"/>
        <v>1250069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69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799"/>
    </row>
    <row r="4996" spans="1:27" s="210" customFormat="1" ht="15.75" customHeight="1">
      <c r="A4996" s="203" t="str">
        <f>IF(B4996&lt;&gt;"",IF(AND(B4996&gt;=_TM1,B4996&lt;=_TM2,OR(TH!L4996="1111",TH!M4996="1111")),TH!D4996,""),"")</f>
        <v/>
      </c>
      <c r="B4996" s="36">
        <f t="shared" si="72"/>
        <v>12</v>
      </c>
      <c r="C4996" s="183">
        <f t="shared" si="73"/>
        <v>42341</v>
      </c>
      <c r="D4996" s="190" t="s">
        <v>2015</v>
      </c>
      <c r="E4996" s="190">
        <v>42341</v>
      </c>
      <c r="F4996" s="191" t="s">
        <v>1315</v>
      </c>
      <c r="G4996" s="482" t="s">
        <v>1225</v>
      </c>
      <c r="H4996" s="192" t="s">
        <v>2016</v>
      </c>
      <c r="I4996" s="255">
        <v>100</v>
      </c>
      <c r="J4996" s="255">
        <v>2162.4903614921527</v>
      </c>
      <c r="K4996" s="593">
        <f t="shared" si="74"/>
        <v>216249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69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799"/>
    </row>
    <row r="4997" spans="1:27" s="210" customFormat="1" ht="15.75" customHeight="1">
      <c r="A4997" s="203" t="str">
        <f>IF(B4997&lt;&gt;"",IF(AND(B4997&gt;=_TM1,B4997&lt;=_TM2,OR(TH!L4997="1111",TH!M4997="1111")),TH!D4997,""),"")</f>
        <v/>
      </c>
      <c r="B4997" s="36">
        <f t="shared" si="72"/>
        <v>12</v>
      </c>
      <c r="C4997" s="183">
        <f t="shared" si="73"/>
        <v>42341</v>
      </c>
      <c r="D4997" s="190" t="s">
        <v>2015</v>
      </c>
      <c r="E4997" s="190">
        <v>42341</v>
      </c>
      <c r="F4997" s="191" t="s">
        <v>1684</v>
      </c>
      <c r="G4997" s="482" t="s">
        <v>1229</v>
      </c>
      <c r="H4997" s="192" t="s">
        <v>2016</v>
      </c>
      <c r="I4997" s="255">
        <v>78</v>
      </c>
      <c r="J4997" s="255">
        <v>1342.2353967882327</v>
      </c>
      <c r="K4997" s="593">
        <f t="shared" si="74"/>
        <v>104694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69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799"/>
    </row>
    <row r="4998" spans="1:27" s="210" customFormat="1" ht="15.75" customHeight="1">
      <c r="A4998" s="203" t="str">
        <f>IF(B4998&lt;&gt;"",IF(AND(B4998&gt;=_TM1,B4998&lt;=_TM2,OR(TH!L4998="1111",TH!M4998="1111")),TH!D4998,""),"")</f>
        <v/>
      </c>
      <c r="B4998" s="36">
        <f t="shared" si="72"/>
        <v>12</v>
      </c>
      <c r="C4998" s="183">
        <f t="shared" si="73"/>
        <v>42341</v>
      </c>
      <c r="D4998" s="190" t="s">
        <v>2015</v>
      </c>
      <c r="E4998" s="190">
        <v>42341</v>
      </c>
      <c r="F4998" s="191" t="s">
        <v>1685</v>
      </c>
      <c r="G4998" s="482" t="s">
        <v>1229</v>
      </c>
      <c r="H4998" s="192" t="s">
        <v>2016</v>
      </c>
      <c r="I4998" s="255">
        <v>1360</v>
      </c>
      <c r="J4998" s="255">
        <v>1267.6667636333309</v>
      </c>
      <c r="K4998" s="593">
        <f t="shared" si="74"/>
        <v>1724027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69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799"/>
    </row>
    <row r="4999" spans="1:27" s="210" customFormat="1" ht="15.75" customHeight="1">
      <c r="A4999" s="203" t="str">
        <f>IF(B4999&lt;&gt;"",IF(AND(B4999&gt;=_TM1,B4999&lt;=_TM2,OR(TH!L4999="1111",TH!M4999="1111")),TH!D4999,""),"")</f>
        <v/>
      </c>
      <c r="B4999" s="36">
        <f t="shared" si="72"/>
        <v>12</v>
      </c>
      <c r="C4999" s="183">
        <f t="shared" si="73"/>
        <v>42341</v>
      </c>
      <c r="D4999" s="190" t="s">
        <v>2015</v>
      </c>
      <c r="E4999" s="190">
        <v>42341</v>
      </c>
      <c r="F4999" s="191" t="s">
        <v>1318</v>
      </c>
      <c r="G4999" s="482" t="s">
        <v>1229</v>
      </c>
      <c r="H4999" s="192" t="s">
        <v>2016</v>
      </c>
      <c r="I4999" s="255">
        <v>100</v>
      </c>
      <c r="J4999" s="255">
        <v>3430.1571251254836</v>
      </c>
      <c r="K4999" s="593">
        <f t="shared" si="74"/>
        <v>343016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69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799"/>
    </row>
    <row r="5000" spans="1:27" s="210" customFormat="1" ht="15.75" customHeight="1">
      <c r="A5000" s="203" t="str">
        <f>IF(B5000&lt;&gt;"",IF(AND(B5000&gt;=_TM1,B5000&lt;=_TM2,OR(TH!L5000="1111",TH!M5000="1111")),TH!D5000,""),"")</f>
        <v/>
      </c>
      <c r="B5000" s="36">
        <f t="shared" si="72"/>
        <v>12</v>
      </c>
      <c r="C5000" s="183">
        <f t="shared" si="73"/>
        <v>42345</v>
      </c>
      <c r="D5000" s="190" t="s">
        <v>2015</v>
      </c>
      <c r="E5000" s="190">
        <v>42345</v>
      </c>
      <c r="F5000" s="191" t="s">
        <v>1231</v>
      </c>
      <c r="G5000" s="482" t="s">
        <v>1232</v>
      </c>
      <c r="H5000" s="192" t="s">
        <v>2016</v>
      </c>
      <c r="I5000" s="255">
        <v>444</v>
      </c>
      <c r="J5000" s="255">
        <v>2460.76489411176</v>
      </c>
      <c r="K5000" s="593">
        <f t="shared" si="74"/>
        <v>1092580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69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799"/>
    </row>
    <row r="5001" spans="1:27" s="210" customFormat="1" ht="15.75" customHeight="1">
      <c r="A5001" s="203" t="str">
        <f>IF(B5001&lt;&gt;"",IF(AND(B5001&gt;=_TM1,B5001&lt;=_TM2,OR(TH!L5001="1111",TH!M5001="1111")),TH!D5001,""),"")</f>
        <v/>
      </c>
      <c r="B5001" s="36">
        <f t="shared" si="72"/>
        <v>12</v>
      </c>
      <c r="C5001" s="183">
        <f t="shared" si="73"/>
        <v>42345</v>
      </c>
      <c r="D5001" s="190" t="s">
        <v>2015</v>
      </c>
      <c r="E5001" s="190">
        <v>42345</v>
      </c>
      <c r="F5001" s="191" t="s">
        <v>1777</v>
      </c>
      <c r="G5001" s="482" t="s">
        <v>1233</v>
      </c>
      <c r="H5001" s="192" t="s">
        <v>2016</v>
      </c>
      <c r="I5001" s="255">
        <v>300</v>
      </c>
      <c r="J5001" s="255">
        <v>11781.844038474488</v>
      </c>
      <c r="K5001" s="593">
        <f t="shared" si="74"/>
        <v>3534553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69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799"/>
    </row>
    <row r="5002" spans="1:27" s="210" customFormat="1" ht="15.75" customHeight="1">
      <c r="A5002" s="203" t="str">
        <f>IF(B5002&lt;&gt;"",IF(AND(B5002&gt;=_TM1,B5002&lt;=_TM2,OR(TH!L5002="1111",TH!M5002="1111")),TH!D5002,""),"")</f>
        <v/>
      </c>
      <c r="B5002" s="36">
        <f t="shared" si="72"/>
        <v>12</v>
      </c>
      <c r="C5002" s="183">
        <f t="shared" si="73"/>
        <v>42345</v>
      </c>
      <c r="D5002" s="190" t="s">
        <v>2015</v>
      </c>
      <c r="E5002" s="190">
        <v>42345</v>
      </c>
      <c r="F5002" s="191" t="s">
        <v>1825</v>
      </c>
      <c r="G5002" s="482" t="s">
        <v>1233</v>
      </c>
      <c r="H5002" s="192" t="s">
        <v>2016</v>
      </c>
      <c r="I5002" s="255">
        <v>30</v>
      </c>
      <c r="J5002" s="255">
        <v>8873.6673454333159</v>
      </c>
      <c r="K5002" s="593">
        <f t="shared" si="74"/>
        <v>266210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69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799"/>
    </row>
    <row r="5003" spans="1:27" s="210" customFormat="1" ht="15.75" customHeight="1">
      <c r="A5003" s="203" t="str">
        <f>IF(B5003&lt;&gt;"",IF(AND(B5003&gt;=_TM1,B5003&lt;=_TM2,OR(TH!L5003="1111",TH!M5003="1111")),TH!D5003,""),"")</f>
        <v/>
      </c>
      <c r="B5003" s="36">
        <f t="shared" si="72"/>
        <v>12</v>
      </c>
      <c r="C5003" s="183">
        <f t="shared" si="73"/>
        <v>42345</v>
      </c>
      <c r="D5003" s="190" t="s">
        <v>2015</v>
      </c>
      <c r="E5003" s="190">
        <v>42345</v>
      </c>
      <c r="F5003" s="191" t="s">
        <v>692</v>
      </c>
      <c r="G5003" s="482" t="s">
        <v>1233</v>
      </c>
      <c r="H5003" s="192" t="s">
        <v>2016</v>
      </c>
      <c r="I5003" s="255">
        <v>15</v>
      </c>
      <c r="J5003" s="255">
        <v>13347.785334727425</v>
      </c>
      <c r="K5003" s="593">
        <f t="shared" si="74"/>
        <v>200217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69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799"/>
    </row>
    <row r="5004" spans="1:27" s="210" customFormat="1" ht="15.75" customHeight="1">
      <c r="A5004" s="203" t="str">
        <f>IF(B5004&lt;&gt;"",IF(AND(B5004&gt;=_TM1,B5004&lt;=_TM2,OR(TH!L5004="1111",TH!M5004="1111")),TH!D5004,""),"")</f>
        <v/>
      </c>
      <c r="B5004" s="36">
        <f t="shared" si="72"/>
        <v>12</v>
      </c>
      <c r="C5004" s="183">
        <f t="shared" si="73"/>
        <v>42345</v>
      </c>
      <c r="D5004" s="190" t="s">
        <v>2015</v>
      </c>
      <c r="E5004" s="190">
        <v>42345</v>
      </c>
      <c r="F5004" s="191" t="s">
        <v>1753</v>
      </c>
      <c r="G5004" s="482" t="s">
        <v>1233</v>
      </c>
      <c r="H5004" s="192" t="s">
        <v>2016</v>
      </c>
      <c r="I5004" s="255">
        <v>100</v>
      </c>
      <c r="J5004" s="255">
        <v>13646.059867347034</v>
      </c>
      <c r="K5004" s="593">
        <f t="shared" si="74"/>
        <v>1364606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69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799"/>
    </row>
    <row r="5005" spans="1:27" s="210" customFormat="1" ht="15.75" customHeight="1">
      <c r="A5005" s="203" t="str">
        <f>IF(B5005&lt;&gt;"",IF(AND(B5005&gt;=_TM1,B5005&lt;=_TM2,OR(TH!L5005="1111",TH!M5005="1111")),TH!D5005,""),"")</f>
        <v/>
      </c>
      <c r="B5005" s="36">
        <f t="shared" si="72"/>
        <v>12</v>
      </c>
      <c r="C5005" s="183">
        <f t="shared" si="73"/>
        <v>42345</v>
      </c>
      <c r="D5005" s="190" t="s">
        <v>2015</v>
      </c>
      <c r="E5005" s="190">
        <v>42345</v>
      </c>
      <c r="F5005" s="191" t="s">
        <v>1747</v>
      </c>
      <c r="G5005" s="482" t="s">
        <v>1233</v>
      </c>
      <c r="H5005" s="192" t="s">
        <v>2016</v>
      </c>
      <c r="I5005" s="255">
        <v>130</v>
      </c>
      <c r="J5005" s="255">
        <v>5294.3729539980286</v>
      </c>
      <c r="K5005" s="593">
        <f t="shared" si="74"/>
        <v>688268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69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799"/>
    </row>
    <row r="5006" spans="1:27" s="210" customFormat="1" ht="15.75" customHeight="1">
      <c r="A5006" s="203" t="str">
        <f>IF(B5006&lt;&gt;"",IF(AND(B5006&gt;=_TM1,B5006&lt;=_TM2,OR(TH!L5006="1111",TH!M5006="1111")),TH!D5006,""),"")</f>
        <v/>
      </c>
      <c r="B5006" s="36">
        <f t="shared" si="72"/>
        <v>12</v>
      </c>
      <c r="C5006" s="183">
        <f t="shared" si="73"/>
        <v>42345</v>
      </c>
      <c r="D5006" s="190" t="s">
        <v>2015</v>
      </c>
      <c r="E5006" s="190">
        <v>42345</v>
      </c>
      <c r="F5006" s="191" t="s">
        <v>1826</v>
      </c>
      <c r="G5006" s="482" t="s">
        <v>1233</v>
      </c>
      <c r="H5006" s="192" t="s">
        <v>2016</v>
      </c>
      <c r="I5006" s="255">
        <v>70</v>
      </c>
      <c r="J5006" s="255">
        <v>14690.020731515659</v>
      </c>
      <c r="K5006" s="593">
        <f t="shared" si="74"/>
        <v>1028301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69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799"/>
    </row>
    <row r="5007" spans="1:27" s="210" customFormat="1" ht="15.75" customHeight="1">
      <c r="A5007" s="203" t="str">
        <f>IF(B5007&lt;&gt;"",IF(AND(B5007&gt;=_TM1,B5007&lt;=_TM2,OR(TH!L5007="1111",TH!M5007="1111")),TH!D5007,""),"")</f>
        <v/>
      </c>
      <c r="B5007" s="36">
        <f t="shared" si="72"/>
        <v>12</v>
      </c>
      <c r="C5007" s="183">
        <f t="shared" si="73"/>
        <v>42345</v>
      </c>
      <c r="D5007" s="190" t="s">
        <v>2015</v>
      </c>
      <c r="E5007" s="190">
        <v>42345</v>
      </c>
      <c r="F5007" s="191" t="s">
        <v>1827</v>
      </c>
      <c r="G5007" s="482" t="s">
        <v>1233</v>
      </c>
      <c r="H5007" s="192" t="s">
        <v>2016</v>
      </c>
      <c r="I5007" s="255">
        <v>55</v>
      </c>
      <c r="J5007" s="255">
        <v>9395.6477775176299</v>
      </c>
      <c r="K5007" s="593">
        <f t="shared" si="74"/>
        <v>516761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69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799"/>
    </row>
    <row r="5008" spans="1:27" s="210" customFormat="1" ht="15.75" customHeight="1">
      <c r="A5008" s="203" t="str">
        <f>IF(B5008&lt;&gt;"",IF(AND(B5008&gt;=_TM1,B5008&lt;=_TM2,OR(TH!L5008="1111",TH!M5008="1111")),TH!D5008,""),"")</f>
        <v/>
      </c>
      <c r="B5008" s="36">
        <f t="shared" si="72"/>
        <v>12</v>
      </c>
      <c r="C5008" s="183">
        <f t="shared" si="73"/>
        <v>42345</v>
      </c>
      <c r="D5008" s="190" t="s">
        <v>2015</v>
      </c>
      <c r="E5008" s="190">
        <v>42345</v>
      </c>
      <c r="F5008" s="191" t="s">
        <v>1828</v>
      </c>
      <c r="G5008" s="482" t="s">
        <v>1233</v>
      </c>
      <c r="H5008" s="192" t="s">
        <v>2016</v>
      </c>
      <c r="I5008" s="255">
        <v>55</v>
      </c>
      <c r="J5008" s="255">
        <v>12378.393103713701</v>
      </c>
      <c r="K5008" s="593">
        <f t="shared" si="74"/>
        <v>680812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69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799"/>
    </row>
    <row r="5009" spans="1:27" s="210" customFormat="1" ht="15.75" customHeight="1">
      <c r="A5009" s="203" t="str">
        <f>IF(B5009&lt;&gt;"",IF(AND(B5009&gt;=_TM1,B5009&lt;=_TM2,OR(TH!L5009="1111",TH!M5009="1111")),TH!D5009,""),"")</f>
        <v/>
      </c>
      <c r="B5009" s="36">
        <f t="shared" si="72"/>
        <v>12</v>
      </c>
      <c r="C5009" s="183">
        <f t="shared" si="73"/>
        <v>42345</v>
      </c>
      <c r="D5009" s="190" t="s">
        <v>2015</v>
      </c>
      <c r="E5009" s="190">
        <v>42345</v>
      </c>
      <c r="F5009" s="191" t="s">
        <v>1829</v>
      </c>
      <c r="G5009" s="482" t="s">
        <v>1233</v>
      </c>
      <c r="H5009" s="192" t="s">
        <v>2016</v>
      </c>
      <c r="I5009" s="255">
        <v>155</v>
      </c>
      <c r="J5009" s="255">
        <v>8575.3928128137086</v>
      </c>
      <c r="K5009" s="593">
        <f t="shared" si="74"/>
        <v>1329186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69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799"/>
    </row>
    <row r="5010" spans="1:27" s="210" customFormat="1" ht="15.75" customHeight="1">
      <c r="A5010" s="203" t="str">
        <f>IF(B5010&lt;&gt;"",IF(AND(B5010&gt;=_TM1,B5010&lt;=_TM2,OR(TH!L5010="1111",TH!M5010="1111")),TH!D5010,""),"")</f>
        <v/>
      </c>
      <c r="B5010" s="36">
        <f t="shared" si="72"/>
        <v>12</v>
      </c>
      <c r="C5010" s="183">
        <f t="shared" si="73"/>
        <v>42345</v>
      </c>
      <c r="D5010" s="190" t="s">
        <v>2015</v>
      </c>
      <c r="E5010" s="190">
        <v>42345</v>
      </c>
      <c r="F5010" s="191" t="s">
        <v>747</v>
      </c>
      <c r="G5010" s="482" t="s">
        <v>1233</v>
      </c>
      <c r="H5010" s="192" t="s">
        <v>2016</v>
      </c>
      <c r="I5010" s="255">
        <v>1000</v>
      </c>
      <c r="J5010" s="255">
        <v>3952.1375572097963</v>
      </c>
      <c r="K5010" s="593">
        <f t="shared" si="74"/>
        <v>3952138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69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799"/>
    </row>
    <row r="5011" spans="1:27" s="210" customFormat="1" ht="15.75" customHeight="1">
      <c r="A5011" s="203" t="str">
        <f>IF(B5011&lt;&gt;"",IF(AND(B5011&gt;=_TM1,B5011&lt;=_TM2,OR(TH!L5011="1111",TH!M5011="1111")),TH!D5011,""),"")</f>
        <v/>
      </c>
      <c r="B5011" s="36">
        <f t="shared" si="72"/>
        <v>12</v>
      </c>
      <c r="C5011" s="183">
        <f t="shared" si="73"/>
        <v>42346</v>
      </c>
      <c r="D5011" s="190" t="s">
        <v>2015</v>
      </c>
      <c r="E5011" s="190">
        <v>42346</v>
      </c>
      <c r="F5011" s="191" t="s">
        <v>398</v>
      </c>
      <c r="G5011" s="482" t="s">
        <v>1234</v>
      </c>
      <c r="H5011" s="192" t="s">
        <v>2016</v>
      </c>
      <c r="I5011" s="255">
        <v>944</v>
      </c>
      <c r="J5011" s="255">
        <v>6114.6279187019491</v>
      </c>
      <c r="K5011" s="593">
        <f t="shared" si="74"/>
        <v>5772209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69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799"/>
    </row>
    <row r="5012" spans="1:27" s="210" customFormat="1" ht="15.75" customHeight="1">
      <c r="A5012" s="203" t="str">
        <f>IF(B5012&lt;&gt;"",IF(AND(B5012&gt;=_TM1,B5012&lt;=_TM2,OR(TH!L5012="1111",TH!M5012="1111")),TH!D5012,""),"")</f>
        <v/>
      </c>
      <c r="B5012" s="36">
        <f t="shared" si="72"/>
        <v>12</v>
      </c>
      <c r="C5012" s="183">
        <f t="shared" si="73"/>
        <v>42346</v>
      </c>
      <c r="D5012" s="190" t="s">
        <v>2015</v>
      </c>
      <c r="E5012" s="190">
        <v>42346</v>
      </c>
      <c r="F5012" s="191" t="s">
        <v>446</v>
      </c>
      <c r="G5012" s="482" t="s">
        <v>1234</v>
      </c>
      <c r="H5012" s="192" t="s">
        <v>2016</v>
      </c>
      <c r="I5012" s="255">
        <v>640</v>
      </c>
      <c r="J5012" s="255">
        <v>6785.7456170960659</v>
      </c>
      <c r="K5012" s="593">
        <f t="shared" si="74"/>
        <v>4342877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69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799"/>
    </row>
    <row r="5013" spans="1:27" s="210" customFormat="1" ht="15.75" customHeight="1">
      <c r="A5013" s="203" t="str">
        <f>IF(B5013&lt;&gt;"",IF(AND(B5013&gt;=_TM1,B5013&lt;=_TM2,OR(TH!L5013="1111",TH!M5013="1111")),TH!D5013,""),"")</f>
        <v/>
      </c>
      <c r="B5013" s="36">
        <f t="shared" si="72"/>
        <v>12</v>
      </c>
      <c r="C5013" s="183">
        <f t="shared" si="73"/>
        <v>42346</v>
      </c>
      <c r="D5013" s="190" t="s">
        <v>2015</v>
      </c>
      <c r="E5013" s="190">
        <v>42346</v>
      </c>
      <c r="F5013" s="191" t="s">
        <v>501</v>
      </c>
      <c r="G5013" s="482" t="s">
        <v>1234</v>
      </c>
      <c r="H5013" s="192" t="s">
        <v>2016</v>
      </c>
      <c r="I5013" s="255">
        <v>519</v>
      </c>
      <c r="J5013" s="255">
        <v>11781.844038474488</v>
      </c>
      <c r="K5013" s="593">
        <f t="shared" si="74"/>
        <v>6114777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69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799"/>
    </row>
    <row r="5014" spans="1:27" s="210" customFormat="1" ht="15.75" customHeight="1">
      <c r="A5014" s="203" t="str">
        <f>IF(B5014&lt;&gt;"",IF(AND(B5014&gt;=_TM1,B5014&lt;=_TM2,OR(TH!L5014="1111",TH!M5014="1111")),TH!D5014,""),"")</f>
        <v/>
      </c>
      <c r="B5014" s="36">
        <f t="shared" si="72"/>
        <v>12</v>
      </c>
      <c r="C5014" s="183">
        <f t="shared" si="73"/>
        <v>42346</v>
      </c>
      <c r="D5014" s="190" t="s">
        <v>2015</v>
      </c>
      <c r="E5014" s="190">
        <v>42346</v>
      </c>
      <c r="F5014" s="191" t="s">
        <v>1235</v>
      </c>
      <c r="G5014" s="482" t="s">
        <v>1236</v>
      </c>
      <c r="H5014" s="192" t="s">
        <v>2016</v>
      </c>
      <c r="I5014" s="255">
        <v>626</v>
      </c>
      <c r="J5014" s="255">
        <v>5741.7847529274404</v>
      </c>
      <c r="K5014" s="593">
        <f t="shared" si="74"/>
        <v>3594357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69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799"/>
    </row>
    <row r="5015" spans="1:27" s="210" customFormat="1" ht="15.75" customHeight="1">
      <c r="A5015" s="203" t="str">
        <f>IF(B5015&lt;&gt;"",IF(AND(B5015&gt;=_TM1,B5015&lt;=_TM2,OR(TH!L5015="1111",TH!M5015="1111")),TH!D5015,""),"")</f>
        <v/>
      </c>
      <c r="B5015" s="36">
        <f t="shared" si="72"/>
        <v>12</v>
      </c>
      <c r="C5015" s="183">
        <f t="shared" si="73"/>
        <v>42346</v>
      </c>
      <c r="D5015" s="190" t="s">
        <v>2015</v>
      </c>
      <c r="E5015" s="190">
        <v>42346</v>
      </c>
      <c r="F5015" s="191" t="s">
        <v>1238</v>
      </c>
      <c r="G5015" s="482" t="s">
        <v>1236</v>
      </c>
      <c r="H5015" s="192" t="s">
        <v>2016</v>
      </c>
      <c r="I5015" s="255">
        <v>302</v>
      </c>
      <c r="J5015" s="255">
        <v>10737.883174305862</v>
      </c>
      <c r="K5015" s="593">
        <f t="shared" si="74"/>
        <v>3242841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69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799"/>
    </row>
    <row r="5016" spans="1:27" s="210" customFormat="1" ht="15.75" customHeight="1">
      <c r="A5016" s="203" t="str">
        <f>IF(B5016&lt;&gt;"",IF(AND(B5016&gt;=_TM1,B5016&lt;=_TM2,OR(TH!L5016="1111",TH!M5016="1111")),TH!D5016,""),"")</f>
        <v/>
      </c>
      <c r="B5016" s="36">
        <f t="shared" si="72"/>
        <v>12</v>
      </c>
      <c r="C5016" s="183">
        <f t="shared" si="73"/>
        <v>42346</v>
      </c>
      <c r="D5016" s="190" t="s">
        <v>2015</v>
      </c>
      <c r="E5016" s="190">
        <v>42346</v>
      </c>
      <c r="F5016" s="191" t="s">
        <v>1830</v>
      </c>
      <c r="G5016" s="482" t="s">
        <v>1239</v>
      </c>
      <c r="H5016" s="192" t="s">
        <v>2016</v>
      </c>
      <c r="I5016" s="255">
        <v>200</v>
      </c>
      <c r="J5016" s="255">
        <v>10215.902742221549</v>
      </c>
      <c r="K5016" s="593">
        <f t="shared" si="74"/>
        <v>2043181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69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799"/>
    </row>
    <row r="5017" spans="1:27" s="210" customFormat="1" ht="15.75" customHeight="1">
      <c r="A5017" s="203" t="str">
        <f>IF(B5017&lt;&gt;"",IF(AND(B5017&gt;=_TM1,B5017&lt;=_TM2,OR(TH!L5017="1111",TH!M5017="1111")),TH!D5017,""),"")</f>
        <v/>
      </c>
      <c r="B5017" s="36">
        <f t="shared" si="72"/>
        <v>12</v>
      </c>
      <c r="C5017" s="183">
        <f t="shared" si="73"/>
        <v>42346</v>
      </c>
      <c r="D5017" s="190" t="s">
        <v>2015</v>
      </c>
      <c r="E5017" s="190">
        <v>42346</v>
      </c>
      <c r="F5017" s="191" t="s">
        <v>1831</v>
      </c>
      <c r="G5017" s="482" t="s">
        <v>1239</v>
      </c>
      <c r="H5017" s="192" t="s">
        <v>2016</v>
      </c>
      <c r="I5017" s="255">
        <v>230</v>
      </c>
      <c r="J5017" s="255">
        <v>10141.334109066647</v>
      </c>
      <c r="K5017" s="593">
        <f t="shared" si="74"/>
        <v>2332507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69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799"/>
    </row>
    <row r="5018" spans="1:27" s="210" customFormat="1" ht="15.75" customHeight="1">
      <c r="A5018" s="203" t="str">
        <f>IF(B5018&lt;&gt;"",IF(AND(B5018&gt;=_TM1,B5018&lt;=_TM2,OR(TH!L5018="1111",TH!M5018="1111")),TH!D5018,""),"")</f>
        <v/>
      </c>
      <c r="B5018" s="36">
        <f t="shared" si="72"/>
        <v>12</v>
      </c>
      <c r="C5018" s="183">
        <f t="shared" si="73"/>
        <v>42346</v>
      </c>
      <c r="D5018" s="190" t="s">
        <v>2015</v>
      </c>
      <c r="E5018" s="190">
        <v>42346</v>
      </c>
      <c r="F5018" s="191" t="s">
        <v>1832</v>
      </c>
      <c r="G5018" s="482" t="s">
        <v>1239</v>
      </c>
      <c r="H5018" s="192" t="s">
        <v>2016</v>
      </c>
      <c r="I5018" s="255">
        <v>140</v>
      </c>
      <c r="J5018" s="255">
        <v>9768.4909432921377</v>
      </c>
      <c r="K5018" s="593">
        <f t="shared" si="74"/>
        <v>1367589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69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799"/>
    </row>
    <row r="5019" spans="1:27" s="210" customFormat="1" ht="15.75" customHeight="1">
      <c r="A5019" s="203" t="str">
        <f>IF(B5019&lt;&gt;"",IF(AND(B5019&gt;=_TM1,B5019&lt;=_TM2,OR(TH!L5019="1111",TH!M5019="1111")),TH!D5019,""),"")</f>
        <v/>
      </c>
      <c r="B5019" s="36">
        <f t="shared" si="72"/>
        <v>12</v>
      </c>
      <c r="C5019" s="183">
        <f t="shared" si="73"/>
        <v>42346</v>
      </c>
      <c r="D5019" s="190" t="s">
        <v>2015</v>
      </c>
      <c r="E5019" s="190">
        <v>42346</v>
      </c>
      <c r="F5019" s="191" t="s">
        <v>1833</v>
      </c>
      <c r="G5019" s="482" t="s">
        <v>1239</v>
      </c>
      <c r="H5019" s="192" t="s">
        <v>2016</v>
      </c>
      <c r="I5019" s="255">
        <v>125</v>
      </c>
      <c r="J5019" s="255">
        <v>7307.7260491803781</v>
      </c>
      <c r="K5019" s="593">
        <f t="shared" si="74"/>
        <v>913466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69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799"/>
    </row>
    <row r="5020" spans="1:27" s="210" customFormat="1" ht="15.75" customHeight="1">
      <c r="A5020" s="203" t="str">
        <f>IF(B5020&lt;&gt;"",IF(AND(B5020&gt;=_TM1,B5020&lt;=_TM2,OR(TH!L5020="1111",TH!M5020="1111")),TH!D5020,""),"")</f>
        <v/>
      </c>
      <c r="B5020" s="36">
        <f t="shared" si="72"/>
        <v>12</v>
      </c>
      <c r="C5020" s="183">
        <f t="shared" si="73"/>
        <v>42346</v>
      </c>
      <c r="D5020" s="190" t="s">
        <v>2015</v>
      </c>
      <c r="E5020" s="190">
        <v>42346</v>
      </c>
      <c r="F5020" s="191" t="s">
        <v>1834</v>
      </c>
      <c r="G5020" s="482" t="s">
        <v>1239</v>
      </c>
      <c r="H5020" s="192" t="s">
        <v>2016</v>
      </c>
      <c r="I5020" s="255">
        <v>55</v>
      </c>
      <c r="J5020" s="255">
        <v>14913.726630980364</v>
      </c>
      <c r="K5020" s="593">
        <f t="shared" si="74"/>
        <v>820255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69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799"/>
    </row>
    <row r="5021" spans="1:27" s="210" customFormat="1" ht="15.75" customHeight="1">
      <c r="A5021" s="203" t="str">
        <f>IF(B5021&lt;&gt;"",IF(AND(B5021&gt;=_TM1,B5021&lt;=_TM2,OR(TH!L5021="1111",TH!M5021="1111")),TH!D5021,""),"")</f>
        <v/>
      </c>
      <c r="B5021" s="36">
        <f t="shared" si="72"/>
        <v>12</v>
      </c>
      <c r="C5021" s="183">
        <f t="shared" si="73"/>
        <v>42346</v>
      </c>
      <c r="D5021" s="190" t="s">
        <v>2015</v>
      </c>
      <c r="E5021" s="190">
        <v>42346</v>
      </c>
      <c r="F5021" s="191" t="s">
        <v>1741</v>
      </c>
      <c r="G5021" s="482" t="s">
        <v>1239</v>
      </c>
      <c r="H5021" s="192" t="s">
        <v>2016</v>
      </c>
      <c r="I5021" s="255">
        <v>20</v>
      </c>
      <c r="J5021" s="255">
        <v>8277.1182801941031</v>
      </c>
      <c r="K5021" s="593">
        <f t="shared" si="74"/>
        <v>165542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69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799"/>
    </row>
    <row r="5022" spans="1:27" s="210" customFormat="1" ht="15.75" customHeight="1">
      <c r="A5022" s="203" t="str">
        <f>IF(B5022&lt;&gt;"",IF(AND(B5022&gt;=_TM1,B5022&lt;=_TM2,OR(TH!L5022="1111",TH!M5022="1111")),TH!D5022,""),"")</f>
        <v/>
      </c>
      <c r="B5022" s="36">
        <f t="shared" si="72"/>
        <v>12</v>
      </c>
      <c r="C5022" s="183">
        <f t="shared" si="73"/>
        <v>42346</v>
      </c>
      <c r="D5022" s="190" t="s">
        <v>2015</v>
      </c>
      <c r="E5022" s="190">
        <v>42346</v>
      </c>
      <c r="F5022" s="191" t="s">
        <v>1835</v>
      </c>
      <c r="G5022" s="482" t="s">
        <v>1239</v>
      </c>
      <c r="H5022" s="192" t="s">
        <v>2016</v>
      </c>
      <c r="I5022" s="255">
        <v>234</v>
      </c>
      <c r="J5022" s="255">
        <v>11483.569505854881</v>
      </c>
      <c r="K5022" s="593">
        <f t="shared" si="74"/>
        <v>2687155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69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799"/>
    </row>
    <row r="5023" spans="1:27" s="210" customFormat="1" ht="15.75" customHeight="1">
      <c r="A5023" s="203" t="str">
        <f>IF(B5023&lt;&gt;"",IF(AND(B5023&gt;=_TM1,B5023&lt;=_TM2,OR(TH!L5023="1111",TH!M5023="1111")),TH!D5023,""),"")</f>
        <v/>
      </c>
      <c r="B5023" s="36">
        <f t="shared" si="72"/>
        <v>12</v>
      </c>
      <c r="C5023" s="183">
        <f t="shared" si="73"/>
        <v>42346</v>
      </c>
      <c r="D5023" s="190" t="s">
        <v>2015</v>
      </c>
      <c r="E5023" s="190">
        <v>42346</v>
      </c>
      <c r="F5023" s="191" t="s">
        <v>1836</v>
      </c>
      <c r="G5023" s="482" t="s">
        <v>1239</v>
      </c>
      <c r="H5023" s="192" t="s">
        <v>2016</v>
      </c>
      <c r="I5023" s="255">
        <v>75</v>
      </c>
      <c r="J5023" s="255">
        <v>15137.432530445067</v>
      </c>
      <c r="K5023" s="593">
        <f t="shared" si="74"/>
        <v>1135307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69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799"/>
    </row>
    <row r="5024" spans="1:27" s="210" customFormat="1" ht="15.75" customHeight="1">
      <c r="A5024" s="203" t="str">
        <f>IF(B5024&lt;&gt;"",IF(AND(B5024&gt;=_TM1,B5024&lt;=_TM2,OR(TH!L5024="1111",TH!M5024="1111")),TH!D5024,""),"")</f>
        <v/>
      </c>
      <c r="B5024" s="36">
        <f t="shared" si="72"/>
        <v>12</v>
      </c>
      <c r="C5024" s="183">
        <f t="shared" si="73"/>
        <v>42347</v>
      </c>
      <c r="D5024" s="190" t="s">
        <v>2015</v>
      </c>
      <c r="E5024" s="190">
        <v>42347</v>
      </c>
      <c r="F5024" s="191" t="s">
        <v>1240</v>
      </c>
      <c r="G5024" s="482" t="s">
        <v>1241</v>
      </c>
      <c r="H5024" s="192" t="s">
        <v>2016</v>
      </c>
      <c r="I5024" s="255">
        <v>344</v>
      </c>
      <c r="J5024" s="255">
        <v>63383.338181666542</v>
      </c>
      <c r="K5024" s="593">
        <f t="shared" si="74"/>
        <v>21803868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69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799"/>
    </row>
    <row r="5025" spans="1:27" s="210" customFormat="1" ht="15.75" customHeight="1">
      <c r="A5025" s="203" t="str">
        <f>IF(B5025&lt;&gt;"",IF(AND(B5025&gt;=_TM1,B5025&lt;=_TM2,OR(TH!L5025="1111",TH!M5025="1111")),TH!D5025,""),"")</f>
        <v/>
      </c>
      <c r="B5025" s="36">
        <f t="shared" si="72"/>
        <v>12</v>
      </c>
      <c r="C5025" s="183">
        <f t="shared" si="73"/>
        <v>42347</v>
      </c>
      <c r="D5025" s="190" t="s">
        <v>2015</v>
      </c>
      <c r="E5025" s="190">
        <v>42347</v>
      </c>
      <c r="F5025" s="191" t="s">
        <v>1837</v>
      </c>
      <c r="G5025" s="482" t="s">
        <v>1242</v>
      </c>
      <c r="H5025" s="192" t="s">
        <v>2016</v>
      </c>
      <c r="I5025" s="255">
        <v>1500</v>
      </c>
      <c r="J5025" s="255">
        <v>12974.942168952915</v>
      </c>
      <c r="K5025" s="593">
        <f t="shared" si="74"/>
        <v>19462413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69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799"/>
    </row>
    <row r="5026" spans="1:27" s="210" customFormat="1" ht="15.75" customHeight="1">
      <c r="A5026" s="203" t="str">
        <f>IF(B5026&lt;&gt;"",IF(AND(B5026&gt;=_TM1,B5026&lt;=_TM2,OR(TH!L5026="1111",TH!M5026="1111")),TH!D5026,""),"")</f>
        <v/>
      </c>
      <c r="B5026" s="36">
        <f t="shared" si="72"/>
        <v>12</v>
      </c>
      <c r="C5026" s="183">
        <f t="shared" si="73"/>
        <v>42347</v>
      </c>
      <c r="D5026" s="190" t="s">
        <v>2015</v>
      </c>
      <c r="E5026" s="190">
        <v>42347</v>
      </c>
      <c r="F5026" s="191" t="s">
        <v>1838</v>
      </c>
      <c r="G5026" s="482" t="s">
        <v>1242</v>
      </c>
      <c r="H5026" s="192" t="s">
        <v>2016</v>
      </c>
      <c r="I5026" s="255">
        <v>100</v>
      </c>
      <c r="J5026" s="255">
        <v>7755.137848109789</v>
      </c>
      <c r="K5026" s="593">
        <f t="shared" si="74"/>
        <v>775514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69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799"/>
    </row>
    <row r="5027" spans="1:27" s="210" customFormat="1" ht="15.75" customHeight="1">
      <c r="A5027" s="203" t="str">
        <f>IF(B5027&lt;&gt;"",IF(AND(B5027&gt;=_TM1,B5027&lt;=_TM2,OR(TH!L5027="1111",TH!M5027="1111")),TH!D5027,""),"")</f>
        <v/>
      </c>
      <c r="B5027" s="36">
        <f t="shared" si="72"/>
        <v>12</v>
      </c>
      <c r="C5027" s="183">
        <f t="shared" si="73"/>
        <v>42348</v>
      </c>
      <c r="D5027" s="190" t="s">
        <v>2015</v>
      </c>
      <c r="E5027" s="190">
        <v>42348</v>
      </c>
      <c r="F5027" s="191" t="s">
        <v>1243</v>
      </c>
      <c r="G5027" s="482" t="s">
        <v>1244</v>
      </c>
      <c r="H5027" s="192" t="s">
        <v>2016</v>
      </c>
      <c r="I5027" s="255">
        <v>201</v>
      </c>
      <c r="J5027" s="255">
        <v>7531.431948645084</v>
      </c>
      <c r="K5027" s="593">
        <f t="shared" si="74"/>
        <v>1513818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69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799"/>
    </row>
    <row r="5028" spans="1:27" s="210" customFormat="1" ht="15.75" customHeight="1">
      <c r="A5028" s="203" t="str">
        <f>IF(B5028&lt;&gt;"",IF(AND(B5028&gt;=_TM1,B5028&lt;=_TM2,OR(TH!L5028="1111",TH!M5028="1111")),TH!D5028,""),"")</f>
        <v/>
      </c>
      <c r="B5028" s="36">
        <f t="shared" si="72"/>
        <v>12</v>
      </c>
      <c r="C5028" s="183">
        <f t="shared" si="73"/>
        <v>42348</v>
      </c>
      <c r="D5028" s="190" t="s">
        <v>2015</v>
      </c>
      <c r="E5028" s="190">
        <v>42348</v>
      </c>
      <c r="F5028" s="191" t="s">
        <v>1246</v>
      </c>
      <c r="G5028" s="482" t="s">
        <v>1244</v>
      </c>
      <c r="H5028" s="192" t="s">
        <v>2016</v>
      </c>
      <c r="I5028" s="255">
        <v>200</v>
      </c>
      <c r="J5028" s="255">
        <v>7755.137848109789</v>
      </c>
      <c r="K5028" s="593">
        <f t="shared" si="74"/>
        <v>1551028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69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799"/>
    </row>
    <row r="5029" spans="1:27" s="210" customFormat="1" ht="15.75" customHeight="1">
      <c r="A5029" s="203" t="str">
        <f>IF(B5029&lt;&gt;"",IF(AND(B5029&gt;=_TM1,B5029&lt;=_TM2,OR(TH!L5029="1111",TH!M5029="1111")),TH!D5029,""),"")</f>
        <v/>
      </c>
      <c r="B5029" s="36">
        <f t="shared" si="72"/>
        <v>12</v>
      </c>
      <c r="C5029" s="183">
        <f t="shared" si="73"/>
        <v>42348</v>
      </c>
      <c r="D5029" s="190" t="s">
        <v>2015</v>
      </c>
      <c r="E5029" s="190">
        <v>42348</v>
      </c>
      <c r="F5029" s="191" t="s">
        <v>1247</v>
      </c>
      <c r="G5029" s="482" t="s">
        <v>1244</v>
      </c>
      <c r="H5029" s="192" t="s">
        <v>2016</v>
      </c>
      <c r="I5029" s="255">
        <v>216</v>
      </c>
      <c r="J5029" s="255">
        <v>9097.3732448980209</v>
      </c>
      <c r="K5029" s="593">
        <f t="shared" si="74"/>
        <v>1965033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69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799"/>
    </row>
    <row r="5030" spans="1:27" s="210" customFormat="1" ht="15.75" customHeight="1">
      <c r="A5030" s="203" t="str">
        <f>IF(B5030&lt;&gt;"",IF(AND(B5030&gt;=_TM1,B5030&lt;=_TM2,OR(TH!L5030="1111",TH!M5030="1111")),TH!D5030,""),"")</f>
        <v/>
      </c>
      <c r="B5030" s="36">
        <f t="shared" si="72"/>
        <v>12</v>
      </c>
      <c r="C5030" s="183">
        <f t="shared" si="73"/>
        <v>42348</v>
      </c>
      <c r="D5030" s="190" t="s">
        <v>2015</v>
      </c>
      <c r="E5030" s="190">
        <v>42348</v>
      </c>
      <c r="F5030" s="191" t="s">
        <v>1248</v>
      </c>
      <c r="G5030" s="482" t="s">
        <v>1244</v>
      </c>
      <c r="H5030" s="192" t="s">
        <v>2016</v>
      </c>
      <c r="I5030" s="255">
        <v>200</v>
      </c>
      <c r="J5030" s="255">
        <v>7978.843747574495</v>
      </c>
      <c r="K5030" s="593">
        <f t="shared" si="74"/>
        <v>1595769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69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799"/>
    </row>
    <row r="5031" spans="1:27" s="210" customFormat="1" ht="15.75" customHeight="1">
      <c r="A5031" s="203" t="str">
        <f>IF(B5031&lt;&gt;"",IF(AND(B5031&gt;=_TM1,B5031&lt;=_TM2,OR(TH!L5031="1111",TH!M5031="1111")),TH!D5031,""),"")</f>
        <v/>
      </c>
      <c r="B5031" s="36">
        <f t="shared" si="72"/>
        <v>12</v>
      </c>
      <c r="C5031" s="183">
        <f t="shared" si="73"/>
        <v>42348</v>
      </c>
      <c r="D5031" s="190" t="s">
        <v>2015</v>
      </c>
      <c r="E5031" s="190">
        <v>42348</v>
      </c>
      <c r="F5031" s="191" t="s">
        <v>1249</v>
      </c>
      <c r="G5031" s="482" t="s">
        <v>1244</v>
      </c>
      <c r="H5031" s="192" t="s">
        <v>2016</v>
      </c>
      <c r="I5031" s="255">
        <v>206</v>
      </c>
      <c r="J5031" s="255">
        <v>14391.746198896049</v>
      </c>
      <c r="K5031" s="593">
        <f t="shared" si="74"/>
        <v>2964700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69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799"/>
    </row>
    <row r="5032" spans="1:27" s="210" customFormat="1" ht="15.75" customHeight="1">
      <c r="A5032" s="203" t="str">
        <f>IF(B5032&lt;&gt;"",IF(AND(B5032&gt;=_TM1,B5032&lt;=_TM2,OR(TH!L5032="1111",TH!M5032="1111")),TH!D5032,""),"")</f>
        <v/>
      </c>
      <c r="B5032" s="36">
        <f t="shared" si="72"/>
        <v>12</v>
      </c>
      <c r="C5032" s="183">
        <f t="shared" si="73"/>
        <v>42348</v>
      </c>
      <c r="D5032" s="190" t="s">
        <v>2015</v>
      </c>
      <c r="E5032" s="190">
        <v>42348</v>
      </c>
      <c r="F5032" s="191" t="s">
        <v>1250</v>
      </c>
      <c r="G5032" s="482" t="s">
        <v>1244</v>
      </c>
      <c r="H5032" s="192" t="s">
        <v>2016</v>
      </c>
      <c r="I5032" s="255">
        <v>197</v>
      </c>
      <c r="J5032" s="255">
        <v>10365.040008531352</v>
      </c>
      <c r="K5032" s="593">
        <f t="shared" si="74"/>
        <v>2041913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69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799"/>
    </row>
    <row r="5033" spans="1:27" s="210" customFormat="1" ht="15.75" customHeight="1">
      <c r="A5033" s="203" t="str">
        <f>IF(B5033&lt;&gt;"",IF(AND(B5033&gt;=_TM1,B5033&lt;=_TM2,OR(TH!L5033="1111",TH!M5033="1111")),TH!D5033,""),"")</f>
        <v/>
      </c>
      <c r="B5033" s="36">
        <f t="shared" si="72"/>
        <v>12</v>
      </c>
      <c r="C5033" s="183">
        <f t="shared" si="73"/>
        <v>42348</v>
      </c>
      <c r="D5033" s="190" t="s">
        <v>2015</v>
      </c>
      <c r="E5033" s="190">
        <v>42348</v>
      </c>
      <c r="F5033" s="191" t="s">
        <v>1251</v>
      </c>
      <c r="G5033" s="482" t="s">
        <v>1252</v>
      </c>
      <c r="H5033" s="192" t="s">
        <v>2016</v>
      </c>
      <c r="I5033" s="255">
        <v>444</v>
      </c>
      <c r="J5033" s="255">
        <v>7755.137848109789</v>
      </c>
      <c r="K5033" s="593">
        <f t="shared" si="74"/>
        <v>3443281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69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799"/>
    </row>
    <row r="5034" spans="1:27" s="210" customFormat="1" ht="15.75" customHeight="1">
      <c r="A5034" s="203" t="str">
        <f>IF(B5034&lt;&gt;"",IF(AND(B5034&gt;=_TM1,B5034&lt;=_TM2,OR(TH!L5034="1111",TH!M5034="1111")),TH!D5034,""),"")</f>
        <v/>
      </c>
      <c r="B5034" s="36">
        <f t="shared" si="72"/>
        <v>12</v>
      </c>
      <c r="C5034" s="183">
        <f t="shared" si="73"/>
        <v>42348</v>
      </c>
      <c r="D5034" s="190" t="s">
        <v>2015</v>
      </c>
      <c r="E5034" s="190">
        <v>42348</v>
      </c>
      <c r="F5034" s="191" t="s">
        <v>1254</v>
      </c>
      <c r="G5034" s="482" t="s">
        <v>1252</v>
      </c>
      <c r="H5034" s="192" t="s">
        <v>2016</v>
      </c>
      <c r="I5034" s="255">
        <v>504</v>
      </c>
      <c r="J5034" s="255">
        <v>9843.0595764470399</v>
      </c>
      <c r="K5034" s="593">
        <f t="shared" si="74"/>
        <v>4960902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69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799"/>
    </row>
    <row r="5035" spans="1:27" s="210" customFormat="1" ht="15.75" customHeight="1">
      <c r="A5035" s="203" t="str">
        <f>IF(B5035&lt;&gt;"",IF(AND(B5035&gt;=_TM1,B5035&lt;=_TM2,OR(TH!L5035="1111",TH!M5035="1111")),TH!D5035,""),"")</f>
        <v/>
      </c>
      <c r="B5035" s="36">
        <f t="shared" si="72"/>
        <v>12</v>
      </c>
      <c r="C5035" s="183">
        <f t="shared" si="73"/>
        <v>42348</v>
      </c>
      <c r="D5035" s="190" t="s">
        <v>2015</v>
      </c>
      <c r="E5035" s="190">
        <v>42348</v>
      </c>
      <c r="F5035" s="191" t="s">
        <v>1255</v>
      </c>
      <c r="G5035" s="482" t="s">
        <v>1252</v>
      </c>
      <c r="H5035" s="192" t="s">
        <v>2016</v>
      </c>
      <c r="I5035" s="255">
        <v>203</v>
      </c>
      <c r="J5035" s="255">
        <v>8575.3928128137086</v>
      </c>
      <c r="K5035" s="593">
        <f t="shared" si="74"/>
        <v>1740805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69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799"/>
    </row>
    <row r="5036" spans="1:27" s="210" customFormat="1" ht="15.75" customHeight="1">
      <c r="A5036" s="203" t="str">
        <f>IF(B5036&lt;&gt;"",IF(AND(B5036&gt;=_TM1,B5036&lt;=_TM2,OR(TH!L5036="1111",TH!M5036="1111")),TH!D5036,""),"")</f>
        <v/>
      </c>
      <c r="B5036" s="36">
        <f t="shared" si="72"/>
        <v>12</v>
      </c>
      <c r="C5036" s="183">
        <f t="shared" si="73"/>
        <v>42348</v>
      </c>
      <c r="D5036" s="190" t="s">
        <v>2015</v>
      </c>
      <c r="E5036" s="190">
        <v>42348</v>
      </c>
      <c r="F5036" s="191" t="s">
        <v>1256</v>
      </c>
      <c r="G5036" s="482" t="s">
        <v>1252</v>
      </c>
      <c r="H5036" s="192" t="s">
        <v>2016</v>
      </c>
      <c r="I5036" s="255">
        <v>410</v>
      </c>
      <c r="J5036" s="255">
        <v>5294.3729539980286</v>
      </c>
      <c r="K5036" s="593">
        <f t="shared" si="74"/>
        <v>2170693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69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799"/>
    </row>
    <row r="5037" spans="1:27" s="210" customFormat="1" ht="15.75" customHeight="1">
      <c r="A5037" s="203" t="str">
        <f>IF(B5037&lt;&gt;"",IF(AND(B5037&gt;=_TM1,B5037&lt;=_TM2,OR(TH!L5037="1111",TH!M5037="1111")),TH!D5037,""),"")</f>
        <v/>
      </c>
      <c r="B5037" s="36">
        <f t="shared" si="72"/>
        <v>12</v>
      </c>
      <c r="C5037" s="183">
        <f t="shared" si="73"/>
        <v>42348</v>
      </c>
      <c r="D5037" s="190" t="s">
        <v>2015</v>
      </c>
      <c r="E5037" s="190">
        <v>42348</v>
      </c>
      <c r="F5037" s="191" t="s">
        <v>1257</v>
      </c>
      <c r="G5037" s="482" t="s">
        <v>1252</v>
      </c>
      <c r="H5037" s="192" t="s">
        <v>2016</v>
      </c>
      <c r="I5037" s="255">
        <v>300</v>
      </c>
      <c r="J5037" s="255">
        <v>13273.216701572524</v>
      </c>
      <c r="K5037" s="593">
        <f t="shared" si="74"/>
        <v>3981965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69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799"/>
    </row>
    <row r="5038" spans="1:27" s="210" customFormat="1" ht="15.75" customHeight="1">
      <c r="A5038" s="203" t="str">
        <f>IF(B5038&lt;&gt;"",IF(AND(B5038&gt;=_TM1,B5038&lt;=_TM2,OR(TH!L5038="1111",TH!M5038="1111")),TH!D5038,""),"")</f>
        <v/>
      </c>
      <c r="B5038" s="36">
        <f t="shared" si="72"/>
        <v>12</v>
      </c>
      <c r="C5038" s="183">
        <f t="shared" si="73"/>
        <v>42348</v>
      </c>
      <c r="D5038" s="190" t="s">
        <v>2015</v>
      </c>
      <c r="E5038" s="190">
        <v>42348</v>
      </c>
      <c r="F5038" s="191" t="s">
        <v>1839</v>
      </c>
      <c r="G5038" s="482" t="s">
        <v>1258</v>
      </c>
      <c r="H5038" s="192" t="s">
        <v>2016</v>
      </c>
      <c r="I5038" s="255">
        <v>107</v>
      </c>
      <c r="J5038" s="255">
        <v>12676.667636333308</v>
      </c>
      <c r="K5038" s="593">
        <f t="shared" si="74"/>
        <v>1356403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69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799"/>
    </row>
    <row r="5039" spans="1:27" s="210" customFormat="1" ht="15.75" customHeight="1">
      <c r="A5039" s="203" t="str">
        <f>IF(B5039&lt;&gt;"",IF(AND(B5039&gt;=_TM1,B5039&lt;=_TM2,OR(TH!L5039="1111",TH!M5039="1111")),TH!D5039,""),"")</f>
        <v/>
      </c>
      <c r="B5039" s="36">
        <f t="shared" si="72"/>
        <v>12</v>
      </c>
      <c r="C5039" s="183">
        <f t="shared" si="73"/>
        <v>42348</v>
      </c>
      <c r="D5039" s="190" t="s">
        <v>2015</v>
      </c>
      <c r="E5039" s="190">
        <v>42348</v>
      </c>
      <c r="F5039" s="191" t="s">
        <v>1840</v>
      </c>
      <c r="G5039" s="482" t="s">
        <v>1258</v>
      </c>
      <c r="H5039" s="192" t="s">
        <v>2016</v>
      </c>
      <c r="I5039" s="255">
        <v>205</v>
      </c>
      <c r="J5039" s="255">
        <v>12378.393103713701</v>
      </c>
      <c r="K5039" s="593">
        <f t="shared" si="74"/>
        <v>2537571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69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799"/>
    </row>
    <row r="5040" spans="1:27" s="210" customFormat="1" ht="15.75" customHeight="1">
      <c r="A5040" s="203" t="str">
        <f>IF(B5040&lt;&gt;"",IF(AND(B5040&gt;=_TM1,B5040&lt;=_TM2,OR(TH!L5040="1111",TH!M5040="1111")),TH!D5040,""),"")</f>
        <v/>
      </c>
      <c r="B5040" s="36">
        <f t="shared" si="72"/>
        <v>12</v>
      </c>
      <c r="C5040" s="183">
        <f t="shared" si="73"/>
        <v>42348</v>
      </c>
      <c r="D5040" s="190" t="s">
        <v>2015</v>
      </c>
      <c r="E5040" s="190">
        <v>42348</v>
      </c>
      <c r="F5040" s="191" t="s">
        <v>692</v>
      </c>
      <c r="G5040" s="482" t="s">
        <v>1258</v>
      </c>
      <c r="H5040" s="192" t="s">
        <v>2016</v>
      </c>
      <c r="I5040" s="255">
        <v>30</v>
      </c>
      <c r="J5040" s="255">
        <v>13347.785334727425</v>
      </c>
      <c r="K5040" s="593">
        <f t="shared" si="74"/>
        <v>400434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69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799"/>
    </row>
    <row r="5041" spans="1:27" s="210" customFormat="1" ht="15.75" customHeight="1">
      <c r="A5041" s="203" t="str">
        <f>IF(B5041&lt;&gt;"",IF(AND(B5041&gt;=_TM1,B5041&lt;=_TM2,OR(TH!L5041="1111",TH!M5041="1111")),TH!D5041,""),"")</f>
        <v/>
      </c>
      <c r="B5041" s="36">
        <f t="shared" si="72"/>
        <v>12</v>
      </c>
      <c r="C5041" s="183">
        <f t="shared" si="73"/>
        <v>42348</v>
      </c>
      <c r="D5041" s="190" t="s">
        <v>2015</v>
      </c>
      <c r="E5041" s="190">
        <v>42348</v>
      </c>
      <c r="F5041" s="191" t="s">
        <v>1841</v>
      </c>
      <c r="G5041" s="482" t="s">
        <v>1258</v>
      </c>
      <c r="H5041" s="192" t="s">
        <v>2016</v>
      </c>
      <c r="I5041" s="255">
        <v>125</v>
      </c>
      <c r="J5041" s="255">
        <v>7755.137848109789</v>
      </c>
      <c r="K5041" s="593">
        <f t="shared" si="74"/>
        <v>969392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69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799"/>
    </row>
    <row r="5042" spans="1:27" s="210" customFormat="1" ht="15.75" customHeight="1">
      <c r="A5042" s="203" t="str">
        <f>IF(B5042&lt;&gt;"",IF(AND(B5042&gt;=_TM1,B5042&lt;=_TM2,OR(TH!L5042="1111",TH!M5042="1111")),TH!D5042,""),"")</f>
        <v/>
      </c>
      <c r="B5042" s="36">
        <f t="shared" si="72"/>
        <v>12</v>
      </c>
      <c r="C5042" s="183">
        <f t="shared" si="73"/>
        <v>42348</v>
      </c>
      <c r="D5042" s="190" t="s">
        <v>2015</v>
      </c>
      <c r="E5042" s="190">
        <v>42348</v>
      </c>
      <c r="F5042" s="191" t="s">
        <v>694</v>
      </c>
      <c r="G5042" s="482" t="s">
        <v>1258</v>
      </c>
      <c r="H5042" s="192" t="s">
        <v>2016</v>
      </c>
      <c r="I5042" s="255">
        <v>100</v>
      </c>
      <c r="J5042" s="255">
        <v>10961.589073770567</v>
      </c>
      <c r="K5042" s="593">
        <f t="shared" si="74"/>
        <v>1096159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69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799"/>
    </row>
    <row r="5043" spans="1:27" s="210" customFormat="1" ht="15.75" customHeight="1">
      <c r="A5043" s="203" t="str">
        <f>IF(B5043&lt;&gt;"",IF(AND(B5043&gt;=_TM1,B5043&lt;=_TM2,OR(TH!L5043="1111",TH!M5043="1111")),TH!D5043,""),"")</f>
        <v/>
      </c>
      <c r="B5043" s="36">
        <f t="shared" si="72"/>
        <v>12</v>
      </c>
      <c r="C5043" s="183">
        <f t="shared" si="73"/>
        <v>42348</v>
      </c>
      <c r="D5043" s="190" t="s">
        <v>2015</v>
      </c>
      <c r="E5043" s="190">
        <v>42348</v>
      </c>
      <c r="F5043" s="191" t="s">
        <v>694</v>
      </c>
      <c r="G5043" s="482" t="s">
        <v>1258</v>
      </c>
      <c r="H5043" s="192" t="s">
        <v>2016</v>
      </c>
      <c r="I5043" s="255">
        <v>20</v>
      </c>
      <c r="J5043" s="255">
        <v>10961.589073770567</v>
      </c>
      <c r="K5043" s="593">
        <f t="shared" si="74"/>
        <v>219232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69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799"/>
    </row>
    <row r="5044" spans="1:27" s="210" customFormat="1" ht="15.75" customHeight="1">
      <c r="A5044" s="203" t="str">
        <f>IF(B5044&lt;&gt;"",IF(AND(B5044&gt;=_TM1,B5044&lt;=_TM2,OR(TH!L5044="1111",TH!M5044="1111")),TH!D5044,""),"")</f>
        <v/>
      </c>
      <c r="B5044" s="36">
        <f t="shared" si="72"/>
        <v>12</v>
      </c>
      <c r="C5044" s="183">
        <f t="shared" si="73"/>
        <v>42348</v>
      </c>
      <c r="D5044" s="190" t="s">
        <v>2015</v>
      </c>
      <c r="E5044" s="190">
        <v>42348</v>
      </c>
      <c r="F5044" s="191" t="s">
        <v>1842</v>
      </c>
      <c r="G5044" s="482" t="s">
        <v>1258</v>
      </c>
      <c r="H5044" s="192" t="s">
        <v>2016</v>
      </c>
      <c r="I5044" s="255">
        <v>24</v>
      </c>
      <c r="J5044" s="255">
        <v>12527.530370023505</v>
      </c>
      <c r="K5044" s="593">
        <f t="shared" si="74"/>
        <v>300661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69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799"/>
    </row>
    <row r="5045" spans="1:27" s="210" customFormat="1" ht="15.75" customHeight="1">
      <c r="A5045" s="203" t="str">
        <f>IF(B5045&lt;&gt;"",IF(AND(B5045&gt;=_TM1,B5045&lt;=_TM2,OR(TH!L5045="1111",TH!M5045="1111")),TH!D5045,""),"")</f>
        <v/>
      </c>
      <c r="B5045" s="36">
        <f t="shared" si="72"/>
        <v>12</v>
      </c>
      <c r="C5045" s="183">
        <f t="shared" si="73"/>
        <v>42348</v>
      </c>
      <c r="D5045" s="190" t="s">
        <v>2015</v>
      </c>
      <c r="E5045" s="190">
        <v>42348</v>
      </c>
      <c r="F5045" s="191" t="s">
        <v>742</v>
      </c>
      <c r="G5045" s="482" t="s">
        <v>1258</v>
      </c>
      <c r="H5045" s="192" t="s">
        <v>2016</v>
      </c>
      <c r="I5045" s="255">
        <v>400</v>
      </c>
      <c r="J5045" s="255">
        <v>14615.452098360756</v>
      </c>
      <c r="K5045" s="593">
        <f t="shared" si="74"/>
        <v>5846181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69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799"/>
    </row>
    <row r="5046" spans="1:27" s="210" customFormat="1" ht="15.75" customHeight="1">
      <c r="A5046" s="203" t="str">
        <f>IF(B5046&lt;&gt;"",IF(AND(B5046&gt;=_TM1,B5046&lt;=_TM2,OR(TH!L5046="1111",TH!M5046="1111")),TH!D5046,""),"")</f>
        <v/>
      </c>
      <c r="B5046" s="36">
        <f t="shared" si="72"/>
        <v>12</v>
      </c>
      <c r="C5046" s="183">
        <f t="shared" si="73"/>
        <v>42350</v>
      </c>
      <c r="D5046" s="190" t="s">
        <v>2015</v>
      </c>
      <c r="E5046" s="190">
        <v>42350</v>
      </c>
      <c r="F5046" s="191" t="s">
        <v>999</v>
      </c>
      <c r="G5046" s="482" t="s">
        <v>1259</v>
      </c>
      <c r="H5046" s="192" t="s">
        <v>2016</v>
      </c>
      <c r="I5046" s="255">
        <v>201</v>
      </c>
      <c r="J5046" s="255">
        <v>5592.6474866176359</v>
      </c>
      <c r="K5046" s="593">
        <f t="shared" si="74"/>
        <v>1124122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69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799"/>
    </row>
    <row r="5047" spans="1:27" s="210" customFormat="1" ht="15.75" customHeight="1">
      <c r="A5047" s="203" t="str">
        <f>IF(B5047&lt;&gt;"",IF(AND(B5047&gt;=_TM1,B5047&lt;=_TM2,OR(TH!L5047="1111",TH!M5047="1111")),TH!D5047,""),"")</f>
        <v/>
      </c>
      <c r="B5047" s="36">
        <f t="shared" si="72"/>
        <v>12</v>
      </c>
      <c r="C5047" s="183">
        <f t="shared" si="73"/>
        <v>42350</v>
      </c>
      <c r="D5047" s="190" t="s">
        <v>2015</v>
      </c>
      <c r="E5047" s="190">
        <v>42350</v>
      </c>
      <c r="F5047" s="191" t="s">
        <v>1260</v>
      </c>
      <c r="G5047" s="482" t="s">
        <v>1261</v>
      </c>
      <c r="H5047" s="192" t="s">
        <v>2016</v>
      </c>
      <c r="I5047" s="255">
        <v>403</v>
      </c>
      <c r="J5047" s="255">
        <v>4250.4120898294032</v>
      </c>
      <c r="K5047" s="593">
        <f t="shared" si="74"/>
        <v>1712916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69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799"/>
    </row>
    <row r="5048" spans="1:27" s="210" customFormat="1" ht="15.75" customHeight="1">
      <c r="A5048" s="203" t="str">
        <f>IF(B5048&lt;&gt;"",IF(AND(B5048&gt;=_TM1,B5048&lt;=_TM2,OR(TH!L5048="1111",TH!M5048="1111")),TH!D5048,""),"")</f>
        <v/>
      </c>
      <c r="B5048" s="36">
        <f t="shared" si="72"/>
        <v>12</v>
      </c>
      <c r="C5048" s="183">
        <f t="shared" si="73"/>
        <v>42350</v>
      </c>
      <c r="D5048" s="190" t="s">
        <v>2015</v>
      </c>
      <c r="E5048" s="190">
        <v>42350</v>
      </c>
      <c r="F5048" s="191" t="s">
        <v>1262</v>
      </c>
      <c r="G5048" s="482" t="s">
        <v>1261</v>
      </c>
      <c r="H5048" s="192" t="s">
        <v>2016</v>
      </c>
      <c r="I5048" s="255">
        <v>101</v>
      </c>
      <c r="J5048" s="255">
        <v>4623.2552556039127</v>
      </c>
      <c r="K5048" s="593">
        <f t="shared" si="74"/>
        <v>466949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69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799"/>
    </row>
    <row r="5049" spans="1:27" s="210" customFormat="1" ht="15.75" customHeight="1">
      <c r="A5049" s="203" t="str">
        <f>IF(B5049&lt;&gt;"",IF(AND(B5049&gt;=_TM1,B5049&lt;=_TM2,OR(TH!L5049="1111",TH!M5049="1111")),TH!D5049,""),"")</f>
        <v/>
      </c>
      <c r="B5049" s="36">
        <f t="shared" si="72"/>
        <v>12</v>
      </c>
      <c r="C5049" s="183">
        <f t="shared" si="73"/>
        <v>42350</v>
      </c>
      <c r="D5049" s="190" t="s">
        <v>2015</v>
      </c>
      <c r="E5049" s="190">
        <v>42350</v>
      </c>
      <c r="F5049" s="191" t="s">
        <v>1263</v>
      </c>
      <c r="G5049" s="482" t="s">
        <v>1261</v>
      </c>
      <c r="H5049" s="192" t="s">
        <v>2016</v>
      </c>
      <c r="I5049" s="255">
        <v>106</v>
      </c>
      <c r="J5049" s="255">
        <v>5443.5102203078322</v>
      </c>
      <c r="K5049" s="593">
        <f t="shared" si="74"/>
        <v>577012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69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799"/>
    </row>
    <row r="5050" spans="1:27" s="210" customFormat="1" ht="15.75" customHeight="1">
      <c r="A5050" s="203" t="str">
        <f>IF(B5050&lt;&gt;"",IF(AND(B5050&gt;=_TM1,B5050&lt;=_TM2,OR(TH!L5050="1111",TH!M5050="1111")),TH!D5050,""),"")</f>
        <v/>
      </c>
      <c r="B5050" s="36">
        <f t="shared" si="72"/>
        <v>12</v>
      </c>
      <c r="C5050" s="183">
        <f t="shared" si="73"/>
        <v>42350</v>
      </c>
      <c r="D5050" s="190" t="s">
        <v>2015</v>
      </c>
      <c r="E5050" s="190">
        <v>42350</v>
      </c>
      <c r="F5050" s="191" t="s">
        <v>439</v>
      </c>
      <c r="G5050" s="482" t="s">
        <v>1261</v>
      </c>
      <c r="H5050" s="192" t="s">
        <v>2016</v>
      </c>
      <c r="I5050" s="255">
        <v>500</v>
      </c>
      <c r="J5050" s="255">
        <v>4772.3925219137163</v>
      </c>
      <c r="K5050" s="593">
        <f t="shared" si="74"/>
        <v>2386196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69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799"/>
    </row>
    <row r="5051" spans="1:27" s="210" customFormat="1" ht="15.75" customHeight="1">
      <c r="A5051" s="203" t="str">
        <f>IF(B5051&lt;&gt;"",IF(AND(B5051&gt;=_TM1,B5051&lt;=_TM2,OR(TH!L5051="1111",TH!M5051="1111")),TH!D5051,""),"")</f>
        <v/>
      </c>
      <c r="B5051" s="36">
        <f t="shared" si="72"/>
        <v>12</v>
      </c>
      <c r="C5051" s="183">
        <f t="shared" si="73"/>
        <v>42353</v>
      </c>
      <c r="D5051" s="190" t="s">
        <v>2015</v>
      </c>
      <c r="E5051" s="190">
        <v>42353</v>
      </c>
      <c r="F5051" s="191" t="s">
        <v>1264</v>
      </c>
      <c r="G5051" s="482" t="s">
        <v>1265</v>
      </c>
      <c r="H5051" s="192" t="s">
        <v>2016</v>
      </c>
      <c r="I5051" s="255">
        <v>244</v>
      </c>
      <c r="J5051" s="255">
        <v>6711.1769839411636</v>
      </c>
      <c r="K5051" s="593">
        <f t="shared" si="74"/>
        <v>1637527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69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799"/>
    </row>
    <row r="5052" spans="1:27" s="210" customFormat="1" ht="15.75" customHeight="1">
      <c r="A5052" s="203" t="str">
        <f>IF(B5052&lt;&gt;"",IF(AND(B5052&gt;=_TM1,B5052&lt;=_TM2,OR(TH!L5052="1111",TH!M5052="1111")),TH!D5052,""),"")</f>
        <v/>
      </c>
      <c r="B5052" s="36">
        <f t="shared" si="72"/>
        <v>12</v>
      </c>
      <c r="C5052" s="183">
        <f t="shared" si="73"/>
        <v>42353</v>
      </c>
      <c r="D5052" s="190" t="s">
        <v>2015</v>
      </c>
      <c r="E5052" s="190">
        <v>42353</v>
      </c>
      <c r="F5052" s="191" t="s">
        <v>1686</v>
      </c>
      <c r="G5052" s="482" t="s">
        <v>1265</v>
      </c>
      <c r="H5052" s="192" t="s">
        <v>2016</v>
      </c>
      <c r="I5052" s="255">
        <v>488</v>
      </c>
      <c r="J5052" s="255">
        <v>820.25496470392</v>
      </c>
      <c r="K5052" s="593">
        <f t="shared" si="74"/>
        <v>400284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69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799"/>
    </row>
    <row r="5053" spans="1:27" s="210" customFormat="1" ht="15.75" customHeight="1">
      <c r="A5053" s="203" t="str">
        <f>IF(B5053&lt;&gt;"",IF(AND(B5053&gt;=_TM1,B5053&lt;=_TM2,OR(TH!L5053="1111",TH!M5053="1111")),TH!D5053,""),"")</f>
        <v/>
      </c>
      <c r="B5053" s="36">
        <f t="shared" si="72"/>
        <v>12</v>
      </c>
      <c r="C5053" s="183">
        <f t="shared" si="73"/>
        <v>42353</v>
      </c>
      <c r="D5053" s="190" t="s">
        <v>2015</v>
      </c>
      <c r="E5053" s="190">
        <v>42353</v>
      </c>
      <c r="F5053" s="191" t="s">
        <v>1030</v>
      </c>
      <c r="G5053" s="482" t="s">
        <v>1266</v>
      </c>
      <c r="H5053" s="192" t="s">
        <v>2016</v>
      </c>
      <c r="I5053" s="255">
        <v>508</v>
      </c>
      <c r="J5053" s="255">
        <v>12005.549937939193</v>
      </c>
      <c r="K5053" s="593">
        <f t="shared" si="74"/>
        <v>6098819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69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799"/>
    </row>
    <row r="5054" spans="1:27" s="210" customFormat="1" ht="15.75" customHeight="1">
      <c r="A5054" s="203" t="str">
        <f>IF(B5054&lt;&gt;"",IF(AND(B5054&gt;=_TM1,B5054&lt;=_TM2,OR(TH!L5054="1111",TH!M5054="1111")),TH!D5054,""),"")</f>
        <v/>
      </c>
      <c r="B5054" s="36">
        <f t="shared" si="72"/>
        <v>12</v>
      </c>
      <c r="C5054" s="183">
        <f t="shared" si="73"/>
        <v>42353</v>
      </c>
      <c r="D5054" s="190" t="s">
        <v>2015</v>
      </c>
      <c r="E5054" s="190">
        <v>42353</v>
      </c>
      <c r="F5054" s="191" t="s">
        <v>1267</v>
      </c>
      <c r="G5054" s="482" t="s">
        <v>1268</v>
      </c>
      <c r="H5054" s="192" t="s">
        <v>2016</v>
      </c>
      <c r="I5054" s="255">
        <v>130</v>
      </c>
      <c r="J5054" s="255">
        <v>5965.4906523921454</v>
      </c>
      <c r="K5054" s="593">
        <f t="shared" si="74"/>
        <v>775514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69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799"/>
    </row>
    <row r="5055" spans="1:27" s="210" customFormat="1" ht="15.75" customHeight="1">
      <c r="A5055" s="203" t="str">
        <f>IF(B5055&lt;&gt;"",IF(AND(B5055&gt;=_TM1,B5055&lt;=_TM2,OR(TH!L5055="1111",TH!M5055="1111")),TH!D5055,""),"")</f>
        <v/>
      </c>
      <c r="B5055" s="36">
        <f t="shared" si="72"/>
        <v>12</v>
      </c>
      <c r="C5055" s="183">
        <f t="shared" si="73"/>
        <v>42355</v>
      </c>
      <c r="D5055" s="190" t="s">
        <v>2015</v>
      </c>
      <c r="E5055" s="190">
        <v>42355</v>
      </c>
      <c r="F5055" s="191" t="s">
        <v>906</v>
      </c>
      <c r="G5055" s="482" t="s">
        <v>1269</v>
      </c>
      <c r="H5055" s="192" t="s">
        <v>2016</v>
      </c>
      <c r="I5055" s="255">
        <v>302</v>
      </c>
      <c r="J5055" s="255">
        <v>6785.7456170960659</v>
      </c>
      <c r="K5055" s="593">
        <f t="shared" si="74"/>
        <v>2049295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69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799"/>
    </row>
    <row r="5056" spans="1:27" s="210" customFormat="1" ht="15.75" customHeight="1">
      <c r="A5056" s="203" t="str">
        <f>IF(B5056&lt;&gt;"",IF(AND(B5056&gt;=_TM1,B5056&lt;=_TM2,OR(TH!L5056="1111",TH!M5056="1111")),TH!D5056,""),"")</f>
        <v/>
      </c>
      <c r="B5056" s="36">
        <f t="shared" si="72"/>
        <v>12</v>
      </c>
      <c r="C5056" s="183">
        <f t="shared" si="73"/>
        <v>42355</v>
      </c>
      <c r="D5056" s="190" t="s">
        <v>2015</v>
      </c>
      <c r="E5056" s="190">
        <v>42355</v>
      </c>
      <c r="F5056" s="191" t="s">
        <v>906</v>
      </c>
      <c r="G5056" s="482" t="s">
        <v>1269</v>
      </c>
      <c r="H5056" s="192" t="s">
        <v>2016</v>
      </c>
      <c r="I5056" s="255">
        <v>300</v>
      </c>
      <c r="J5056" s="255">
        <v>6785.7456170960659</v>
      </c>
      <c r="K5056" s="593">
        <f t="shared" si="74"/>
        <v>2035724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69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799"/>
    </row>
    <row r="5057" spans="1:27" s="210" customFormat="1" ht="15.75" customHeight="1">
      <c r="A5057" s="203" t="str">
        <f>IF(B5057&lt;&gt;"",IF(AND(B5057&gt;=_TM1,B5057&lt;=_TM2,OR(TH!L5057="1111",TH!M5057="1111")),TH!D5057,""),"")</f>
        <v/>
      </c>
      <c r="B5057" s="36">
        <f t="shared" si="72"/>
        <v>12</v>
      </c>
      <c r="C5057" s="183">
        <f t="shared" si="73"/>
        <v>42355</v>
      </c>
      <c r="D5057" s="190" t="s">
        <v>2015</v>
      </c>
      <c r="E5057" s="190">
        <v>42355</v>
      </c>
      <c r="F5057" s="191" t="s">
        <v>614</v>
      </c>
      <c r="G5057" s="482" t="s">
        <v>1269</v>
      </c>
      <c r="H5057" s="192" t="s">
        <v>2016</v>
      </c>
      <c r="I5057" s="255">
        <v>300</v>
      </c>
      <c r="J5057" s="255">
        <v>4921.52978822352</v>
      </c>
      <c r="K5057" s="593">
        <f t="shared" si="74"/>
        <v>1476459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69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799"/>
    </row>
    <row r="5058" spans="1:27" s="210" customFormat="1" ht="15.75" customHeight="1">
      <c r="A5058" s="203" t="str">
        <f>IF(B5058&lt;&gt;"",IF(AND(B5058&gt;=_TM1,B5058&lt;=_TM2,OR(TH!L5058="1111",TH!M5058="1111")),TH!D5058,""),"")</f>
        <v/>
      </c>
      <c r="B5058" s="36">
        <f t="shared" si="72"/>
        <v>12</v>
      </c>
      <c r="C5058" s="183">
        <f t="shared" si="73"/>
        <v>42355</v>
      </c>
      <c r="D5058" s="190" t="s">
        <v>2015</v>
      </c>
      <c r="E5058" s="190">
        <v>42355</v>
      </c>
      <c r="F5058" s="191" t="s">
        <v>614</v>
      </c>
      <c r="G5058" s="482" t="s">
        <v>1269</v>
      </c>
      <c r="H5058" s="192" t="s">
        <v>2016</v>
      </c>
      <c r="I5058" s="255">
        <v>298</v>
      </c>
      <c r="J5058" s="255">
        <v>4921.52978822352</v>
      </c>
      <c r="K5058" s="593">
        <f t="shared" si="74"/>
        <v>1466616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69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799"/>
    </row>
    <row r="5059" spans="1:27" s="210" customFormat="1" ht="15.75" customHeight="1">
      <c r="A5059" s="203" t="str">
        <f>IF(B5059&lt;&gt;"",IF(AND(B5059&gt;=_TM1,B5059&lt;=_TM2,OR(TH!L5059="1111",TH!M5059="1111")),TH!D5059,""),"")</f>
        <v/>
      </c>
      <c r="B5059" s="36">
        <f t="shared" si="72"/>
        <v>12</v>
      </c>
      <c r="C5059" s="183">
        <f t="shared" si="73"/>
        <v>42355</v>
      </c>
      <c r="D5059" s="190" t="s">
        <v>2015</v>
      </c>
      <c r="E5059" s="190">
        <v>42355</v>
      </c>
      <c r="F5059" s="191" t="s">
        <v>614</v>
      </c>
      <c r="G5059" s="482" t="s">
        <v>1269</v>
      </c>
      <c r="H5059" s="192" t="s">
        <v>2016</v>
      </c>
      <c r="I5059" s="255">
        <v>300</v>
      </c>
      <c r="J5059" s="255">
        <v>4921.52978822352</v>
      </c>
      <c r="K5059" s="593">
        <f t="shared" si="74"/>
        <v>1476459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69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799"/>
    </row>
    <row r="5060" spans="1:27" s="210" customFormat="1" ht="15.75" customHeight="1">
      <c r="A5060" s="203" t="str">
        <f>IF(B5060&lt;&gt;"",IF(AND(B5060&gt;=_TM1,B5060&lt;=_TM2,OR(TH!L5060="1111",TH!M5060="1111")),TH!D5060,""),"")</f>
        <v/>
      </c>
      <c r="B5060" s="36">
        <f t="shared" si="72"/>
        <v>12</v>
      </c>
      <c r="C5060" s="183">
        <f t="shared" si="73"/>
        <v>42355</v>
      </c>
      <c r="D5060" s="190" t="s">
        <v>2015</v>
      </c>
      <c r="E5060" s="190">
        <v>42355</v>
      </c>
      <c r="F5060" s="191" t="s">
        <v>614</v>
      </c>
      <c r="G5060" s="482" t="s">
        <v>1269</v>
      </c>
      <c r="H5060" s="192" t="s">
        <v>2016</v>
      </c>
      <c r="I5060" s="255">
        <v>300</v>
      </c>
      <c r="J5060" s="255">
        <v>4921.52978822352</v>
      </c>
      <c r="K5060" s="593">
        <f t="shared" si="74"/>
        <v>1476459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69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799"/>
    </row>
    <row r="5061" spans="1:27" s="210" customFormat="1" ht="15.75" customHeight="1">
      <c r="A5061" s="203" t="str">
        <f>IF(B5061&lt;&gt;"",IF(AND(B5061&gt;=_TM1,B5061&lt;=_TM2,OR(TH!L5061="1111",TH!M5061="1111")),TH!D5061,""),"")</f>
        <v/>
      </c>
      <c r="B5061" s="36">
        <f t="shared" si="72"/>
        <v>12</v>
      </c>
      <c r="C5061" s="183">
        <f t="shared" si="73"/>
        <v>42355</v>
      </c>
      <c r="D5061" s="190" t="s">
        <v>2015</v>
      </c>
      <c r="E5061" s="190">
        <v>42355</v>
      </c>
      <c r="F5061" s="191" t="s">
        <v>614</v>
      </c>
      <c r="G5061" s="482" t="s">
        <v>1269</v>
      </c>
      <c r="H5061" s="192" t="s">
        <v>2016</v>
      </c>
      <c r="I5061" s="255">
        <v>300</v>
      </c>
      <c r="J5061" s="255">
        <v>4921.52978822352</v>
      </c>
      <c r="K5061" s="593">
        <f t="shared" si="74"/>
        <v>1476459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69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799"/>
    </row>
    <row r="5062" spans="1:27" s="210" customFormat="1" ht="15.75" customHeight="1">
      <c r="A5062" s="203" t="str">
        <f>IF(B5062&lt;&gt;"",IF(AND(B5062&gt;=_TM1,B5062&lt;=_TM2,OR(TH!L5062="1111",TH!M5062="1111")),TH!D5062,""),"")</f>
        <v/>
      </c>
      <c r="B5062" s="36">
        <f t="shared" si="72"/>
        <v>12</v>
      </c>
      <c r="C5062" s="183">
        <f t="shared" si="73"/>
        <v>42355</v>
      </c>
      <c r="D5062" s="190" t="s">
        <v>2015</v>
      </c>
      <c r="E5062" s="190">
        <v>42355</v>
      </c>
      <c r="F5062" s="191" t="s">
        <v>1270</v>
      </c>
      <c r="G5062" s="482" t="s">
        <v>1271</v>
      </c>
      <c r="H5062" s="192" t="s">
        <v>2016</v>
      </c>
      <c r="I5062" s="255">
        <v>100</v>
      </c>
      <c r="J5062" s="255">
        <v>11409.000872699979</v>
      </c>
      <c r="K5062" s="593">
        <f t="shared" si="74"/>
        <v>1140900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69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799"/>
    </row>
    <row r="5063" spans="1:27" s="210" customFormat="1" ht="15.75" customHeight="1">
      <c r="A5063" s="203" t="str">
        <f>IF(B5063&lt;&gt;"",IF(AND(B5063&gt;=_TM1,B5063&lt;=_TM2,OR(TH!L5063="1111",TH!M5063="1111")),TH!D5063,""),"")</f>
        <v/>
      </c>
      <c r="B5063" s="36">
        <f t="shared" si="72"/>
        <v>12</v>
      </c>
      <c r="C5063" s="183">
        <f t="shared" si="73"/>
        <v>42356</v>
      </c>
      <c r="D5063" s="190" t="s">
        <v>2015</v>
      </c>
      <c r="E5063" s="190">
        <v>42356</v>
      </c>
      <c r="F5063" s="191" t="s">
        <v>1273</v>
      </c>
      <c r="G5063" s="482" t="s">
        <v>1274</v>
      </c>
      <c r="H5063" s="192" t="s">
        <v>2016</v>
      </c>
      <c r="I5063" s="255">
        <v>241</v>
      </c>
      <c r="J5063" s="255">
        <v>5294.3729539980286</v>
      </c>
      <c r="K5063" s="593">
        <f t="shared" si="74"/>
        <v>1275944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69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799"/>
    </row>
    <row r="5064" spans="1:27" s="210" customFormat="1" ht="15.75" customHeight="1">
      <c r="A5064" s="203" t="str">
        <f>IF(B5064&lt;&gt;"",IF(AND(B5064&gt;=_TM1,B5064&lt;=_TM2,OR(TH!L5064="1111",TH!M5064="1111")),TH!D5064,""),"")</f>
        <v/>
      </c>
      <c r="B5064" s="36">
        <f t="shared" si="72"/>
        <v>12</v>
      </c>
      <c r="C5064" s="183">
        <f t="shared" si="73"/>
        <v>42356</v>
      </c>
      <c r="D5064" s="190" t="s">
        <v>2015</v>
      </c>
      <c r="E5064" s="190">
        <v>42356</v>
      </c>
      <c r="F5064" s="191" t="s">
        <v>1687</v>
      </c>
      <c r="G5064" s="482" t="s">
        <v>1274</v>
      </c>
      <c r="H5064" s="192" t="s">
        <v>2016</v>
      </c>
      <c r="I5064" s="255">
        <v>241</v>
      </c>
      <c r="J5064" s="255">
        <v>671.11769839411636</v>
      </c>
      <c r="K5064" s="593">
        <f t="shared" si="74"/>
        <v>161739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69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799"/>
    </row>
    <row r="5065" spans="1:27" s="210" customFormat="1" ht="15.75" customHeight="1">
      <c r="A5065" s="203" t="str">
        <f>IF(B5065&lt;&gt;"",IF(AND(B5065&gt;=_TM1,B5065&lt;=_TM2,OR(TH!L5065="1111",TH!M5065="1111")),TH!D5065,""),"")</f>
        <v/>
      </c>
      <c r="B5065" s="36">
        <f t="shared" si="72"/>
        <v>12</v>
      </c>
      <c r="C5065" s="183">
        <f t="shared" si="73"/>
        <v>42356</v>
      </c>
      <c r="D5065" s="190" t="s">
        <v>2015</v>
      </c>
      <c r="E5065" s="190">
        <v>42356</v>
      </c>
      <c r="F5065" s="191" t="s">
        <v>1777</v>
      </c>
      <c r="G5065" s="482" t="s">
        <v>1275</v>
      </c>
      <c r="H5065" s="192" t="s">
        <v>2016</v>
      </c>
      <c r="I5065" s="255">
        <v>480</v>
      </c>
      <c r="J5065" s="255">
        <v>11781.844038474488</v>
      </c>
      <c r="K5065" s="593">
        <f t="shared" si="74"/>
        <v>5655285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69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799"/>
    </row>
    <row r="5066" spans="1:27" s="210" customFormat="1" ht="15.75" customHeight="1">
      <c r="A5066" s="203" t="str">
        <f>IF(B5066&lt;&gt;"",IF(AND(B5066&gt;=_TM1,B5066&lt;=_TM2,OR(TH!L5066="1111",TH!M5066="1111")),TH!D5066,""),"")</f>
        <v/>
      </c>
      <c r="B5066" s="36">
        <f t="shared" si="72"/>
        <v>12</v>
      </c>
      <c r="C5066" s="183">
        <f t="shared" si="73"/>
        <v>42356</v>
      </c>
      <c r="D5066" s="190" t="s">
        <v>2015</v>
      </c>
      <c r="E5066" s="190">
        <v>42356</v>
      </c>
      <c r="F5066" s="191" t="s">
        <v>728</v>
      </c>
      <c r="G5066" s="482" t="s">
        <v>1275</v>
      </c>
      <c r="H5066" s="192" t="s">
        <v>2016</v>
      </c>
      <c r="I5066" s="255">
        <v>500</v>
      </c>
      <c r="J5066" s="255">
        <v>12676.667636333308</v>
      </c>
      <c r="K5066" s="593">
        <f t="shared" si="74"/>
        <v>6338334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69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799"/>
    </row>
    <row r="5067" spans="1:27" s="210" customFormat="1" ht="15.75" customHeight="1">
      <c r="A5067" s="203" t="str">
        <f>IF(B5067&lt;&gt;"",IF(AND(B5067&gt;=_TM1,B5067&lt;=_TM2,OR(TH!L5067="1111",TH!M5067="1111")),TH!D5067,""),"")</f>
        <v/>
      </c>
      <c r="B5067" s="36">
        <f t="shared" si="72"/>
        <v>12</v>
      </c>
      <c r="C5067" s="183">
        <f t="shared" si="73"/>
        <v>42356</v>
      </c>
      <c r="D5067" s="190" t="s">
        <v>2015</v>
      </c>
      <c r="E5067" s="190">
        <v>42356</v>
      </c>
      <c r="F5067" s="191" t="s">
        <v>745</v>
      </c>
      <c r="G5067" s="482" t="s">
        <v>1275</v>
      </c>
      <c r="H5067" s="192" t="s">
        <v>2016</v>
      </c>
      <c r="I5067" s="255">
        <v>500</v>
      </c>
      <c r="J5067" s="255">
        <v>7904.2751144195927</v>
      </c>
      <c r="K5067" s="593">
        <f t="shared" si="74"/>
        <v>3952138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69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799"/>
    </row>
    <row r="5068" spans="1:27" s="210" customFormat="1" ht="15.75" customHeight="1">
      <c r="A5068" s="203" t="str">
        <f>IF(B5068&lt;&gt;"",IF(AND(B5068&gt;=_TM1,B5068&lt;=_TM2,OR(TH!L5068="1111",TH!M5068="1111")),TH!D5068,""),"")</f>
        <v/>
      </c>
      <c r="B5068" s="36">
        <f t="shared" si="72"/>
        <v>12</v>
      </c>
      <c r="C5068" s="183">
        <f t="shared" si="73"/>
        <v>42356</v>
      </c>
      <c r="D5068" s="190" t="s">
        <v>2015</v>
      </c>
      <c r="E5068" s="190">
        <v>42356</v>
      </c>
      <c r="F5068" s="191" t="s">
        <v>1749</v>
      </c>
      <c r="G5068" s="482" t="s">
        <v>1275</v>
      </c>
      <c r="H5068" s="192" t="s">
        <v>2016</v>
      </c>
      <c r="I5068" s="255">
        <v>50</v>
      </c>
      <c r="J5068" s="255">
        <v>13795.197133656837</v>
      </c>
      <c r="K5068" s="593">
        <f t="shared" si="74"/>
        <v>689760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69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799"/>
    </row>
    <row r="5069" spans="1:27" s="210" customFormat="1" ht="15.75" customHeight="1">
      <c r="A5069" s="203" t="str">
        <f>IF(B5069&lt;&gt;"",IF(AND(B5069&gt;=_TM1,B5069&lt;=_TM2,OR(TH!L5069="1111",TH!M5069="1111")),TH!D5069,""),"")</f>
        <v/>
      </c>
      <c r="B5069" s="36">
        <f t="shared" si="72"/>
        <v>12</v>
      </c>
      <c r="C5069" s="183">
        <f t="shared" si="73"/>
        <v>42357</v>
      </c>
      <c r="D5069" s="190" t="s">
        <v>2015</v>
      </c>
      <c r="E5069" s="190">
        <v>42357</v>
      </c>
      <c r="F5069" s="191" t="s">
        <v>424</v>
      </c>
      <c r="G5069" s="482" t="s">
        <v>1276</v>
      </c>
      <c r="H5069" s="192" t="s">
        <v>2016</v>
      </c>
      <c r="I5069" s="255">
        <v>5800</v>
      </c>
      <c r="J5069" s="255">
        <v>7829.7064812646913</v>
      </c>
      <c r="K5069" s="593">
        <f t="shared" si="74"/>
        <v>45412298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69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799"/>
    </row>
    <row r="5070" spans="1:27" s="210" customFormat="1" ht="15.75" customHeight="1">
      <c r="A5070" s="203" t="str">
        <f>IF(B5070&lt;&gt;"",IF(AND(B5070&gt;=_TM1,B5070&lt;=_TM2,OR(TH!L5070="1111",TH!M5070="1111")),TH!D5070,""),"")</f>
        <v/>
      </c>
      <c r="B5070" s="36">
        <f t="shared" si="72"/>
        <v>12</v>
      </c>
      <c r="C5070" s="183">
        <f t="shared" si="73"/>
        <v>42357</v>
      </c>
      <c r="D5070" s="190" t="s">
        <v>2015</v>
      </c>
      <c r="E5070" s="190">
        <v>42357</v>
      </c>
      <c r="F5070" s="191" t="s">
        <v>1277</v>
      </c>
      <c r="G5070" s="482" t="s">
        <v>1276</v>
      </c>
      <c r="H5070" s="192" t="s">
        <v>2016</v>
      </c>
      <c r="I5070" s="255">
        <v>55</v>
      </c>
      <c r="J5070" s="255">
        <v>8575.3928128137086</v>
      </c>
      <c r="K5070" s="593">
        <f t="shared" si="74"/>
        <v>471647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69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799"/>
    </row>
    <row r="5071" spans="1:27" s="210" customFormat="1" ht="15.75" customHeight="1">
      <c r="A5071" s="203" t="str">
        <f>IF(B5071&lt;&gt;"",IF(AND(B5071&gt;=_TM1,B5071&lt;=_TM2,OR(TH!L5071="1111",TH!M5071="1111")),TH!D5071,""),"")</f>
        <v/>
      </c>
      <c r="B5071" s="36">
        <f t="shared" si="72"/>
        <v>12</v>
      </c>
      <c r="C5071" s="183">
        <f t="shared" si="73"/>
        <v>42357</v>
      </c>
      <c r="D5071" s="190" t="s">
        <v>2015</v>
      </c>
      <c r="E5071" s="190">
        <v>42357</v>
      </c>
      <c r="F5071" s="191" t="s">
        <v>602</v>
      </c>
      <c r="G5071" s="482" t="s">
        <v>1276</v>
      </c>
      <c r="H5071" s="192" t="s">
        <v>2016</v>
      </c>
      <c r="I5071" s="255">
        <v>161</v>
      </c>
      <c r="J5071" s="255">
        <v>9395.6477775176299</v>
      </c>
      <c r="K5071" s="593">
        <f t="shared" si="74"/>
        <v>1512699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69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799"/>
    </row>
    <row r="5072" spans="1:27" s="210" customFormat="1" ht="15.75" customHeight="1">
      <c r="A5072" s="203" t="str">
        <f>IF(B5072&lt;&gt;"",IF(AND(B5072&gt;=_TM1,B5072&lt;=_TM2,OR(TH!L5072="1111",TH!M5072="1111")),TH!D5072,""),"")</f>
        <v/>
      </c>
      <c r="B5072" s="36">
        <f t="shared" si="72"/>
        <v>12</v>
      </c>
      <c r="C5072" s="183">
        <f t="shared" si="73"/>
        <v>42357</v>
      </c>
      <c r="D5072" s="190" t="s">
        <v>2015</v>
      </c>
      <c r="E5072" s="190">
        <v>42357</v>
      </c>
      <c r="F5072" s="191" t="s">
        <v>1240</v>
      </c>
      <c r="G5072" s="482" t="s">
        <v>1278</v>
      </c>
      <c r="H5072" s="192" t="s">
        <v>2016</v>
      </c>
      <c r="I5072" s="255">
        <v>251</v>
      </c>
      <c r="J5072" s="255">
        <v>63383.338181666542</v>
      </c>
      <c r="K5072" s="593">
        <f t="shared" si="74"/>
        <v>15909218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69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799"/>
    </row>
    <row r="5073" spans="1:27" s="210" customFormat="1" ht="15.75" customHeight="1">
      <c r="A5073" s="203" t="str">
        <f>IF(B5073&lt;&gt;"",IF(AND(B5073&gt;=_TM1,B5073&lt;=_TM2,OR(TH!L5073="1111",TH!M5073="1111")),TH!D5073,""),"")</f>
        <v/>
      </c>
      <c r="B5073" s="36">
        <f t="shared" si="72"/>
        <v>12</v>
      </c>
      <c r="C5073" s="183">
        <f t="shared" si="73"/>
        <v>42359</v>
      </c>
      <c r="D5073" s="190" t="s">
        <v>2015</v>
      </c>
      <c r="E5073" s="190">
        <v>42359</v>
      </c>
      <c r="F5073" s="191" t="s">
        <v>1948</v>
      </c>
      <c r="G5073" s="482" t="s">
        <v>1279</v>
      </c>
      <c r="H5073" s="192" t="s">
        <v>2016</v>
      </c>
      <c r="I5073" s="255">
        <v>3935</v>
      </c>
      <c r="J5073" s="255">
        <v>9246.5105112078254</v>
      </c>
      <c r="K5073" s="593">
        <f t="shared" si="74"/>
        <v>36385019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69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799"/>
    </row>
    <row r="5074" spans="1:27" s="210" customFormat="1" ht="15.75" customHeight="1">
      <c r="A5074" s="203" t="str">
        <f>IF(B5074&lt;&gt;"",IF(AND(B5074&gt;=_TM1,B5074&lt;=_TM2,OR(TH!L5074="1111",TH!M5074="1111")),TH!D5074,""),"")</f>
        <v/>
      </c>
      <c r="B5074" s="36">
        <f t="shared" si="72"/>
        <v>12</v>
      </c>
      <c r="C5074" s="183">
        <f t="shared" si="73"/>
        <v>42359</v>
      </c>
      <c r="D5074" s="190" t="s">
        <v>2015</v>
      </c>
      <c r="E5074" s="190">
        <v>42359</v>
      </c>
      <c r="F5074" s="191" t="s">
        <v>1953</v>
      </c>
      <c r="G5074" s="482" t="s">
        <v>1280</v>
      </c>
      <c r="H5074" s="192" t="s">
        <v>2016</v>
      </c>
      <c r="I5074" s="255">
        <v>400</v>
      </c>
      <c r="J5074" s="255">
        <v>5965.4906523921454</v>
      </c>
      <c r="K5074" s="593">
        <f t="shared" si="74"/>
        <v>2386196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69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799"/>
    </row>
    <row r="5075" spans="1:27" s="210" customFormat="1" ht="15.75" customHeight="1">
      <c r="A5075" s="203" t="str">
        <f>IF(B5075&lt;&gt;"",IF(AND(B5075&gt;=_TM1,B5075&lt;=_TM2,OR(TH!L5075="1111",TH!M5075="1111")),TH!D5075,""),"")</f>
        <v/>
      </c>
      <c r="B5075" s="36">
        <f t="shared" si="72"/>
        <v>12</v>
      </c>
      <c r="C5075" s="183">
        <f t="shared" si="73"/>
        <v>42359</v>
      </c>
      <c r="D5075" s="190" t="s">
        <v>2015</v>
      </c>
      <c r="E5075" s="190">
        <v>42359</v>
      </c>
      <c r="F5075" s="191" t="s">
        <v>1956</v>
      </c>
      <c r="G5075" s="482" t="s">
        <v>1280</v>
      </c>
      <c r="H5075" s="192" t="s">
        <v>2016</v>
      </c>
      <c r="I5075" s="255">
        <v>2000</v>
      </c>
      <c r="J5075" s="255">
        <v>2908.1766930411709</v>
      </c>
      <c r="K5075" s="593">
        <f t="shared" si="74"/>
        <v>5816353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69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799"/>
    </row>
    <row r="5076" spans="1:27" s="210" customFormat="1" ht="15.75" customHeight="1">
      <c r="A5076" s="203" t="str">
        <f>IF(B5076&lt;&gt;"",IF(AND(B5076&gt;=_TM1,B5076&lt;=_TM2,OR(TH!L5076="1111",TH!M5076="1111")),TH!D5076,""),"")</f>
        <v/>
      </c>
      <c r="B5076" s="36">
        <f t="shared" si="72"/>
        <v>12</v>
      </c>
      <c r="C5076" s="183">
        <f t="shared" si="73"/>
        <v>42359</v>
      </c>
      <c r="D5076" s="190" t="s">
        <v>2015</v>
      </c>
      <c r="E5076" s="190">
        <v>42359</v>
      </c>
      <c r="F5076" s="191" t="s">
        <v>1954</v>
      </c>
      <c r="G5076" s="482" t="s">
        <v>1280</v>
      </c>
      <c r="H5076" s="192" t="s">
        <v>2016</v>
      </c>
      <c r="I5076" s="255">
        <v>200</v>
      </c>
      <c r="J5076" s="255">
        <v>6114.6279187019491</v>
      </c>
      <c r="K5076" s="593">
        <f t="shared" si="74"/>
        <v>1222926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69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799"/>
    </row>
    <row r="5077" spans="1:27" s="210" customFormat="1" ht="15.75" customHeight="1">
      <c r="A5077" s="203" t="str">
        <f>IF(B5077&lt;&gt;"",IF(AND(B5077&gt;=_TM1,B5077&lt;=_TM2,OR(TH!L5077="1111",TH!M5077="1111")),TH!D5077,""),"")</f>
        <v/>
      </c>
      <c r="B5077" s="36">
        <f t="shared" si="72"/>
        <v>12</v>
      </c>
      <c r="C5077" s="183">
        <f t="shared" si="73"/>
        <v>42361</v>
      </c>
      <c r="D5077" s="190" t="s">
        <v>2015</v>
      </c>
      <c r="E5077" s="190">
        <v>42361</v>
      </c>
      <c r="F5077" s="191" t="s">
        <v>1140</v>
      </c>
      <c r="G5077" s="482" t="s">
        <v>1281</v>
      </c>
      <c r="H5077" s="192" t="s">
        <v>2016</v>
      </c>
      <c r="I5077" s="255">
        <v>1453</v>
      </c>
      <c r="J5077" s="255">
        <v>8500.8241796588063</v>
      </c>
      <c r="K5077" s="593">
        <f t="shared" si="74"/>
        <v>12351698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69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799"/>
    </row>
    <row r="5078" spans="1:27" s="210" customFormat="1" ht="15.75" customHeight="1">
      <c r="A5078" s="203" t="str">
        <f>IF(B5078&lt;&gt;"",IF(AND(B5078&gt;=_TM1,B5078&lt;=_TM2,OR(TH!L5078="1111",TH!M5078="1111")),TH!D5078,""),"")</f>
        <v/>
      </c>
      <c r="B5078" s="36">
        <f t="shared" si="72"/>
        <v>12</v>
      </c>
      <c r="C5078" s="183">
        <f t="shared" si="73"/>
        <v>42361</v>
      </c>
      <c r="D5078" s="190" t="s">
        <v>2015</v>
      </c>
      <c r="E5078" s="190">
        <v>42361</v>
      </c>
      <c r="F5078" s="191" t="s">
        <v>1140</v>
      </c>
      <c r="G5078" s="482" t="s">
        <v>1281</v>
      </c>
      <c r="H5078" s="192" t="s">
        <v>2016</v>
      </c>
      <c r="I5078" s="255">
        <v>100</v>
      </c>
      <c r="J5078" s="255">
        <v>8500.8241796588063</v>
      </c>
      <c r="K5078" s="593">
        <f t="shared" si="74"/>
        <v>850082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69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799"/>
    </row>
    <row r="5079" spans="1:27" s="210" customFormat="1" ht="15.75" customHeight="1">
      <c r="A5079" s="203" t="str">
        <f>IF(B5079&lt;&gt;"",IF(AND(B5079&gt;=_TM1,B5079&lt;=_TM2,OR(TH!L5079="1111",TH!M5079="1111")),TH!D5079,""),"")</f>
        <v/>
      </c>
      <c r="B5079" s="36">
        <f t="shared" si="72"/>
        <v>12</v>
      </c>
      <c r="C5079" s="183">
        <f t="shared" si="73"/>
        <v>42361</v>
      </c>
      <c r="D5079" s="190" t="s">
        <v>2015</v>
      </c>
      <c r="E5079" s="190">
        <v>42361</v>
      </c>
      <c r="F5079" s="191" t="s">
        <v>1654</v>
      </c>
      <c r="G5079" s="482" t="s">
        <v>1281</v>
      </c>
      <c r="H5079" s="192" t="s">
        <v>2016</v>
      </c>
      <c r="I5079" s="255">
        <v>3106</v>
      </c>
      <c r="J5079" s="255">
        <v>745.68633154901818</v>
      </c>
      <c r="K5079" s="593">
        <f t="shared" si="74"/>
        <v>2316102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69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799"/>
    </row>
    <row r="5080" spans="1:27" s="210" customFormat="1" ht="15.75" customHeight="1">
      <c r="A5080" s="203" t="str">
        <f>IF(B5080&lt;&gt;"",IF(AND(B5080&gt;=_TM1,B5080&lt;=_TM2,OR(TH!L5080="1111",TH!M5080="1111")),TH!D5080,""),"")</f>
        <v/>
      </c>
      <c r="B5080" s="36">
        <f t="shared" si="72"/>
        <v>12</v>
      </c>
      <c r="C5080" s="183">
        <f t="shared" si="73"/>
        <v>42361</v>
      </c>
      <c r="D5080" s="190" t="s">
        <v>2015</v>
      </c>
      <c r="E5080" s="190">
        <v>42361</v>
      </c>
      <c r="F5080" s="191" t="s">
        <v>1952</v>
      </c>
      <c r="G5080" s="482" t="s">
        <v>1282</v>
      </c>
      <c r="H5080" s="192" t="s">
        <v>2016</v>
      </c>
      <c r="I5080" s="255">
        <v>100</v>
      </c>
      <c r="J5080" s="255">
        <v>9917.6282096019422</v>
      </c>
      <c r="K5080" s="593">
        <f t="shared" si="74"/>
        <v>991763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69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799"/>
    </row>
    <row r="5081" spans="1:27" s="210" customFormat="1" ht="15.75" customHeight="1">
      <c r="A5081" s="203" t="str">
        <f>IF(B5081&lt;&gt;"",IF(AND(B5081&gt;=_TM1,B5081&lt;=_TM2,OR(TH!L5081="1111",TH!M5081="1111")),TH!D5081,""),"")</f>
        <v/>
      </c>
      <c r="B5081" s="36">
        <f t="shared" si="72"/>
        <v>12</v>
      </c>
      <c r="C5081" s="183">
        <f t="shared" si="73"/>
        <v>42363</v>
      </c>
      <c r="D5081" s="190" t="s">
        <v>2015</v>
      </c>
      <c r="E5081" s="190">
        <v>42363</v>
      </c>
      <c r="F5081" s="191" t="s">
        <v>844</v>
      </c>
      <c r="G5081" s="482" t="s">
        <v>1283</v>
      </c>
      <c r="H5081" s="192" t="s">
        <v>2016</v>
      </c>
      <c r="I5081" s="255">
        <v>300</v>
      </c>
      <c r="J5081" s="255">
        <v>8500.8241796588063</v>
      </c>
      <c r="K5081" s="593">
        <f t="shared" si="74"/>
        <v>2550247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69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799"/>
    </row>
    <row r="5082" spans="1:27" s="210" customFormat="1" ht="15.75" customHeight="1">
      <c r="A5082" s="203" t="str">
        <f>IF(B5082&lt;&gt;"",IF(AND(B5082&gt;=_TM1,B5082&lt;=_TM2,OR(TH!L5082="1111",TH!M5082="1111")),TH!D5082,""),"")</f>
        <v/>
      </c>
      <c r="B5082" s="36">
        <f t="shared" si="72"/>
        <v>12</v>
      </c>
      <c r="C5082" s="183">
        <f t="shared" si="73"/>
        <v>42363</v>
      </c>
      <c r="D5082" s="190" t="s">
        <v>2015</v>
      </c>
      <c r="E5082" s="190">
        <v>42363</v>
      </c>
      <c r="F5082" s="191" t="s">
        <v>624</v>
      </c>
      <c r="G5082" s="482" t="s">
        <v>1283</v>
      </c>
      <c r="H5082" s="192" t="s">
        <v>2016</v>
      </c>
      <c r="I5082" s="255">
        <v>102</v>
      </c>
      <c r="J5082" s="255">
        <v>42951.532697223447</v>
      </c>
      <c r="K5082" s="593">
        <f t="shared" si="74"/>
        <v>4381056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69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799"/>
    </row>
    <row r="5083" spans="1:27" s="210" customFormat="1" ht="15.75" customHeight="1">
      <c r="A5083" s="203" t="str">
        <f>IF(B5083&lt;&gt;"",IF(AND(B5083&gt;=_TM1,B5083&lt;=_TM2,OR(TH!L5083="1111",TH!M5083="1111")),TH!D5083,""),"")</f>
        <v/>
      </c>
      <c r="B5083" s="36">
        <f t="shared" si="72"/>
        <v>12</v>
      </c>
      <c r="C5083" s="183">
        <f t="shared" si="73"/>
        <v>42363</v>
      </c>
      <c r="D5083" s="190" t="s">
        <v>2015</v>
      </c>
      <c r="E5083" s="190">
        <v>42363</v>
      </c>
      <c r="F5083" s="191" t="s">
        <v>1284</v>
      </c>
      <c r="G5083" s="482" t="s">
        <v>1283</v>
      </c>
      <c r="H5083" s="192" t="s">
        <v>2016</v>
      </c>
      <c r="I5083" s="255">
        <v>17</v>
      </c>
      <c r="J5083" s="255">
        <v>37880.865642690122</v>
      </c>
      <c r="K5083" s="593">
        <f t="shared" si="74"/>
        <v>643975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69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799"/>
    </row>
    <row r="5084" spans="1:27" s="210" customFormat="1" ht="15.75" customHeight="1">
      <c r="A5084" s="203" t="str">
        <f>IF(B5084&lt;&gt;"",IF(AND(B5084&gt;=_TM1,B5084&lt;=_TM2,OR(TH!L5084="1111",TH!M5084="1111")),TH!D5084,""),"")</f>
        <v/>
      </c>
      <c r="B5084" s="36">
        <f t="shared" si="72"/>
        <v>12</v>
      </c>
      <c r="C5084" s="183">
        <f t="shared" si="73"/>
        <v>42363</v>
      </c>
      <c r="D5084" s="190" t="s">
        <v>2015</v>
      </c>
      <c r="E5084" s="190">
        <v>42363</v>
      </c>
      <c r="F5084" s="191" t="s">
        <v>1285</v>
      </c>
      <c r="G5084" s="482" t="s">
        <v>1286</v>
      </c>
      <c r="H5084" s="192" t="s">
        <v>2016</v>
      </c>
      <c r="I5084" s="255">
        <v>380</v>
      </c>
      <c r="J5084" s="255">
        <v>7755.137848109789</v>
      </c>
      <c r="K5084" s="593">
        <f t="shared" si="74"/>
        <v>2946952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69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799"/>
    </row>
    <row r="5085" spans="1:27" s="210" customFormat="1" ht="15.75" customHeight="1">
      <c r="A5085" s="203" t="str">
        <f>IF(B5085&lt;&gt;"",IF(AND(B5085&gt;=_TM1,B5085&lt;=_TM2,OR(TH!L5085="1111",TH!M5085="1111")),TH!D5085,""),"")</f>
        <v/>
      </c>
      <c r="B5085" s="36">
        <f t="shared" si="72"/>
        <v>12</v>
      </c>
      <c r="C5085" s="183">
        <f t="shared" si="73"/>
        <v>42363</v>
      </c>
      <c r="D5085" s="190" t="s">
        <v>2015</v>
      </c>
      <c r="E5085" s="190">
        <v>42363</v>
      </c>
      <c r="F5085" s="191" t="s">
        <v>1103</v>
      </c>
      <c r="G5085" s="482" t="s">
        <v>1287</v>
      </c>
      <c r="H5085" s="192" t="s">
        <v>2016</v>
      </c>
      <c r="I5085" s="255">
        <v>218</v>
      </c>
      <c r="J5085" s="255">
        <v>5965.4906523921454</v>
      </c>
      <c r="K5085" s="593">
        <f t="shared" si="74"/>
        <v>1300477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69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799"/>
    </row>
    <row r="5086" spans="1:27" s="210" customFormat="1" ht="15.75" customHeight="1">
      <c r="A5086" s="203" t="str">
        <f>IF(B5086&lt;&gt;"",IF(AND(B5086&gt;=_TM1,B5086&lt;=_TM2,OR(TH!L5086="1111",TH!M5086="1111")),TH!D5086,""),"")</f>
        <v/>
      </c>
      <c r="B5086" s="36">
        <f t="shared" si="72"/>
        <v>12</v>
      </c>
      <c r="C5086" s="183">
        <f t="shared" si="73"/>
        <v>42363</v>
      </c>
      <c r="D5086" s="190" t="s">
        <v>2015</v>
      </c>
      <c r="E5086" s="190">
        <v>42363</v>
      </c>
      <c r="F5086" s="191" t="s">
        <v>1106</v>
      </c>
      <c r="G5086" s="482" t="s">
        <v>1287</v>
      </c>
      <c r="H5086" s="192" t="s">
        <v>2016</v>
      </c>
      <c r="I5086" s="255">
        <v>300</v>
      </c>
      <c r="J5086" s="255">
        <v>6934.8828834058695</v>
      </c>
      <c r="K5086" s="593">
        <f t="shared" si="74"/>
        <v>2080465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69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799"/>
    </row>
    <row r="5087" spans="1:27" s="210" customFormat="1" ht="15.75" customHeight="1">
      <c r="A5087" s="203" t="str">
        <f>IF(B5087&lt;&gt;"",IF(AND(B5087&gt;=_TM1,B5087&lt;=_TM2,OR(TH!L5087="1111",TH!M5087="1111")),TH!D5087,""),"")</f>
        <v/>
      </c>
      <c r="B5087" s="36">
        <f t="shared" si="72"/>
        <v>12</v>
      </c>
      <c r="C5087" s="183">
        <f t="shared" si="73"/>
        <v>42363</v>
      </c>
      <c r="D5087" s="190" t="s">
        <v>2015</v>
      </c>
      <c r="E5087" s="190">
        <v>42363</v>
      </c>
      <c r="F5087" s="191" t="s">
        <v>1107</v>
      </c>
      <c r="G5087" s="482" t="s">
        <v>1287</v>
      </c>
      <c r="H5087" s="192" t="s">
        <v>2016</v>
      </c>
      <c r="I5087" s="255">
        <v>513</v>
      </c>
      <c r="J5087" s="255">
        <v>12452.961736868603</v>
      </c>
      <c r="K5087" s="593">
        <f t="shared" si="74"/>
        <v>6388369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69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799"/>
    </row>
    <row r="5088" spans="1:27" s="210" customFormat="1" ht="15.75" customHeight="1">
      <c r="A5088" s="203" t="str">
        <f>IF(B5088&lt;&gt;"",IF(AND(B5088&gt;=_TM1,B5088&lt;=_TM2,OR(TH!L5088="1111",TH!M5088="1111")),TH!D5088,""),"")</f>
        <v/>
      </c>
      <c r="B5088" s="36">
        <f t="shared" si="72"/>
        <v>12</v>
      </c>
      <c r="C5088" s="183">
        <f t="shared" si="73"/>
        <v>42364</v>
      </c>
      <c r="D5088" s="190" t="s">
        <v>2015</v>
      </c>
      <c r="E5088" s="190">
        <v>42364</v>
      </c>
      <c r="F5088" s="191" t="s">
        <v>441</v>
      </c>
      <c r="G5088" s="482" t="s">
        <v>1288</v>
      </c>
      <c r="H5088" s="192" t="s">
        <v>2016</v>
      </c>
      <c r="I5088" s="255">
        <v>992</v>
      </c>
      <c r="J5088" s="255">
        <v>3803.0002908999927</v>
      </c>
      <c r="K5088" s="593">
        <f t="shared" si="74"/>
        <v>3772576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69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799"/>
    </row>
    <row r="5089" spans="1:27" s="210" customFormat="1" ht="15.75" customHeight="1">
      <c r="A5089" s="203" t="str">
        <f>IF(B5089&lt;&gt;"",IF(AND(B5089&gt;=_TM1,B5089&lt;=_TM2,OR(TH!L5089="1111",TH!M5089="1111")),TH!D5089,""),"")</f>
        <v/>
      </c>
      <c r="B5089" s="36">
        <f t="shared" si="72"/>
        <v>12</v>
      </c>
      <c r="C5089" s="183">
        <f t="shared" si="73"/>
        <v>42364</v>
      </c>
      <c r="D5089" s="190" t="s">
        <v>2015</v>
      </c>
      <c r="E5089" s="190">
        <v>42364</v>
      </c>
      <c r="F5089" s="191" t="s">
        <v>1289</v>
      </c>
      <c r="G5089" s="482" t="s">
        <v>1288</v>
      </c>
      <c r="H5089" s="192" t="s">
        <v>2016</v>
      </c>
      <c r="I5089" s="255">
        <v>305</v>
      </c>
      <c r="J5089" s="255">
        <v>4697.823888758815</v>
      </c>
      <c r="K5089" s="593">
        <f t="shared" si="74"/>
        <v>1432836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69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799"/>
    </row>
    <row r="5090" spans="1:27" s="210" customFormat="1" ht="15.75" customHeight="1">
      <c r="A5090" s="203" t="str">
        <f>IF(B5090&lt;&gt;"",IF(AND(B5090&gt;=_TM1,B5090&lt;=_TM2,OR(TH!L5090="1111",TH!M5090="1111")),TH!D5090,""),"")</f>
        <v/>
      </c>
      <c r="B5090" s="36">
        <f t="shared" si="72"/>
        <v>12</v>
      </c>
      <c r="C5090" s="183">
        <f t="shared" si="73"/>
        <v>42366</v>
      </c>
      <c r="D5090" s="190" t="s">
        <v>2015</v>
      </c>
      <c r="E5090" s="190">
        <v>42366</v>
      </c>
      <c r="F5090" s="191" t="s">
        <v>413</v>
      </c>
      <c r="G5090" s="482" t="s">
        <v>1290</v>
      </c>
      <c r="H5090" s="192" t="s">
        <v>2016</v>
      </c>
      <c r="I5090" s="255">
        <v>298</v>
      </c>
      <c r="J5090" s="255">
        <v>7084.0201497156722</v>
      </c>
      <c r="K5090" s="593">
        <f t="shared" si="74"/>
        <v>2111038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69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799"/>
    </row>
    <row r="5091" spans="1:27" s="210" customFormat="1" ht="15.75" customHeight="1">
      <c r="A5091" s="203" t="str">
        <f>IF(B5091&lt;&gt;"",IF(AND(B5091&gt;=_TM1,B5091&lt;=_TM2,OR(TH!L5091="1111",TH!M5091="1111")),TH!D5091,""),"")</f>
        <v/>
      </c>
      <c r="B5091" s="36">
        <f t="shared" si="72"/>
        <v>12</v>
      </c>
      <c r="C5091" s="183">
        <f t="shared" si="73"/>
        <v>42366</v>
      </c>
      <c r="D5091" s="190" t="s">
        <v>2015</v>
      </c>
      <c r="E5091" s="190">
        <v>42366</v>
      </c>
      <c r="F5091" s="191" t="s">
        <v>413</v>
      </c>
      <c r="G5091" s="482" t="s">
        <v>1290</v>
      </c>
      <c r="H5091" s="192" t="s">
        <v>2016</v>
      </c>
      <c r="I5091" s="255">
        <v>202</v>
      </c>
      <c r="J5091" s="255">
        <v>7084.0201497156722</v>
      </c>
      <c r="K5091" s="593">
        <f t="shared" si="74"/>
        <v>1430972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69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799"/>
    </row>
    <row r="5092" spans="1:27" s="210" customFormat="1" ht="15.75" customHeight="1">
      <c r="A5092" s="203" t="str">
        <f>IF(B5092&lt;&gt;"",IF(AND(B5092&gt;=_TM1,B5092&lt;=_TM2,OR(TH!L5092="1111",TH!M5092="1111")),TH!D5092,""),"")</f>
        <v/>
      </c>
      <c r="B5092" s="36">
        <f t="shared" si="72"/>
        <v>12</v>
      </c>
      <c r="C5092" s="183">
        <f t="shared" si="73"/>
        <v>42366</v>
      </c>
      <c r="D5092" s="190" t="s">
        <v>2015</v>
      </c>
      <c r="E5092" s="190">
        <v>42366</v>
      </c>
      <c r="F5092" s="191" t="s">
        <v>413</v>
      </c>
      <c r="G5092" s="482" t="s">
        <v>1290</v>
      </c>
      <c r="H5092" s="192" t="s">
        <v>2016</v>
      </c>
      <c r="I5092" s="255">
        <v>509</v>
      </c>
      <c r="J5092" s="255">
        <v>7084.0201497156722</v>
      </c>
      <c r="K5092" s="593">
        <f t="shared" si="74"/>
        <v>3605766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69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799"/>
    </row>
    <row r="5093" spans="1:27" s="210" customFormat="1" ht="15.75" customHeight="1">
      <c r="A5093" s="203" t="str">
        <f>IF(B5093&lt;&gt;"",IF(AND(B5093&gt;=_TM1,B5093&lt;=_TM2,OR(TH!L5093="1111",TH!M5093="1111")),TH!D5093,""),"")</f>
        <v/>
      </c>
      <c r="B5093" s="36">
        <f t="shared" si="72"/>
        <v>12</v>
      </c>
      <c r="C5093" s="183">
        <f t="shared" si="73"/>
        <v>42366</v>
      </c>
      <c r="D5093" s="190" t="s">
        <v>2015</v>
      </c>
      <c r="E5093" s="190">
        <v>42366</v>
      </c>
      <c r="F5093" s="191" t="s">
        <v>413</v>
      </c>
      <c r="G5093" s="482" t="s">
        <v>1290</v>
      </c>
      <c r="H5093" s="192" t="s">
        <v>2016</v>
      </c>
      <c r="I5093" s="255">
        <v>401</v>
      </c>
      <c r="J5093" s="255">
        <v>7084.0201497156722</v>
      </c>
      <c r="K5093" s="593">
        <f t="shared" si="74"/>
        <v>2840692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69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799"/>
    </row>
    <row r="5094" spans="1:27" s="210" customFormat="1" ht="15.75" customHeight="1">
      <c r="A5094" s="203" t="str">
        <f>IF(B5094&lt;&gt;"",IF(AND(B5094&gt;=_TM1,B5094&lt;=_TM2,OR(TH!L5094="1111",TH!M5094="1111")),TH!D5094,""),"")</f>
        <v/>
      </c>
      <c r="B5094" s="36">
        <f t="shared" si="72"/>
        <v>12</v>
      </c>
      <c r="C5094" s="183">
        <f t="shared" si="73"/>
        <v>42366</v>
      </c>
      <c r="D5094" s="190" t="s">
        <v>2015</v>
      </c>
      <c r="E5094" s="190">
        <v>42366</v>
      </c>
      <c r="F5094" s="191" t="s">
        <v>2010</v>
      </c>
      <c r="G5094" s="482" t="s">
        <v>1291</v>
      </c>
      <c r="H5094" s="192" t="s">
        <v>2016</v>
      </c>
      <c r="I5094" s="255">
        <v>2200</v>
      </c>
      <c r="J5094" s="255">
        <v>8724.5300791235113</v>
      </c>
      <c r="K5094" s="593">
        <f t="shared" si="74"/>
        <v>19193966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69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799"/>
    </row>
    <row r="5095" spans="1:27" s="210" customFormat="1" ht="15.75" customHeight="1">
      <c r="A5095" s="203" t="str">
        <f>IF(B5095&lt;&gt;"",IF(AND(B5095&gt;=_TM1,B5095&lt;=_TM2,OR(TH!L5095="1111",TH!M5095="1111")),TH!D5095,""),"")</f>
        <v/>
      </c>
      <c r="B5095" s="36">
        <f t="shared" si="72"/>
        <v>12</v>
      </c>
      <c r="C5095" s="183">
        <f t="shared" si="73"/>
        <v>42367</v>
      </c>
      <c r="D5095" s="190" t="s">
        <v>2015</v>
      </c>
      <c r="E5095" s="190">
        <v>42367</v>
      </c>
      <c r="F5095" s="191" t="s">
        <v>413</v>
      </c>
      <c r="G5095" s="482" t="s">
        <v>1292</v>
      </c>
      <c r="H5095" s="192" t="s">
        <v>2016</v>
      </c>
      <c r="I5095" s="255">
        <v>310</v>
      </c>
      <c r="J5095" s="255">
        <v>7084.0201497156722</v>
      </c>
      <c r="K5095" s="593">
        <f t="shared" si="74"/>
        <v>2196046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69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799"/>
    </row>
    <row r="5096" spans="1:27" s="210" customFormat="1" ht="15.75" customHeight="1">
      <c r="A5096" s="203" t="str">
        <f>IF(B5096&lt;&gt;"",IF(AND(B5096&gt;=_TM1,B5096&lt;=_TM2,OR(TH!L5096="1111",TH!M5096="1111")),TH!D5096,""),"")</f>
        <v/>
      </c>
      <c r="B5096" s="36">
        <f t="shared" si="72"/>
        <v>12</v>
      </c>
      <c r="C5096" s="183">
        <f t="shared" si="73"/>
        <v>42367</v>
      </c>
      <c r="D5096" s="190" t="s">
        <v>2015</v>
      </c>
      <c r="E5096" s="190">
        <v>42367</v>
      </c>
      <c r="F5096" s="191" t="s">
        <v>999</v>
      </c>
      <c r="G5096" s="482" t="s">
        <v>1292</v>
      </c>
      <c r="H5096" s="192" t="s">
        <v>2016</v>
      </c>
      <c r="I5096" s="255">
        <v>408</v>
      </c>
      <c r="J5096" s="255">
        <v>5592.6474866176359</v>
      </c>
      <c r="K5096" s="593">
        <f t="shared" si="74"/>
        <v>2281800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69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799"/>
    </row>
    <row r="5097" spans="1:27" s="210" customFormat="1" ht="15.75" customHeight="1">
      <c r="A5097" s="203" t="str">
        <f>IF(B5097&lt;&gt;"",IF(AND(B5097&gt;=_TM1,B5097&lt;=_TM2,OR(TH!L5097="1111",TH!M5097="1111")),TH!D5097,""),"")</f>
        <v/>
      </c>
      <c r="B5097" s="36">
        <f t="shared" si="72"/>
        <v>12</v>
      </c>
      <c r="C5097" s="183">
        <f t="shared" si="73"/>
        <v>42367</v>
      </c>
      <c r="D5097" s="190" t="s">
        <v>2015</v>
      </c>
      <c r="E5097" s="190">
        <v>42367</v>
      </c>
      <c r="F5097" s="191" t="s">
        <v>1088</v>
      </c>
      <c r="G5097" s="482" t="s">
        <v>1293</v>
      </c>
      <c r="H5097" s="192" t="s">
        <v>2016</v>
      </c>
      <c r="I5097" s="255">
        <v>250</v>
      </c>
      <c r="J5097" s="255">
        <v>8202.5496470392009</v>
      </c>
      <c r="K5097" s="593">
        <f t="shared" si="74"/>
        <v>2050637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69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799"/>
    </row>
    <row r="5098" spans="1:27" s="210" customFormat="1" ht="15.75" customHeight="1">
      <c r="A5098" s="203" t="str">
        <f>IF(B5098&lt;&gt;"",IF(AND(B5098&gt;=_TM1,B5098&lt;=_TM2,OR(TH!L5098="1111",TH!M5098="1111")),TH!D5098,""),"")</f>
        <v/>
      </c>
      <c r="B5098" s="36">
        <f t="shared" si="72"/>
        <v>12</v>
      </c>
      <c r="C5098" s="183">
        <f t="shared" si="73"/>
        <v>42367</v>
      </c>
      <c r="D5098" s="190" t="s">
        <v>2015</v>
      </c>
      <c r="E5098" s="190">
        <v>42367</v>
      </c>
      <c r="F5098" s="191" t="s">
        <v>1294</v>
      </c>
      <c r="G5098" s="482" t="s">
        <v>1295</v>
      </c>
      <c r="H5098" s="192" t="s">
        <v>2016</v>
      </c>
      <c r="I5098" s="255">
        <v>1000</v>
      </c>
      <c r="J5098" s="255">
        <v>3803.0002908999927</v>
      </c>
      <c r="K5098" s="593">
        <f t="shared" si="74"/>
        <v>3803000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69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799"/>
    </row>
    <row r="5099" spans="1:27" s="210" customFormat="1" ht="15.75" customHeight="1">
      <c r="A5099" s="203" t="str">
        <f>IF(B5099&lt;&gt;"",IF(AND(B5099&gt;=_TM1,B5099&lt;=_TM2,OR(TH!L5099="1111",TH!M5099="1111")),TH!D5099,""),"")</f>
        <v/>
      </c>
      <c r="B5099" s="36">
        <f t="shared" si="72"/>
        <v>12</v>
      </c>
      <c r="C5099" s="183">
        <f t="shared" si="73"/>
        <v>42368</v>
      </c>
      <c r="D5099" s="190" t="s">
        <v>2015</v>
      </c>
      <c r="E5099" s="190">
        <v>42368</v>
      </c>
      <c r="F5099" s="191" t="s">
        <v>1296</v>
      </c>
      <c r="G5099" s="482" t="s">
        <v>1297</v>
      </c>
      <c r="H5099" s="192" t="s">
        <v>2016</v>
      </c>
      <c r="I5099" s="255">
        <v>114</v>
      </c>
      <c r="J5099" s="255">
        <v>62935.926382737132</v>
      </c>
      <c r="K5099" s="593">
        <f t="shared" si="74"/>
        <v>7174696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69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799"/>
    </row>
    <row r="5100" spans="1:27" s="210" customFormat="1" ht="15.75" customHeight="1">
      <c r="A5100" s="203" t="str">
        <f>IF(B5100&lt;&gt;"",IF(AND(B5100&gt;=_TM1,B5100&lt;=_TM2,OR(TH!L5100="1111",TH!M5100="1111")),TH!D5100,""),"")</f>
        <v/>
      </c>
      <c r="B5100" s="36">
        <f t="shared" si="72"/>
        <v>12</v>
      </c>
      <c r="C5100" s="183">
        <f t="shared" si="73"/>
        <v>42368</v>
      </c>
      <c r="D5100" s="190" t="s">
        <v>2015</v>
      </c>
      <c r="E5100" s="190">
        <v>42368</v>
      </c>
      <c r="F5100" s="191" t="s">
        <v>1298</v>
      </c>
      <c r="G5100" s="482" t="s">
        <v>1297</v>
      </c>
      <c r="H5100" s="192" t="s">
        <v>2016</v>
      </c>
      <c r="I5100" s="255">
        <v>56</v>
      </c>
      <c r="J5100" s="255">
        <v>57119.572996654795</v>
      </c>
      <c r="K5100" s="593">
        <f t="shared" si="74"/>
        <v>3198696</v>
      </c>
      <c r="L5100" s="193" t="s">
        <v>172</v>
      </c>
      <c r="M5100" s="193" t="s">
        <v>167</v>
      </c>
      <c r="N5100" s="52" t="str">
        <f>IF(AND('331-CT'!$E$7=TH!H5100,OR(L5100="331",M5100="331")),"331",IF(AND(OR(L5100="131",M5100="131"),H5100='131-CT'!$E$7),"131",""))</f>
        <v/>
      </c>
      <c r="O5100" s="869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799"/>
    </row>
    <row r="5101" spans="1:27" s="210" customFormat="1" ht="15.75" customHeight="1">
      <c r="A5101" s="203" t="str">
        <f>IF(B5101&lt;&gt;"",IF(AND(B5101&gt;=_TM1,B5101&lt;=_TM2,OR(TH!L5101="1111",TH!M5101="1111")),TH!D5101,""),"")</f>
        <v/>
      </c>
      <c r="B5101" s="36">
        <f t="shared" si="72"/>
        <v>12</v>
      </c>
      <c r="C5101" s="183">
        <f t="shared" si="73"/>
        <v>42368</v>
      </c>
      <c r="D5101" s="190" t="s">
        <v>2015</v>
      </c>
      <c r="E5101" s="190">
        <v>42368</v>
      </c>
      <c r="F5101" s="191" t="s">
        <v>927</v>
      </c>
      <c r="G5101" s="482" t="s">
        <v>1297</v>
      </c>
      <c r="H5101" s="192" t="s">
        <v>2016</v>
      </c>
      <c r="I5101" s="255">
        <v>14</v>
      </c>
      <c r="J5101" s="255">
        <v>63830.74998059596</v>
      </c>
      <c r="K5101" s="593">
        <f t="shared" si="74"/>
        <v>893630</v>
      </c>
      <c r="L5101" s="193" t="s">
        <v>172</v>
      </c>
      <c r="M5101" s="193" t="s">
        <v>167</v>
      </c>
      <c r="N5101" s="52" t="str">
        <f>IF(AND('331-CT'!$E$7=TH!H5101,OR(L5101="331",M5101="331")),"331",IF(AND(OR(L5101="131",M5101="131"),H5101='131-CT'!$E$7),"131",""))</f>
        <v/>
      </c>
      <c r="O5101" s="869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799"/>
    </row>
    <row r="5102" spans="1:27" s="210" customFormat="1" ht="15.75" customHeight="1">
      <c r="A5102" s="203" t="str">
        <f>IF(B5102&lt;&gt;"",IF(AND(B5102&gt;=_TM1,B5102&lt;=_TM2,OR(TH!L5102="1111",TH!M5102="1111")),TH!D5102,""),"")</f>
        <v/>
      </c>
      <c r="B5102" s="36">
        <f t="shared" si="72"/>
        <v>12</v>
      </c>
      <c r="C5102" s="183">
        <f t="shared" si="73"/>
        <v>42368</v>
      </c>
      <c r="D5102" s="190" t="s">
        <v>2015</v>
      </c>
      <c r="E5102" s="190">
        <v>42368</v>
      </c>
      <c r="F5102" s="191" t="s">
        <v>737</v>
      </c>
      <c r="G5102" s="482" t="s">
        <v>1297</v>
      </c>
      <c r="H5102" s="192" t="s">
        <v>2016</v>
      </c>
      <c r="I5102" s="255">
        <v>30</v>
      </c>
      <c r="J5102" s="255">
        <v>11110.726340080371</v>
      </c>
      <c r="K5102" s="593">
        <f t="shared" si="74"/>
        <v>333322</v>
      </c>
      <c r="L5102" s="193" t="s">
        <v>172</v>
      </c>
      <c r="M5102" s="193" t="s">
        <v>167</v>
      </c>
      <c r="N5102" s="52" t="str">
        <f>IF(AND('331-CT'!$E$7=TH!H5102,OR(L5102="331",M5102="331")),"331",IF(AND(OR(L5102="131",M5102="131"),H5102='131-CT'!$E$7),"131",""))</f>
        <v/>
      </c>
      <c r="O5102" s="869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799"/>
    </row>
    <row r="5103" spans="1:27" s="210" customFormat="1" ht="15.75" customHeight="1">
      <c r="A5103" s="203" t="str">
        <f>IF(B5103&lt;&gt;"",IF(AND(B5103&gt;=_TM1,B5103&lt;=_TM2,OR(TH!L5103="1111",TH!M5103="1111")),TH!D5103,""),"")</f>
        <v/>
      </c>
      <c r="B5103" s="36">
        <f t="shared" si="72"/>
        <v>12</v>
      </c>
      <c r="C5103" s="183">
        <f t="shared" si="73"/>
        <v>42368</v>
      </c>
      <c r="D5103" s="190" t="s">
        <v>2015</v>
      </c>
      <c r="E5103" s="190">
        <v>42368</v>
      </c>
      <c r="F5103" s="191" t="s">
        <v>1299</v>
      </c>
      <c r="G5103" s="482" t="s">
        <v>1297</v>
      </c>
      <c r="H5103" s="192" t="s">
        <v>2016</v>
      </c>
      <c r="I5103" s="255">
        <v>56</v>
      </c>
      <c r="J5103" s="255">
        <v>14540.883465205854</v>
      </c>
      <c r="K5103" s="593">
        <f t="shared" si="74"/>
        <v>814289</v>
      </c>
      <c r="L5103" s="193" t="s">
        <v>172</v>
      </c>
      <c r="M5103" s="193" t="s">
        <v>167</v>
      </c>
      <c r="N5103" s="52" t="str">
        <f>IF(AND('331-CT'!$E$7=TH!H5103,OR(L5103="331",M5103="331")),"331",IF(AND(OR(L5103="131",M5103="131"),H5103='131-CT'!$E$7),"131",""))</f>
        <v/>
      </c>
      <c r="O5103" s="869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799"/>
    </row>
    <row r="5104" spans="1:27" s="210" customFormat="1" ht="15.75" customHeight="1">
      <c r="A5104" s="203" t="str">
        <f>IF(B5104&lt;&gt;"",IF(AND(B5104&gt;=_TM1,B5104&lt;=_TM2,OR(TH!L5104="1111",TH!M5104="1111")),TH!D5104,""),"")</f>
        <v/>
      </c>
      <c r="B5104" s="36">
        <f t="shared" si="72"/>
        <v>12</v>
      </c>
      <c r="C5104" s="183">
        <f t="shared" si="73"/>
        <v>42368</v>
      </c>
      <c r="D5104" s="190" t="s">
        <v>2015</v>
      </c>
      <c r="E5104" s="190">
        <v>42368</v>
      </c>
      <c r="F5104" s="191" t="s">
        <v>1300</v>
      </c>
      <c r="G5104" s="482" t="s">
        <v>1297</v>
      </c>
      <c r="H5104" s="192" t="s">
        <v>2016</v>
      </c>
      <c r="I5104" s="255">
        <v>30</v>
      </c>
      <c r="J5104" s="255">
        <v>11110.726340080371</v>
      </c>
      <c r="K5104" s="593">
        <f t="shared" si="74"/>
        <v>333322</v>
      </c>
      <c r="L5104" s="193" t="s">
        <v>172</v>
      </c>
      <c r="M5104" s="193" t="s">
        <v>167</v>
      </c>
      <c r="N5104" s="52" t="str">
        <f>IF(AND('331-CT'!$E$7=TH!H5104,OR(L5104="331",M5104="331")),"331",IF(AND(OR(L5104="131",M5104="131"),H5104='131-CT'!$E$7),"131",""))</f>
        <v/>
      </c>
      <c r="O5104" s="869" t="str">
        <f>IF(AND('341-CT'!$E$9=H5104,OR(LEFT(L5104,3)=$O$7,LEFT(M5104,3)=$O$7)),"x","")</f>
        <v/>
      </c>
      <c r="P5104" s="52" t="str">
        <f>IF(AND($B5104&gt;='111'!$N$11,$B5104&lt;='111'!$O$11,OR($L5104=$P$7,$M5104=$P$7)),"x","")</f>
        <v/>
      </c>
      <c r="Q5104" s="52" t="str">
        <f>IF(AND($L5104=$P$7,$B5104&lt;'111'!$N$11),"x","")</f>
        <v/>
      </c>
      <c r="R5104" s="52" t="str">
        <f>IF(AND($M5104=$P$7,$B5104&lt;'111'!$N$11),"x","")</f>
        <v/>
      </c>
      <c r="S5104" s="52" t="str">
        <f>IF(ISERROR(FIND('112'!$M$9,G5104,1)),"",IF((AND(FIND('112'!$M$9,G5104,1)&gt;=1,$B5104&gt;='112'!$N$8,$B5104&lt;='112'!$O$8,OR($L5104='112'!$I$6,$M5104='112'!$I$6))),"x",""))</f>
        <v/>
      </c>
      <c r="T5104" s="52" t="str">
        <f>IF(ISERROR(FIND('112'!$M$9,G5104,1)),"",IF((AND(LEFT(G5104,2)=LEFT('112'!$M$9,2),B5104&lt;'112'!$N$8,$L5104='112'!$I$6)),"x",""))</f>
        <v/>
      </c>
      <c r="U5104" s="52" t="str">
        <f>IF(ISERROR(FIND('112'!$M$9,G5104,1)),"",IF((AND(RIGHT(G5104,2)=RIGHT('112'!$M$9,2),B5104&lt;'112'!$N$8,$M5104='112'!$I$6)),"x",""))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/>
      </c>
      <c r="AA5104" s="799"/>
    </row>
    <row r="5105" spans="1:27" s="210" customFormat="1" ht="15.75" customHeight="1">
      <c r="A5105" s="203" t="str">
        <f>IF(B5105&lt;&gt;"",IF(AND(B5105&gt;=_TM1,B5105&lt;=_TM2,OR(TH!L5105="1111",TH!M5105="1111")),TH!D5105,""),"")</f>
        <v/>
      </c>
      <c r="B5105" s="36">
        <f t="shared" si="72"/>
        <v>12</v>
      </c>
      <c r="C5105" s="183">
        <f t="shared" si="73"/>
        <v>42368</v>
      </c>
      <c r="D5105" s="190" t="s">
        <v>2015</v>
      </c>
      <c r="E5105" s="190">
        <v>42368</v>
      </c>
      <c r="F5105" s="191" t="s">
        <v>1301</v>
      </c>
      <c r="G5105" s="482" t="s">
        <v>1297</v>
      </c>
      <c r="H5105" s="192" t="s">
        <v>2016</v>
      </c>
      <c r="I5105" s="255">
        <v>130</v>
      </c>
      <c r="J5105" s="255">
        <v>32437.355422382287</v>
      </c>
      <c r="K5105" s="593">
        <f t="shared" si="74"/>
        <v>4216856</v>
      </c>
      <c r="L5105" s="193" t="s">
        <v>172</v>
      </c>
      <c r="M5105" s="193" t="s">
        <v>167</v>
      </c>
      <c r="N5105" s="52" t="str">
        <f>IF(AND('331-CT'!$E$7=TH!H5105,OR(L5105="331",M5105="331")),"331",IF(AND(OR(L5105="131",M5105="131"),H5105='131-CT'!$E$7),"131",""))</f>
        <v/>
      </c>
      <c r="O5105" s="869" t="str">
        <f>IF(AND('341-CT'!$E$9=H5105,OR(LEFT(L5105,3)=$O$7,LEFT(M5105,3)=$O$7)),"x","")</f>
        <v/>
      </c>
      <c r="P5105" s="52" t="str">
        <f>IF(AND($B5105&gt;='111'!$N$11,$B5105&lt;='111'!$O$11,OR($L5105=$P$7,$M5105=$P$7)),"x","")</f>
        <v/>
      </c>
      <c r="Q5105" s="52" t="str">
        <f>IF(AND($L5105=$P$7,$B5105&lt;'111'!$N$11),"x","")</f>
        <v/>
      </c>
      <c r="R5105" s="52" t="str">
        <f>IF(AND($M5105=$P$7,$B5105&lt;'111'!$N$11),"x","")</f>
        <v/>
      </c>
      <c r="S5105" s="52" t="str">
        <f>IF(ISERROR(FIND('112'!$M$9,G5105,1)),"",IF((AND(FIND('112'!$M$9,G5105,1)&gt;=1,$B5105&gt;='112'!$N$8,$B5105&lt;='112'!$O$8,OR($L5105='112'!$I$6,$M5105='112'!$I$6))),"x",""))</f>
        <v/>
      </c>
      <c r="T5105" s="52" t="str">
        <f>IF(ISERROR(FIND('112'!$M$9,G5105,1)),"",IF((AND(LEFT(G5105,2)=LEFT('112'!$M$9,2),B5105&lt;'112'!$N$8,$L5105='112'!$I$6)),"x",""))</f>
        <v/>
      </c>
      <c r="U5105" s="52" t="str">
        <f>IF(ISERROR(FIND('112'!$M$9,G5105,1)),"",IF((AND(RIGHT(G5105,2)=RIGHT('112'!$M$9,2),B5105&lt;'112'!$N$8,$M5105='112'!$I$6)),"x",""))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/>
      </c>
      <c r="AA5105" s="799"/>
    </row>
    <row r="5106" spans="1:27" s="210" customFormat="1" ht="15.75" customHeight="1">
      <c r="A5106" s="203" t="str">
        <f>IF(B5106&lt;&gt;"",IF(AND(B5106&gt;=_TM1,B5106&lt;=_TM2,OR(TH!L5106="1111",TH!M5106="1111")),TH!D5106,""),"")</f>
        <v/>
      </c>
      <c r="B5106" s="36">
        <f t="shared" si="72"/>
        <v>12</v>
      </c>
      <c r="C5106" s="183">
        <f t="shared" si="73"/>
        <v>42368</v>
      </c>
      <c r="D5106" s="190" t="s">
        <v>2015</v>
      </c>
      <c r="E5106" s="190">
        <v>42368</v>
      </c>
      <c r="F5106" s="191" t="s">
        <v>1302</v>
      </c>
      <c r="G5106" s="482" t="s">
        <v>1297</v>
      </c>
      <c r="H5106" s="192" t="s">
        <v>2016</v>
      </c>
      <c r="I5106" s="255">
        <v>7</v>
      </c>
      <c r="J5106" s="255">
        <v>20879.217283372509</v>
      </c>
      <c r="K5106" s="593">
        <f t="shared" si="74"/>
        <v>146155</v>
      </c>
      <c r="L5106" s="193" t="s">
        <v>172</v>
      </c>
      <c r="M5106" s="193" t="s">
        <v>167</v>
      </c>
      <c r="N5106" s="52" t="str">
        <f>IF(AND('331-CT'!$E$7=TH!H5106,OR(L5106="331",M5106="331")),"331",IF(AND(OR(L5106="131",M5106="131"),H5106='131-CT'!$E$7),"131",""))</f>
        <v/>
      </c>
      <c r="O5106" s="869" t="str">
        <f>IF(AND('341-CT'!$E$9=H5106,OR(LEFT(L5106,3)=$O$7,LEFT(M5106,3)=$O$7)),"x","")</f>
        <v/>
      </c>
      <c r="P5106" s="52" t="str">
        <f>IF(AND($B5106&gt;='111'!$N$11,$B5106&lt;='111'!$O$11,OR($L5106=$P$7,$M5106=$P$7)),"x","")</f>
        <v/>
      </c>
      <c r="Q5106" s="52" t="str">
        <f>IF(AND($L5106=$P$7,$B5106&lt;'111'!$N$11),"x","")</f>
        <v/>
      </c>
      <c r="R5106" s="52" t="str">
        <f>IF(AND($M5106=$P$7,$B5106&lt;'111'!$N$11),"x","")</f>
        <v/>
      </c>
      <c r="S5106" s="52" t="str">
        <f>IF(ISERROR(FIND('112'!$M$9,G5106,1)),"",IF((AND(FIND('112'!$M$9,G5106,1)&gt;=1,$B5106&gt;='112'!$N$8,$B5106&lt;='112'!$O$8,OR($L5106='112'!$I$6,$M5106='112'!$I$6))),"x",""))</f>
        <v/>
      </c>
      <c r="T5106" s="52" t="str">
        <f>IF(ISERROR(FIND('112'!$M$9,G5106,1)),"",IF((AND(LEFT(G5106,2)=LEFT('112'!$M$9,2),B5106&lt;'112'!$N$8,$L5106='112'!$I$6)),"x",""))</f>
        <v/>
      </c>
      <c r="U5106" s="52" t="str">
        <f>IF(ISERROR(FIND('112'!$M$9,G5106,1)),"",IF((AND(RIGHT(G5106,2)=RIGHT('112'!$M$9,2),B5106&lt;'112'!$N$8,$M5106='112'!$I$6)),"x",""))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/>
      </c>
      <c r="AA5106" s="799"/>
    </row>
    <row r="5107" spans="1:27" s="210" customFormat="1" ht="15.75" customHeight="1">
      <c r="A5107" s="203" t="str">
        <f>IF(B5107&lt;&gt;"",IF(AND(B5107&gt;=_TM1,B5107&lt;=_TM2,OR(TH!L5107="1111",TH!M5107="1111")),TH!D5107,""),"")</f>
        <v/>
      </c>
      <c r="B5107" s="36">
        <f t="shared" si="72"/>
        <v>12</v>
      </c>
      <c r="C5107" s="183">
        <f t="shared" si="73"/>
        <v>42368</v>
      </c>
      <c r="D5107" s="190" t="s">
        <v>2015</v>
      </c>
      <c r="E5107" s="190">
        <v>42368</v>
      </c>
      <c r="F5107" s="191" t="s">
        <v>454</v>
      </c>
      <c r="G5107" s="482" t="s">
        <v>1303</v>
      </c>
      <c r="H5107" s="192" t="s">
        <v>2016</v>
      </c>
      <c r="I5107" s="255">
        <v>221</v>
      </c>
      <c r="J5107" s="255">
        <v>54062.259037303818</v>
      </c>
      <c r="K5107" s="593">
        <f t="shared" si="74"/>
        <v>11947759</v>
      </c>
      <c r="L5107" s="193" t="s">
        <v>172</v>
      </c>
      <c r="M5107" s="193" t="s">
        <v>167</v>
      </c>
      <c r="N5107" s="52" t="str">
        <f>IF(AND('331-CT'!$E$7=TH!H5107,OR(L5107="331",M5107="331")),"331",IF(AND(OR(L5107="131",M5107="131"),H5107='131-CT'!$E$7),"131",""))</f>
        <v/>
      </c>
      <c r="O5107" s="869" t="str">
        <f>IF(AND('341-CT'!$E$9=H5107,OR(LEFT(L5107,3)=$O$7,LEFT(M5107,3)=$O$7)),"x","")</f>
        <v/>
      </c>
      <c r="P5107" s="52" t="str">
        <f>IF(AND($B5107&gt;='111'!$N$11,$B5107&lt;='111'!$O$11,OR($L5107=$P$7,$M5107=$P$7)),"x","")</f>
        <v/>
      </c>
      <c r="Q5107" s="52" t="str">
        <f>IF(AND($L5107=$P$7,$B5107&lt;'111'!$N$11),"x","")</f>
        <v/>
      </c>
      <c r="R5107" s="52" t="str">
        <f>IF(AND($M5107=$P$7,$B5107&lt;'111'!$N$11),"x","")</f>
        <v/>
      </c>
      <c r="S5107" s="52" t="str">
        <f>IF(ISERROR(FIND('112'!$M$9,G5107,1)),"",IF((AND(FIND('112'!$M$9,G5107,1)&gt;=1,$B5107&gt;='112'!$N$8,$B5107&lt;='112'!$O$8,OR($L5107='112'!$I$6,$M5107='112'!$I$6))),"x",""))</f>
        <v/>
      </c>
      <c r="T5107" s="52" t="str">
        <f>IF(ISERROR(FIND('112'!$M$9,G5107,1)),"",IF((AND(LEFT(G5107,2)=LEFT('112'!$M$9,2),B5107&lt;'112'!$N$8,$L5107='112'!$I$6)),"x",""))</f>
        <v/>
      </c>
      <c r="U5107" s="52" t="str">
        <f>IF(ISERROR(FIND('112'!$M$9,G5107,1)),"",IF((AND(RIGHT(G5107,2)=RIGHT('112'!$M$9,2),B5107&lt;'112'!$N$8,$M5107='112'!$I$6)),"x",""))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/>
      </c>
      <c r="AA5107" s="799"/>
    </row>
    <row r="5108" spans="1:27" s="210" customFormat="1" ht="15.75" customHeight="1">
      <c r="A5108" s="203" t="str">
        <f>IF(B5108&lt;&gt;"",IF(AND(B5108&gt;=_TM1,B5108&lt;=_TM2,OR(TH!L5108="1111",TH!M5108="1111")),TH!D5108,""),"")</f>
        <v/>
      </c>
      <c r="B5108" s="36">
        <f t="shared" si="72"/>
        <v>12</v>
      </c>
      <c r="C5108" s="183">
        <f t="shared" si="73"/>
        <v>42368</v>
      </c>
      <c r="D5108" s="190" t="s">
        <v>2015</v>
      </c>
      <c r="E5108" s="190">
        <v>42368</v>
      </c>
      <c r="F5108" s="191" t="s">
        <v>1304</v>
      </c>
      <c r="G5108" s="482" t="s">
        <v>1303</v>
      </c>
      <c r="H5108" s="192" t="s">
        <v>2016</v>
      </c>
      <c r="I5108" s="255">
        <v>103</v>
      </c>
      <c r="J5108" s="255">
        <v>30125.727794580336</v>
      </c>
      <c r="K5108" s="593">
        <f t="shared" si="74"/>
        <v>3102950</v>
      </c>
      <c r="L5108" s="193" t="s">
        <v>172</v>
      </c>
      <c r="M5108" s="193" t="s">
        <v>167</v>
      </c>
      <c r="N5108" s="52" t="str">
        <f>IF(AND('331-CT'!$E$7=TH!H5108,OR(L5108="331",M5108="331")),"331",IF(AND(OR(L5108="131",M5108="131"),H5108='131-CT'!$E$7),"131",""))</f>
        <v/>
      </c>
      <c r="O5108" s="869" t="str">
        <f>IF(AND('341-CT'!$E$9=H5108,OR(LEFT(L5108,3)=$O$7,LEFT(M5108,3)=$O$7)),"x","")</f>
        <v/>
      </c>
      <c r="P5108" s="52" t="str">
        <f>IF(AND($B5108&gt;='111'!$N$11,$B5108&lt;='111'!$O$11,OR($L5108=$P$7,$M5108=$P$7)),"x","")</f>
        <v/>
      </c>
      <c r="Q5108" s="52" t="str">
        <f>IF(AND($L5108=$P$7,$B5108&lt;'111'!$N$11),"x","")</f>
        <v/>
      </c>
      <c r="R5108" s="52" t="str">
        <f>IF(AND($M5108=$P$7,$B5108&lt;'111'!$N$11),"x","")</f>
        <v/>
      </c>
      <c r="S5108" s="52" t="str">
        <f>IF(ISERROR(FIND('112'!$M$9,G5108,1)),"",IF((AND(FIND('112'!$M$9,G5108,1)&gt;=1,$B5108&gt;='112'!$N$8,$B5108&lt;='112'!$O$8,OR($L5108='112'!$I$6,$M5108='112'!$I$6))),"x",""))</f>
        <v/>
      </c>
      <c r="T5108" s="52" t="str">
        <f>IF(ISERROR(FIND('112'!$M$9,G5108,1)),"",IF((AND(LEFT(G5108,2)=LEFT('112'!$M$9,2),B5108&lt;'112'!$N$8,$L5108='112'!$I$6)),"x",""))</f>
        <v/>
      </c>
      <c r="U5108" s="52" t="str">
        <f>IF(ISERROR(FIND('112'!$M$9,G5108,1)),"",IF((AND(RIGHT(G5108,2)=RIGHT('112'!$M$9,2),B5108&lt;'112'!$N$8,$M5108='112'!$I$6)),"x",""))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/>
      </c>
      <c r="AA5108" s="799"/>
    </row>
    <row r="5109" spans="1:27" s="210" customFormat="1" ht="15.75" customHeight="1">
      <c r="A5109" s="203" t="str">
        <f>IF(B5109&lt;&gt;"",IF(AND(B5109&gt;=_TM1,B5109&lt;=_TM2,OR(TH!L5109="1111",TH!M5109="1111")),TH!D5109,""),"")</f>
        <v/>
      </c>
      <c r="B5109" s="36">
        <f t="shared" si="72"/>
        <v>12</v>
      </c>
      <c r="C5109" s="183">
        <f t="shared" si="73"/>
        <v>42368</v>
      </c>
      <c r="D5109" s="190" t="s">
        <v>2015</v>
      </c>
      <c r="E5109" s="190">
        <v>42368</v>
      </c>
      <c r="F5109" s="191" t="s">
        <v>1302</v>
      </c>
      <c r="G5109" s="482" t="s">
        <v>1303</v>
      </c>
      <c r="H5109" s="192" t="s">
        <v>2016</v>
      </c>
      <c r="I5109" s="255">
        <v>143</v>
      </c>
      <c r="J5109" s="255">
        <v>20879.217283372509</v>
      </c>
      <c r="K5109" s="593">
        <f t="shared" si="74"/>
        <v>2985728</v>
      </c>
      <c r="L5109" s="193" t="s">
        <v>172</v>
      </c>
      <c r="M5109" s="193" t="s">
        <v>167</v>
      </c>
      <c r="N5109" s="52" t="str">
        <f>IF(AND('331-CT'!$E$7=TH!H5109,OR(L5109="331",M5109="331")),"331",IF(AND(OR(L5109="131",M5109="131"),H5109='131-CT'!$E$7),"131",""))</f>
        <v/>
      </c>
      <c r="O5109" s="869" t="str">
        <f>IF(AND('341-CT'!$E$9=H5109,OR(LEFT(L5109,3)=$O$7,LEFT(M5109,3)=$O$7)),"x","")</f>
        <v/>
      </c>
      <c r="P5109" s="52" t="str">
        <f>IF(AND($B5109&gt;='111'!$N$11,$B5109&lt;='111'!$O$11,OR($L5109=$P$7,$M5109=$P$7)),"x","")</f>
        <v/>
      </c>
      <c r="Q5109" s="52" t="str">
        <f>IF(AND($L5109=$P$7,$B5109&lt;'111'!$N$11),"x","")</f>
        <v/>
      </c>
      <c r="R5109" s="52" t="str">
        <f>IF(AND($M5109=$P$7,$B5109&lt;'111'!$N$11),"x","")</f>
        <v/>
      </c>
      <c r="S5109" s="52" t="str">
        <f>IF(ISERROR(FIND('112'!$M$9,G5109,1)),"",IF((AND(FIND('112'!$M$9,G5109,1)&gt;=1,$B5109&gt;='112'!$N$8,$B5109&lt;='112'!$O$8,OR($L5109='112'!$I$6,$M5109='112'!$I$6))),"x",""))</f>
        <v/>
      </c>
      <c r="T5109" s="52" t="str">
        <f>IF(ISERROR(FIND('112'!$M$9,G5109,1)),"",IF((AND(LEFT(G5109,2)=LEFT('112'!$M$9,2),B5109&lt;'112'!$N$8,$L5109='112'!$I$6)),"x",""))</f>
        <v/>
      </c>
      <c r="U5109" s="52" t="str">
        <f>IF(ISERROR(FIND('112'!$M$9,G5109,1)),"",IF((AND(RIGHT(G5109,2)=RIGHT('112'!$M$9,2),B5109&lt;'112'!$N$8,$M5109='112'!$I$6)),"x",""))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/>
      </c>
      <c r="AA5109" s="799"/>
    </row>
    <row r="5110" spans="1:27" s="210" customFormat="1" ht="15.75" customHeight="1">
      <c r="A5110" s="203" t="str">
        <f>IF(B5110&lt;&gt;"",IF(AND(B5110&gt;=_TM1,B5110&lt;=_TM2,OR(TH!L5110="1111",TH!M5110="1111")),TH!D5110,""),"")</f>
        <v/>
      </c>
      <c r="B5110" s="36">
        <f t="shared" si="72"/>
        <v>12</v>
      </c>
      <c r="C5110" s="183">
        <f t="shared" si="73"/>
        <v>42369</v>
      </c>
      <c r="D5110" s="190" t="s">
        <v>2015</v>
      </c>
      <c r="E5110" s="190">
        <v>42369</v>
      </c>
      <c r="F5110" s="191" t="s">
        <v>1305</v>
      </c>
      <c r="G5110" s="482" t="s">
        <v>1306</v>
      </c>
      <c r="H5110" s="192" t="s">
        <v>2016</v>
      </c>
      <c r="I5110" s="255">
        <v>340</v>
      </c>
      <c r="J5110" s="255">
        <v>20282.668218133294</v>
      </c>
      <c r="K5110" s="593">
        <f t="shared" si="74"/>
        <v>6896107</v>
      </c>
      <c r="L5110" s="193" t="s">
        <v>172</v>
      </c>
      <c r="M5110" s="193" t="s">
        <v>167</v>
      </c>
      <c r="N5110" s="52" t="str">
        <f>IF(AND('331-CT'!$E$7=TH!H5110,OR(L5110="331",M5110="331")),"331",IF(AND(OR(L5110="131",M5110="131"),H5110='131-CT'!$E$7),"131",""))</f>
        <v/>
      </c>
      <c r="O5110" s="869" t="str">
        <f>IF(AND('341-CT'!$E$9=H5110,OR(LEFT(L5110,3)=$O$7,LEFT(M5110,3)=$O$7)),"x","")</f>
        <v/>
      </c>
      <c r="P5110" s="52" t="str">
        <f>IF(AND($B5110&gt;='111'!$N$11,$B5110&lt;='111'!$O$11,OR($L5110=$P$7,$M5110=$P$7)),"x","")</f>
        <v/>
      </c>
      <c r="Q5110" s="52" t="str">
        <f>IF(AND($L5110=$P$7,$B5110&lt;'111'!$N$11),"x","")</f>
        <v/>
      </c>
      <c r="R5110" s="52" t="str">
        <f>IF(AND($M5110=$P$7,$B5110&lt;'111'!$N$11),"x","")</f>
        <v/>
      </c>
      <c r="S5110" s="52" t="str">
        <f>IF(ISERROR(FIND('112'!$M$9,G5110,1)),"",IF((AND(FIND('112'!$M$9,G5110,1)&gt;=1,$B5110&gt;='112'!$N$8,$B5110&lt;='112'!$O$8,OR($L5110='112'!$I$6,$M5110='112'!$I$6))),"x",""))</f>
        <v/>
      </c>
      <c r="T5110" s="52" t="str">
        <f>IF(ISERROR(FIND('112'!$M$9,G5110,1)),"",IF((AND(LEFT(G5110,2)=LEFT('112'!$M$9,2),B5110&lt;'112'!$N$8,$L5110='112'!$I$6)),"x",""))</f>
        <v/>
      </c>
      <c r="U5110" s="52" t="str">
        <f>IF(ISERROR(FIND('112'!$M$9,G5110,1)),"",IF((AND(RIGHT(G5110,2)=RIGHT('112'!$M$9,2),B5110&lt;'112'!$N$8,$M5110='112'!$I$6)),"x",""))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/>
      </c>
      <c r="AA5110" s="799"/>
    </row>
    <row r="5111" spans="1:27" s="210" customFormat="1" ht="15.75" customHeight="1">
      <c r="A5111" s="203" t="str">
        <f>IF(B5111&lt;&gt;"",IF(AND(B5111&gt;=_TM1,B5111&lt;=_TM2,OR(TH!L5111="1111",TH!M5111="1111")),TH!D5111,""),"")</f>
        <v/>
      </c>
      <c r="B5111" s="36">
        <f t="shared" si="72"/>
        <v>12</v>
      </c>
      <c r="C5111" s="183">
        <f t="shared" si="73"/>
        <v>42369</v>
      </c>
      <c r="D5111" s="190" t="s">
        <v>2015</v>
      </c>
      <c r="E5111" s="190">
        <v>42369</v>
      </c>
      <c r="F5111" s="191" t="s">
        <v>1308</v>
      </c>
      <c r="G5111" s="482" t="s">
        <v>1306</v>
      </c>
      <c r="H5111" s="192" t="s">
        <v>2016</v>
      </c>
      <c r="I5111" s="255">
        <v>208</v>
      </c>
      <c r="J5111" s="255">
        <v>21848.609514386233</v>
      </c>
      <c r="K5111" s="593">
        <f t="shared" si="74"/>
        <v>4544511</v>
      </c>
      <c r="L5111" s="193" t="s">
        <v>172</v>
      </c>
      <c r="M5111" s="193" t="s">
        <v>167</v>
      </c>
      <c r="N5111" s="52" t="str">
        <f>IF(AND('331-CT'!$E$7=TH!H5111,OR(L5111="331",M5111="331")),"331",IF(AND(OR(L5111="131",M5111="131"),H5111='131-CT'!$E$7),"131",""))</f>
        <v/>
      </c>
      <c r="O5111" s="869" t="str">
        <f>IF(AND('341-CT'!$E$9=H5111,OR(LEFT(L5111,3)=$O$7,LEFT(M5111,3)=$O$7)),"x","")</f>
        <v/>
      </c>
      <c r="P5111" s="52" t="str">
        <f>IF(AND($B5111&gt;='111'!$N$11,$B5111&lt;='111'!$O$11,OR($L5111=$P$7,$M5111=$P$7)),"x","")</f>
        <v/>
      </c>
      <c r="Q5111" s="52" t="str">
        <f>IF(AND($L5111=$P$7,$B5111&lt;'111'!$N$11),"x","")</f>
        <v/>
      </c>
      <c r="R5111" s="52" t="str">
        <f>IF(AND($M5111=$P$7,$B5111&lt;'111'!$N$11),"x","")</f>
        <v/>
      </c>
      <c r="S5111" s="52" t="str">
        <f>IF(ISERROR(FIND('112'!$M$9,G5111,1)),"",IF((AND(FIND('112'!$M$9,G5111,1)&gt;=1,$B5111&gt;='112'!$N$8,$B5111&lt;='112'!$O$8,OR($L5111='112'!$I$6,$M5111='112'!$I$6))),"x",""))</f>
        <v/>
      </c>
      <c r="T5111" s="52" t="str">
        <f>IF(ISERROR(FIND('112'!$M$9,G5111,1)),"",IF((AND(LEFT(G5111,2)=LEFT('112'!$M$9,2),B5111&lt;'112'!$N$8,$L5111='112'!$I$6)),"x",""))</f>
        <v/>
      </c>
      <c r="U5111" s="52" t="str">
        <f>IF(ISERROR(FIND('112'!$M$9,G5111,1)),"",IF((AND(RIGHT(G5111,2)=RIGHT('112'!$M$9,2),B5111&lt;'112'!$N$8,$M5111='112'!$I$6)),"x",""))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/>
      </c>
      <c r="AA5111" s="799"/>
    </row>
    <row r="5112" spans="1:27" s="210" customFormat="1" ht="15.75" customHeight="1">
      <c r="A5112" s="203" t="str">
        <f>IF(B5112&lt;&gt;"",IF(AND(B5112&gt;=_TM1,B5112&lt;=_TM2,OR(TH!L5112="1111",TH!M5112="1111")),TH!D5112,""),"")</f>
        <v/>
      </c>
      <c r="B5112" s="36">
        <f t="shared" si="72"/>
        <v>12</v>
      </c>
      <c r="C5112" s="183">
        <f t="shared" si="73"/>
        <v>42369</v>
      </c>
      <c r="D5112" s="190" t="s">
        <v>2015</v>
      </c>
      <c r="E5112" s="190">
        <v>42369</v>
      </c>
      <c r="F5112" s="191" t="s">
        <v>1309</v>
      </c>
      <c r="G5112" s="482" t="s">
        <v>1306</v>
      </c>
      <c r="H5112" s="192" t="s">
        <v>2016</v>
      </c>
      <c r="I5112" s="255">
        <v>249</v>
      </c>
      <c r="J5112" s="255">
        <v>19238.70735396467</v>
      </c>
      <c r="K5112" s="593">
        <f t="shared" si="74"/>
        <v>4790438</v>
      </c>
      <c r="L5112" s="193" t="s">
        <v>172</v>
      </c>
      <c r="M5112" s="193" t="s">
        <v>167</v>
      </c>
      <c r="N5112" s="52" t="str">
        <f>IF(AND('331-CT'!$E$7=TH!H5112,OR(L5112="331",M5112="331")),"331",IF(AND(OR(L5112="131",M5112="131"),H5112='131-CT'!$E$7),"131",""))</f>
        <v/>
      </c>
      <c r="O5112" s="869" t="str">
        <f>IF(AND('341-CT'!$E$9=H5112,OR(LEFT(L5112,3)=$O$7,LEFT(M5112,3)=$O$7)),"x","")</f>
        <v/>
      </c>
      <c r="P5112" s="52" t="str">
        <f>IF(AND($B5112&gt;='111'!$N$11,$B5112&lt;='111'!$O$11,OR($L5112=$P$7,$M5112=$P$7)),"x","")</f>
        <v/>
      </c>
      <c r="Q5112" s="52" t="str">
        <f>IF(AND($L5112=$P$7,$B5112&lt;'111'!$N$11),"x","")</f>
        <v/>
      </c>
      <c r="R5112" s="52" t="str">
        <f>IF(AND($M5112=$P$7,$B5112&lt;'111'!$N$11),"x","")</f>
        <v/>
      </c>
      <c r="S5112" s="52" t="str">
        <f>IF(ISERROR(FIND('112'!$M$9,G5112,1)),"",IF((AND(FIND('112'!$M$9,G5112,1)&gt;=1,$B5112&gt;='112'!$N$8,$B5112&lt;='112'!$O$8,OR($L5112='112'!$I$6,$M5112='112'!$I$6))),"x",""))</f>
        <v/>
      </c>
      <c r="T5112" s="52" t="str">
        <f>IF(ISERROR(FIND('112'!$M$9,G5112,1)),"",IF((AND(LEFT(G5112,2)=LEFT('112'!$M$9,2),B5112&lt;'112'!$N$8,$L5112='112'!$I$6)),"x",""))</f>
        <v/>
      </c>
      <c r="U5112" s="52" t="str">
        <f>IF(ISERROR(FIND('112'!$M$9,G5112,1)),"",IF((AND(RIGHT(G5112,2)=RIGHT('112'!$M$9,2),B5112&lt;'112'!$N$8,$M5112='112'!$I$6)),"x",""))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/>
      </c>
      <c r="AA5112" s="799"/>
    </row>
    <row r="5113" spans="1:27" s="210" customFormat="1" ht="15.75" customHeight="1">
      <c r="A5113" s="203" t="str">
        <f>IF(B5113&lt;&gt;"",IF(AND(B5113&gt;=_TM1,B5113&lt;=_TM2,OR(TH!L5113="1111",TH!M5113="1111")),TH!D5113,""),"")</f>
        <v/>
      </c>
      <c r="B5113" s="36">
        <f t="shared" si="72"/>
        <v>12</v>
      </c>
      <c r="C5113" s="183">
        <f t="shared" si="73"/>
        <v>42369</v>
      </c>
      <c r="D5113" s="190" t="s">
        <v>2015</v>
      </c>
      <c r="E5113" s="190">
        <v>42369</v>
      </c>
      <c r="F5113" s="191" t="s">
        <v>1310</v>
      </c>
      <c r="G5113" s="482" t="s">
        <v>1311</v>
      </c>
      <c r="H5113" s="192" t="s">
        <v>2016</v>
      </c>
      <c r="I5113" s="255">
        <v>250</v>
      </c>
      <c r="J5113" s="255">
        <v>19760.68778604898</v>
      </c>
      <c r="K5113" s="593">
        <f t="shared" si="74"/>
        <v>4940172</v>
      </c>
      <c r="L5113" s="193" t="s">
        <v>172</v>
      </c>
      <c r="M5113" s="193" t="s">
        <v>167</v>
      </c>
      <c r="N5113" s="52" t="str">
        <f>IF(AND('331-CT'!$E$7=TH!H5113,OR(L5113="331",M5113="331")),"331",IF(AND(OR(L5113="131",M5113="131"),H5113='131-CT'!$E$7),"131",""))</f>
        <v/>
      </c>
      <c r="O5113" s="869" t="str">
        <f>IF(AND('341-CT'!$E$9=H5113,OR(LEFT(L5113,3)=$O$7,LEFT(M5113,3)=$O$7)),"x","")</f>
        <v/>
      </c>
      <c r="P5113" s="52" t="str">
        <f>IF(AND($B5113&gt;='111'!$N$11,$B5113&lt;='111'!$O$11,OR($L5113=$P$7,$M5113=$P$7)),"x","")</f>
        <v/>
      </c>
      <c r="Q5113" s="52" t="str">
        <f>IF(AND($L5113=$P$7,$B5113&lt;'111'!$N$11),"x","")</f>
        <v/>
      </c>
      <c r="R5113" s="52" t="str">
        <f>IF(AND($M5113=$P$7,$B5113&lt;'111'!$N$11),"x","")</f>
        <v/>
      </c>
      <c r="S5113" s="52" t="str">
        <f>IF(ISERROR(FIND('112'!$M$9,G5113,1)),"",IF((AND(FIND('112'!$M$9,G5113,1)&gt;=1,$B5113&gt;='112'!$N$8,$B5113&lt;='112'!$O$8,OR($L5113='112'!$I$6,$M5113='112'!$I$6))),"x",""))</f>
        <v/>
      </c>
      <c r="T5113" s="52" t="str">
        <f>IF(ISERROR(FIND('112'!$M$9,G5113,1)),"",IF((AND(LEFT(G5113,2)=LEFT('112'!$M$9,2),B5113&lt;'112'!$N$8,$L5113='112'!$I$6)),"x",""))</f>
        <v/>
      </c>
      <c r="U5113" s="52" t="str">
        <f>IF(ISERROR(FIND('112'!$M$9,G5113,1)),"",IF((AND(RIGHT(G5113,2)=RIGHT('112'!$M$9,2),B5113&lt;'112'!$N$8,$M5113='112'!$I$6)),"x",""))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/>
      </c>
      <c r="AA5113" s="799"/>
    </row>
    <row r="5114" spans="1:27" s="210" customFormat="1" ht="15.75" customHeight="1">
      <c r="A5114" s="203" t="str">
        <f>IF(B5114&lt;&gt;"",IF(AND(B5114&gt;=_TM1,B5114&lt;=_TM2,OR(TH!L5114="1111",TH!M5114="1111")),TH!D5114,""),"")</f>
        <v/>
      </c>
      <c r="B5114" s="36">
        <f t="shared" si="72"/>
        <v>12</v>
      </c>
      <c r="C5114" s="183">
        <f t="shared" si="73"/>
        <v>42369</v>
      </c>
      <c r="D5114" s="190" t="s">
        <v>2015</v>
      </c>
      <c r="E5114" s="190">
        <v>42369</v>
      </c>
      <c r="F5114" s="191" t="s">
        <v>1312</v>
      </c>
      <c r="G5114" s="482" t="s">
        <v>1311</v>
      </c>
      <c r="H5114" s="192" t="s">
        <v>2016</v>
      </c>
      <c r="I5114" s="255">
        <v>81</v>
      </c>
      <c r="J5114" s="255">
        <v>16479.667927233302</v>
      </c>
      <c r="K5114" s="593">
        <f t="shared" si="74"/>
        <v>1334853</v>
      </c>
      <c r="L5114" s="193" t="s">
        <v>172</v>
      </c>
      <c r="M5114" s="193" t="s">
        <v>167</v>
      </c>
      <c r="N5114" s="52" t="str">
        <f>IF(AND('331-CT'!$E$7=TH!H5114,OR(L5114="331",M5114="331")),"331",IF(AND(OR(L5114="131",M5114="131"),H5114='131-CT'!$E$7),"131",""))</f>
        <v/>
      </c>
      <c r="O5114" s="869" t="str">
        <f>IF(AND('341-CT'!$E$9=H5114,OR(LEFT(L5114,3)=$O$7,LEFT(M5114,3)=$O$7)),"x","")</f>
        <v/>
      </c>
      <c r="P5114" s="52" t="str">
        <f>IF(AND($B5114&gt;='111'!$N$11,$B5114&lt;='111'!$O$11,OR($L5114=$P$7,$M5114=$P$7)),"x","")</f>
        <v/>
      </c>
      <c r="Q5114" s="52" t="str">
        <f>IF(AND($L5114=$P$7,$B5114&lt;'111'!$N$11),"x","")</f>
        <v/>
      </c>
      <c r="R5114" s="52" t="str">
        <f>IF(AND($M5114=$P$7,$B5114&lt;'111'!$N$11),"x","")</f>
        <v/>
      </c>
      <c r="S5114" s="52" t="str">
        <f>IF(ISERROR(FIND('112'!$M$9,G5114,1)),"",IF((AND(FIND('112'!$M$9,G5114,1)&gt;=1,$B5114&gt;='112'!$N$8,$B5114&lt;='112'!$O$8,OR($L5114='112'!$I$6,$M5114='112'!$I$6))),"x",""))</f>
        <v/>
      </c>
      <c r="T5114" s="52" t="str">
        <f>IF(ISERROR(FIND('112'!$M$9,G5114,1)),"",IF((AND(LEFT(G5114,2)=LEFT('112'!$M$9,2),B5114&lt;'112'!$N$8,$L5114='112'!$I$6)),"x",""))</f>
        <v/>
      </c>
      <c r="U5114" s="52" t="str">
        <f>IF(ISERROR(FIND('112'!$M$9,G5114,1)),"",IF((AND(RIGHT(G5114,2)=RIGHT('112'!$M$9,2),B5114&lt;'112'!$N$8,$M5114='112'!$I$6)),"x",""))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/>
      </c>
      <c r="AA5114" s="799"/>
    </row>
    <row r="5115" spans="1:27" s="210" customFormat="1" ht="15.75" customHeight="1">
      <c r="A5115" s="203" t="str">
        <f>IF(B5115&lt;&gt;"",IF(AND(B5115&gt;=_TM1,B5115&lt;=_TM2,OR(TH!L5115="1111",TH!M5115="1111")),TH!D5115,""),"")</f>
        <v/>
      </c>
      <c r="B5115" s="36">
        <f t="shared" si="72"/>
        <v>12</v>
      </c>
      <c r="C5115" s="183">
        <f t="shared" si="73"/>
        <v>42369</v>
      </c>
      <c r="D5115" s="190" t="s">
        <v>2015</v>
      </c>
      <c r="E5115" s="190">
        <v>42369</v>
      </c>
      <c r="F5115" s="191" t="s">
        <v>1313</v>
      </c>
      <c r="G5115" s="482" t="s">
        <v>1311</v>
      </c>
      <c r="H5115" s="192" t="s">
        <v>2016</v>
      </c>
      <c r="I5115" s="255">
        <v>250</v>
      </c>
      <c r="J5115" s="255">
        <v>1193.0981304784291</v>
      </c>
      <c r="K5115" s="593">
        <f t="shared" si="74"/>
        <v>298275</v>
      </c>
      <c r="L5115" s="193" t="s">
        <v>172</v>
      </c>
      <c r="M5115" s="193" t="s">
        <v>167</v>
      </c>
      <c r="N5115" s="52" t="str">
        <f>IF(AND('331-CT'!$E$7=TH!H5115,OR(L5115="331",M5115="331")),"331",IF(AND(OR(L5115="131",M5115="131"),H5115='131-CT'!$E$7),"131",""))</f>
        <v/>
      </c>
      <c r="O5115" s="869" t="str">
        <f>IF(AND('341-CT'!$E$9=H5115,OR(LEFT(L5115,3)=$O$7,LEFT(M5115,3)=$O$7)),"x","")</f>
        <v/>
      </c>
      <c r="P5115" s="52" t="str">
        <f>IF(AND($B5115&gt;='111'!$N$11,$B5115&lt;='111'!$O$11,OR($L5115=$P$7,$M5115=$P$7)),"x","")</f>
        <v/>
      </c>
      <c r="Q5115" s="52" t="str">
        <f>IF(AND($L5115=$P$7,$B5115&lt;'111'!$N$11),"x","")</f>
        <v/>
      </c>
      <c r="R5115" s="52" t="str">
        <f>IF(AND($M5115=$P$7,$B5115&lt;'111'!$N$11),"x","")</f>
        <v/>
      </c>
      <c r="S5115" s="52" t="str">
        <f>IF(ISERROR(FIND('112'!$M$9,G5115,1)),"",IF((AND(FIND('112'!$M$9,G5115,1)&gt;=1,$B5115&gt;='112'!$N$8,$B5115&lt;='112'!$O$8,OR($L5115='112'!$I$6,$M5115='112'!$I$6))),"x",""))</f>
        <v/>
      </c>
      <c r="T5115" s="52" t="str">
        <f>IF(ISERROR(FIND('112'!$M$9,G5115,1)),"",IF((AND(LEFT(G5115,2)=LEFT('112'!$M$9,2),B5115&lt;'112'!$N$8,$L5115='112'!$I$6)),"x",""))</f>
        <v/>
      </c>
      <c r="U5115" s="52" t="str">
        <f>IF(ISERROR(FIND('112'!$M$9,G5115,1)),"",IF((AND(RIGHT(G5115,2)=RIGHT('112'!$M$9,2),B5115&lt;'112'!$N$8,$M5115='112'!$I$6)),"x",""))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/>
      </c>
      <c r="AA5115" s="799"/>
    </row>
    <row r="5116" spans="1:27" s="210" customFormat="1" ht="15.75" customHeight="1">
      <c r="A5116" s="203" t="str">
        <f>IF(B5116&lt;&gt;"",IF(AND(B5116&gt;=_TM1,B5116&lt;=_TM2,OR(TH!L5116="1111",TH!M5116="1111")),TH!D5116,""),"")</f>
        <v/>
      </c>
      <c r="B5116" s="36">
        <f t="shared" si="72"/>
        <v>12</v>
      </c>
      <c r="C5116" s="183">
        <f t="shared" si="73"/>
        <v>42369</v>
      </c>
      <c r="D5116" s="190" t="s">
        <v>2015</v>
      </c>
      <c r="E5116" s="190">
        <v>42369</v>
      </c>
      <c r="F5116" s="191" t="s">
        <v>1314</v>
      </c>
      <c r="G5116" s="482" t="s">
        <v>1311</v>
      </c>
      <c r="H5116" s="192" t="s">
        <v>2016</v>
      </c>
      <c r="I5116" s="255">
        <v>1000</v>
      </c>
      <c r="J5116" s="255">
        <v>894.82359785882181</v>
      </c>
      <c r="K5116" s="593">
        <f t="shared" si="74"/>
        <v>894824</v>
      </c>
      <c r="L5116" s="193" t="s">
        <v>172</v>
      </c>
      <c r="M5116" s="193" t="s">
        <v>167</v>
      </c>
      <c r="N5116" s="52" t="str">
        <f>IF(AND('331-CT'!$E$7=TH!H5116,OR(L5116="331",M5116="331")),"331",IF(AND(OR(L5116="131",M5116="131"),H5116='131-CT'!$E$7),"131",""))</f>
        <v/>
      </c>
      <c r="O5116" s="869" t="str">
        <f>IF(AND('341-CT'!$E$9=H5116,OR(LEFT(L5116,3)=$O$7,LEFT(M5116,3)=$O$7)),"x","")</f>
        <v/>
      </c>
      <c r="P5116" s="52" t="str">
        <f>IF(AND($B5116&gt;='111'!$N$11,$B5116&lt;='111'!$O$11,OR($L5116=$P$7,$M5116=$P$7)),"x","")</f>
        <v/>
      </c>
      <c r="Q5116" s="52" t="str">
        <f>IF(AND($L5116=$P$7,$B5116&lt;'111'!$N$11),"x","")</f>
        <v/>
      </c>
      <c r="R5116" s="52" t="str">
        <f>IF(AND($M5116=$P$7,$B5116&lt;'111'!$N$11),"x","")</f>
        <v/>
      </c>
      <c r="S5116" s="52" t="str">
        <f>IF(ISERROR(FIND('112'!$M$9,G5116,1)),"",IF((AND(FIND('112'!$M$9,G5116,1)&gt;=1,$B5116&gt;='112'!$N$8,$B5116&lt;='112'!$O$8,OR($L5116='112'!$I$6,$M5116='112'!$I$6))),"x",""))</f>
        <v/>
      </c>
      <c r="T5116" s="52" t="str">
        <f>IF(ISERROR(FIND('112'!$M$9,G5116,1)),"",IF((AND(LEFT(G5116,2)=LEFT('112'!$M$9,2),B5116&lt;'112'!$N$8,$L5116='112'!$I$6)),"x",""))</f>
        <v/>
      </c>
      <c r="U5116" s="52" t="str">
        <f>IF(ISERROR(FIND('112'!$M$9,G5116,1)),"",IF((AND(RIGHT(G5116,2)=RIGHT('112'!$M$9,2),B5116&lt;'112'!$N$8,$M5116='112'!$I$6)),"x",""))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/>
      </c>
      <c r="AA5116" s="799"/>
    </row>
    <row r="5117" spans="1:27" s="210" customFormat="1" ht="15.75" customHeight="1">
      <c r="A5117" s="203" t="str">
        <f>IF(B5117&lt;&gt;"",IF(AND(B5117&gt;=_TM1,B5117&lt;=_TM2,OR(TH!L5117="1111",TH!M5117="1111")),TH!D5117,""),"")</f>
        <v/>
      </c>
      <c r="B5117" s="36">
        <f t="shared" si="72"/>
        <v>12</v>
      </c>
      <c r="C5117" s="183">
        <f t="shared" si="73"/>
        <v>42369</v>
      </c>
      <c r="D5117" s="190" t="s">
        <v>2015</v>
      </c>
      <c r="E5117" s="190">
        <v>42369</v>
      </c>
      <c r="F5117" s="191" t="s">
        <v>1315</v>
      </c>
      <c r="G5117" s="482" t="s">
        <v>1311</v>
      </c>
      <c r="H5117" s="192" t="s">
        <v>2016</v>
      </c>
      <c r="I5117" s="255">
        <v>243</v>
      </c>
      <c r="J5117" s="255">
        <v>2162.4903614921527</v>
      </c>
      <c r="K5117" s="593">
        <f t="shared" si="74"/>
        <v>525485</v>
      </c>
      <c r="L5117" s="193" t="s">
        <v>172</v>
      </c>
      <c r="M5117" s="193" t="s">
        <v>167</v>
      </c>
      <c r="N5117" s="52" t="str">
        <f>IF(AND('331-CT'!$E$7=TH!H5117,OR(L5117="331",M5117="331")),"331",IF(AND(OR(L5117="131",M5117="131"),H5117='131-CT'!$E$7),"131",""))</f>
        <v/>
      </c>
      <c r="O5117" s="869" t="str">
        <f>IF(AND('341-CT'!$E$9=H5117,OR(LEFT(L5117,3)=$O$7,LEFT(M5117,3)=$O$7)),"x","")</f>
        <v/>
      </c>
      <c r="P5117" s="52" t="str">
        <f>IF(AND($B5117&gt;='111'!$N$11,$B5117&lt;='111'!$O$11,OR($L5117=$P$7,$M5117=$P$7)),"x","")</f>
        <v/>
      </c>
      <c r="Q5117" s="52" t="str">
        <f>IF(AND($L5117=$P$7,$B5117&lt;'111'!$N$11),"x","")</f>
        <v/>
      </c>
      <c r="R5117" s="52" t="str">
        <f>IF(AND($M5117=$P$7,$B5117&lt;'111'!$N$11),"x","")</f>
        <v/>
      </c>
      <c r="S5117" s="52" t="str">
        <f>IF(ISERROR(FIND('112'!$M$9,G5117,1)),"",IF((AND(FIND('112'!$M$9,G5117,1)&gt;=1,$B5117&gt;='112'!$N$8,$B5117&lt;='112'!$O$8,OR($L5117='112'!$I$6,$M5117='112'!$I$6))),"x",""))</f>
        <v/>
      </c>
      <c r="T5117" s="52" t="str">
        <f>IF(ISERROR(FIND('112'!$M$9,G5117,1)),"",IF((AND(LEFT(G5117,2)=LEFT('112'!$M$9,2),B5117&lt;'112'!$N$8,$L5117='112'!$I$6)),"x",""))</f>
        <v/>
      </c>
      <c r="U5117" s="52" t="str">
        <f>IF(ISERROR(FIND('112'!$M$9,G5117,1)),"",IF((AND(RIGHT(G5117,2)=RIGHT('112'!$M$9,2),B5117&lt;'112'!$N$8,$M5117='112'!$I$6)),"x",""))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/>
      </c>
      <c r="AA5117" s="799"/>
    </row>
    <row r="5118" spans="1:27" s="210" customFormat="1" ht="15.75" customHeight="1">
      <c r="A5118" s="203" t="str">
        <f>IF(B5118&lt;&gt;"",IF(AND(B5118&gt;=_TM1,B5118&lt;=_TM2,OR(TH!L5118="1111",TH!M5118="1111")),TH!D5118,""),"")</f>
        <v/>
      </c>
      <c r="B5118" s="36">
        <f t="shared" si="72"/>
        <v>12</v>
      </c>
      <c r="C5118" s="183">
        <f t="shared" si="73"/>
        <v>42369</v>
      </c>
      <c r="D5118" s="190" t="s">
        <v>2015</v>
      </c>
      <c r="E5118" s="190">
        <v>42369</v>
      </c>
      <c r="F5118" s="191" t="s">
        <v>1316</v>
      </c>
      <c r="G5118" s="482" t="s">
        <v>1311</v>
      </c>
      <c r="H5118" s="192" t="s">
        <v>2016</v>
      </c>
      <c r="I5118" s="255">
        <v>162</v>
      </c>
      <c r="J5118" s="255">
        <v>671.11769839411636</v>
      </c>
      <c r="K5118" s="593">
        <f t="shared" si="74"/>
        <v>108721</v>
      </c>
      <c r="L5118" s="193" t="s">
        <v>172</v>
      </c>
      <c r="M5118" s="193" t="s">
        <v>167</v>
      </c>
      <c r="N5118" s="52" t="str">
        <f>IF(AND('331-CT'!$E$7=TH!H5118,OR(L5118="331",M5118="331")),"331",IF(AND(OR(L5118="131",M5118="131"),H5118='131-CT'!$E$7),"131",""))</f>
        <v/>
      </c>
      <c r="O5118" s="869" t="str">
        <f>IF(AND('341-CT'!$E$9=H5118,OR(LEFT(L5118,3)=$O$7,LEFT(M5118,3)=$O$7)),"x","")</f>
        <v/>
      </c>
      <c r="P5118" s="52" t="str">
        <f>IF(AND($B5118&gt;='111'!$N$11,$B5118&lt;='111'!$O$11,OR($L5118=$P$7,$M5118=$P$7)),"x","")</f>
        <v/>
      </c>
      <c r="Q5118" s="52" t="str">
        <f>IF(AND($L5118=$P$7,$B5118&lt;'111'!$N$11),"x","")</f>
        <v/>
      </c>
      <c r="R5118" s="52" t="str">
        <f>IF(AND($M5118=$P$7,$B5118&lt;'111'!$N$11),"x","")</f>
        <v/>
      </c>
      <c r="S5118" s="52" t="str">
        <f>IF(ISERROR(FIND('112'!$M$9,G5118,1)),"",IF((AND(FIND('112'!$M$9,G5118,1)&gt;=1,$B5118&gt;='112'!$N$8,$B5118&lt;='112'!$O$8,OR($L5118='112'!$I$6,$M5118='112'!$I$6))),"x",""))</f>
        <v/>
      </c>
      <c r="T5118" s="52" t="str">
        <f>IF(ISERROR(FIND('112'!$M$9,G5118,1)),"",IF((AND(LEFT(G5118,2)=LEFT('112'!$M$9,2),B5118&lt;'112'!$N$8,$L5118='112'!$I$6)),"x",""))</f>
        <v/>
      </c>
      <c r="U5118" s="52" t="str">
        <f>IF(ISERROR(FIND('112'!$M$9,G5118,1)),"",IF((AND(RIGHT(G5118,2)=RIGHT('112'!$M$9,2),B5118&lt;'112'!$N$8,$M5118='112'!$I$6)),"x",""))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/>
      </c>
      <c r="AA5118" s="799"/>
    </row>
    <row r="5119" spans="1:27" s="210" customFormat="1" ht="15.75" customHeight="1">
      <c r="A5119" s="203" t="str">
        <f>IF(B5119&lt;&gt;"",IF(AND(B5119&gt;=_TM1,B5119&lt;=_TM2,OR(TH!L5119="1111",TH!M5119="1111")),TH!D5119,""),"")</f>
        <v/>
      </c>
      <c r="B5119" s="36">
        <f t="shared" si="72"/>
        <v>12</v>
      </c>
      <c r="C5119" s="183">
        <f t="shared" si="73"/>
        <v>42369</v>
      </c>
      <c r="D5119" s="190" t="s">
        <v>2015</v>
      </c>
      <c r="E5119" s="190">
        <v>42369</v>
      </c>
      <c r="F5119" s="191" t="s">
        <v>1317</v>
      </c>
      <c r="G5119" s="482" t="s">
        <v>1311</v>
      </c>
      <c r="H5119" s="192" t="s">
        <v>2016</v>
      </c>
      <c r="I5119" s="255">
        <v>648</v>
      </c>
      <c r="J5119" s="255">
        <v>521.98043208431272</v>
      </c>
      <c r="K5119" s="593">
        <f t="shared" si="74"/>
        <v>338243</v>
      </c>
      <c r="L5119" s="193" t="s">
        <v>172</v>
      </c>
      <c r="M5119" s="193" t="s">
        <v>167</v>
      </c>
      <c r="N5119" s="52" t="str">
        <f>IF(AND('331-CT'!$E$7=TH!H5119,OR(L5119="331",M5119="331")),"331",IF(AND(OR(L5119="131",M5119="131"),H5119='131-CT'!$E$7),"131",""))</f>
        <v/>
      </c>
      <c r="O5119" s="869" t="str">
        <f>IF(AND('341-CT'!$E$9=H5119,OR(LEFT(L5119,3)=$O$7,LEFT(M5119,3)=$O$7)),"x","")</f>
        <v/>
      </c>
      <c r="P5119" s="52" t="str">
        <f>IF(AND($B5119&gt;='111'!$N$11,$B5119&lt;='111'!$O$11,OR($L5119=$P$7,$M5119=$P$7)),"x","")</f>
        <v/>
      </c>
      <c r="Q5119" s="52" t="str">
        <f>IF(AND($L5119=$P$7,$B5119&lt;'111'!$N$11),"x","")</f>
        <v/>
      </c>
      <c r="R5119" s="52" t="str">
        <f>IF(AND($M5119=$P$7,$B5119&lt;'111'!$N$11),"x","")</f>
        <v/>
      </c>
      <c r="S5119" s="52" t="str">
        <f>IF(ISERROR(FIND('112'!$M$9,G5119,1)),"",IF((AND(FIND('112'!$M$9,G5119,1)&gt;=1,$B5119&gt;='112'!$N$8,$B5119&lt;='112'!$O$8,OR($L5119='112'!$I$6,$M5119='112'!$I$6))),"x",""))</f>
        <v/>
      </c>
      <c r="T5119" s="52" t="str">
        <f>IF(ISERROR(FIND('112'!$M$9,G5119,1)),"",IF((AND(LEFT(G5119,2)=LEFT('112'!$M$9,2),B5119&lt;'112'!$N$8,$L5119='112'!$I$6)),"x",""))</f>
        <v/>
      </c>
      <c r="U5119" s="52" t="str">
        <f>IF(ISERROR(FIND('112'!$M$9,G5119,1)),"",IF((AND(RIGHT(G5119,2)=RIGHT('112'!$M$9,2),B5119&lt;'112'!$N$8,$M5119='112'!$I$6)),"x",""))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/>
      </c>
      <c r="AA5119" s="799"/>
    </row>
    <row r="5120" spans="1:27" s="210" customFormat="1" ht="15.75" customHeight="1">
      <c r="A5120" s="203" t="str">
        <f>IF(B5120&lt;&gt;"",IF(AND(B5120&gt;=_TM1,B5120&lt;=_TM2,OR(TH!L5120="1111",TH!M5120="1111")),TH!D5120,""),"")</f>
        <v/>
      </c>
      <c r="B5120" s="36">
        <f t="shared" si="72"/>
        <v>12</v>
      </c>
      <c r="C5120" s="183">
        <f t="shared" si="73"/>
        <v>42369</v>
      </c>
      <c r="D5120" s="190" t="s">
        <v>2015</v>
      </c>
      <c r="E5120" s="190">
        <v>42369</v>
      </c>
      <c r="F5120" s="191" t="s">
        <v>1318</v>
      </c>
      <c r="G5120" s="482" t="s">
        <v>1311</v>
      </c>
      <c r="H5120" s="192" t="s">
        <v>2016</v>
      </c>
      <c r="I5120" s="255">
        <v>500</v>
      </c>
      <c r="J5120" s="255">
        <v>3430.1571251254836</v>
      </c>
      <c r="K5120" s="593">
        <f t="shared" si="74"/>
        <v>1715079</v>
      </c>
      <c r="L5120" s="193" t="s">
        <v>172</v>
      </c>
      <c r="M5120" s="193" t="s">
        <v>167</v>
      </c>
      <c r="N5120" s="52" t="str">
        <f>IF(AND('331-CT'!$E$7=TH!H5120,OR(L5120="331",M5120="331")),"331",IF(AND(OR(L5120="131",M5120="131"),H5120='131-CT'!$E$7),"131",""))</f>
        <v/>
      </c>
      <c r="O5120" s="869" t="str">
        <f>IF(AND('341-CT'!$E$9=H5120,OR(LEFT(L5120,3)=$O$7,LEFT(M5120,3)=$O$7)),"x","")</f>
        <v/>
      </c>
      <c r="P5120" s="52" t="str">
        <f>IF(AND($B5120&gt;='111'!$N$11,$B5120&lt;='111'!$O$11,OR($L5120=$P$7,$M5120=$P$7)),"x","")</f>
        <v/>
      </c>
      <c r="Q5120" s="52" t="str">
        <f>IF(AND($L5120=$P$7,$B5120&lt;'111'!$N$11),"x","")</f>
        <v/>
      </c>
      <c r="R5120" s="52" t="str">
        <f>IF(AND($M5120=$P$7,$B5120&lt;'111'!$N$11),"x","")</f>
        <v/>
      </c>
      <c r="S5120" s="52" t="str">
        <f>IF(ISERROR(FIND('112'!$M$9,G5120,1)),"",IF((AND(FIND('112'!$M$9,G5120,1)&gt;=1,$B5120&gt;='112'!$N$8,$B5120&lt;='112'!$O$8,OR($L5120='112'!$I$6,$M5120='112'!$I$6))),"x",""))</f>
        <v/>
      </c>
      <c r="T5120" s="52" t="str">
        <f>IF(ISERROR(FIND('112'!$M$9,G5120,1)),"",IF((AND(LEFT(G5120,2)=LEFT('112'!$M$9,2),B5120&lt;'112'!$N$8,$L5120='112'!$I$6)),"x",""))</f>
        <v/>
      </c>
      <c r="U5120" s="52" t="str">
        <f>IF(ISERROR(FIND('112'!$M$9,G5120,1)),"",IF((AND(RIGHT(G5120,2)=RIGHT('112'!$M$9,2),B5120&lt;'112'!$N$8,$M5120='112'!$I$6)),"x",""))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/>
      </c>
      <c r="AA5120" s="799"/>
    </row>
    <row r="5121" spans="1:27" s="210" customFormat="1" ht="15.75" customHeight="1">
      <c r="A5121" s="203" t="str">
        <f>IF(B5121&lt;&gt;"",IF(AND(B5121&gt;=_TM1,B5121&lt;=_TM2,OR(TH!L5121="1111",TH!M5121="1111")),TH!D5121,""),"")</f>
        <v/>
      </c>
      <c r="B5121" s="36" t="str">
        <f t="shared" ref="B5121:B5124" si="99">IF(C5121&lt;&gt;"",MONTH(C5121),"")</f>
        <v/>
      </c>
      <c r="C5121" s="37"/>
      <c r="D5121" s="37"/>
      <c r="E5121" s="37"/>
      <c r="F5121" s="40"/>
      <c r="G5121" s="40"/>
      <c r="H5121" s="44"/>
      <c r="I5121" s="255"/>
      <c r="J5121" s="255"/>
      <c r="K5121" s="38"/>
      <c r="L5121" s="39"/>
      <c r="M5121" s="39"/>
      <c r="N5121" s="52" t="str">
        <f>IF(AND('331-CT'!$E$7=TH!H5121,OR(L5121="331",M5121="331")),"331",IF(AND(OR(L5121="131",M5121="131"),H5121='131-CT'!$E$7),"131",""))</f>
        <v/>
      </c>
      <c r="O5121" s="869" t="str">
        <f>IF(AND('341-CT'!$E$9=H5121,OR(LEFT(L5121,3)=$O$7,LEFT(M5121,3)=$O$7)),"x","")</f>
        <v/>
      </c>
      <c r="P5121" s="52" t="str">
        <f>IF(AND($B5121&gt;='111'!$N$11,$B5121&lt;='111'!$O$11,OR($L5121=$P$7,$M5121=$P$7)),"x","")</f>
        <v/>
      </c>
      <c r="Q5121" s="52" t="str">
        <f>IF(AND($L5121=$P$7,$B5121&lt;'111'!$N$11),"x","")</f>
        <v/>
      </c>
      <c r="R5121" s="52" t="str">
        <f>IF(AND($M5121=$P$7,$B5121&lt;'111'!$N$11),"x","")</f>
        <v/>
      </c>
      <c r="S5121" s="52" t="str">
        <f>IF(ISERROR(FIND('112'!$M$9,G5121,1)),"",IF((AND(FIND('112'!$M$9,G5121,1)&gt;=1,$B5121&gt;='112'!$N$8,$B5121&lt;='112'!$O$8,OR($L5121='112'!$I$6,$M5121='112'!$I$6))),"x",""))</f>
        <v/>
      </c>
      <c r="T5121" s="52" t="str">
        <f>IF(ISERROR(FIND('112'!$M$9,G5121,1)),"",IF((AND(LEFT(G5121,2)=LEFT('112'!$M$9,2),B5121&lt;'112'!$N$8,$L5121='112'!$I$6)),"x",""))</f>
        <v/>
      </c>
      <c r="U5121" s="52" t="str">
        <f>IF(ISERROR(FIND('112'!$M$9,G5121,1)),"",IF((AND(RIGHT(G5121,2)=RIGHT('112'!$M$9,2),B5121&lt;'112'!$N$8,$M5121='112'!$I$6)),"x",""))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/>
      </c>
      <c r="AA5121" s="799"/>
    </row>
    <row r="5122" spans="1:27" s="210" customFormat="1" ht="15.75" customHeight="1">
      <c r="A5122" s="203" t="str">
        <f>IF(B5122&lt;&gt;"",IF(AND(B5122&gt;=_TM1,B5122&lt;=_TM2,OR(TH!L5122="1111",TH!M5122="1111")),TH!D5122,""),"")</f>
        <v/>
      </c>
      <c r="B5122" s="36" t="str">
        <f t="shared" si="99"/>
        <v/>
      </c>
      <c r="C5122" s="37"/>
      <c r="D5122" s="37"/>
      <c r="E5122" s="37"/>
      <c r="F5122" s="40"/>
      <c r="G5122" s="40"/>
      <c r="H5122" s="44"/>
      <c r="I5122" s="255"/>
      <c r="J5122" s="255"/>
      <c r="K5122" s="38"/>
      <c r="L5122" s="39"/>
      <c r="M5122" s="39"/>
      <c r="N5122" s="52" t="str">
        <f>IF(AND('331-CT'!$E$7=TH!H5122,OR(L5122="331",M5122="331")),"331",IF(AND(OR(L5122="131",M5122="131"),H5122='131-CT'!$E$7),"131",""))</f>
        <v/>
      </c>
      <c r="O5122" s="869" t="str">
        <f>IF(AND('341-CT'!$E$9=H5122,OR(LEFT(L5122,3)=$O$7,LEFT(M5122,3)=$O$7)),"x","")</f>
        <v/>
      </c>
      <c r="P5122" s="52" t="str">
        <f>IF(AND($B5122&gt;='111'!$N$11,$B5122&lt;='111'!$O$11,OR($L5122=$P$7,$M5122=$P$7)),"x","")</f>
        <v/>
      </c>
      <c r="Q5122" s="52" t="str">
        <f>IF(AND($L5122=$P$7,$B5122&lt;'111'!$N$11),"x","")</f>
        <v/>
      </c>
      <c r="R5122" s="52" t="str">
        <f>IF(AND($M5122=$P$7,$B5122&lt;'111'!$N$11),"x","")</f>
        <v/>
      </c>
      <c r="S5122" s="52" t="str">
        <f>IF(ISERROR(FIND('112'!$M$9,G5122,1)),"",IF((AND(FIND('112'!$M$9,G5122,1)&gt;=1,$B5122&gt;='112'!$N$8,$B5122&lt;='112'!$O$8,OR($L5122='112'!$I$6,$M5122='112'!$I$6))),"x",""))</f>
        <v/>
      </c>
      <c r="T5122" s="52" t="str">
        <f>IF(ISERROR(FIND('112'!$M$9,G5122,1)),"",IF((AND(LEFT(G5122,2)=LEFT('112'!$M$9,2),B5122&lt;'112'!$N$8,$L5122='112'!$I$6)),"x",""))</f>
        <v/>
      </c>
      <c r="U5122" s="52" t="str">
        <f>IF(ISERROR(FIND('112'!$M$9,G5122,1)),"",IF((AND(RIGHT(G5122,2)=RIGHT('112'!$M$9,2),B5122&lt;'112'!$N$8,$M5122='112'!$I$6)),"x",""))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/>
      </c>
      <c r="AA5122" s="799"/>
    </row>
    <row r="5123" spans="1:27" s="210" customFormat="1" ht="15.75" customHeight="1">
      <c r="A5123" s="203" t="str">
        <f>IF(B5123&lt;&gt;"",IF(AND(B5123&gt;=_TM1,B5123&lt;=_TM2,OR(TH!L5123="1111",TH!M5123="1111")),TH!D5123,""),"")</f>
        <v/>
      </c>
      <c r="B5123" s="36" t="str">
        <f t="shared" si="99"/>
        <v/>
      </c>
      <c r="C5123" s="37"/>
      <c r="D5123" s="37"/>
      <c r="E5123" s="37"/>
      <c r="F5123" s="40"/>
      <c r="G5123" s="40"/>
      <c r="H5123" s="44"/>
      <c r="I5123" s="255"/>
      <c r="J5123" s="255"/>
      <c r="K5123" s="38"/>
      <c r="L5123" s="39"/>
      <c r="M5123" s="39"/>
      <c r="N5123" s="52" t="str">
        <f>IF(AND('331-CT'!$E$7=TH!H5123,OR(L5123="331",M5123="331")),"331",IF(AND(OR(L5123="131",M5123="131"),H5123='131-CT'!$E$7),"131",""))</f>
        <v/>
      </c>
      <c r="O5123" s="869" t="str">
        <f>IF(AND('341-CT'!$E$9=H5123,OR(LEFT(L5123,3)=$O$7,LEFT(M5123,3)=$O$7)),"x","")</f>
        <v/>
      </c>
      <c r="P5123" s="52" t="str">
        <f>IF(AND($B5123&gt;='111'!$N$11,$B5123&lt;='111'!$O$11,OR($L5123=$P$7,$M5123=$P$7)),"x","")</f>
        <v/>
      </c>
      <c r="Q5123" s="52" t="str">
        <f>IF(AND($L5123=$P$7,$B5123&lt;'111'!$N$11),"x","")</f>
        <v/>
      </c>
      <c r="R5123" s="52" t="str">
        <f>IF(AND($M5123=$P$7,$B5123&lt;'111'!$N$11),"x","")</f>
        <v/>
      </c>
      <c r="S5123" s="52" t="str">
        <f>IF(ISERROR(FIND('112'!$M$9,G5123,1)),"",IF((AND(FIND('112'!$M$9,G5123,1)&gt;=1,$B5123&gt;='112'!$N$8,$B5123&lt;='112'!$O$8,OR($L5123='112'!$I$6,$M5123='112'!$I$6))),"x",""))</f>
        <v/>
      </c>
      <c r="T5123" s="52" t="str">
        <f>IF(ISERROR(FIND('112'!$M$9,G5123,1)),"",IF((AND(LEFT(G5123,2)=LEFT('112'!$M$9,2),B5123&lt;'112'!$N$8,$L5123='112'!$I$6)),"x",""))</f>
        <v/>
      </c>
      <c r="U5123" s="52" t="str">
        <f>IF(ISERROR(FIND('112'!$M$9,G5123,1)),"",IF((AND(RIGHT(G5123,2)=RIGHT('112'!$M$9,2),B5123&lt;'112'!$N$8,$M5123='112'!$I$6)),"x",""))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/>
      </c>
      <c r="AA5123" s="799"/>
    </row>
    <row r="5124" spans="1:27" s="210" customFormat="1" ht="15.75" customHeight="1">
      <c r="A5124" s="203" t="str">
        <f>IF(B5124&lt;&gt;"",IF(AND(B5124&gt;=_TM1,B5124&lt;=_TM2,OR(TH!L5124="1111",TH!M5124="1111")),TH!D5124,""),"")</f>
        <v/>
      </c>
      <c r="B5124" s="36" t="str">
        <f t="shared" si="99"/>
        <v/>
      </c>
      <c r="C5124" s="37"/>
      <c r="D5124" s="37"/>
      <c r="E5124" s="37"/>
      <c r="F5124" s="40"/>
      <c r="G5124" s="40"/>
      <c r="H5124" s="44"/>
      <c r="I5124" s="255"/>
      <c r="J5124" s="255"/>
      <c r="K5124" s="38"/>
      <c r="L5124" s="39"/>
      <c r="M5124" s="39"/>
      <c r="N5124" s="52" t="str">
        <f>IF(AND('331-CT'!$E$7=TH!H5124,OR(L5124="331",M5124="331")),"331",IF(AND(OR(L5124="131",M5124="131"),H5124='131-CT'!$E$7),"131",""))</f>
        <v/>
      </c>
      <c r="O5124" s="869" t="str">
        <f>IF(AND('341-CT'!$E$9=H5124,OR(LEFT(L5124,3)=$O$7,LEFT(M5124,3)=$O$7)),"x","")</f>
        <v/>
      </c>
      <c r="P5124" s="52" t="str">
        <f>IF(AND($B5124&gt;='111'!$N$11,$B5124&lt;='111'!$O$11,OR($L5124=$P$7,$M5124=$P$7)),"x","")</f>
        <v/>
      </c>
      <c r="Q5124" s="52" t="str">
        <f>IF(AND($L5124=$P$7,$B5124&lt;'111'!$N$11),"x","")</f>
        <v/>
      </c>
      <c r="R5124" s="52" t="str">
        <f>IF(AND($M5124=$P$7,$B5124&lt;'111'!$N$11),"x","")</f>
        <v/>
      </c>
      <c r="S5124" s="52" t="str">
        <f>IF(ISERROR(FIND('112'!$M$9,G5124,1)),"",IF((AND(FIND('112'!$M$9,G5124,1)&gt;=1,$B5124&gt;='112'!$N$8,$B5124&lt;='112'!$O$8,OR($L5124='112'!$I$6,$M5124='112'!$I$6))),"x",""))</f>
        <v/>
      </c>
      <c r="T5124" s="52" t="str">
        <f>IF(ISERROR(FIND('112'!$M$9,G5124,1)),"",IF((AND(LEFT(G5124,2)=LEFT('112'!$M$9,2),B5124&lt;'112'!$N$8,$L5124='112'!$I$6)),"x",""))</f>
        <v/>
      </c>
      <c r="U5124" s="52" t="str">
        <f>IF(ISERROR(FIND('112'!$M$9,G5124,1)),"",IF((AND(RIGHT(G5124,2)=RIGHT('112'!$M$9,2),B5124&lt;'112'!$N$8,$M5124='112'!$I$6)),"x",""))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/>
      </c>
      <c r="AA5124" s="799"/>
    </row>
    <row r="5125" spans="1:27">
      <c r="K5125" s="210"/>
    </row>
    <row r="5126" spans="1:27">
      <c r="J5126" s="759"/>
    </row>
    <row r="5129" spans="1:27">
      <c r="K5129" s="478">
        <f>SUBTOTAL(9,K10:K5124)</f>
        <v>42455432310</v>
      </c>
    </row>
  </sheetData>
  <autoFilter ref="A9:AA5124"/>
  <sortState ref="A22:AB2541">
    <sortCondition ref="C22:C2541"/>
  </sortState>
  <mergeCells count="19">
    <mergeCell ref="A7:A8"/>
    <mergeCell ref="B7:B8"/>
    <mergeCell ref="H7:H8"/>
    <mergeCell ref="V7:V8"/>
    <mergeCell ref="P7:R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968" t="s">
        <v>342</v>
      </c>
      <c r="G1" s="968"/>
      <c r="H1" s="968"/>
      <c r="I1" s="968"/>
    </row>
    <row r="2" spans="1:14">
      <c r="A2" s="616" t="str">
        <f>TH!A2</f>
        <v>Địa chỉ: 1A227/1 Ấp 1, Phạm Văn Hai, Bình Chánh, TPHCM</v>
      </c>
      <c r="F2" s="967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67"/>
      <c r="H2" s="967"/>
      <c r="I2" s="967"/>
    </row>
    <row r="3" spans="1:14">
      <c r="F3" s="967"/>
      <c r="G3" s="967"/>
      <c r="H3" s="967"/>
      <c r="I3" s="967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2015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971" t="s">
        <v>123</v>
      </c>
      <c r="I7" s="971"/>
      <c r="J7" s="622"/>
      <c r="K7" s="622"/>
      <c r="M7" s="970" t="s">
        <v>331</v>
      </c>
      <c r="N7" s="970"/>
    </row>
    <row r="8" spans="1:14" s="775" customFormat="1" ht="23.25" customHeight="1" thickBot="1">
      <c r="A8" s="972" t="s">
        <v>344</v>
      </c>
      <c r="B8" s="974" t="s">
        <v>1</v>
      </c>
      <c r="C8" s="975"/>
      <c r="D8" s="976" t="s">
        <v>0</v>
      </c>
      <c r="E8" s="972" t="s">
        <v>345</v>
      </c>
      <c r="F8" s="969" t="s">
        <v>94</v>
      </c>
      <c r="G8" s="969"/>
      <c r="H8" s="974" t="s">
        <v>21</v>
      </c>
      <c r="I8" s="975"/>
      <c r="J8" s="774"/>
      <c r="K8" s="774"/>
      <c r="M8" s="776">
        <f>IF(K9="Quý I",1,IF(K9="Quý II",4,IF(K9="Quý III",7,IF(K9="Quý IV",10,""))))</f>
        <v>7</v>
      </c>
      <c r="N8" s="776">
        <f>IF(K9="Quý I",3,IF(K9="Quý II",6,IF(K9="Quý III",9,IF(K9="Quý IV",12,""))))</f>
        <v>9</v>
      </c>
    </row>
    <row r="9" spans="1:14" s="775" customFormat="1" ht="28.5" customHeight="1" thickBot="1">
      <c r="A9" s="973"/>
      <c r="B9" s="777" t="s">
        <v>15</v>
      </c>
      <c r="C9" s="777" t="s">
        <v>32</v>
      </c>
      <c r="D9" s="977"/>
      <c r="E9" s="973"/>
      <c r="F9" s="778" t="s">
        <v>22</v>
      </c>
      <c r="G9" s="778" t="s">
        <v>23</v>
      </c>
      <c r="H9" s="777" t="s">
        <v>346</v>
      </c>
      <c r="I9" s="777" t="s">
        <v>23</v>
      </c>
      <c r="K9" s="691" t="s">
        <v>385</v>
      </c>
    </row>
    <row r="10" spans="1:14" s="775" customFormat="1" ht="21" customHeight="1">
      <c r="A10" s="779"/>
      <c r="B10" s="779"/>
      <c r="C10" s="779"/>
      <c r="D10" s="780" t="s">
        <v>349</v>
      </c>
      <c r="E10" s="781"/>
      <c r="F10" s="779"/>
      <c r="G10" s="779"/>
      <c r="H10" s="782">
        <f>SUMIF(_M,"&lt;"&amp;$M$8,TH)</f>
        <v>16951444880</v>
      </c>
      <c r="I10" s="782">
        <f>SUMIF(_M,"&lt;"&amp;$M$8,TH)</f>
        <v>16951444880</v>
      </c>
    </row>
    <row r="11" spans="1:14" s="775" customFormat="1" ht="21" customHeight="1">
      <c r="A11" s="783">
        <f ca="1">IF(ROWS($1:1)&gt;COUNT(Dong6),"",OFFSET(TH!C$1,SMALL(Dong6,ROWS($1:1)),))</f>
        <v>42186</v>
      </c>
      <c r="B11" s="784" t="str">
        <f ca="1">IF(ROWS($1:1)&gt;COUNT(Dong6),"",OFFSET(TH!D$1,SMALL(Dong6,ROWS($1:1)),))</f>
        <v>CTGS</v>
      </c>
      <c r="C11" s="783">
        <f ca="1">IF(ROWS($1:1)&gt;COUNT(Dong6),"",OFFSET(TH!E$1,SMALL(Dong6,ROWS($1:1)),))</f>
        <v>42186</v>
      </c>
      <c r="D11" s="785" t="str">
        <f ca="1">IF(ROWS($1:1)&gt;COUNT(Dong6),"",OFFSET(TH!F$1,SMALL(Dong6,ROWS($1:1)),))</f>
        <v>Trích khấu hao TSCĐ Hữu hình</v>
      </c>
      <c r="E11" s="784">
        <f t="shared" ref="E11:E40" ca="1" si="0">IF(D11&lt;&gt;"",ROW()-10,"")</f>
        <v>1</v>
      </c>
      <c r="F11" s="786" t="str">
        <f ca="1">IF(ROWS($1:1)&gt;COUNT(Dong6),"",OFFSET(TH!L$1,SMALL(Dong6,ROWS($1:1)),))</f>
        <v>154</v>
      </c>
      <c r="G11" s="786" t="str">
        <f ca="1">IF(ROWS($1:1)&gt;COUNT(Dong6),"",OFFSET(TH!M$1,SMALL(Dong6,ROWS($1:1)),))</f>
        <v>2141</v>
      </c>
      <c r="H11" s="690">
        <f ca="1">IF(ROWS($1:1)&gt;COUNT(Dong6),"",OFFSET(TH!K$1,SMALL(Dong6,ROWS($1:1)),))</f>
        <v>30750000</v>
      </c>
      <c r="I11" s="690">
        <f ca="1">IF(ROWS($1:1)&gt;COUNT(Dong6),"",OFFSET(TH!K$1,SMALL(Dong6,ROWS($1:1)),))</f>
        <v>30750000</v>
      </c>
    </row>
    <row r="12" spans="1:14" s="775" customFormat="1" ht="21" customHeight="1">
      <c r="A12" s="783">
        <f ca="1">IF(ROWS($1:2)&gt;COUNT(Dong6),"",OFFSET(TH!C$1,SMALL(Dong6,ROWS($1:2)),))</f>
        <v>42186</v>
      </c>
      <c r="B12" s="784" t="str">
        <f ca="1">IF(ROWS($1:2)&gt;COUNT(Dong6),"",OFFSET(TH!D$1,SMALL(Dong6,ROWS($1:2)),))</f>
        <v>TP/X01</v>
      </c>
      <c r="C12" s="783">
        <f ca="1">IF(ROWS($1:2)&gt;COUNT(Dong6),"",OFFSET(TH!E$1,SMALL(Dong6,ROWS($1:2)),))</f>
        <v>42186</v>
      </c>
      <c r="D12" s="785" t="str">
        <f ca="1">IF(ROWS($1:2)&gt;COUNT(Dong6),"",OFFSET(TH!F$1,SMALL(Dong6,ROWS($1:2)),))</f>
        <v>Thùng (35x30x16)</v>
      </c>
      <c r="E12" s="784">
        <f t="shared" ca="1" si="0"/>
        <v>2</v>
      </c>
      <c r="F12" s="786" t="str">
        <f ca="1">IF(ROWS($1:2)&gt;COUNT(Dong6),"",OFFSET(TH!L$1,SMALL(Dong6,ROWS($1:2)),))</f>
        <v>131</v>
      </c>
      <c r="G12" s="786" t="str">
        <f ca="1">IF(ROWS($1:2)&gt;COUNT(Dong6),"",OFFSET(TH!M$1,SMALL(Dong6,ROWS($1:2)),))</f>
        <v>5112</v>
      </c>
      <c r="H12" s="690">
        <f ca="1">IF(ROWS($1:2)&gt;COUNT(Dong6),"",OFFSET(TH!K$1,SMALL(Dong6,ROWS($1:2)),))</f>
        <v>203720</v>
      </c>
      <c r="I12" s="690">
        <f ca="1">IF(ROWS($1:2)&gt;COUNT(Dong6),"",OFFSET(TH!K$1,SMALL(Dong6,ROWS($1:2)),))</f>
        <v>203720</v>
      </c>
    </row>
    <row r="13" spans="1:14" s="775" customFormat="1" ht="21" customHeight="1">
      <c r="A13" s="783">
        <f ca="1">IF(ROWS($1:3)&gt;COUNT(Dong6),"",OFFSET(TH!C$1,SMALL(Dong6,ROWS($1:3)),))</f>
        <v>42186</v>
      </c>
      <c r="B13" s="784" t="str">
        <f ca="1">IF(ROWS($1:3)&gt;COUNT(Dong6),"",OFFSET(TH!D$1,SMALL(Dong6,ROWS($1:3)),))</f>
        <v>TP/X01</v>
      </c>
      <c r="C13" s="783">
        <f ca="1">IF(ROWS($1:3)&gt;COUNT(Dong6),"",OFFSET(TH!E$1,SMALL(Dong6,ROWS($1:3)),))</f>
        <v>42186</v>
      </c>
      <c r="D13" s="785" t="str">
        <f ca="1">IF(ROWS($1:3)&gt;COUNT(Dong6),"",OFFSET(TH!F$1,SMALL(Dong6,ROWS($1:3)),))</f>
        <v>Thùng (35x30x40)</v>
      </c>
      <c r="E13" s="784">
        <f t="shared" ca="1" si="0"/>
        <v>3</v>
      </c>
      <c r="F13" s="786" t="str">
        <f ca="1">IF(ROWS($1:3)&gt;COUNT(Dong6),"",OFFSET(TH!L$1,SMALL(Dong6,ROWS($1:3)),))</f>
        <v>131</v>
      </c>
      <c r="G13" s="786" t="str">
        <f ca="1">IF(ROWS($1:3)&gt;COUNT(Dong6),"",OFFSET(TH!M$1,SMALL(Dong6,ROWS($1:3)),))</f>
        <v>5112</v>
      </c>
      <c r="H13" s="690">
        <f ca="1">IF(ROWS($1:3)&gt;COUNT(Dong6),"",OFFSET(TH!K$1,SMALL(Dong6,ROWS($1:3)),))</f>
        <v>151767</v>
      </c>
      <c r="I13" s="690">
        <f ca="1">IF(ROWS($1:3)&gt;COUNT(Dong6),"",OFFSET(TH!K$1,SMALL(Dong6,ROWS($1:3)),))</f>
        <v>151767</v>
      </c>
    </row>
    <row r="14" spans="1:14" s="775" customFormat="1" ht="21" customHeight="1">
      <c r="A14" s="783">
        <f ca="1">IF(ROWS($1:4)&gt;COUNT(Dong6),"",OFFSET(TH!C$1,SMALL(Dong6,ROWS($1:4)),))</f>
        <v>42186</v>
      </c>
      <c r="B14" s="784" t="str">
        <f ca="1">IF(ROWS($1:4)&gt;COUNT(Dong6),"",OFFSET(TH!D$1,SMALL(Dong6,ROWS($1:4)),))</f>
        <v>TP/X01</v>
      </c>
      <c r="C14" s="783">
        <f ca="1">IF(ROWS($1:4)&gt;COUNT(Dong6),"",OFFSET(TH!E$1,SMALL(Dong6,ROWS($1:4)),))</f>
        <v>42186</v>
      </c>
      <c r="D14" s="785" t="str">
        <f ca="1">IF(ROWS($1:4)&gt;COUNT(Dong6),"",OFFSET(TH!F$1,SMALL(Dong6,ROWS($1:4)),))</f>
        <v>Thùng (35x30x16)</v>
      </c>
      <c r="E14" s="784">
        <f t="shared" ca="1" si="0"/>
        <v>4</v>
      </c>
      <c r="F14" s="786" t="str">
        <f ca="1">IF(ROWS($1:4)&gt;COUNT(Dong6),"",OFFSET(TH!L$1,SMALL(Dong6,ROWS($1:4)),))</f>
        <v>131</v>
      </c>
      <c r="G14" s="786" t="str">
        <f ca="1">IF(ROWS($1:4)&gt;COUNT(Dong6),"",OFFSET(TH!M$1,SMALL(Dong6,ROWS($1:4)),))</f>
        <v>5112</v>
      </c>
      <c r="H14" s="690">
        <f ca="1">IF(ROWS($1:4)&gt;COUNT(Dong6),"",OFFSET(TH!K$1,SMALL(Dong6,ROWS($1:4)),))</f>
        <v>578850</v>
      </c>
      <c r="I14" s="690">
        <f ca="1">IF(ROWS($1:4)&gt;COUNT(Dong6),"",OFFSET(TH!K$1,SMALL(Dong6,ROWS($1:4)),))</f>
        <v>578850</v>
      </c>
    </row>
    <row r="15" spans="1:14" s="775" customFormat="1" ht="21" customHeight="1">
      <c r="A15" s="783">
        <f ca="1">IF(ROWS($1:5)&gt;COUNT(Dong6),"",OFFSET(TH!C$1,SMALL(Dong6,ROWS($1:5)),))</f>
        <v>42186</v>
      </c>
      <c r="B15" s="784" t="str">
        <f ca="1">IF(ROWS($1:5)&gt;COUNT(Dong6),"",OFFSET(TH!D$1,SMALL(Dong6,ROWS($1:5)),))</f>
        <v>TP/X01</v>
      </c>
      <c r="C15" s="783">
        <f ca="1">IF(ROWS($1:5)&gt;COUNT(Dong6),"",OFFSET(TH!E$1,SMALL(Dong6,ROWS($1:5)),))</f>
        <v>42186</v>
      </c>
      <c r="D15" s="785" t="str">
        <f ca="1">IF(ROWS($1:5)&gt;COUNT(Dong6),"",OFFSET(TH!F$1,SMALL(Dong6,ROWS($1:5)),))</f>
        <v>Thùng (35x30x32)</v>
      </c>
      <c r="E15" s="784">
        <f t="shared" ca="1" si="0"/>
        <v>5</v>
      </c>
      <c r="F15" s="786" t="str">
        <f ca="1">IF(ROWS($1:5)&gt;COUNT(Dong6),"",OFFSET(TH!L$1,SMALL(Dong6,ROWS($1:5)),))</f>
        <v>131</v>
      </c>
      <c r="G15" s="786" t="str">
        <f ca="1">IF(ROWS($1:5)&gt;COUNT(Dong6),"",OFFSET(TH!M$1,SMALL(Dong6,ROWS($1:5)),))</f>
        <v>5112</v>
      </c>
      <c r="H15" s="690">
        <f ca="1">IF(ROWS($1:5)&gt;COUNT(Dong6),"",OFFSET(TH!K$1,SMALL(Dong6,ROWS($1:5)),))</f>
        <v>51500</v>
      </c>
      <c r="I15" s="690">
        <f ca="1">IF(ROWS($1:5)&gt;COUNT(Dong6),"",OFFSET(TH!K$1,SMALL(Dong6,ROWS($1:5)),))</f>
        <v>51500</v>
      </c>
    </row>
    <row r="16" spans="1:14" s="775" customFormat="1" ht="21" customHeight="1">
      <c r="A16" s="783">
        <f ca="1">IF(ROWS($1:6)&gt;COUNT(Dong6),"",OFFSET(TH!C$1,SMALL(Dong6,ROWS($1:6)),))</f>
        <v>42186</v>
      </c>
      <c r="B16" s="784" t="str">
        <f ca="1">IF(ROWS($1:6)&gt;COUNT(Dong6),"",OFFSET(TH!D$1,SMALL(Dong6,ROWS($1:6)),))</f>
        <v>TP/X01</v>
      </c>
      <c r="C16" s="783">
        <f ca="1">IF(ROWS($1:6)&gt;COUNT(Dong6),"",OFFSET(TH!E$1,SMALL(Dong6,ROWS($1:6)),))</f>
        <v>42186</v>
      </c>
      <c r="D16" s="785" t="str">
        <f ca="1">IF(ROWS($1:6)&gt;COUNT(Dong6),"",OFFSET(TH!F$1,SMALL(Dong6,ROWS($1:6)),))</f>
        <v>Thùng (35x30x24)</v>
      </c>
      <c r="E16" s="784">
        <f t="shared" ca="1" si="0"/>
        <v>6</v>
      </c>
      <c r="F16" s="786" t="str">
        <f ca="1">IF(ROWS($1:6)&gt;COUNT(Dong6),"",OFFSET(TH!L$1,SMALL(Dong6,ROWS($1:6)),))</f>
        <v>131</v>
      </c>
      <c r="G16" s="786" t="str">
        <f ca="1">IF(ROWS($1:6)&gt;COUNT(Dong6),"",OFFSET(TH!M$1,SMALL(Dong6,ROWS($1:6)),))</f>
        <v>5112</v>
      </c>
      <c r="H16" s="690">
        <f ca="1">IF(ROWS($1:6)&gt;COUNT(Dong6),"",OFFSET(TH!K$1,SMALL(Dong6,ROWS($1:6)),))</f>
        <v>45000</v>
      </c>
      <c r="I16" s="690">
        <f ca="1">IF(ROWS($1:6)&gt;COUNT(Dong6),"",OFFSET(TH!K$1,SMALL(Dong6,ROWS($1:6)),))</f>
        <v>45000</v>
      </c>
    </row>
    <row r="17" spans="1:9" s="775" customFormat="1" ht="21" customHeight="1">
      <c r="A17" s="783">
        <f ca="1">IF(ROWS($1:7)&gt;COUNT(Dong6),"",OFFSET(TH!C$1,SMALL(Dong6,ROWS($1:7)),))</f>
        <v>42186</v>
      </c>
      <c r="B17" s="784" t="str">
        <f ca="1">IF(ROWS($1:7)&gt;COUNT(Dong6),"",OFFSET(TH!D$1,SMALL(Dong6,ROWS($1:7)),))</f>
        <v>TP/X01</v>
      </c>
      <c r="C17" s="783">
        <f ca="1">IF(ROWS($1:7)&gt;COUNT(Dong6),"",OFFSET(TH!E$1,SMALL(Dong6,ROWS($1:7)),))</f>
        <v>42186</v>
      </c>
      <c r="D17" s="785" t="str">
        <f ca="1">IF(ROWS($1:7)&gt;COUNT(Dong6),"",OFFSET(TH!F$1,SMALL(Dong6,ROWS($1:7)),))</f>
        <v>Thùng (35x30x40)</v>
      </c>
      <c r="E17" s="784">
        <f t="shared" ca="1" si="0"/>
        <v>7</v>
      </c>
      <c r="F17" s="786" t="str">
        <f ca="1">IF(ROWS($1:7)&gt;COUNT(Dong6),"",OFFSET(TH!L$1,SMALL(Dong6,ROWS($1:7)),))</f>
        <v>131</v>
      </c>
      <c r="G17" s="786" t="str">
        <f ca="1">IF(ROWS($1:7)&gt;COUNT(Dong6),"",OFFSET(TH!M$1,SMALL(Dong6,ROWS($1:7)),))</f>
        <v>5112</v>
      </c>
      <c r="H17" s="690">
        <f ca="1">IF(ROWS($1:7)&gt;COUNT(Dong6),"",OFFSET(TH!K$1,SMALL(Dong6,ROWS($1:7)),))</f>
        <v>636900</v>
      </c>
      <c r="I17" s="690">
        <f ca="1">IF(ROWS($1:7)&gt;COUNT(Dong6),"",OFFSET(TH!K$1,SMALL(Dong6,ROWS($1:7)),))</f>
        <v>636900</v>
      </c>
    </row>
    <row r="18" spans="1:9" s="775" customFormat="1" ht="21" customHeight="1">
      <c r="A18" s="783">
        <f ca="1">IF(ROWS($1:8)&gt;COUNT(Dong6),"",OFFSET(TH!C$1,SMALL(Dong6,ROWS($1:8)),))</f>
        <v>42186</v>
      </c>
      <c r="B18" s="784" t="str">
        <f ca="1">IF(ROWS($1:8)&gt;COUNT(Dong6),"",OFFSET(TH!D$1,SMALL(Dong6,ROWS($1:8)),))</f>
        <v>TP/X01</v>
      </c>
      <c r="C18" s="783">
        <f ca="1">IF(ROWS($1:8)&gt;COUNT(Dong6),"",OFFSET(TH!E$1,SMALL(Dong6,ROWS($1:8)),))</f>
        <v>42186</v>
      </c>
      <c r="D18" s="785" t="str">
        <f ca="1">IF(ROWS($1:8)&gt;COUNT(Dong6),"",OFFSET(TH!F$1,SMALL(Dong6,ROWS($1:8)),))</f>
        <v>VAT Thùng carton</v>
      </c>
      <c r="E18" s="784">
        <f t="shared" ca="1" si="0"/>
        <v>8</v>
      </c>
      <c r="F18" s="786" t="str">
        <f ca="1">IF(ROWS($1:8)&gt;COUNT(Dong6),"",OFFSET(TH!L$1,SMALL(Dong6,ROWS($1:8)),))</f>
        <v>131</v>
      </c>
      <c r="G18" s="786" t="str">
        <f ca="1">IF(ROWS($1:8)&gt;COUNT(Dong6),"",OFFSET(TH!M$1,SMALL(Dong6,ROWS($1:8)),))</f>
        <v>3331</v>
      </c>
      <c r="H18" s="690">
        <f ca="1">IF(ROWS($1:8)&gt;COUNT(Dong6),"",OFFSET(TH!K$1,SMALL(Dong6,ROWS($1:8)),))</f>
        <v>166774</v>
      </c>
      <c r="I18" s="690">
        <f ca="1">IF(ROWS($1:8)&gt;COUNT(Dong6),"",OFFSET(TH!K$1,SMALL(Dong6,ROWS($1:8)),))</f>
        <v>166774</v>
      </c>
    </row>
    <row r="19" spans="1:9" s="775" customFormat="1" ht="21" customHeight="1">
      <c r="A19" s="783">
        <f ca="1">IF(ROWS($1:9)&gt;COUNT(Dong6),"",OFFSET(TH!C$1,SMALL(Dong6,ROWS($1:9)),))</f>
        <v>42186</v>
      </c>
      <c r="B19" s="784" t="str">
        <f ca="1">IF(ROWS($1:9)&gt;COUNT(Dong6),"",OFFSET(TH!D$1,SMALL(Dong6,ROWS($1:9)),))</f>
        <v>TP/X02</v>
      </c>
      <c r="C19" s="783">
        <f ca="1">IF(ROWS($1:9)&gt;COUNT(Dong6),"",OFFSET(TH!E$1,SMALL(Dong6,ROWS($1:9)),))</f>
        <v>42186</v>
      </c>
      <c r="D19" s="785" t="str">
        <f ca="1">IF(ROWS($1:9)&gt;COUNT(Dong6),"",OFFSET(TH!F$1,SMALL(Dong6,ROWS($1:9)),))</f>
        <v>Thùng (53x28x28)</v>
      </c>
      <c r="E19" s="784">
        <f t="shared" ca="1" si="0"/>
        <v>9</v>
      </c>
      <c r="F19" s="786" t="str">
        <f ca="1">IF(ROWS($1:9)&gt;COUNT(Dong6),"",OFFSET(TH!L$1,SMALL(Dong6,ROWS($1:9)),))</f>
        <v>131</v>
      </c>
      <c r="G19" s="786" t="str">
        <f ca="1">IF(ROWS($1:9)&gt;COUNT(Dong6),"",OFFSET(TH!M$1,SMALL(Dong6,ROWS($1:9)),))</f>
        <v>5112</v>
      </c>
      <c r="H19" s="690">
        <f ca="1">IF(ROWS($1:9)&gt;COUNT(Dong6),"",OFFSET(TH!K$1,SMALL(Dong6,ROWS($1:9)),))</f>
        <v>3264000</v>
      </c>
      <c r="I19" s="690">
        <f ca="1">IF(ROWS($1:9)&gt;COUNT(Dong6),"",OFFSET(TH!K$1,SMALL(Dong6,ROWS($1:9)),))</f>
        <v>3264000</v>
      </c>
    </row>
    <row r="20" spans="1:9" s="775" customFormat="1" ht="21" customHeight="1">
      <c r="A20" s="783">
        <f ca="1">IF(ROWS($1:10)&gt;COUNT(Dong6),"",OFFSET(TH!C$1,SMALL(Dong6,ROWS($1:10)),))</f>
        <v>42186</v>
      </c>
      <c r="B20" s="784" t="str">
        <f ca="1">IF(ROWS($1:10)&gt;COUNT(Dong6),"",OFFSET(TH!D$1,SMALL(Dong6,ROWS($1:10)),))</f>
        <v>TP/X02</v>
      </c>
      <c r="C20" s="783">
        <f ca="1">IF(ROWS($1:10)&gt;COUNT(Dong6),"",OFFSET(TH!E$1,SMALL(Dong6,ROWS($1:10)),))</f>
        <v>42186</v>
      </c>
      <c r="D20" s="785" t="str">
        <f ca="1">IF(ROWS($1:10)&gt;COUNT(Dong6),"",OFFSET(TH!F$1,SMALL(Dong6,ROWS($1:10)),))</f>
        <v>VAT Thùng carton</v>
      </c>
      <c r="E20" s="784">
        <f t="shared" ca="1" si="0"/>
        <v>10</v>
      </c>
      <c r="F20" s="786" t="str">
        <f ca="1">IF(ROWS($1:10)&gt;COUNT(Dong6),"",OFFSET(TH!L$1,SMALL(Dong6,ROWS($1:10)),))</f>
        <v>131</v>
      </c>
      <c r="G20" s="786" t="str">
        <f ca="1">IF(ROWS($1:10)&gt;COUNT(Dong6),"",OFFSET(TH!M$1,SMALL(Dong6,ROWS($1:10)),))</f>
        <v>3331</v>
      </c>
      <c r="H20" s="690">
        <f ca="1">IF(ROWS($1:10)&gt;COUNT(Dong6),"",OFFSET(TH!K$1,SMALL(Dong6,ROWS($1:10)),))</f>
        <v>326400</v>
      </c>
      <c r="I20" s="690">
        <f ca="1">IF(ROWS($1:10)&gt;COUNT(Dong6),"",OFFSET(TH!K$1,SMALL(Dong6,ROWS($1:10)),))</f>
        <v>326400</v>
      </c>
    </row>
    <row r="21" spans="1:9" s="775" customFormat="1" ht="21" customHeight="1">
      <c r="A21" s="783">
        <f ca="1">IF(ROWS($1:11)&gt;COUNT(Dong6),"",OFFSET(TH!C$1,SMALL(Dong6,ROWS($1:11)),))</f>
        <v>42186</v>
      </c>
      <c r="B21" s="784" t="str">
        <f ca="1">IF(ROWS($1:11)&gt;COUNT(Dong6),"",OFFSET(TH!D$1,SMALL(Dong6,ROWS($1:11)),))</f>
        <v>TP/X03</v>
      </c>
      <c r="C21" s="783">
        <f ca="1">IF(ROWS($1:11)&gt;COUNT(Dong6),"",OFFSET(TH!E$1,SMALL(Dong6,ROWS($1:11)),))</f>
        <v>42186</v>
      </c>
      <c r="D21" s="785" t="str">
        <f ca="1">IF(ROWS($1:11)&gt;COUNT(Dong6),"",OFFSET(TH!F$1,SMALL(Dong6,ROWS($1:11)),))</f>
        <v>Thùng (51,5x28,5x7,2)</v>
      </c>
      <c r="E21" s="784">
        <f t="shared" ca="1" si="0"/>
        <v>11</v>
      </c>
      <c r="F21" s="786" t="str">
        <f ca="1">IF(ROWS($1:11)&gt;COUNT(Dong6),"",OFFSET(TH!L$1,SMALL(Dong6,ROWS($1:11)),))</f>
        <v>131</v>
      </c>
      <c r="G21" s="786" t="str">
        <f ca="1">IF(ROWS($1:11)&gt;COUNT(Dong6),"",OFFSET(TH!M$1,SMALL(Dong6,ROWS($1:11)),))</f>
        <v>5112</v>
      </c>
      <c r="H21" s="690">
        <f ca="1">IF(ROWS($1:11)&gt;COUNT(Dong6),"",OFFSET(TH!K$1,SMALL(Dong6,ROWS($1:11)),))</f>
        <v>2692400</v>
      </c>
      <c r="I21" s="690">
        <f ca="1">IF(ROWS($1:11)&gt;COUNT(Dong6),"",OFFSET(TH!K$1,SMALL(Dong6,ROWS($1:11)),))</f>
        <v>2692400</v>
      </c>
    </row>
    <row r="22" spans="1:9" s="775" customFormat="1" ht="21" customHeight="1">
      <c r="A22" s="783">
        <f ca="1">IF(ROWS($1:12)&gt;COUNT(Dong6),"",OFFSET(TH!C$1,SMALL(Dong6,ROWS($1:12)),))</f>
        <v>42186</v>
      </c>
      <c r="B22" s="784" t="str">
        <f ca="1">IF(ROWS($1:12)&gt;COUNT(Dong6),"",OFFSET(TH!D$1,SMALL(Dong6,ROWS($1:12)),))</f>
        <v>TP/X03</v>
      </c>
      <c r="C22" s="783">
        <f ca="1">IF(ROWS($1:12)&gt;COUNT(Dong6),"",OFFSET(TH!E$1,SMALL(Dong6,ROWS($1:12)),))</f>
        <v>42186</v>
      </c>
      <c r="D22" s="785" t="str">
        <f ca="1">IF(ROWS($1:12)&gt;COUNT(Dong6),"",OFFSET(TH!F$1,SMALL(Dong6,ROWS($1:12)),))</f>
        <v>Thùng (22x22x29,5)</v>
      </c>
      <c r="E22" s="784">
        <f t="shared" ca="1" si="0"/>
        <v>12</v>
      </c>
      <c r="F22" s="786" t="str">
        <f ca="1">IF(ROWS($1:12)&gt;COUNT(Dong6),"",OFFSET(TH!L$1,SMALL(Dong6,ROWS($1:12)),))</f>
        <v>131</v>
      </c>
      <c r="G22" s="786" t="str">
        <f ca="1">IF(ROWS($1:12)&gt;COUNT(Dong6),"",OFFSET(TH!M$1,SMALL(Dong6,ROWS($1:12)),))</f>
        <v>5112</v>
      </c>
      <c r="H22" s="690">
        <f ca="1">IF(ROWS($1:12)&gt;COUNT(Dong6),"",OFFSET(TH!K$1,SMALL(Dong6,ROWS($1:12)),))</f>
        <v>4391200</v>
      </c>
      <c r="I22" s="690">
        <f ca="1">IF(ROWS($1:12)&gt;COUNT(Dong6),"",OFFSET(TH!K$1,SMALL(Dong6,ROWS($1:12)),))</f>
        <v>4391200</v>
      </c>
    </row>
    <row r="23" spans="1:9" s="775" customFormat="1" ht="21" customHeight="1">
      <c r="A23" s="783">
        <f ca="1">IF(ROWS($1:13)&gt;COUNT(Dong6),"",OFFSET(TH!C$1,SMALL(Dong6,ROWS($1:13)),))</f>
        <v>42186</v>
      </c>
      <c r="B23" s="784" t="str">
        <f ca="1">IF(ROWS($1:13)&gt;COUNT(Dong6),"",OFFSET(TH!D$1,SMALL(Dong6,ROWS($1:13)),))</f>
        <v>TP/X03</v>
      </c>
      <c r="C23" s="783">
        <f ca="1">IF(ROWS($1:13)&gt;COUNT(Dong6),"",OFFSET(TH!E$1,SMALL(Dong6,ROWS($1:13)),))</f>
        <v>42186</v>
      </c>
      <c r="D23" s="785" t="str">
        <f ca="1">IF(ROWS($1:13)&gt;COUNT(Dong6),"",OFFSET(TH!F$1,SMALL(Dong6,ROWS($1:13)),))</f>
        <v>Thùng (24,5x24,5x29,5)</v>
      </c>
      <c r="E23" s="784">
        <f t="shared" ca="1" si="0"/>
        <v>13</v>
      </c>
      <c r="F23" s="786" t="str">
        <f ca="1">IF(ROWS($1:13)&gt;COUNT(Dong6),"",OFFSET(TH!L$1,SMALL(Dong6,ROWS($1:13)),))</f>
        <v>131</v>
      </c>
      <c r="G23" s="786" t="str">
        <f ca="1">IF(ROWS($1:13)&gt;COUNT(Dong6),"",OFFSET(TH!M$1,SMALL(Dong6,ROWS($1:13)),))</f>
        <v>5112</v>
      </c>
      <c r="H23" s="690">
        <f ca="1">IF(ROWS($1:13)&gt;COUNT(Dong6),"",OFFSET(TH!K$1,SMALL(Dong6,ROWS($1:13)),))</f>
        <v>2150000</v>
      </c>
      <c r="I23" s="690">
        <f ca="1">IF(ROWS($1:13)&gt;COUNT(Dong6),"",OFFSET(TH!K$1,SMALL(Dong6,ROWS($1:13)),))</f>
        <v>2150000</v>
      </c>
    </row>
    <row r="24" spans="1:9" s="775" customFormat="1" ht="21" customHeight="1">
      <c r="A24" s="783">
        <f ca="1">IF(ROWS($1:14)&gt;COUNT(Dong6),"",OFFSET(TH!C$1,SMALL(Dong6,ROWS($1:14)),))</f>
        <v>42186</v>
      </c>
      <c r="B24" s="784" t="str">
        <f ca="1">IF(ROWS($1:14)&gt;COUNT(Dong6),"",OFFSET(TH!D$1,SMALL(Dong6,ROWS($1:14)),))</f>
        <v>TP/X03</v>
      </c>
      <c r="C24" s="783">
        <f ca="1">IF(ROWS($1:14)&gt;COUNT(Dong6),"",OFFSET(TH!E$1,SMALL(Dong6,ROWS($1:14)),))</f>
        <v>42186</v>
      </c>
      <c r="D24" s="785" t="str">
        <f ca="1">IF(ROWS($1:14)&gt;COUNT(Dong6),"",OFFSET(TH!F$1,SMALL(Dong6,ROWS($1:14)),))</f>
        <v>VAT Thùng carton</v>
      </c>
      <c r="E24" s="784">
        <f t="shared" ca="1" si="0"/>
        <v>14</v>
      </c>
      <c r="F24" s="786" t="str">
        <f ca="1">IF(ROWS($1:14)&gt;COUNT(Dong6),"",OFFSET(TH!L$1,SMALL(Dong6,ROWS($1:14)),))</f>
        <v>131</v>
      </c>
      <c r="G24" s="786" t="str">
        <f ca="1">IF(ROWS($1:14)&gt;COUNT(Dong6),"",OFFSET(TH!M$1,SMALL(Dong6,ROWS($1:14)),))</f>
        <v>3331</v>
      </c>
      <c r="H24" s="690">
        <f ca="1">IF(ROWS($1:14)&gt;COUNT(Dong6),"",OFFSET(TH!K$1,SMALL(Dong6,ROWS($1:14)),))</f>
        <v>923360</v>
      </c>
      <c r="I24" s="690">
        <f ca="1">IF(ROWS($1:14)&gt;COUNT(Dong6),"",OFFSET(TH!K$1,SMALL(Dong6,ROWS($1:14)),))</f>
        <v>923360</v>
      </c>
    </row>
    <row r="25" spans="1:9" s="775" customFormat="1" ht="21" customHeight="1">
      <c r="A25" s="783">
        <f ca="1">IF(ROWS($1:15)&gt;COUNT(Dong6),"",OFFSET(TH!C$1,SMALL(Dong6,ROWS($1:15)),))</f>
        <v>42186</v>
      </c>
      <c r="B25" s="784" t="str">
        <f ca="1">IF(ROWS($1:15)&gt;COUNT(Dong6),"",OFFSET(TH!D$1,SMALL(Dong6,ROWS($1:15)),))</f>
        <v>TP/X04</v>
      </c>
      <c r="C25" s="783">
        <f ca="1">IF(ROWS($1:15)&gt;COUNT(Dong6),"",OFFSET(TH!E$1,SMALL(Dong6,ROWS($1:15)),))</f>
        <v>42186</v>
      </c>
      <c r="D25" s="785" t="str">
        <f ca="1">IF(ROWS($1:15)&gt;COUNT(Dong6),"",OFFSET(TH!F$1,SMALL(Dong6,ROWS($1:15)),))</f>
        <v>Thùng (57x35x15,5)</v>
      </c>
      <c r="E25" s="784">
        <f t="shared" ca="1" si="0"/>
        <v>15</v>
      </c>
      <c r="F25" s="786" t="str">
        <f ca="1">IF(ROWS($1:15)&gt;COUNT(Dong6),"",OFFSET(TH!L$1,SMALL(Dong6,ROWS($1:15)),))</f>
        <v>131</v>
      </c>
      <c r="G25" s="786" t="str">
        <f ca="1">IF(ROWS($1:15)&gt;COUNT(Dong6),"",OFFSET(TH!M$1,SMALL(Dong6,ROWS($1:15)),))</f>
        <v>5112</v>
      </c>
      <c r="H25" s="690">
        <f ca="1">IF(ROWS($1:15)&gt;COUNT(Dong6),"",OFFSET(TH!K$1,SMALL(Dong6,ROWS($1:15)),))</f>
        <v>2299000</v>
      </c>
      <c r="I25" s="690">
        <f ca="1">IF(ROWS($1:15)&gt;COUNT(Dong6),"",OFFSET(TH!K$1,SMALL(Dong6,ROWS($1:15)),))</f>
        <v>2299000</v>
      </c>
    </row>
    <row r="26" spans="1:9" s="775" customFormat="1" ht="21" customHeight="1">
      <c r="A26" s="783">
        <f ca="1">IF(ROWS($1:16)&gt;COUNT(Dong6),"",OFFSET(TH!C$1,SMALL(Dong6,ROWS($1:16)),))</f>
        <v>42186</v>
      </c>
      <c r="B26" s="784" t="str">
        <f ca="1">IF(ROWS($1:16)&gt;COUNT(Dong6),"",OFFSET(TH!D$1,SMALL(Dong6,ROWS($1:16)),))</f>
        <v>TP/X04</v>
      </c>
      <c r="C26" s="783">
        <f ca="1">IF(ROWS($1:16)&gt;COUNT(Dong6),"",OFFSET(TH!E$1,SMALL(Dong6,ROWS($1:16)),))</f>
        <v>42186</v>
      </c>
      <c r="D26" s="785" t="str">
        <f ca="1">IF(ROWS($1:16)&gt;COUNT(Dong6),"",OFFSET(TH!F$1,SMALL(Dong6,ROWS($1:16)),))</f>
        <v>Tấm lót (55x33)</v>
      </c>
      <c r="E26" s="784">
        <f t="shared" ca="1" si="0"/>
        <v>16</v>
      </c>
      <c r="F26" s="786" t="str">
        <f ca="1">IF(ROWS($1:16)&gt;COUNT(Dong6),"",OFFSET(TH!L$1,SMALL(Dong6,ROWS($1:16)),))</f>
        <v>131</v>
      </c>
      <c r="G26" s="786" t="str">
        <f ca="1">IF(ROWS($1:16)&gt;COUNT(Dong6),"",OFFSET(TH!M$1,SMALL(Dong6,ROWS($1:16)),))</f>
        <v>5112</v>
      </c>
      <c r="H26" s="690">
        <f ca="1">IF(ROWS($1:16)&gt;COUNT(Dong6),"",OFFSET(TH!K$1,SMALL(Dong6,ROWS($1:16)),))</f>
        <v>303050</v>
      </c>
      <c r="I26" s="690">
        <f ca="1">IF(ROWS($1:16)&gt;COUNT(Dong6),"",OFFSET(TH!K$1,SMALL(Dong6,ROWS($1:16)),))</f>
        <v>303050</v>
      </c>
    </row>
    <row r="27" spans="1:9" s="775" customFormat="1" ht="21" customHeight="1">
      <c r="A27" s="783">
        <f ca="1">IF(ROWS($1:17)&gt;COUNT(Dong6),"",OFFSET(TH!C$1,SMALL(Dong6,ROWS($1:17)),))</f>
        <v>42186</v>
      </c>
      <c r="B27" s="784" t="str">
        <f ca="1">IF(ROWS($1:17)&gt;COUNT(Dong6),"",OFFSET(TH!D$1,SMALL(Dong6,ROWS($1:17)),))</f>
        <v>TP/X04</v>
      </c>
      <c r="C27" s="783">
        <f ca="1">IF(ROWS($1:17)&gt;COUNT(Dong6),"",OFFSET(TH!E$1,SMALL(Dong6,ROWS($1:17)),))</f>
        <v>42186</v>
      </c>
      <c r="D27" s="785" t="str">
        <f ca="1">IF(ROWS($1:17)&gt;COUNT(Dong6),"",OFFSET(TH!F$1,SMALL(Dong6,ROWS($1:17)),))</f>
        <v>VAT Thùng carton</v>
      </c>
      <c r="E27" s="784">
        <f t="shared" ca="1" si="0"/>
        <v>17</v>
      </c>
      <c r="F27" s="786" t="str">
        <f ca="1">IF(ROWS($1:17)&gt;COUNT(Dong6),"",OFFSET(TH!L$1,SMALL(Dong6,ROWS($1:17)),))</f>
        <v>131</v>
      </c>
      <c r="G27" s="786" t="str">
        <f ca="1">IF(ROWS($1:17)&gt;COUNT(Dong6),"",OFFSET(TH!M$1,SMALL(Dong6,ROWS($1:17)),))</f>
        <v>3331</v>
      </c>
      <c r="H27" s="690">
        <f ca="1">IF(ROWS($1:17)&gt;COUNT(Dong6),"",OFFSET(TH!K$1,SMALL(Dong6,ROWS($1:17)),))</f>
        <v>260205</v>
      </c>
      <c r="I27" s="690">
        <f ca="1">IF(ROWS($1:17)&gt;COUNT(Dong6),"",OFFSET(TH!K$1,SMALL(Dong6,ROWS($1:17)),))</f>
        <v>260205</v>
      </c>
    </row>
    <row r="28" spans="1:9" s="775" customFormat="1" ht="21" customHeight="1">
      <c r="A28" s="783">
        <f ca="1">IF(ROWS($1:18)&gt;COUNT(Dong6),"",OFFSET(TH!C$1,SMALL(Dong6,ROWS($1:18)),))</f>
        <v>42187</v>
      </c>
      <c r="B28" s="784" t="str">
        <f ca="1">IF(ROWS($1:18)&gt;COUNT(Dong6),"",OFFSET(TH!D$1,SMALL(Dong6,ROWS($1:18)),))</f>
        <v>TP/X05</v>
      </c>
      <c r="C28" s="783">
    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(36,5x20,5x18,5)</v>
      </c>
      <c r="E28" s="784">
        <f t="shared" ca="1" si="0"/>
        <v>18</v>
      </c>
      <c r="F28" s="786" t="str">
        <f ca="1">IF(ROWS($1:18)&gt;COUNT(Dong6),"",OFFSET(TH!L$1,SMALL(Dong6,ROWS($1:18)),))</f>
        <v>131</v>
      </c>
      <c r="G28" s="786" t="str">
        <f ca="1">IF(ROWS($1:18)&gt;COUNT(Dong6),"",OFFSET(TH!M$1,SMALL(Dong6,ROWS($1:18)),))</f>
        <v>5112</v>
      </c>
      <c r="H28" s="690">
        <f ca="1">IF(ROWS($1:18)&gt;COUNT(Dong6),"",OFFSET(TH!K$1,SMALL(Dong6,ROWS($1:18)),))</f>
        <v>1406000</v>
      </c>
      <c r="I28" s="690">
        <f ca="1">IF(ROWS($1:18)&gt;COUNT(Dong6),"",OFFSET(TH!K$1,SMALL(Dong6,ROWS($1:18)),))</f>
        <v>1406000</v>
      </c>
    </row>
    <row r="29" spans="1:9" s="775" customFormat="1" ht="21" customHeight="1">
      <c r="A29" s="783">
        <f ca="1">IF(ROWS($1:19)&gt;COUNT(Dong6),"",OFFSET(TH!C$1,SMALL(Dong6,ROWS($1:19)),))</f>
        <v>42187</v>
      </c>
      <c r="B29" s="784" t="str">
        <f ca="1">IF(ROWS($1:19)&gt;COUNT(Dong6),"",OFFSET(TH!D$1,SMALL(Dong6,ROWS($1:19)),))</f>
        <v>TP/X05</v>
      </c>
      <c r="C29" s="783">
        <f ca="1">IF(ROWS($1:19)&gt;COUNT(Dong6),"",OFFSET(TH!E$1,SMALL(Dong6,ROWS($1:19)),))</f>
        <v>42187</v>
      </c>
      <c r="D29" s="785" t="str">
        <f ca="1">IF(ROWS($1:19)&gt;COUNT(Dong6),"",OFFSET(TH!F$1,SMALL(Dong6,ROWS($1:19)),))</f>
        <v>VAT Thùng carton</v>
      </c>
      <c r="E29" s="784">
        <f t="shared" ca="1" si="0"/>
        <v>19</v>
      </c>
      <c r="F29" s="786" t="str">
        <f ca="1">IF(ROWS($1:19)&gt;COUNT(Dong6),"",OFFSET(TH!L$1,SMALL(Dong6,ROWS($1:19)),))</f>
        <v>131</v>
      </c>
      <c r="G29" s="786" t="str">
        <f ca="1">IF(ROWS($1:19)&gt;COUNT(Dong6),"",OFFSET(TH!M$1,SMALL(Dong6,ROWS($1:19)),))</f>
        <v>3331</v>
      </c>
      <c r="H29" s="690">
        <f ca="1">IF(ROWS($1:19)&gt;COUNT(Dong6),"",OFFSET(TH!K$1,SMALL(Dong6,ROWS($1:19)),))</f>
        <v>140600</v>
      </c>
      <c r="I29" s="690">
        <f ca="1">IF(ROWS($1:19)&gt;COUNT(Dong6),"",OFFSET(TH!K$1,SMALL(Dong6,ROWS($1:19)),))</f>
        <v>140600</v>
      </c>
    </row>
    <row r="30" spans="1:9" s="775" customFormat="1" ht="21" customHeight="1">
      <c r="A30" s="783">
        <f ca="1">IF(ROWS($1:20)&gt;COUNT(Dong6),"",OFFSET(TH!C$1,SMALL(Dong6,ROWS($1:20)),))</f>
        <v>42187</v>
      </c>
      <c r="B30" s="784" t="str">
        <f ca="1">IF(ROWS($1:20)&gt;COUNT(Dong6),"",OFFSET(TH!D$1,SMALL(Dong6,ROWS($1:20)),))</f>
        <v>TP/X06</v>
      </c>
      <c r="C30" s="783">
        <f ca="1">IF(ROWS($1:20)&gt;COUNT(Dong6),"",OFFSET(TH!E$1,SMALL(Dong6,ROWS($1:20)),))</f>
        <v>42187</v>
      </c>
      <c r="D30" s="785" t="str">
        <f ca="1">IF(ROWS($1:20)&gt;COUNT(Dong6),"",OFFSET(TH!F$1,SMALL(Dong6,ROWS($1:20)),))</f>
        <v>Thùng (49x38x12)</v>
      </c>
      <c r="E30" s="784">
        <f t="shared" ca="1" si="0"/>
        <v>20</v>
      </c>
      <c r="F30" s="786" t="str">
        <f ca="1">IF(ROWS($1:20)&gt;COUNT(Dong6),"",OFFSET(TH!L$1,SMALL(Dong6,ROWS($1:20)),))</f>
        <v>131</v>
      </c>
      <c r="G30" s="786" t="str">
        <f ca="1">IF(ROWS($1:20)&gt;COUNT(Dong6),"",OFFSET(TH!M$1,SMALL(Dong6,ROWS($1:20)),))</f>
        <v>5112</v>
      </c>
      <c r="H30" s="690">
        <f ca="1">IF(ROWS($1:20)&gt;COUNT(Dong6),"",OFFSET(TH!K$1,SMALL(Dong6,ROWS($1:20)),))</f>
        <v>2152500</v>
      </c>
      <c r="I30" s="690">
        <f ca="1">IF(ROWS($1:20)&gt;COUNT(Dong6),"",OFFSET(TH!K$1,SMALL(Dong6,ROWS($1:20)),))</f>
        <v>2152500</v>
      </c>
    </row>
    <row r="31" spans="1:9" s="775" customFormat="1" ht="21" customHeight="1">
      <c r="A31" s="783">
        <f ca="1">IF(ROWS($1:21)&gt;COUNT(Dong6),"",OFFSET(TH!C$1,SMALL(Dong6,ROWS($1:21)),))</f>
        <v>42187</v>
      </c>
      <c r="B31" s="784" t="str">
        <f ca="1">IF(ROWS($1:21)&gt;COUNT(Dong6),"",OFFSET(TH!D$1,SMALL(Dong6,ROWS($1:21)),))</f>
        <v>TP/X06</v>
      </c>
      <c r="C31" s="783">
        <f ca="1">IF(ROWS($1:21)&gt;COUNT(Dong6),"",OFFSET(TH!E$1,SMALL(Dong6,ROWS($1:21)),))</f>
        <v>42187</v>
      </c>
      <c r="D31" s="785" t="str">
        <f ca="1">IF(ROWS($1:21)&gt;COUNT(Dong6),"",OFFSET(TH!F$1,SMALL(Dong6,ROWS($1:21)),))</f>
        <v>VAT Thùng carton</v>
      </c>
      <c r="E31" s="784">
        <f t="shared" ca="1" si="0"/>
        <v>21</v>
      </c>
      <c r="F31" s="786" t="str">
        <f ca="1">IF(ROWS($1:21)&gt;COUNT(Dong6),"",OFFSET(TH!L$1,SMALL(Dong6,ROWS($1:21)),))</f>
        <v>131</v>
      </c>
      <c r="G31" s="786" t="str">
        <f ca="1">IF(ROWS($1:21)&gt;COUNT(Dong6),"",OFFSET(TH!M$1,SMALL(Dong6,ROWS($1:21)),))</f>
        <v>3331</v>
      </c>
      <c r="H31" s="690">
        <f ca="1">IF(ROWS($1:21)&gt;COUNT(Dong6),"",OFFSET(TH!K$1,SMALL(Dong6,ROWS($1:21)),))</f>
        <v>215250</v>
      </c>
      <c r="I31" s="690">
        <f ca="1">IF(ROWS($1:21)&gt;COUNT(Dong6),"",OFFSET(TH!K$1,SMALL(Dong6,ROWS($1:21)),))</f>
        <v>215250</v>
      </c>
    </row>
    <row r="32" spans="1:9" s="775" customFormat="1" ht="21" customHeight="1">
      <c r="A32" s="783">
        <f ca="1">IF(ROWS($1:22)&gt;COUNT(Dong6),"",OFFSET(TH!C$1,SMALL(Dong6,ROWS($1:22)),))</f>
        <v>42187</v>
      </c>
      <c r="B32" s="784" t="str">
        <f ca="1">IF(ROWS($1:22)&gt;COUNT(Dong6),"",OFFSET(TH!D$1,SMALL(Dong6,ROWS($1:22)),))</f>
        <v>GBC</v>
      </c>
      <c r="C32" s="783">
        <f ca="1">IF(ROWS($1:22)&gt;COUNT(Dong6),"",OFFSET(TH!E$1,SMALL(Dong6,ROWS($1:22)),))</f>
        <v>42187</v>
      </c>
      <c r="D32" s="785" t="str">
        <f ca="1">IF(ROWS($1:22)&gt;COUNT(Dong6),"",OFFSET(TH!F$1,SMALL(Dong6,ROWS($1:22)),))</f>
        <v>Thu tiền hàng</v>
      </c>
      <c r="E32" s="784">
        <f t="shared" ca="1" si="0"/>
        <v>22</v>
      </c>
      <c r="F32" s="786" t="str">
        <f ca="1">IF(ROWS($1:22)&gt;COUNT(Dong6),"",OFFSET(TH!L$1,SMALL(Dong6,ROWS($1:22)),))</f>
        <v>1121</v>
      </c>
      <c r="G32" s="786" t="str">
        <f ca="1">IF(ROWS($1:22)&gt;COUNT(Dong6),"",OFFSET(TH!M$1,SMALL(Dong6,ROWS($1:22)),))</f>
        <v>131</v>
      </c>
      <c r="H32" s="690">
        <f ca="1">IF(ROWS($1:22)&gt;COUNT(Dong6),"",OFFSET(TH!K$1,SMALL(Dong6,ROWS($1:22)),))</f>
        <v>8808800</v>
      </c>
      <c r="I32" s="690">
        <f ca="1">IF(ROWS($1:22)&gt;COUNT(Dong6),"",OFFSET(TH!K$1,SMALL(Dong6,ROWS($1:22)),))</f>
        <v>8808800</v>
      </c>
    </row>
    <row r="33" spans="1:9" s="775" customFormat="1" ht="21" customHeight="1">
      <c r="A33" s="783">
        <f ca="1">IF(ROWS($1:23)&gt;COUNT(Dong6),"",OFFSET(TH!C$1,SMALL(Dong6,ROWS($1:23)),))</f>
        <v>42188</v>
      </c>
      <c r="B33" s="784">
        <f ca="1">IF(ROWS($1:23)&gt;COUNT(Dong6),"",OFFSET(TH!D$1,SMALL(Dong6,ROWS($1:23)),))</f>
        <v>0</v>
      </c>
      <c r="C33" s="783">
        <f ca="1">IF(ROWS($1:23)&gt;COUNT(Dong6),"",OFFSET(TH!E$1,SMALL(Dong6,ROWS($1:23)),))</f>
        <v>42188</v>
      </c>
      <c r="D33" s="785" t="str">
        <f ca="1">IF(ROWS($1:23)&gt;COUNT(Dong6),"",OFFSET(TH!F$1,SMALL(Dong6,ROWS($1:23)),))</f>
        <v>Mực in</v>
      </c>
      <c r="E33" s="784">
        <f t="shared" ca="1" si="0"/>
        <v>23</v>
      </c>
      <c r="F33" s="786" t="str">
        <f ca="1">IF(ROWS($1:23)&gt;COUNT(Dong6),"",OFFSET(TH!L$1,SMALL(Dong6,ROWS($1:23)),))</f>
        <v>154</v>
      </c>
      <c r="G33" s="786" t="str">
        <f ca="1">IF(ROWS($1:23)&gt;COUNT(Dong6),"",OFFSET(TH!M$1,SMALL(Dong6,ROWS($1:23)),))</f>
        <v>1111</v>
      </c>
      <c r="H33" s="690">
        <f ca="1">IF(ROWS($1:23)&gt;COUNT(Dong6),"",OFFSET(TH!K$1,SMALL(Dong6,ROWS($1:23)),))</f>
        <v>9005000</v>
      </c>
      <c r="I33" s="690">
        <f ca="1">IF(ROWS($1:23)&gt;COUNT(Dong6),"",OFFSET(TH!K$1,SMALL(Dong6,ROWS($1:23)),))</f>
        <v>9005000</v>
      </c>
    </row>
    <row r="34" spans="1:9" s="775" customFormat="1" ht="21" customHeight="1">
      <c r="A34" s="783">
        <f ca="1">IF(ROWS($1:24)&gt;COUNT(Dong6),"",OFFSET(TH!C$1,SMALL(Dong6,ROWS($1:24)),))</f>
        <v>42188</v>
      </c>
      <c r="B34" s="784">
        <f ca="1">IF(ROWS($1:24)&gt;COUNT(Dong6),"",OFFSET(TH!D$1,SMALL(Dong6,ROWS($1:24)),))</f>
        <v>0</v>
      </c>
      <c r="C34" s="783">
        <f ca="1">IF(ROWS($1:24)&gt;COUNT(Dong6),"",OFFSET(TH!E$1,SMALL(Dong6,ROWS($1:24)),))</f>
        <v>42188</v>
      </c>
      <c r="D34" s="785" t="str">
        <f ca="1">IF(ROWS($1:24)&gt;COUNT(Dong6),"",OFFSET(TH!F$1,SMALL(Dong6,ROWS($1:24)),))</f>
        <v>VAT Mực in</v>
      </c>
      <c r="E34" s="784">
        <f t="shared" ca="1" si="0"/>
        <v>24</v>
      </c>
      <c r="F34" s="786" t="str">
        <f ca="1">IF(ROWS($1:24)&gt;COUNT(Dong6),"",OFFSET(TH!L$1,SMALL(Dong6,ROWS($1:24)),))</f>
        <v>1331</v>
      </c>
      <c r="G34" s="786" t="str">
        <f ca="1">IF(ROWS($1:24)&gt;COUNT(Dong6),"",OFFSET(TH!M$1,SMALL(Dong6,ROWS($1:24)),))</f>
        <v>1111</v>
      </c>
      <c r="H34" s="690">
        <f ca="1">IF(ROWS($1:24)&gt;COUNT(Dong6),"",OFFSET(TH!K$1,SMALL(Dong6,ROWS($1:24)),))</f>
        <v>900500</v>
      </c>
      <c r="I34" s="690">
        <f ca="1">IF(ROWS($1:24)&gt;COUNT(Dong6),"",OFFSET(TH!K$1,SMALL(Dong6,ROWS($1:24)),))</f>
        <v>900500</v>
      </c>
    </row>
    <row r="35" spans="1:9" s="775" customFormat="1" ht="21" customHeight="1">
      <c r="A35" s="783">
        <f ca="1">IF(ROWS($1:25)&gt;COUNT(Dong6),"",OFFSET(TH!C$1,SMALL(Dong6,ROWS($1:25)),))</f>
        <v>42189</v>
      </c>
      <c r="B35" s="784" t="str">
        <f ca="1">IF(ROWS($1:25)&gt;COUNT(Dong6),"",OFFSET(TH!D$1,SMALL(Dong6,ROWS($1:25)),))</f>
        <v>TP/X07</v>
      </c>
      <c r="C35" s="783">
        <f ca="1">IF(ROWS($1:25)&gt;COUNT(Dong6),"",OFFSET(TH!E$1,SMALL(Dong6,ROWS($1:25)),))</f>
        <v>42189</v>
      </c>
      <c r="D35" s="785" t="str">
        <f ca="1">IF(ROWS($1:25)&gt;COUNT(Dong6),"",OFFSET(TH!F$1,SMALL(Dong6,ROWS($1:25)),))</f>
        <v>Thùng (52x26,5x26,5)</v>
      </c>
      <c r="E35" s="784">
        <f t="shared" ca="1" si="0"/>
        <v>25</v>
      </c>
      <c r="F35" s="786" t="str">
        <f ca="1">IF(ROWS($1:25)&gt;COUNT(Dong6),"",OFFSET(TH!L$1,SMALL(Dong6,ROWS($1:25)),))</f>
        <v>131</v>
      </c>
      <c r="G35" s="786" t="str">
        <f ca="1">IF(ROWS($1:25)&gt;COUNT(Dong6),"",OFFSET(TH!M$1,SMALL(Dong6,ROWS($1:25)),))</f>
        <v>5112</v>
      </c>
      <c r="H35" s="690">
        <f ca="1">IF(ROWS($1:25)&gt;COUNT(Dong6),"",OFFSET(TH!K$1,SMALL(Dong6,ROWS($1:25)),))</f>
        <v>1674400</v>
      </c>
      <c r="I35" s="690">
        <f ca="1">IF(ROWS($1:25)&gt;COUNT(Dong6),"",OFFSET(TH!K$1,SMALL(Dong6,ROWS($1:25)),))</f>
        <v>1674400</v>
      </c>
    </row>
    <row r="36" spans="1:9" s="775" customFormat="1" ht="21" customHeight="1">
      <c r="A36" s="783">
        <f ca="1">IF(ROWS($1:26)&gt;COUNT(Dong6),"",OFFSET(TH!C$1,SMALL(Dong6,ROWS($1:26)),))</f>
        <v>42189</v>
      </c>
      <c r="B36" s="784" t="str">
        <f ca="1">IF(ROWS($1:26)&gt;COUNT(Dong6),"",OFFSET(TH!D$1,SMALL(Dong6,ROWS($1:26)),))</f>
        <v>TP/X07</v>
      </c>
      <c r="C36" s="783">
        <f ca="1">IF(ROWS($1:26)&gt;COUNT(Dong6),"",OFFSET(TH!E$1,SMALL(Dong6,ROWS($1:26)),))</f>
        <v>42189</v>
      </c>
      <c r="D36" s="785" t="str">
        <f ca="1">IF(ROWS($1:26)&gt;COUNT(Dong6),"",OFFSET(TH!F$1,SMALL(Dong6,ROWS($1:26)),))</f>
        <v>Thùng (52x32x21)</v>
      </c>
      <c r="E36" s="784">
        <f t="shared" ca="1" si="0"/>
        <v>26</v>
      </c>
      <c r="F36" s="786" t="str">
        <f ca="1">IF(ROWS($1:26)&gt;COUNT(Dong6),"",OFFSET(TH!L$1,SMALL(Dong6,ROWS($1:26)),))</f>
        <v>131</v>
      </c>
      <c r="G36" s="786" t="str">
        <f ca="1">IF(ROWS($1:26)&gt;COUNT(Dong6),"",OFFSET(TH!M$1,SMALL(Dong6,ROWS($1:26)),))</f>
        <v>5112</v>
      </c>
      <c r="H36" s="690">
        <f ca="1">IF(ROWS($1:26)&gt;COUNT(Dong6),"",OFFSET(TH!K$1,SMALL(Dong6,ROWS($1:26)),))</f>
        <v>1840800</v>
      </c>
      <c r="I36" s="690">
        <f ca="1">IF(ROWS($1:26)&gt;COUNT(Dong6),"",OFFSET(TH!K$1,SMALL(Dong6,ROWS($1:26)),))</f>
        <v>1840800</v>
      </c>
    </row>
    <row r="37" spans="1:9" s="775" customFormat="1" ht="21" customHeight="1">
      <c r="A37" s="783">
        <f ca="1">IF(ROWS($1:27)&gt;COUNT(Dong6),"",OFFSET(TH!C$1,SMALL(Dong6,ROWS($1:27)),))</f>
        <v>42189</v>
      </c>
      <c r="B37" s="784" t="str">
        <f ca="1">IF(ROWS($1:27)&gt;COUNT(Dong6),"",OFFSET(TH!D$1,SMALL(Dong6,ROWS($1:27)),))</f>
        <v>TP/X07</v>
      </c>
      <c r="C37" s="783">
        <f ca="1">IF(ROWS($1:27)&gt;COUNT(Dong6),"",OFFSET(TH!E$1,SMALL(Dong6,ROWS($1:27)),))</f>
        <v>42189</v>
      </c>
      <c r="D37" s="785" t="str">
        <f ca="1">IF(ROWS($1:27)&gt;COUNT(Dong6),"",OFFSET(TH!F$1,SMALL(Dong6,ROWS($1:27)),))</f>
        <v>Thùng (52x24,5x24,5)</v>
      </c>
      <c r="E37" s="784">
        <f t="shared" ca="1" si="0"/>
        <v>27</v>
      </c>
      <c r="F37" s="786" t="str">
        <f ca="1">IF(ROWS($1:27)&gt;COUNT(Dong6),"",OFFSET(TH!L$1,SMALL(Dong6,ROWS($1:27)),))</f>
        <v>131</v>
      </c>
      <c r="G37" s="786" t="str">
        <f ca="1">IF(ROWS($1:27)&gt;COUNT(Dong6),"",OFFSET(TH!M$1,SMALL(Dong6,ROWS($1:27)),))</f>
        <v>5112</v>
      </c>
      <c r="H37" s="690">
        <f ca="1">IF(ROWS($1:27)&gt;COUNT(Dong6),"",OFFSET(TH!K$1,SMALL(Dong6,ROWS($1:27)),))</f>
        <v>2954250</v>
      </c>
      <c r="I37" s="690">
        <f ca="1">IF(ROWS($1:27)&gt;COUNT(Dong6),"",OFFSET(TH!K$1,SMALL(Dong6,ROWS($1:27)),))</f>
        <v>2954250</v>
      </c>
    </row>
    <row r="38" spans="1:9" s="775" customFormat="1" ht="21" customHeight="1">
      <c r="A38" s="783">
        <f ca="1">IF(ROWS($1:28)&gt;COUNT(Dong6),"",OFFSET(TH!C$1,SMALL(Dong6,ROWS($1:28)),))</f>
        <v>42189</v>
      </c>
      <c r="B38" s="784" t="str">
        <f ca="1">IF(ROWS($1:28)&gt;COUNT(Dong6),"",OFFSET(TH!D$1,SMALL(Dong6,ROWS($1:28)),))</f>
        <v>TP/X07</v>
      </c>
      <c r="C38" s="783">
        <f ca="1">IF(ROWS($1:28)&gt;COUNT(Dong6),"",OFFSET(TH!E$1,SMALL(Dong6,ROWS($1:28)),))</f>
        <v>42189</v>
      </c>
      <c r="D38" s="785" t="str">
        <f ca="1">IF(ROWS($1:28)&gt;COUNT(Dong6),"",OFFSET(TH!F$1,SMALL(Dong6,ROWS($1:28)),))</f>
        <v>Thùng (55x45x29)</v>
      </c>
      <c r="E38" s="784">
        <f t="shared" ca="1" si="0"/>
        <v>28</v>
      </c>
      <c r="F38" s="786" t="str">
        <f ca="1">IF(ROWS($1:28)&gt;COUNT(Dong6),"",OFFSET(TH!L$1,SMALL(Dong6,ROWS($1:28)),))</f>
        <v>131</v>
      </c>
      <c r="G38" s="786" t="str">
        <f ca="1">IF(ROWS($1:28)&gt;COUNT(Dong6),"",OFFSET(TH!M$1,SMALL(Dong6,ROWS($1:28)),))</f>
        <v>5112</v>
      </c>
      <c r="H38" s="690">
        <f ca="1">IF(ROWS($1:28)&gt;COUNT(Dong6),"",OFFSET(TH!K$1,SMALL(Dong6,ROWS($1:28)),))</f>
        <v>2049300</v>
      </c>
      <c r="I38" s="690">
        <f ca="1">IF(ROWS($1:28)&gt;COUNT(Dong6),"",OFFSET(TH!K$1,SMALL(Dong6,ROWS($1:28)),))</f>
        <v>2049300</v>
      </c>
    </row>
    <row r="39" spans="1:9" s="775" customFormat="1" ht="21" customHeight="1">
      <c r="A39" s="783">
        <f ca="1">IF(ROWS($1:29)&gt;COUNT(Dong6),"",OFFSET(TH!C$1,SMALL(Dong6,ROWS($1:29)),))</f>
        <v>42189</v>
      </c>
      <c r="B39" s="784" t="str">
        <f ca="1">IF(ROWS($1:29)&gt;COUNT(Dong6),"",OFFSET(TH!D$1,SMALL(Dong6,ROWS($1:29)),))</f>
        <v>TP/X07</v>
      </c>
      <c r="C39" s="783">
        <f ca="1">IF(ROWS($1:29)&gt;COUNT(Dong6),"",OFFSET(TH!E$1,SMALL(Dong6,ROWS($1:29)),))</f>
        <v>42189</v>
      </c>
      <c r="D39" s="785" t="str">
        <f ca="1">IF(ROWS($1:29)&gt;COUNT(Dong6),"",OFFSET(TH!F$1,SMALL(Dong6,ROWS($1:29)),))</f>
        <v>VAT Thùng carton</v>
      </c>
      <c r="E39" s="784">
        <f t="shared" ca="1" si="0"/>
        <v>29</v>
      </c>
      <c r="F39" s="786" t="str">
        <f ca="1">IF(ROWS($1:29)&gt;COUNT(Dong6),"",OFFSET(TH!L$1,SMALL(Dong6,ROWS($1:29)),))</f>
        <v>131</v>
      </c>
      <c r="G39" s="786" t="str">
        <f ca="1">IF(ROWS($1:29)&gt;COUNT(Dong6),"",OFFSET(TH!M$1,SMALL(Dong6,ROWS($1:29)),))</f>
        <v>3331</v>
      </c>
      <c r="H39" s="690">
        <f ca="1">IF(ROWS($1:29)&gt;COUNT(Dong6),"",OFFSET(TH!K$1,SMALL(Dong6,ROWS($1:29)),))</f>
        <v>851875</v>
      </c>
      <c r="I39" s="690">
        <f ca="1">IF(ROWS($1:29)&gt;COUNT(Dong6),"",OFFSET(TH!K$1,SMALL(Dong6,ROWS($1:29)),))</f>
        <v>851875</v>
      </c>
    </row>
    <row r="40" spans="1:9" s="775" customFormat="1" ht="21" customHeight="1">
      <c r="A40" s="783">
        <f ca="1">IF(ROWS($1:30)&gt;COUNT(Dong6),"",OFFSET(TH!C$1,SMALL(Dong6,ROWS($1:30)),))</f>
        <v>42189</v>
      </c>
      <c r="B40" s="784" t="str">
        <f ca="1">IF(ROWS($1:30)&gt;COUNT(Dong6),"",OFFSET(TH!D$1,SMALL(Dong6,ROWS($1:30)),))</f>
        <v>TP/X08</v>
      </c>
      <c r="C40" s="783">
        <f ca="1">IF(ROWS($1:30)&gt;COUNT(Dong6),"",OFFSET(TH!E$1,SMALL(Dong6,ROWS($1:30)),))</f>
        <v>42189</v>
      </c>
      <c r="D40" s="785" t="str">
        <f ca="1">IF(ROWS($1:30)&gt;COUNT(Dong6),"",OFFSET(TH!F$1,SMALL(Dong6,ROWS($1:30)),))</f>
        <v>Thùng (55x41,5x27)</v>
      </c>
      <c r="E40" s="784">
        <f t="shared" ca="1" si="0"/>
        <v>30</v>
      </c>
      <c r="F40" s="786" t="str">
        <f ca="1">IF(ROWS($1:30)&gt;COUNT(Dong6),"",OFFSET(TH!L$1,SMALL(Dong6,ROWS($1:30)),))</f>
        <v>131</v>
      </c>
      <c r="G40" s="786" t="str">
        <f ca="1">IF(ROWS($1:30)&gt;COUNT(Dong6),"",OFFSET(TH!M$1,SMALL(Dong6,ROWS($1:30)),))</f>
        <v>5112</v>
      </c>
      <c r="H40" s="690">
        <f ca="1">IF(ROWS($1:30)&gt;COUNT(Dong6),"",OFFSET(TH!K$1,SMALL(Dong6,ROWS($1:30)),))</f>
        <v>530000</v>
      </c>
      <c r="I40" s="690">
        <f ca="1">IF(ROWS($1:30)&gt;COUNT(Dong6),"",OFFSET(TH!K$1,SMALL(Dong6,ROWS($1:30)),))</f>
        <v>530000</v>
      </c>
    </row>
    <row r="41" spans="1:9" s="775" customFormat="1" ht="21" customHeight="1">
      <c r="A41" s="783">
        <f ca="1">IF(ROWS($1:31)&gt;COUNT(Dong6),"",OFFSET(TH!C$1,SMALL(Dong6,ROWS($1:31)),))</f>
        <v>42189</v>
      </c>
      <c r="B41" s="784" t="str">
        <f ca="1">IF(ROWS($1:31)&gt;COUNT(Dong6),"",OFFSET(TH!D$1,SMALL(Dong6,ROWS($1:31)),))</f>
        <v>TP/X08</v>
      </c>
      <c r="C41" s="783">
        <f ca="1">IF(ROWS($1:31)&gt;COUNT(Dong6),"",OFFSET(TH!E$1,SMALL(Dong6,ROWS($1:31)),))</f>
        <v>42189</v>
      </c>
      <c r="D41" s="785" t="str">
        <f ca="1">IF(ROWS($1:31)&gt;COUNT(Dong6),"",OFFSET(TH!F$1,SMALL(Dong6,ROWS($1:31)),))</f>
        <v>VAT Thùng carton</v>
      </c>
      <c r="E41" s="784">
        <f t="shared" ref="E41:E50" ca="1" si="1">IF(D41&lt;&gt;"",ROW()-10,"")</f>
        <v>31</v>
      </c>
      <c r="F41" s="786" t="str">
        <f ca="1">IF(ROWS($1:31)&gt;COUNT(Dong6),"",OFFSET(TH!L$1,SMALL(Dong6,ROWS($1:31)),))</f>
        <v>131</v>
      </c>
      <c r="G41" s="786" t="str">
        <f ca="1">IF(ROWS($1:31)&gt;COUNT(Dong6),"",OFFSET(TH!M$1,SMALL(Dong6,ROWS($1:31)),))</f>
        <v>3331</v>
      </c>
      <c r="H41" s="690">
        <f ca="1">IF(ROWS($1:31)&gt;COUNT(Dong6),"",OFFSET(TH!K$1,SMALL(Dong6,ROWS($1:31)),))</f>
        <v>53000</v>
      </c>
      <c r="I41" s="690">
        <f ca="1">IF(ROWS($1:31)&gt;COUNT(Dong6),"",OFFSET(TH!K$1,SMALL(Dong6,ROWS($1:31)),))</f>
        <v>53000</v>
      </c>
    </row>
    <row r="42" spans="1:9" s="775" customFormat="1" ht="21" customHeight="1">
      <c r="A42" s="783">
        <f ca="1">IF(ROWS($1:32)&gt;COUNT(Dong6),"",OFFSET(TH!C$1,SMALL(Dong6,ROWS($1:32)),))</f>
        <v>42191</v>
      </c>
      <c r="B42" s="784" t="str">
        <f ca="1">IF(ROWS($1:32)&gt;COUNT(Dong6),"",OFFSET(TH!D$1,SMALL(Dong6,ROWS($1:32)),))</f>
        <v>GBC</v>
      </c>
      <c r="C42" s="783">
        <f ca="1">IF(ROWS($1:32)&gt;COUNT(Dong6),"",OFFSET(TH!E$1,SMALL(Dong6,ROWS($1:32)),))</f>
        <v>42191</v>
      </c>
      <c r="D42" s="785" t="str">
        <f ca="1">IF(ROWS($1:32)&gt;COUNT(Dong6),"",OFFSET(TH!F$1,SMALL(Dong6,ROWS($1:32)),))</f>
        <v>Thu tiền hàng</v>
      </c>
      <c r="E42" s="784">
        <f t="shared" ca="1" si="1"/>
        <v>32</v>
      </c>
      <c r="F42" s="786" t="str">
        <f ca="1">IF(ROWS($1:32)&gt;COUNT(Dong6),"",OFFSET(TH!L$1,SMALL(Dong6,ROWS($1:32)),))</f>
        <v>1121</v>
      </c>
      <c r="G42" s="786" t="str">
        <f ca="1">IF(ROWS($1:32)&gt;COUNT(Dong6),"",OFFSET(TH!M$1,SMALL(Dong6,ROWS($1:32)),))</f>
        <v>131</v>
      </c>
      <c r="H42" s="690">
        <f ca="1">IF(ROWS($1:32)&gt;COUNT(Dong6),"",OFFSET(TH!K$1,SMALL(Dong6,ROWS($1:32)),))</f>
        <v>20674280</v>
      </c>
      <c r="I42" s="690">
        <f ca="1">IF(ROWS($1:32)&gt;COUNT(Dong6),"",OFFSET(TH!K$1,SMALL(Dong6,ROWS($1:32)),))</f>
        <v>20674280</v>
      </c>
    </row>
    <row r="43" spans="1:9" s="775" customFormat="1" ht="21" customHeight="1">
      <c r="A43" s="783">
        <f ca="1">IF(ROWS($1:33)&gt;COUNT(Dong6),"",OFFSET(TH!C$1,SMALL(Dong6,ROWS($1:33)),))</f>
        <v>42192</v>
      </c>
      <c r="B43" s="784" t="str">
        <f ca="1">IF(ROWS($1:33)&gt;COUNT(Dong6),"",OFFSET(TH!D$1,SMALL(Dong6,ROWS($1:33)),))</f>
        <v>TP/X09</v>
      </c>
      <c r="C43" s="783">
        <f ca="1">IF(ROWS($1:33)&gt;COUNT(Dong6),"",OFFSET(TH!E$1,SMALL(Dong6,ROWS($1:33)),))</f>
        <v>42192</v>
      </c>
      <c r="D43" s="785" t="str">
        <f ca="1">IF(ROWS($1:33)&gt;COUNT(Dong6),"",OFFSET(TH!F$1,SMALL(Dong6,ROWS($1:33)),))</f>
        <v>Thùng (37,5x19x20,5)</v>
      </c>
      <c r="E43" s="784">
        <f t="shared" ca="1" si="1"/>
        <v>33</v>
      </c>
      <c r="F43" s="786" t="str">
        <f ca="1">IF(ROWS($1:33)&gt;COUNT(Dong6),"",OFFSET(TH!L$1,SMALL(Dong6,ROWS($1:33)),))</f>
        <v>131</v>
      </c>
      <c r="G43" s="786" t="str">
        <f ca="1">IF(ROWS($1:33)&gt;COUNT(Dong6),"",OFFSET(TH!M$1,SMALL(Dong6,ROWS($1:33)),))</f>
        <v>5112</v>
      </c>
      <c r="H43" s="690">
        <f ca="1">IF(ROWS($1:33)&gt;COUNT(Dong6),"",OFFSET(TH!K$1,SMALL(Dong6,ROWS($1:33)),))</f>
        <v>1425000</v>
      </c>
      <c r="I43" s="690">
        <f ca="1">IF(ROWS($1:33)&gt;COUNT(Dong6),"",OFFSET(TH!K$1,SMALL(Dong6,ROWS($1:33)),))</f>
        <v>1425000</v>
      </c>
    </row>
    <row r="44" spans="1:9" s="775" customFormat="1" ht="21" customHeight="1">
      <c r="A44" s="783">
        <f ca="1">IF(ROWS($1:34)&gt;COUNT(Dong6),"",OFFSET(TH!C$1,SMALL(Dong6,ROWS($1:34)),))</f>
        <v>42192</v>
      </c>
      <c r="B44" s="784" t="str">
        <f ca="1">IF(ROWS($1:34)&gt;COUNT(Dong6),"",OFFSET(TH!D$1,SMALL(Dong6,ROWS($1:34)),))</f>
        <v>TP/X09</v>
      </c>
      <c r="C44" s="783">
        <f ca="1">IF(ROWS($1:34)&gt;COUNT(Dong6),"",OFFSET(TH!E$1,SMALL(Dong6,ROWS($1:34)),))</f>
        <v>42192</v>
      </c>
      <c r="D44" s="785" t="str">
        <f ca="1">IF(ROWS($1:34)&gt;COUNT(Dong6),"",OFFSET(TH!F$1,SMALL(Dong6,ROWS($1:34)),))</f>
        <v>VAT Thùng carton</v>
      </c>
      <c r="E44" s="784">
        <f t="shared" ca="1" si="1"/>
        <v>34</v>
      </c>
      <c r="F44" s="786" t="str">
        <f ca="1">IF(ROWS($1:34)&gt;COUNT(Dong6),"",OFFSET(TH!L$1,SMALL(Dong6,ROWS($1:34)),))</f>
        <v>131</v>
      </c>
      <c r="G44" s="786" t="str">
        <f ca="1">IF(ROWS($1:34)&gt;COUNT(Dong6),"",OFFSET(TH!M$1,SMALL(Dong6,ROWS($1:34)),))</f>
        <v>3331</v>
      </c>
      <c r="H44" s="690">
        <f ca="1">IF(ROWS($1:34)&gt;COUNT(Dong6),"",OFFSET(TH!K$1,SMALL(Dong6,ROWS($1:34)),))</f>
        <v>142500</v>
      </c>
      <c r="I44" s="690">
        <f ca="1">IF(ROWS($1:34)&gt;COUNT(Dong6),"",OFFSET(TH!K$1,SMALL(Dong6,ROWS($1:34)),))</f>
        <v>142500</v>
      </c>
    </row>
    <row r="45" spans="1:9" s="775" customFormat="1" ht="21" customHeight="1">
      <c r="A45" s="783">
        <f ca="1">IF(ROWS($1:35)&gt;COUNT(Dong6),"",OFFSET(TH!C$1,SMALL(Dong6,ROWS($1:35)),))</f>
        <v>42192</v>
      </c>
      <c r="B45" s="784" t="str">
        <f ca="1">IF(ROWS($1:35)&gt;COUNT(Dong6),"",OFFSET(TH!D$1,SMALL(Dong6,ROWS($1:35)),))</f>
        <v>GBC</v>
      </c>
      <c r="C45" s="783">
        <f ca="1">IF(ROWS($1:35)&gt;COUNT(Dong6),"",OFFSET(TH!E$1,SMALL(Dong6,ROWS($1:35)),))</f>
        <v>42192</v>
      </c>
      <c r="D45" s="785" t="str">
        <f ca="1">IF(ROWS($1:35)&gt;COUNT(Dong6),"",OFFSET(TH!F$1,SMALL(Dong6,ROWS($1:35)),))</f>
        <v>Thu tiền hàng</v>
      </c>
      <c r="E45" s="784">
        <f t="shared" ca="1" si="1"/>
        <v>35</v>
      </c>
      <c r="F45" s="786" t="str">
        <f ca="1">IF(ROWS($1:35)&gt;COUNT(Dong6),"",OFFSET(TH!L$1,SMALL(Dong6,ROWS($1:35)),))</f>
        <v>1121</v>
      </c>
      <c r="G45" s="786" t="str">
        <f ca="1">IF(ROWS($1:35)&gt;COUNT(Dong6),"",OFFSET(TH!M$1,SMALL(Dong6,ROWS($1:35)),))</f>
        <v>131</v>
      </c>
      <c r="H45" s="690">
        <f ca="1">IF(ROWS($1:35)&gt;COUNT(Dong6),"",OFFSET(TH!K$1,SMALL(Dong6,ROWS($1:35)),))</f>
        <v>6883910</v>
      </c>
      <c r="I45" s="690">
        <f ca="1">IF(ROWS($1:35)&gt;COUNT(Dong6),"",OFFSET(TH!K$1,SMALL(Dong6,ROWS($1:35)),))</f>
        <v>6883910</v>
      </c>
    </row>
    <row r="46" spans="1:9" s="775" customFormat="1" ht="21" customHeight="1">
      <c r="A46" s="783">
        <f ca="1">IF(ROWS($1:36)&gt;COUNT(Dong6),"",OFFSET(TH!C$1,SMALL(Dong6,ROWS($1:36)),))</f>
        <v>42192</v>
      </c>
      <c r="B46" s="784" t="str">
        <f ca="1">IF(ROWS($1:36)&gt;COUNT(Dong6),"",OFFSET(TH!D$1,SMALL(Dong6,ROWS($1:36)),))</f>
        <v>GBN</v>
      </c>
      <c r="C46" s="783">
        <f ca="1">IF(ROWS($1:36)&gt;COUNT(Dong6),"",OFFSET(TH!E$1,SMALL(Dong6,ROWS($1:36)),))</f>
        <v>42192</v>
      </c>
      <c r="D46" s="785" t="str">
        <f ca="1">IF(ROWS($1:36)&gt;COUNT(Dong6),"",OFFSET(TH!F$1,SMALL(Dong6,ROWS($1:36)),))</f>
        <v>Chi sec nhập quỹ tiền mặt</v>
      </c>
      <c r="E46" s="784">
        <f t="shared" ca="1" si="1"/>
        <v>36</v>
      </c>
      <c r="F46" s="786" t="str">
        <f ca="1">IF(ROWS($1:36)&gt;COUNT(Dong6),"",OFFSET(TH!L$1,SMALL(Dong6,ROWS($1:36)),))</f>
        <v>1111</v>
      </c>
      <c r="G46" s="786" t="str">
        <f ca="1">IF(ROWS($1:36)&gt;COUNT(Dong6),"",OFFSET(TH!M$1,SMALL(Dong6,ROWS($1:36)),))</f>
        <v>1121</v>
      </c>
      <c r="H46" s="690">
        <f ca="1">IF(ROWS($1:36)&gt;COUNT(Dong6),"",OFFSET(TH!K$1,SMALL(Dong6,ROWS($1:36)),))</f>
        <v>14400000</v>
      </c>
      <c r="I46" s="690">
        <f ca="1">IF(ROWS($1:36)&gt;COUNT(Dong6),"",OFFSET(TH!K$1,SMALL(Dong6,ROWS($1:36)),))</f>
        <v>14400000</v>
      </c>
    </row>
    <row r="47" spans="1:9" s="775" customFormat="1" ht="21" customHeight="1">
      <c r="A47" s="783">
        <f ca="1">IF(ROWS($1:37)&gt;COUNT(Dong6),"",OFFSET(TH!C$1,SMALL(Dong6,ROWS($1:37)),))</f>
        <v>42192</v>
      </c>
      <c r="B47" s="784" t="str">
        <f ca="1">IF(ROWS($1:37)&gt;COUNT(Dong6),"",OFFSET(TH!D$1,SMALL(Dong6,ROWS($1:37)),))</f>
        <v>GBN</v>
      </c>
      <c r="C47" s="783">
        <f ca="1">IF(ROWS($1:37)&gt;COUNT(Dong6),"",OFFSET(TH!E$1,SMALL(Dong6,ROWS($1:37)),))</f>
        <v>42192</v>
      </c>
      <c r="D47" s="785" t="str">
        <f ca="1">IF(ROWS($1:37)&gt;COUNT(Dong6),"",OFFSET(TH!F$1,SMALL(Dong6,ROWS($1:37)),))</f>
        <v>Thanh toán tiền hàng</v>
      </c>
      <c r="E47" s="784">
        <f t="shared" ca="1" si="1"/>
        <v>37</v>
      </c>
      <c r="F47" s="786" t="str">
        <f ca="1">IF(ROWS($1:37)&gt;COUNT(Dong6),"",OFFSET(TH!L$1,SMALL(Dong6,ROWS($1:37)),))</f>
        <v>331</v>
      </c>
      <c r="G47" s="786" t="str">
        <f ca="1">IF(ROWS($1:37)&gt;COUNT(Dong6),"",OFFSET(TH!M$1,SMALL(Dong6,ROWS($1:37)),))</f>
        <v>1121</v>
      </c>
      <c r="H47" s="690">
        <f ca="1">IF(ROWS($1:37)&gt;COUNT(Dong6),"",OFFSET(TH!K$1,SMALL(Dong6,ROWS($1:37)),))</f>
        <v>15000000</v>
      </c>
      <c r="I47" s="690">
        <f ca="1">IF(ROWS($1:37)&gt;COUNT(Dong6),"",OFFSET(TH!K$1,SMALL(Dong6,ROWS($1:37)),))</f>
        <v>15000000</v>
      </c>
    </row>
    <row r="48" spans="1:9" s="775" customFormat="1" ht="21" customHeight="1">
      <c r="A48" s="783">
        <f ca="1">IF(ROWS($1:38)&gt;COUNT(Dong6),"",OFFSET(TH!C$1,SMALL(Dong6,ROWS($1:38)),))</f>
        <v>42192</v>
      </c>
      <c r="B48" s="784" t="str">
        <f ca="1">IF(ROWS($1:38)&gt;COUNT(Dong6),"",OFFSET(TH!D$1,SMALL(Dong6,ROWS($1:38)),))</f>
        <v>GBN</v>
      </c>
      <c r="C48" s="783">
        <f ca="1">IF(ROWS($1:38)&gt;COUNT(Dong6),"",OFFSET(TH!E$1,SMALL(Dong6,ROWS($1:38)),))</f>
        <v>42192</v>
      </c>
      <c r="D48" s="785" t="str">
        <f ca="1">IF(ROWS($1:38)&gt;COUNT(Dong6),"",OFFSET(TH!F$1,SMALL(Dong6,ROWS($1:38)),))</f>
        <v>Phí chuyển tiền</v>
      </c>
      <c r="E48" s="784">
        <f t="shared" ca="1" si="1"/>
        <v>38</v>
      </c>
      <c r="F48" s="786" t="str">
        <f ca="1">IF(ROWS($1:38)&gt;COUNT(Dong6),"",OFFSET(TH!L$1,SMALL(Dong6,ROWS($1:38)),))</f>
        <v>642</v>
      </c>
      <c r="G48" s="786" t="str">
        <f ca="1">IF(ROWS($1:38)&gt;COUNT(Dong6),"",OFFSET(TH!M$1,SMALL(Dong6,ROWS($1:38)),))</f>
        <v>1121</v>
      </c>
      <c r="H48" s="690">
        <f ca="1">IF(ROWS($1:38)&gt;COUNT(Dong6),"",OFFSET(TH!K$1,SMALL(Dong6,ROWS($1:38)),))</f>
        <v>15000</v>
      </c>
      <c r="I48" s="690">
        <f ca="1">IF(ROWS($1:38)&gt;COUNT(Dong6),"",OFFSET(TH!K$1,SMALL(Dong6,ROWS($1:38)),))</f>
        <v>15000</v>
      </c>
    </row>
    <row r="49" spans="1:10" s="775" customFormat="1" ht="21" customHeight="1">
      <c r="A49" s="783">
        <f ca="1">IF(ROWS($1:39)&gt;COUNT(Dong6),"",OFFSET(TH!C$1,SMALL(Dong6,ROWS($1:39)),))</f>
        <v>42193</v>
      </c>
      <c r="B49" s="784" t="str">
        <f ca="1">IF(ROWS($1:39)&gt;COUNT(Dong6),"",OFFSET(TH!D$1,SMALL(Dong6,ROWS($1:39)),))</f>
        <v>TP/X10</v>
      </c>
      <c r="C49" s="783">
        <f ca="1">IF(ROWS($1:39)&gt;COUNT(Dong6),"",OFFSET(TH!E$1,SMALL(Dong6,ROWS($1:39)),))</f>
        <v>42193</v>
      </c>
      <c r="D49" s="785" t="str">
        <f ca="1">IF(ROWS($1:39)&gt;COUNT(Dong6),"",OFFSET(TH!F$1,SMALL(Dong6,ROWS($1:39)),))</f>
        <v>Tấm lót (60x100)</v>
      </c>
      <c r="E49" s="784">
        <f t="shared" ca="1" si="1"/>
        <v>39</v>
      </c>
      <c r="F49" s="786" t="str">
        <f ca="1">IF(ROWS($1:39)&gt;COUNT(Dong6),"",OFFSET(TH!L$1,SMALL(Dong6,ROWS($1:39)),))</f>
        <v>131</v>
      </c>
      <c r="G49" s="786" t="str">
        <f ca="1">IF(ROWS($1:39)&gt;COUNT(Dong6),"",OFFSET(TH!M$1,SMALL(Dong6,ROWS($1:39)),))</f>
        <v>5112</v>
      </c>
      <c r="H49" s="690">
        <f ca="1">IF(ROWS($1:39)&gt;COUNT(Dong6),"",OFFSET(TH!K$1,SMALL(Dong6,ROWS($1:39)),))</f>
        <v>605000</v>
      </c>
      <c r="I49" s="690">
        <f ca="1">IF(ROWS($1:39)&gt;COUNT(Dong6),"",OFFSET(TH!K$1,SMALL(Dong6,ROWS($1:39)),))</f>
        <v>605000</v>
      </c>
    </row>
    <row r="50" spans="1:10" s="775" customFormat="1" ht="21" customHeight="1">
      <c r="A50" s="783">
        <f ca="1">IF(ROWS($1:40)&gt;COUNT(Dong6),"",OFFSET(TH!C$1,SMALL(Dong6,ROWS($1:40)),))</f>
        <v>42193</v>
      </c>
      <c r="B50" s="784" t="str">
        <f ca="1">IF(ROWS($1:40)&gt;COUNT(Dong6),"",OFFSET(TH!D$1,SMALL(Dong6,ROWS($1:40)),))</f>
        <v>TP/X10</v>
      </c>
      <c r="C50" s="783">
        <f ca="1">IF(ROWS($1:40)&gt;COUNT(Dong6),"",OFFSET(TH!E$1,SMALL(Dong6,ROWS($1:40)),))</f>
        <v>42193</v>
      </c>
      <c r="D50" s="785" t="str">
        <f ca="1">IF(ROWS($1:40)&gt;COUNT(Dong6),"",OFFSET(TH!F$1,SMALL(Dong6,ROWS($1:40)),))</f>
        <v>VAT Thùng carton</v>
      </c>
      <c r="E50" s="784">
        <f t="shared" ca="1" si="1"/>
        <v>40</v>
      </c>
      <c r="F50" s="786" t="str">
        <f ca="1">IF(ROWS($1:40)&gt;COUNT(Dong6),"",OFFSET(TH!L$1,SMALL(Dong6,ROWS($1:40)),))</f>
        <v>131</v>
      </c>
      <c r="G50" s="786" t="str">
        <f ca="1">IF(ROWS($1:40)&gt;COUNT(Dong6),"",OFFSET(TH!M$1,SMALL(Dong6,ROWS($1:40)),))</f>
        <v>3331</v>
      </c>
      <c r="H50" s="690">
        <f ca="1">IF(ROWS($1:40)&gt;COUNT(Dong6),"",OFFSET(TH!K$1,SMALL(Dong6,ROWS($1:40)),))</f>
        <v>60500</v>
      </c>
      <c r="I50" s="690">
        <f ca="1">IF(ROWS($1:40)&gt;COUNT(Dong6),"",OFFSET(TH!K$1,SMALL(Dong6,ROWS($1:40)),))</f>
        <v>60500</v>
      </c>
    </row>
    <row r="51" spans="1:10" s="775" customFormat="1" ht="21" customHeight="1">
      <c r="A51" s="783"/>
      <c r="B51" s="784"/>
      <c r="C51" s="783"/>
      <c r="D51" s="785"/>
      <c r="E51" s="784"/>
      <c r="F51" s="786"/>
      <c r="G51" s="786"/>
      <c r="H51" s="690"/>
      <c r="I51" s="690"/>
    </row>
    <row r="52" spans="1:10" s="775" customFormat="1" ht="21" customHeight="1">
      <c r="A52" s="787"/>
      <c r="B52" s="787"/>
      <c r="C52" s="787"/>
      <c r="D52" s="788" t="s">
        <v>350</v>
      </c>
      <c r="E52" s="789" t="s">
        <v>19</v>
      </c>
      <c r="F52" s="789"/>
      <c r="G52" s="789" t="s">
        <v>19</v>
      </c>
      <c r="H52" s="790">
        <f ca="1">SUBTOTAL(9,$H$10:$H$51)</f>
        <v>17092427471</v>
      </c>
      <c r="I52" s="790">
        <f ca="1">SUBTOTAL(9,I10:I51)</f>
        <v>17092427471</v>
      </c>
    </row>
    <row r="53" spans="1:10" s="775" customFormat="1" ht="15">
      <c r="A53" s="791" t="s">
        <v>394</v>
      </c>
    </row>
    <row r="54" spans="1:10" s="775" customFormat="1" ht="15">
      <c r="A54" s="791" t="str">
        <f ca="1">"- Ngày mở sổ: "&amp;DAY($A$11)&amp;"/"&amp;MONTH($A$11)&amp;"/ " &amp;YEAR($A$11)</f>
        <v>- Ngày mở sổ: 1/7/ 2015</v>
      </c>
    </row>
    <row r="55" spans="1:10" s="775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2"/>
      <c r="J55" s="792"/>
    </row>
    <row r="56" spans="1:10" s="775" customFormat="1" ht="15">
      <c r="B56" s="792" t="s">
        <v>347</v>
      </c>
      <c r="D56" s="792" t="s">
        <v>12</v>
      </c>
      <c r="H56" s="792" t="s">
        <v>348</v>
      </c>
      <c r="I56" s="792"/>
      <c r="J56" s="792"/>
    </row>
    <row r="57" spans="1:10" s="775" customFormat="1" ht="15">
      <c r="B57" s="792" t="s">
        <v>13</v>
      </c>
      <c r="D57" s="792" t="s">
        <v>13</v>
      </c>
      <c r="H57" s="792" t="s">
        <v>136</v>
      </c>
      <c r="I57" s="792"/>
      <c r="J57" s="792"/>
    </row>
    <row r="58" spans="1:10" s="77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2" t="s">
        <v>145</v>
      </c>
      <c r="H2" s="982"/>
      <c r="I2" s="982"/>
    </row>
    <row r="3" spans="1:9" ht="15.75" customHeight="1">
      <c r="A3" s="1" t="str">
        <f>TH!A2</f>
        <v>Địa chỉ: 1A227/1 Ấp 1, Phạm Văn Hai, Bình Chánh, TPHCM</v>
      </c>
      <c r="G3" s="98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83"/>
      <c r="I3" s="983"/>
    </row>
    <row r="4" spans="1:9">
      <c r="F4" s="17"/>
      <c r="G4" s="983"/>
      <c r="H4" s="983"/>
      <c r="I4" s="983"/>
    </row>
    <row r="5" spans="1:9" ht="17.25" customHeight="1">
      <c r="A5" s="984" t="s">
        <v>146</v>
      </c>
      <c r="B5" s="984"/>
      <c r="C5" s="984"/>
      <c r="D5" s="984"/>
      <c r="E5" s="984"/>
      <c r="F5" s="984"/>
      <c r="G5" s="984"/>
      <c r="H5" s="984"/>
      <c r="I5" s="984"/>
    </row>
    <row r="6" spans="1:9">
      <c r="A6" s="985" t="s">
        <v>147</v>
      </c>
      <c r="B6" s="986"/>
      <c r="C6" s="986"/>
      <c r="D6" s="986"/>
      <c r="E6" s="986"/>
      <c r="F6" s="986"/>
      <c r="G6" s="986"/>
      <c r="H6" s="986"/>
      <c r="I6" s="986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86" t="s">
        <v>29</v>
      </c>
      <c r="B9" s="987"/>
      <c r="C9" s="987"/>
      <c r="D9" s="987"/>
      <c r="E9" s="987"/>
      <c r="F9" s="987"/>
      <c r="G9" s="987"/>
      <c r="H9" s="987"/>
      <c r="I9" s="987"/>
    </row>
    <row r="10" spans="1:9" ht="9.75" customHeight="1">
      <c r="C10" s="988"/>
      <c r="D10" s="989"/>
      <c r="E10" s="989"/>
      <c r="F10" s="989"/>
      <c r="G10" s="989"/>
      <c r="H10" s="989"/>
      <c r="I10" s="989"/>
    </row>
    <row r="11" spans="1:9" s="18" customFormat="1" ht="19.5" customHeight="1">
      <c r="A11" s="990" t="s">
        <v>20</v>
      </c>
      <c r="B11" s="980" t="s">
        <v>1</v>
      </c>
      <c r="C11" s="991"/>
      <c r="D11" s="990" t="s">
        <v>0</v>
      </c>
      <c r="E11" s="990" t="s">
        <v>14</v>
      </c>
      <c r="F11" s="980" t="s">
        <v>21</v>
      </c>
      <c r="G11" s="991"/>
      <c r="H11" s="980" t="s">
        <v>31</v>
      </c>
      <c r="I11" s="981"/>
    </row>
    <row r="12" spans="1:9" s="18" customFormat="1" ht="32.25" customHeight="1">
      <c r="A12" s="990"/>
      <c r="B12" s="241" t="s">
        <v>15</v>
      </c>
      <c r="C12" s="241" t="s">
        <v>32</v>
      </c>
      <c r="D12" s="990"/>
      <c r="E12" s="990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228396228</v>
      </c>
      <c r="H15" s="246">
        <f ca="1">IF(D15&lt;&gt;"",MAX(H14+F15-G15-I14,0),0)</f>
        <v>0</v>
      </c>
      <c r="I15" s="246">
        <f ca="1">IF(D15&lt;&gt;"",MAX(I14+G15-H14-F15,0),0)</f>
        <v>228396228</v>
      </c>
    </row>
    <row r="16" spans="1:9" s="18" customFormat="1" ht="18" customHeight="1">
      <c r="A16" s="198">
        <f ca="1">IF(ROWS($1:2)&gt;COUNT(Dong5),"",OFFSET(TH!C$1,SMALL(Dong5,ROWS($1:2)),))</f>
        <v>42006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42006</v>
      </c>
      <c r="D16" s="244" t="str">
        <f ca="1">IF(ROWS($1:2)&gt;COUNT(Dong5),"",OFFSET(TH!F$1,SMALL(Dong5,ROWS($1:2)),))</f>
        <v>Phí chuyển tiền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5">
        <f ca="1">IF(ROWS($1:2)&gt;COUNT(Dong5),0,IF(OFFSET(TH!L$1,SMALL(Dong5,ROWS($1:2)),)=$E$7,OFFSET(TH!K$1,SMALL(Dong5,ROWS($1:2)),),0))</f>
        <v>20000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228376228</v>
      </c>
    </row>
    <row r="17" spans="1:9" s="18" customFormat="1" ht="18" customHeight="1">
      <c r="A17" s="198">
        <f ca="1">IF(ROWS($1:3)&gt;COUNT(Dong5),"",OFFSET(TH!C$1,SMALL(Dong5,ROWS($1:3)),))</f>
        <v>42006</v>
      </c>
      <c r="B17" s="198">
        <f ca="1">IF(ROWS($1:3)&gt;COUNT(Dong5),"",OFFSET(TH!D$1,SMALL(Dong5,ROWS($1:3)),))</f>
        <v>0</v>
      </c>
      <c r="C17" s="198">
        <f ca="1">IF(ROWS($1:3)&gt;COUNT(Dong5),"",OFFSET(TH!E$1,SMALL(Dong5,ROWS($1:3)),))</f>
        <v>41967</v>
      </c>
      <c r="D17" s="244" t="str">
        <f ca="1">IF(ROWS($1:3)&gt;COUNT(Dong5),"",OFFSET(TH!F$1,SMALL(Dong5,ROWS($1:3)),))</f>
        <v>Tiền điện</v>
      </c>
      <c r="E17" s="198" t="str">
        <f ca="1">IF(ROWS($1:3)&gt;COUNT(Dong5),"",IF(OFFSET(TH!L$1,SMALL(Dong5,ROWS($1:3)),)=$E$7,OFFSET(TH!M$1,SMALL(Dong5,ROWS($1:3)),),OFFSET(TH!L$1,SMALL(Dong5,ROWS($1:3)),)))</f>
        <v>1111</v>
      </c>
      <c r="F17" s="245">
        <f ca="1">IF(ROWS($1:3)&gt;COUNT(Dong5),0,IF(OFFSET(TH!L$1,SMALL(Dong5,ROWS($1:3)),)=$E$7,OFFSET(TH!K$1,SMALL(Dong5,ROWS($1:3)),),0))</f>
        <v>1081252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227294976</v>
      </c>
    </row>
    <row r="18" spans="1:9" s="18" customFormat="1" ht="18" customHeight="1">
      <c r="A18" s="198">
        <f ca="1">IF(ROWS($1:4)&gt;COUNT(Dong5),"",OFFSET(TH!C$1,SMALL(Dong5,ROWS($1:4)),))</f>
        <v>42006</v>
      </c>
      <c r="B18" s="198">
        <f ca="1">IF(ROWS($1:4)&gt;COUNT(Dong5),"",OFFSET(TH!D$1,SMALL(Dong5,ROWS($1:4)),))</f>
        <v>0</v>
      </c>
      <c r="C18" s="198">
        <f ca="1">IF(ROWS($1:4)&gt;COUNT(Dong5),"",OFFSET(TH!E$1,SMALL(Dong5,ROWS($1:4)),))</f>
        <v>41997</v>
      </c>
      <c r="D18" s="244" t="str">
        <f ca="1">IF(ROWS($1:4)&gt;COUNT(Dong5),"",OFFSET(TH!F$1,SMALL(Dong5,ROWS($1:4)),))</f>
        <v>Tiền điện</v>
      </c>
      <c r="E18" s="198" t="str">
        <f ca="1">IF(ROWS($1:4)&gt;COUNT(Dong5),"",IF(OFFSET(TH!L$1,SMALL(Dong5,ROWS($1:4)),)=$E$7,OFFSET(TH!M$1,SMALL(Dong5,ROWS($1:4)),),OFFSET(TH!L$1,SMALL(Dong5,ROWS($1:4)),)))</f>
        <v>1111</v>
      </c>
      <c r="F18" s="245">
        <f ca="1">IF(ROWS($1:4)&gt;COUNT(Dong5),0,IF(OFFSET(TH!L$1,SMALL(Dong5,ROWS($1:4)),)=$E$7,OFFSET(TH!K$1,SMALL(Dong5,ROWS($1:4)),),0))</f>
        <v>949392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226345584</v>
      </c>
    </row>
    <row r="19" spans="1:9" s="18" customFormat="1" ht="18" customHeight="1">
      <c r="A19" s="198">
        <f ca="1">IF(ROWS($1:5)&gt;COUNT(Dong5),"",OFFSET(TH!C$1,SMALL(Dong5,ROWS($1:5)),))</f>
        <v>42009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42009</v>
      </c>
      <c r="D19" s="244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5">
        <f ca="1">IF(ROWS($1:5)&gt;COUNT(Dong5),0,IF(OFFSET(TH!L$1,SMALL(Dong5,ROWS($1:5)),)=$E$7,OFFSET(TH!K$1,SMALL(Dong5,ROWS($1:5)),),0))</f>
        <v>15000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226330584</v>
      </c>
    </row>
    <row r="20" spans="1:9" s="18" customFormat="1" ht="18" customHeight="1">
      <c r="A20" s="198">
        <f ca="1">IF(ROWS($1:6)&gt;COUNT(Dong5),"",OFFSET(TH!C$1,SMALL(Dong5,ROWS($1:6)),))</f>
        <v>42012</v>
      </c>
      <c r="B20" s="198">
        <f ca="1">IF(ROWS($1:6)&gt;COUNT(Dong5),"",OFFSET(TH!D$1,SMALL(Dong5,ROWS($1:6)),))</f>
        <v>0</v>
      </c>
      <c r="C20" s="198">
        <f ca="1">IF(ROWS($1:6)&gt;COUNT(Dong5),"",OFFSET(TH!E$1,SMALL(Dong5,ROWS($1:6)),))</f>
        <v>42012</v>
      </c>
      <c r="D20" s="244" t="str">
        <f ca="1">IF(ROWS($1:6)&gt;COUNT(Dong5),"",OFFSET(TH!F$1,SMALL(Dong5,ROWS($1:6)),))</f>
        <v>Cước viễn thông</v>
      </c>
      <c r="E20" s="198" t="str">
        <f ca="1">IF(ROWS($1:6)&gt;COUNT(Dong5),"",IF(OFFSET(TH!L$1,SMALL(Dong5,ROWS($1:6)),)=$E$7,OFFSET(TH!M$1,SMALL(Dong5,ROWS($1:6)),),OFFSET(TH!L$1,SMALL(Dong5,ROWS($1:6)),)))</f>
        <v>1111</v>
      </c>
      <c r="F20" s="245">
        <f ca="1">IF(ROWS($1:6)&gt;COUNT(Dong5),0,IF(OFFSET(TH!L$1,SMALL(Dong5,ROWS($1:6)),)=$E$7,OFFSET(TH!K$1,SMALL(Dong5,ROWS($1:6)),),0))</f>
        <v>1395626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224934958</v>
      </c>
    </row>
    <row r="21" spans="1:9" s="18" customFormat="1" ht="18" customHeight="1">
      <c r="A21" s="198">
        <f ca="1">IF(ROWS($1:7)&gt;COUNT(Dong5),"",OFFSET(TH!C$1,SMALL(Dong5,ROWS($1:7)),))</f>
        <v>42024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42024</v>
      </c>
      <c r="D21" s="244" t="str">
        <f ca="1">IF(ROWS($1:7)&gt;COUNT(Dong5),"",OFFSET(TH!F$1,SMALL(Dong5,ROWS($1:7)),))</f>
        <v>Thu bổ sung phí rút sớm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5">
        <f ca="1">IF(ROWS($1:7)&gt;COUNT(Dong5),0,IF(OFFSET(TH!L$1,SMALL(Dong5,ROWS($1:7)),)=$E$7,OFFSET(TH!K$1,SMALL(Dong5,ROWS($1:7)),),0))</f>
        <v>11000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224923958</v>
      </c>
    </row>
    <row r="22" spans="1:9" s="18" customFormat="1" ht="18" customHeight="1">
      <c r="A22" s="198">
        <f ca="1">IF(ROWS($1:8)&gt;COUNT(Dong5),"",OFFSET(TH!C$1,SMALL(Dong5,ROWS($1:8)),))</f>
        <v>42025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42025</v>
      </c>
      <c r="D22" s="244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5">
        <f ca="1">IF(ROWS($1:8)&gt;COUNT(Dong5),0,IF(OFFSET(TH!L$1,SMALL(Dong5,ROWS($1:8)),)=$E$7,OFFSET(TH!K$1,SMALL(Dong5,ROWS($1:8)),),0))</f>
        <v>20000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224903958</v>
      </c>
    </row>
    <row r="23" spans="1:9" s="18" customFormat="1" ht="18" customHeight="1">
      <c r="A23" s="198">
        <f ca="1">IF(ROWS($1:9)&gt;COUNT(Dong5),"",OFFSET(TH!C$1,SMALL(Dong5,ROWS($1:9)),))</f>
        <v>42028</v>
      </c>
      <c r="B23" s="198">
        <f ca="1">IF(ROWS($1:9)&gt;COUNT(Dong5),"",OFFSET(TH!D$1,SMALL(Dong5,ROWS($1:9)),))</f>
        <v>0</v>
      </c>
      <c r="C23" s="198">
        <f ca="1">IF(ROWS($1:9)&gt;COUNT(Dong5),"",OFFSET(TH!E$1,SMALL(Dong5,ROWS($1:9)),))</f>
        <v>42028</v>
      </c>
      <c r="D23" s="244" t="str">
        <f ca="1">IF(ROWS($1:9)&gt;COUNT(Dong5),"",OFFSET(TH!F$1,SMALL(Dong5,ROWS($1:9)),))</f>
        <v>Tiền điện</v>
      </c>
      <c r="E23" s="198" t="str">
        <f ca="1">IF(ROWS($1:9)&gt;COUNT(Dong5),"",IF(OFFSET(TH!L$1,SMALL(Dong5,ROWS($1:9)),)=$E$7,OFFSET(TH!M$1,SMALL(Dong5,ROWS($1:9)),),OFFSET(TH!L$1,SMALL(Dong5,ROWS($1:9)),)))</f>
        <v>1111</v>
      </c>
      <c r="F23" s="245">
        <f ca="1">IF(ROWS($1:9)&gt;COUNT(Dong5),0,IF(OFFSET(TH!L$1,SMALL(Dong5,ROWS($1:9)),)=$E$7,OFFSET(TH!K$1,SMALL(Dong5,ROWS($1:9)),),0))</f>
        <v>1117340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223786618</v>
      </c>
    </row>
    <row r="24" spans="1:9" s="18" customFormat="1" ht="18" customHeight="1">
      <c r="A24" s="198">
        <f ca="1">IF(ROWS($1:10)&gt;COUNT(Dong5),"",OFFSET(TH!C$1,SMALL(Dong5,ROWS($1:10)),))</f>
        <v>42035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42035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16670000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207116618</v>
      </c>
    </row>
    <row r="25" spans="1:9" s="18" customFormat="1" ht="18" customHeight="1">
      <c r="A25" s="198">
        <f ca="1">IF(ROWS($1:11)&gt;COUNT(Dong5),"",OFFSET(TH!C$1,SMALL(Dong5,ROWS($1:11)),))</f>
        <v>42037</v>
      </c>
      <c r="B25" s="198" t="str">
        <f ca="1">IF(ROWS($1:11)&gt;COUNT(Dong5),"",OFFSET(TH!D$1,SMALL(Dong5,ROWS($1:11)),))</f>
        <v>GBC</v>
      </c>
      <c r="C25" s="198">
        <f ca="1">IF(ROWS($1:11)&gt;COUNT(Dong5),"",OFFSET(TH!E$1,SMALL(Dong5,ROWS($1:11)),))</f>
        <v>42037</v>
      </c>
      <c r="D25" s="244" t="str">
        <f ca="1">IF(ROWS($1:11)&gt;COUNT(Dong5),"",OFFSET(TH!F$1,SMALL(Dong5,ROWS($1:11)),))</f>
        <v>Phí chuyển tiền chịu thay</v>
      </c>
      <c r="E25" s="198" t="str">
        <f ca="1">IF(ROWS($1:11)&gt;COUNT(Dong5),"",IF(OFFSET(TH!L$1,SMALL(Dong5,ROWS($1:11)),)=$E$7,OFFSET(TH!M$1,SMALL(Dong5,ROWS($1:11)),),OFFSET(TH!L$1,SMALL(Dong5,ROWS($1:11)),)))</f>
        <v>131</v>
      </c>
      <c r="F25" s="245">
        <f ca="1">IF(ROWS($1:11)&gt;COUNT(Dong5),0,IF(OFFSET(TH!L$1,SMALL(Dong5,ROWS($1:11)),)=$E$7,OFFSET(TH!K$1,SMALL(Dong5,ROWS($1:11)),),0))</f>
        <v>11000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207105618</v>
      </c>
    </row>
    <row r="26" spans="1:9" s="18" customFormat="1" ht="18" customHeight="1">
      <c r="A26" s="198">
        <f ca="1">IF(ROWS($1:12)&gt;COUNT(Dong5),"",OFFSET(TH!C$1,SMALL(Dong5,ROWS($1:12)),))</f>
        <v>42037</v>
      </c>
      <c r="B26" s="198">
        <f ca="1">IF(ROWS($1:12)&gt;COUNT(Dong5),"",OFFSET(TH!D$1,SMALL(Dong5,ROWS($1:12)),))</f>
        <v>0</v>
      </c>
      <c r="C26" s="198">
        <f ca="1">IF(ROWS($1:12)&gt;COUNT(Dong5),"",OFFSET(TH!E$1,SMALL(Dong5,ROWS($1:12)),))</f>
        <v>42037</v>
      </c>
      <c r="D26" s="244" t="str">
        <f ca="1">IF(ROWS($1:12)&gt;COUNT(Dong5),"",OFFSET(TH!F$1,SMALL(Dong5,ROWS($1:12)),))</f>
        <v>Thuế môn bài 2015 phải nộp</v>
      </c>
      <c r="E26" s="198" t="str">
        <f ca="1">IF(ROWS($1:12)&gt;COUNT(Dong5),"",IF(OFFSET(TH!L$1,SMALL(Dong5,ROWS($1:12)),)=$E$7,OFFSET(TH!M$1,SMALL(Dong5,ROWS($1:12)),),OFFSET(TH!L$1,SMALL(Dong5,ROWS($1:12)),)))</f>
        <v>33382</v>
      </c>
      <c r="F26" s="245">
        <f ca="1">IF(ROWS($1:12)&gt;COUNT(Dong5),0,IF(OFFSET(TH!L$1,SMALL(Dong5,ROWS($1:12)),)=$E$7,OFFSET(TH!K$1,SMALL(Dong5,ROWS($1:12)),),0))</f>
        <v>1000000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206105618</v>
      </c>
    </row>
    <row r="27" spans="1:9" s="18" customFormat="1" ht="18" customHeight="1">
      <c r="A27" s="198">
        <f ca="1">IF(ROWS($1:13)&gt;COUNT(Dong5),"",OFFSET(TH!C$1,SMALL(Dong5,ROWS($1:13)),))</f>
        <v>42042</v>
      </c>
      <c r="B27" s="198">
        <f ca="1">IF(ROWS($1:13)&gt;COUNT(Dong5),"",OFFSET(TH!D$1,SMALL(Dong5,ROWS($1:13)),))</f>
        <v>0</v>
      </c>
      <c r="C27" s="198">
        <f ca="1">IF(ROWS($1:13)&gt;COUNT(Dong5),"",OFFSET(TH!E$1,SMALL(Dong5,ROWS($1:13)),))</f>
        <v>42042</v>
      </c>
      <c r="D27" s="244" t="str">
        <f ca="1">IF(ROWS($1:13)&gt;COUNT(Dong5),"",OFFSET(TH!F$1,SMALL(Dong5,ROWS($1:13)),))</f>
        <v>Cước viễn thông</v>
      </c>
      <c r="E27" s="198" t="str">
        <f ca="1">IF(ROWS($1:13)&gt;COUNT(Dong5),"",IF(OFFSET(TH!L$1,SMALL(Dong5,ROWS($1:13)),)=$E$7,OFFSET(TH!M$1,SMALL(Dong5,ROWS($1:13)),),OFFSET(TH!L$1,SMALL(Dong5,ROWS($1:13)),)))</f>
        <v>1111</v>
      </c>
      <c r="F27" s="245">
        <f ca="1">IF(ROWS($1:13)&gt;COUNT(Dong5),0,IF(OFFSET(TH!L$1,SMALL(Dong5,ROWS($1:13)),)=$E$7,OFFSET(TH!K$1,SMALL(Dong5,ROWS($1:13)),),0))</f>
        <v>1810198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204295420</v>
      </c>
    </row>
    <row r="28" spans="1:9" s="18" customFormat="1" ht="18" customHeight="1">
      <c r="A28" s="198">
        <f ca="1">IF(ROWS($1:14)&gt;COUNT(Dong5),"",OFFSET(TH!C$1,SMALL(Dong5,ROWS($1:14)),))</f>
        <v>42043</v>
      </c>
      <c r="B28" s="198">
        <f ca="1">IF(ROWS($1:14)&gt;COUNT(Dong5),"",OFFSET(TH!D$1,SMALL(Dong5,ROWS($1:14)),))</f>
        <v>0</v>
      </c>
      <c r="C28" s="198">
        <f ca="1">IF(ROWS($1:14)&gt;COUNT(Dong5),"",OFFSET(TH!E$1,SMALL(Dong5,ROWS($1:14)),))</f>
        <v>42043</v>
      </c>
      <c r="D28" s="244" t="str">
        <f ca="1">IF(ROWS($1:14)&gt;COUNT(Dong5),"",OFFSET(TH!F$1,SMALL(Dong5,ROWS($1:14)),))</f>
        <v>Chi phí tiếp khách</v>
      </c>
      <c r="E28" s="198" t="str">
        <f ca="1">IF(ROWS($1:14)&gt;COUNT(Dong5),"",IF(OFFSET(TH!L$1,SMALL(Dong5,ROWS($1:14)),)=$E$7,OFFSET(TH!M$1,SMALL(Dong5,ROWS($1:14)),),OFFSET(TH!L$1,SMALL(Dong5,ROWS($1:14)),)))</f>
        <v>1111</v>
      </c>
      <c r="F28" s="245">
        <f ca="1">IF(ROWS($1:14)&gt;COUNT(Dong5),0,IF(OFFSET(TH!L$1,SMALL(Dong5,ROWS($1:14)),)=$E$7,OFFSET(TH!K$1,SMALL(Dong5,ROWS($1:14)),),0))</f>
        <v>776050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203519370</v>
      </c>
    </row>
    <row r="29" spans="1:9" s="18" customFormat="1" ht="18" customHeight="1">
      <c r="A29" s="198">
        <f ca="1">IF(ROWS($1:15)&gt;COUNT(Dong5),"",OFFSET(TH!C$1,SMALL(Dong5,ROWS($1:15)),))</f>
        <v>42049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42049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20000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203499370</v>
      </c>
    </row>
    <row r="30" spans="1:9" s="18" customFormat="1" ht="18" customHeight="1">
      <c r="A30" s="198">
        <f ca="1">IF(ROWS($1:16)&gt;COUNT(Dong5),"",OFFSET(TH!C$1,SMALL(Dong5,ROWS($1:16)),))</f>
        <v>42059</v>
      </c>
      <c r="B30" s="198">
        <f ca="1">IF(ROWS($1:16)&gt;COUNT(Dong5),"",OFFSET(TH!D$1,SMALL(Dong5,ROWS($1:16)),))</f>
        <v>0</v>
      </c>
      <c r="C30" s="198">
        <f ca="1">IF(ROWS($1:16)&gt;COUNT(Dong5),"",OFFSET(TH!E$1,SMALL(Dong5,ROWS($1:16)),))</f>
        <v>42059</v>
      </c>
      <c r="D30" s="244" t="str">
        <f ca="1">IF(ROWS($1:16)&gt;COUNT(Dong5),"",OFFSET(TH!F$1,SMALL(Dong5,ROWS($1:16)),))</f>
        <v>Tiền điện</v>
      </c>
      <c r="E30" s="198" t="str">
        <f ca="1">IF(ROWS($1:16)&gt;COUNT(Dong5),"",IF(OFFSET(TH!L$1,SMALL(Dong5,ROWS($1:16)),)=$E$7,OFFSET(TH!M$1,SMALL(Dong5,ROWS($1:16)),),OFFSET(TH!L$1,SMALL(Dong5,ROWS($1:16)),)))</f>
        <v>1111</v>
      </c>
      <c r="F30" s="245">
        <f ca="1">IF(ROWS($1:16)&gt;COUNT(Dong5),0,IF(OFFSET(TH!L$1,SMALL(Dong5,ROWS($1:16)),)=$E$7,OFFSET(TH!K$1,SMALL(Dong5,ROWS($1:16)),),0))</f>
        <v>871664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202627706</v>
      </c>
    </row>
    <row r="31" spans="1:9" s="18" customFormat="1" ht="18" customHeight="1">
      <c r="A31" s="198">
        <f ca="1">IF(ROWS($1:17)&gt;COUNT(Dong5),"",OFFSET(TH!C$1,SMALL(Dong5,ROWS($1:17)),))</f>
        <v>42063</v>
      </c>
      <c r="B31" s="198" t="str">
        <f ca="1">IF(ROWS($1:17)&gt;COUNT(Dong5),"",OFFSET(TH!D$1,SMALL(Dong5,ROWS($1:17)),))</f>
        <v>CTGS</v>
      </c>
      <c r="C31" s="198">
        <f ca="1">IF(ROWS($1:17)&gt;COUNT(Dong5),"",OFFSET(TH!E$1,SMALL(Dong5,ROWS($1:17)),))</f>
        <v>42063</v>
      </c>
      <c r="D31" s="244" t="str">
        <f ca="1">IF(ROWS($1:17)&gt;COUNT(Dong5),"",OFFSET(TH!F$1,SMALL(Dong5,ROWS($1:17)),))</f>
        <v>Tiền lương BP Văn phòng</v>
      </c>
      <c r="E31" s="198" t="str">
        <f ca="1">IF(ROWS($1:17)&gt;COUNT(Dong5),"",IF(OFFSET(TH!L$1,SMALL(Dong5,ROWS($1:17)),)=$E$7,OFFSET(TH!M$1,SMALL(Dong5,ROWS($1:17)),),OFFSET(TH!L$1,SMALL(Dong5,ROWS($1:17)),)))</f>
        <v>3341</v>
      </c>
      <c r="F31" s="245">
        <f ca="1">IF(ROWS($1:17)&gt;COUNT(Dong5),0,IF(OFFSET(TH!L$1,SMALL(Dong5,ROWS($1:17)),)=$E$7,OFFSET(TH!K$1,SMALL(Dong5,ROWS($1:17)),),0))</f>
        <v>16355000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186272706</v>
      </c>
    </row>
    <row r="32" spans="1:9" s="18" customFormat="1" ht="18" customHeight="1">
      <c r="A32" s="198">
        <f ca="1">IF(ROWS($1:18)&gt;COUNT(Dong5),"",OFFSET(TH!C$1,SMALL(Dong5,ROWS($1:18)),))</f>
        <v>42073</v>
      </c>
      <c r="B32" s="198">
        <f ca="1">IF(ROWS($1:18)&gt;COUNT(Dong5),"",OFFSET(TH!D$1,SMALL(Dong5,ROWS($1:18)),))</f>
        <v>0</v>
      </c>
      <c r="C32" s="198">
        <f ca="1">IF(ROWS($1:18)&gt;COUNT(Dong5),"",OFFSET(TH!E$1,SMALL(Dong5,ROWS($1:18)),))</f>
        <v>42073</v>
      </c>
      <c r="D32" s="244" t="str">
        <f ca="1">IF(ROWS($1:18)&gt;COUNT(Dong5),"",OFFSET(TH!F$1,SMALL(Dong5,ROWS($1:18)),))</f>
        <v>Cước viễn thông</v>
      </c>
      <c r="E32" s="198" t="str">
        <f ca="1">IF(ROWS($1:18)&gt;COUNT(Dong5),"",IF(OFFSET(TH!L$1,SMALL(Dong5,ROWS($1:18)),)=$E$7,OFFSET(TH!M$1,SMALL(Dong5,ROWS($1:18)),),OFFSET(TH!L$1,SMALL(Dong5,ROWS($1:18)),)))</f>
        <v>1111</v>
      </c>
      <c r="F32" s="245">
        <f ca="1">IF(ROWS($1:18)&gt;COUNT(Dong5),0,IF(OFFSET(TH!L$1,SMALL(Dong5,ROWS($1:18)),)=$E$7,OFFSET(TH!K$1,SMALL(Dong5,ROWS($1:18)),),0))</f>
        <v>827620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185445086</v>
      </c>
    </row>
    <row r="33" spans="1:9" s="18" customFormat="1" ht="18" customHeight="1">
      <c r="A33" s="198">
        <f ca="1">IF(ROWS($1:19)&gt;COUNT(Dong5),"",OFFSET(TH!C$1,SMALL(Dong5,ROWS($1:19)),))</f>
        <v>42074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42074</v>
      </c>
      <c r="D33" s="244" t="str">
        <f ca="1">IF(ROWS($1:19)&gt;COUNT(Dong5),"",OFFSET(TH!F$1,SMALL(Dong5,ROWS($1:19)),))</f>
        <v>Phí rút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11000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185434086</v>
      </c>
    </row>
    <row r="34" spans="1:9" s="18" customFormat="1" ht="18" customHeight="1">
      <c r="A34" s="198">
        <f ca="1">IF(ROWS($1:20)&gt;COUNT(Dong5),"",OFFSET(TH!C$1,SMALL(Dong5,ROWS($1:20)),))</f>
        <v>42080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42080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15000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185419086</v>
      </c>
    </row>
    <row r="35" spans="1:9" s="18" customFormat="1" ht="18" customHeight="1">
      <c r="A35" s="198">
        <f ca="1">IF(ROWS($1:21)&gt;COUNT(Dong5),"",OFFSET(TH!C$1,SMALL(Dong5,ROWS($1:21)),))</f>
        <v>42087</v>
      </c>
      <c r="B35" s="198">
        <f ca="1">IF(ROWS($1:21)&gt;COUNT(Dong5),"",OFFSET(TH!D$1,SMALL(Dong5,ROWS($1:21)),))</f>
        <v>0</v>
      </c>
      <c r="C35" s="198">
        <f ca="1">IF(ROWS($1:21)&gt;COUNT(Dong5),"",OFFSET(TH!E$1,SMALL(Dong5,ROWS($1:21)),))</f>
        <v>42087</v>
      </c>
      <c r="D35" s="244" t="str">
        <f ca="1">IF(ROWS($1:21)&gt;COUNT(Dong5),"",OFFSET(TH!F$1,SMALL(Dong5,ROWS($1:21)),))</f>
        <v>Tiền điện</v>
      </c>
      <c r="E35" s="198" t="str">
        <f ca="1">IF(ROWS($1:21)&gt;COUNT(Dong5),"",IF(OFFSET(TH!L$1,SMALL(Dong5,ROWS($1:21)),)=$E$7,OFFSET(TH!M$1,SMALL(Dong5,ROWS($1:21)),),OFFSET(TH!L$1,SMALL(Dong5,ROWS($1:21)),)))</f>
        <v>1111</v>
      </c>
      <c r="F35" s="245">
        <f ca="1">IF(ROWS($1:21)&gt;COUNT(Dong5),0,IF(OFFSET(TH!L$1,SMALL(Dong5,ROWS($1:21)),)=$E$7,OFFSET(TH!K$1,SMALL(Dong5,ROWS($1:21)),),0))</f>
        <v>963378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184455708</v>
      </c>
    </row>
    <row r="36" spans="1:9" s="18" customFormat="1" ht="18" customHeight="1">
      <c r="A36" s="198">
        <f ca="1">IF(ROWS($1:22)&gt;COUNT(Dong5),"",OFFSET(TH!C$1,SMALL(Dong5,ROWS($1:22)),))</f>
        <v>42094</v>
      </c>
      <c r="B36" s="198" t="str">
        <f ca="1">IF(ROWS($1:22)&gt;COUNT(Dong5),"",OFFSET(TH!D$1,SMALL(Dong5,ROWS($1:22)),))</f>
        <v>CTGS</v>
      </c>
      <c r="C36" s="198">
        <f ca="1">IF(ROWS($1:22)&gt;COUNT(Dong5),"",OFFSET(TH!E$1,SMALL(Dong5,ROWS($1:22)),))</f>
        <v>42094</v>
      </c>
      <c r="D36" s="244" t="str">
        <f ca="1">IF(ROWS($1:22)&gt;COUNT(Dong5),"",OFFSET(TH!F$1,SMALL(Dong5,ROWS($1:22)),))</f>
        <v>Tiền lương BP Văn phòng</v>
      </c>
      <c r="E36" s="198" t="str">
        <f ca="1">IF(ROWS($1:22)&gt;COUNT(Dong5),"",IF(OFFSET(TH!L$1,SMALL(Dong5,ROWS($1:22)),)=$E$7,OFFSET(TH!M$1,SMALL(Dong5,ROWS($1:22)),),OFFSET(TH!L$1,SMALL(Dong5,ROWS($1:22)),)))</f>
        <v>3341</v>
      </c>
      <c r="F36" s="245">
        <f ca="1">IF(ROWS($1:22)&gt;COUNT(Dong5),0,IF(OFFSET(TH!L$1,SMALL(Dong5,ROWS($1:22)),)=$E$7,OFFSET(TH!K$1,SMALL(Dong5,ROWS($1:22)),),0))</f>
        <v>16670000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167785708</v>
      </c>
    </row>
    <row r="37" spans="1:9" s="18" customFormat="1" ht="18" customHeight="1">
      <c r="A37" s="198">
        <f ca="1">IF(ROWS($1:23)&gt;COUNT(Dong5),"",OFFSET(TH!C$1,SMALL(Dong5,ROWS($1:23)),))</f>
        <v>42115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42115</v>
      </c>
      <c r="D37" s="244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5">
        <f ca="1">IF(ROWS($1:23)&gt;COUNT(Dong5),0,IF(OFFSET(TH!L$1,SMALL(Dong5,ROWS($1:23)),)=$E$7,OFFSET(TH!K$1,SMALL(Dong5,ROWS($1:23)),),0))</f>
        <v>15000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167770708</v>
      </c>
    </row>
    <row r="38" spans="1:9" s="18" customFormat="1" ht="18" customHeight="1">
      <c r="A38" s="198">
        <f ca="1">IF(ROWS($1:24)&gt;COUNT(Dong5),"",OFFSET(TH!C$1,SMALL(Dong5,ROWS($1:24)),))</f>
        <v>42115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42115</v>
      </c>
      <c r="D38" s="244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15000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167755708</v>
      </c>
    </row>
    <row r="39" spans="1:9" s="18" customFormat="1" ht="18" customHeight="1">
      <c r="A39" s="198">
        <f ca="1">IF(ROWS($1:25)&gt;COUNT(Dong5),"",OFFSET(TH!C$1,SMALL(Dong5,ROWS($1:25)),))</f>
        <v>42115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42115</v>
      </c>
      <c r="D39" s="244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15000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167740708</v>
      </c>
    </row>
    <row r="40" spans="1:9" s="18" customFormat="1" ht="18" customHeight="1">
      <c r="A40" s="198">
        <f ca="1">IF(ROWS($1:26)&gt;COUNT(Dong5),"",OFFSET(TH!C$1,SMALL(Dong5,ROWS($1:26)),))</f>
        <v>42117</v>
      </c>
      <c r="B40" s="198">
        <f ca="1">IF(ROWS($1:26)&gt;COUNT(Dong5),"",OFFSET(TH!D$1,SMALL(Dong5,ROWS($1:26)),))</f>
        <v>0</v>
      </c>
      <c r="C40" s="198">
        <f ca="1">IF(ROWS($1:26)&gt;COUNT(Dong5),"",OFFSET(TH!E$1,SMALL(Dong5,ROWS($1:26)),))</f>
        <v>42117</v>
      </c>
      <c r="D40" s="244" t="str">
        <f ca="1">IF(ROWS($1:26)&gt;COUNT(Dong5),"",OFFSET(TH!F$1,SMALL(Dong5,ROWS($1:26)),))</f>
        <v>Tiền điện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5">
        <f ca="1">IF(ROWS($1:26)&gt;COUNT(Dong5),0,IF(OFFSET(TH!L$1,SMALL(Dong5,ROWS($1:26)),)=$E$7,OFFSET(TH!K$1,SMALL(Dong5,ROWS($1:26)),),0))</f>
        <v>1539252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166201456</v>
      </c>
    </row>
    <row r="41" spans="1:9" s="18" customFormat="1" ht="18" customHeight="1">
      <c r="A41" s="198">
        <f ca="1">IF(ROWS($1:27)&gt;COUNT(Dong5),"",OFFSET(TH!C$1,SMALL(Dong5,ROWS($1:27)),))</f>
        <v>42124</v>
      </c>
      <c r="B41" s="198" t="str">
        <f ca="1">IF(ROWS($1:27)&gt;COUNT(Dong5),"",OFFSET(TH!D$1,SMALL(Dong5,ROWS($1:27)),))</f>
        <v>CTGS</v>
      </c>
      <c r="C41" s="198">
        <f ca="1">IF(ROWS($1:27)&gt;COUNT(Dong5),"",OFFSET(TH!E$1,SMALL(Dong5,ROWS($1:27)),))</f>
        <v>42124</v>
      </c>
      <c r="D41" s="244" t="str">
        <f ca="1">IF(ROWS($1:27)&gt;COUNT(Dong5),"",OFFSET(TH!F$1,SMALL(Dong5,ROWS($1:27)),))</f>
        <v>Tiền lương BP Văn phòng</v>
      </c>
      <c r="E41" s="198" t="str">
        <f ca="1">IF(ROWS($1:27)&gt;COUNT(Dong5),"",IF(OFFSET(TH!L$1,SMALL(Dong5,ROWS($1:27)),)=$E$7,OFFSET(TH!M$1,SMALL(Dong5,ROWS($1:27)),),OFFSET(TH!L$1,SMALL(Dong5,ROWS($1:27)),)))</f>
        <v>3341</v>
      </c>
      <c r="F41" s="245">
        <f ca="1">IF(ROWS($1:27)&gt;COUNT(Dong5),0,IF(OFFSET(TH!L$1,SMALL(Dong5,ROWS($1:27)),)=$E$7,OFFSET(TH!K$1,SMALL(Dong5,ROWS($1:27)),),0))</f>
        <v>16625000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149576456</v>
      </c>
    </row>
    <row r="42" spans="1:9" s="18" customFormat="1" ht="18" customHeight="1">
      <c r="A42" s="198">
        <f ca="1">IF(ROWS($1:28)&gt;COUNT(Dong5),"",OFFSET(TH!C$1,SMALL(Dong5,ROWS($1:28)),))</f>
        <v>42132</v>
      </c>
      <c r="B42" s="198">
        <f ca="1">IF(ROWS($1:28)&gt;COUNT(Dong5),"",OFFSET(TH!D$1,SMALL(Dong5,ROWS($1:28)),))</f>
        <v>0</v>
      </c>
      <c r="C42" s="198">
        <f ca="1">IF(ROWS($1:28)&gt;COUNT(Dong5),"",OFFSET(TH!E$1,SMALL(Dong5,ROWS($1:28)),))</f>
        <v>42132</v>
      </c>
      <c r="D42" s="244" t="str">
        <f ca="1">IF(ROWS($1:28)&gt;COUNT(Dong5),"",OFFSET(TH!F$1,SMALL(Dong5,ROWS($1:28)),))</f>
        <v>Cước viễn thông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5">
        <f ca="1">IF(ROWS($1:28)&gt;COUNT(Dong5),0,IF(OFFSET(TH!L$1,SMALL(Dong5,ROWS($1:28)),)=$E$7,OFFSET(TH!K$1,SMALL(Dong5,ROWS($1:28)),),0))</f>
        <v>1777392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147799064</v>
      </c>
    </row>
    <row r="43" spans="1:9" s="18" customFormat="1" ht="18" customHeight="1">
      <c r="A43" s="198">
        <f ca="1">IF(ROWS($1:29)&gt;COUNT(Dong5),"",OFFSET(TH!C$1,SMALL(Dong5,ROWS($1:29)),))</f>
        <v>42149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42149</v>
      </c>
      <c r="D43" s="244" t="str">
        <f ca="1">IF(ROWS($1:29)&gt;COUNT(Dong5),"",OFFSET(TH!F$1,SMALL(Dong5,ROWS($1:29)),))</f>
        <v>Phí chuyển tiền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5">
        <f ca="1">IF(ROWS($1:29)&gt;COUNT(Dong5),0,IF(OFFSET(TH!L$1,SMALL(Dong5,ROWS($1:29)),)=$E$7,OFFSET(TH!K$1,SMALL(Dong5,ROWS($1:29)),),0))</f>
        <v>15000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147784064</v>
      </c>
    </row>
    <row r="44" spans="1:9" s="18" customFormat="1" ht="18" customHeight="1">
      <c r="A44" s="198">
        <f ca="1">IF(ROWS($1:30)&gt;COUNT(Dong5),"",OFFSET(TH!C$1,SMALL(Dong5,ROWS($1:30)),))</f>
        <v>42149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42149</v>
      </c>
      <c r="D44" s="244" t="str">
        <f ca="1">IF(ROWS($1:30)&gt;COUNT(Dong5),"",OFFSET(TH!F$1,SMALL(Dong5,ROWS($1:30)),))</f>
        <v>Phí hủy tài khoản ngân hàng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1731169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146052895</v>
      </c>
    </row>
    <row r="45" spans="1:9" s="18" customFormat="1" ht="18" customHeight="1">
      <c r="A45" s="198">
        <f ca="1">IF(ROWS($1:31)&gt;COUNT(Dong5),"",OFFSET(TH!C$1,SMALL(Dong5,ROWS($1:31)),))</f>
        <v>42150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42150</v>
      </c>
      <c r="D45" s="244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34872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146018023</v>
      </c>
    </row>
    <row r="46" spans="1:9" s="18" customFormat="1" ht="18" customHeight="1">
      <c r="A46" s="198">
        <f ca="1">IF(ROWS($1:32)&gt;COUNT(Dong5),"",OFFSET(TH!C$1,SMALL(Dong5,ROWS($1:32)),))</f>
        <v>42150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42150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75727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145942296</v>
      </c>
    </row>
    <row r="47" spans="1:9" s="18" customFormat="1" ht="18" customHeight="1">
      <c r="A47" s="198">
        <f ca="1">IF(ROWS($1:33)&gt;COUNT(Dong5),"",OFFSET(TH!C$1,SMALL(Dong5,ROWS($1:33)),))</f>
        <v>42150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42150</v>
      </c>
      <c r="D47" s="244" t="str">
        <f ca="1">IF(ROWS($1:33)&gt;COUNT(Dong5),"",OFFSET(TH!F$1,SMALL(Dong5,ROWS($1:33)),))</f>
        <v>Phí dịch vụ ebanking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100000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145842296</v>
      </c>
    </row>
    <row r="48" spans="1:9" s="18" customFormat="1" ht="18" customHeight="1">
      <c r="A48" s="198">
        <f ca="1">IF(ROWS($1:34)&gt;COUNT(Dong5),"",OFFSET(TH!C$1,SMALL(Dong5,ROWS($1:34)),))</f>
        <v>42150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42150</v>
      </c>
      <c r="D48" s="244" t="str">
        <f ca="1">IF(ROWS($1:34)&gt;COUNT(Dong5),"",OFFSET(TH!F$1,SMALL(Dong5,ROWS($1:34)),))</f>
        <v>Phí dịch vụ thông báo số dư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50000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145792296</v>
      </c>
    </row>
    <row r="49" spans="1:9" s="18" customFormat="1" ht="18" customHeight="1">
      <c r="A49" s="198">
        <f ca="1">IF(ROWS($1:35)&gt;COUNT(Dong5),"",OFFSET(TH!C$1,SMALL(Dong5,ROWS($1:35)),))</f>
        <v>42155</v>
      </c>
      <c r="B49" s="198" t="str">
        <f ca="1">IF(ROWS($1:35)&gt;COUNT(Dong5),"",OFFSET(TH!D$1,SMALL(Dong5,ROWS($1:35)),))</f>
        <v>CTGS</v>
      </c>
      <c r="C49" s="198">
        <f ca="1">IF(ROWS($1:35)&gt;COUNT(Dong5),"",OFFSET(TH!E$1,SMALL(Dong5,ROWS($1:35)),))</f>
        <v>42155</v>
      </c>
      <c r="D49" s="244" t="str">
        <f ca="1">IF(ROWS($1:35)&gt;COUNT(Dong5),"",OFFSET(TH!F$1,SMALL(Dong5,ROWS($1:35)),))</f>
        <v>Tiền lương BP Văn phòng</v>
      </c>
      <c r="E49" s="198" t="str">
        <f ca="1">IF(ROWS($1:35)&gt;COUNT(Dong5),"",IF(OFFSET(TH!L$1,SMALL(Dong5,ROWS($1:35)),)=$E$7,OFFSET(TH!M$1,SMALL(Dong5,ROWS($1:35)),),OFFSET(TH!L$1,SMALL(Dong5,ROWS($1:35)),)))</f>
        <v>3341</v>
      </c>
      <c r="F49" s="245">
        <f ca="1">IF(ROWS($1:35)&gt;COUNT(Dong5),0,IF(OFFSET(TH!L$1,SMALL(Dong5,ROWS($1:35)),)=$E$7,OFFSET(TH!K$1,SMALL(Dong5,ROWS($1:35)),),0))</f>
        <v>16625000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129167296</v>
      </c>
    </row>
    <row r="50" spans="1:9" s="18" customFormat="1" ht="18" customHeight="1">
      <c r="A50" s="198">
        <f ca="1">IF(ROWS($1:36)&gt;COUNT(Dong5),"",OFFSET(TH!C$1,SMALL(Dong5,ROWS($1:36)),))</f>
        <v>42160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42160</v>
      </c>
      <c r="D50" s="244" t="str">
        <f ca="1">IF(ROWS($1:36)&gt;COUNT(Dong5),"",OFFSET(TH!F$1,SMALL(Dong5,ROWS($1:36)),))</f>
        <v>Phí bán 3 cuốn sec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5">
        <f ca="1">IF(ROWS($1:36)&gt;COUNT(Dong5),0,IF(OFFSET(TH!L$1,SMALL(Dong5,ROWS($1:36)),)=$E$7,OFFSET(TH!K$1,SMALL(Dong5,ROWS($1:36)),),0))</f>
        <v>45000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129122296</v>
      </c>
    </row>
    <row r="51" spans="1:9" s="18" customFormat="1" ht="18" customHeight="1">
      <c r="A51" s="198">
        <f ca="1">IF(ROWS($1:37)&gt;COUNT(Dong5),"",OFFSET(TH!C$1,SMALL(Dong5,ROWS($1:37)),))</f>
        <v>42165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42165</v>
      </c>
      <c r="D51" s="244" t="str">
        <f ca="1">IF(ROWS($1:37)&gt;COUNT(Dong5),"",OFFSET(TH!F$1,SMALL(Dong5,ROWS($1:37)),))</f>
        <v>Phí rút sec khác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15000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129107296</v>
      </c>
    </row>
    <row r="52" spans="1:9" s="18" customFormat="1" ht="18" customHeight="1">
      <c r="A52" s="198">
        <f ca="1">IF(ROWS($1:38)&gt;COUNT(Dong5),"",OFFSET(TH!C$1,SMALL(Dong5,ROWS($1:38)),))</f>
        <v>42172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42172</v>
      </c>
      <c r="D52" s="244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99000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129008296</v>
      </c>
    </row>
    <row r="53" spans="1:9" s="18" customFormat="1" ht="18" customHeight="1">
      <c r="A53" s="198">
        <f ca="1">IF(ROWS($1:39)&gt;COUNT(Dong5),"",OFFSET(TH!C$1,SMALL(Dong5,ROWS($1:39)),))</f>
        <v>42173</v>
      </c>
      <c r="B53" s="198">
        <f ca="1">IF(ROWS($1:39)&gt;COUNT(Dong5),"",OFFSET(TH!D$1,SMALL(Dong5,ROWS($1:39)),))</f>
        <v>0</v>
      </c>
      <c r="C53" s="198">
        <f ca="1">IF(ROWS($1:39)&gt;COUNT(Dong5),"",OFFSET(TH!E$1,SMALL(Dong5,ROWS($1:39)),))</f>
        <v>42173</v>
      </c>
      <c r="D53" s="244" t="str">
        <f ca="1">IF(ROWS($1:39)&gt;COUNT(Dong5),"",OFFSET(TH!F$1,SMALL(Dong5,ROWS($1:39)),))</f>
        <v>Văn phòng phẩm</v>
      </c>
      <c r="E53" s="198" t="str">
        <f ca="1">IF(ROWS($1:39)&gt;COUNT(Dong5),"",IF(OFFSET(TH!L$1,SMALL(Dong5,ROWS($1:39)),)=$E$7,OFFSET(TH!M$1,SMALL(Dong5,ROWS($1:39)),),OFFSET(TH!L$1,SMALL(Dong5,ROWS($1:39)),)))</f>
        <v>1111</v>
      </c>
      <c r="F53" s="245">
        <f ca="1">IF(ROWS($1:39)&gt;COUNT(Dong5),0,IF(OFFSET(TH!L$1,SMALL(Dong5,ROWS($1:39)),)=$E$7,OFFSET(TH!K$1,SMALL(Dong5,ROWS($1:39)),),0))</f>
        <v>1017727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127990569</v>
      </c>
    </row>
    <row r="54" spans="1:9" s="18" customFormat="1" ht="18" customHeight="1">
      <c r="A54" s="198">
        <f ca="1">IF(ROWS($1:40)&gt;COUNT(Dong5),"",OFFSET(TH!C$1,SMALL(Dong5,ROWS($1:40)),))</f>
        <v>42173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42173</v>
      </c>
      <c r="D54" s="244" t="str">
        <f ca="1">IF(ROWS($1:40)&gt;COUNT(Dong5),"",OFFSET(TH!F$1,SMALL(Dong5,ROWS($1:40)),))</f>
        <v xml:space="preserve">Phí 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5">
        <f ca="1">IF(ROWS($1:40)&gt;COUNT(Dong5),0,IF(OFFSET(TH!L$1,SMALL(Dong5,ROWS($1:40)),)=$E$7,OFFSET(TH!K$1,SMALL(Dong5,ROWS($1:40)),),0))</f>
        <v>1193939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126796630</v>
      </c>
    </row>
    <row r="55" spans="1:9" s="18" customFormat="1" ht="18" customHeight="1">
      <c r="A55" s="198">
        <f ca="1">IF(ROWS($1:41)&gt;COUNT(Dong5),"",OFFSET(TH!C$1,SMALL(Dong5,ROWS($1:41)),))</f>
        <v>42173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42173</v>
      </c>
      <c r="D55" s="244" t="str">
        <f ca="1">IF(ROWS($1:41)&gt;COUNT(Dong5),"",OFFSET(TH!F$1,SMALL(Dong5,ROWS($1:41)),))</f>
        <v xml:space="preserve">Phí 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596970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126199660</v>
      </c>
    </row>
    <row r="56" spans="1:9" s="18" customFormat="1" ht="18" customHeight="1">
      <c r="A56" s="198">
        <f ca="1">IF(ROWS($1:42)&gt;COUNT(Dong5),"",OFFSET(TH!C$1,SMALL(Dong5,ROWS($1:42)),))</f>
        <v>42179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42179</v>
      </c>
      <c r="D56" s="244" t="str">
        <f ca="1">IF(ROWS($1:42)&gt;COUNT(Dong5),"",OFFSET(TH!F$1,SMALL(Dong5,ROWS($1:42)),))</f>
        <v>Phí rút sec khác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15000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126184660</v>
      </c>
    </row>
    <row r="57" spans="1:9" s="18" customFormat="1" ht="18" customHeight="1">
      <c r="A57" s="198">
        <f ca="1">IF(ROWS($1:43)&gt;COUNT(Dong5),"",OFFSET(TH!C$1,SMALL(Dong5,ROWS($1:43)),))</f>
        <v>42179</v>
      </c>
      <c r="B57" s="198">
        <f ca="1">IF(ROWS($1:43)&gt;COUNT(Dong5),"",OFFSET(TH!D$1,SMALL(Dong5,ROWS($1:43)),))</f>
        <v>0</v>
      </c>
      <c r="C57" s="198">
        <f ca="1">IF(ROWS($1:43)&gt;COUNT(Dong5),"",OFFSET(TH!E$1,SMALL(Dong5,ROWS($1:43)),))</f>
        <v>42179</v>
      </c>
      <c r="D57" s="244" t="str">
        <f ca="1">IF(ROWS($1:43)&gt;COUNT(Dong5),"",OFFSET(TH!F$1,SMALL(Dong5,ROWS($1:43)),))</f>
        <v>Tiền điện</v>
      </c>
      <c r="E57" s="198" t="str">
        <f ca="1">IF(ROWS($1:43)&gt;COUNT(Dong5),"",IF(OFFSET(TH!L$1,SMALL(Dong5,ROWS($1:43)),)=$E$7,OFFSET(TH!M$1,SMALL(Dong5,ROWS($1:43)),),OFFSET(TH!L$1,SMALL(Dong5,ROWS($1:43)),)))</f>
        <v>1111</v>
      </c>
      <c r="F57" s="245">
        <f ca="1">IF(ROWS($1:43)&gt;COUNT(Dong5),0,IF(OFFSET(TH!L$1,SMALL(Dong5,ROWS($1:43)),)=$E$7,OFFSET(TH!K$1,SMALL(Dong5,ROWS($1:43)),),0))</f>
        <v>1792758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124391902</v>
      </c>
    </row>
    <row r="58" spans="1:9" s="18" customFormat="1" ht="18" customHeight="1">
      <c r="A58" s="198">
        <f ca="1">IF(ROWS($1:44)&gt;COUNT(Dong5),"",OFFSET(TH!C$1,SMALL(Dong5,ROWS($1:44)),))</f>
        <v>42185</v>
      </c>
      <c r="B58" s="198" t="str">
        <f ca="1">IF(ROWS($1:44)&gt;COUNT(Dong5),"",OFFSET(TH!D$1,SMALL(Dong5,ROWS($1:44)),))</f>
        <v>CTGS</v>
      </c>
      <c r="C58" s="198">
        <f ca="1">IF(ROWS($1:44)&gt;COUNT(Dong5),"",OFFSET(TH!E$1,SMALL(Dong5,ROWS($1:44)),))</f>
        <v>42185</v>
      </c>
      <c r="D58" s="244" t="str">
        <f ca="1">IF(ROWS($1:44)&gt;COUNT(Dong5),"",OFFSET(TH!F$1,SMALL(Dong5,ROWS($1:44)),))</f>
        <v>Tiền lương BP Văn phòng</v>
      </c>
      <c r="E58" s="198" t="str">
        <f ca="1">IF(ROWS($1:44)&gt;COUNT(Dong5),"",IF(OFFSET(TH!L$1,SMALL(Dong5,ROWS($1:44)),)=$E$7,OFFSET(TH!M$1,SMALL(Dong5,ROWS($1:44)),),OFFSET(TH!L$1,SMALL(Dong5,ROWS($1:44)),)))</f>
        <v>3341</v>
      </c>
      <c r="F58" s="245">
        <f ca="1">IF(ROWS($1:44)&gt;COUNT(Dong5),0,IF(OFFSET(TH!L$1,SMALL(Dong5,ROWS($1:44)),)=$E$7,OFFSET(TH!K$1,SMALL(Dong5,ROWS($1:44)),),0))</f>
        <v>16670000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107721902</v>
      </c>
    </row>
    <row r="59" spans="1:9" s="18" customFormat="1" ht="18" customHeight="1">
      <c r="A59" s="198">
        <f ca="1">IF(ROWS($1:45)&gt;COUNT(Dong5),"",OFFSET(TH!C$1,SMALL(Dong5,ROWS($1:45)),))</f>
        <v>42192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42192</v>
      </c>
      <c r="D59" s="244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5">
        <f ca="1">IF(ROWS($1:45)&gt;COUNT(Dong5),0,IF(OFFSET(TH!L$1,SMALL(Dong5,ROWS($1:45)),)=$E$7,OFFSET(TH!K$1,SMALL(Dong5,ROWS($1:45)),),0))</f>
        <v>15000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107706902</v>
      </c>
    </row>
    <row r="60" spans="1:9" s="18" customFormat="1" ht="18" customHeight="1">
      <c r="A60" s="198">
        <f ca="1">IF(ROWS($1:46)&gt;COUNT(Dong5),"",OFFSET(TH!C$1,SMALL(Dong5,ROWS($1:46)),))</f>
        <v>42208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42208</v>
      </c>
      <c r="D60" s="244" t="str">
        <f ca="1">IF(ROWS($1:46)&gt;COUNT(Dong5),"",OFFSET(TH!F$1,SMALL(Dong5,ROWS($1:46)),))</f>
        <v>Phí rút sec khác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5">
        <f ca="1">IF(ROWS($1:46)&gt;COUNT(Dong5),0,IF(OFFSET(TH!L$1,SMALL(Dong5,ROWS($1:46)),)=$E$7,OFFSET(TH!K$1,SMALL(Dong5,ROWS($1:46)),),0))</f>
        <v>15000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107691902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120704326</v>
      </c>
      <c r="G62" s="247">
        <f ca="1">SUM(G15:G61)</f>
        <v>228396228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107691902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978" t="str">
        <f ca="1">"Ngày 31 tháng  12  năm  "&amp;YEAR($A$15)</f>
        <v>Ngày 31 tháng  12  năm  2015</v>
      </c>
      <c r="F67" s="978"/>
      <c r="G67" s="978"/>
      <c r="H67" s="978"/>
      <c r="I67" s="978"/>
    </row>
    <row r="68" spans="1:9" s="18" customFormat="1" ht="12.75">
      <c r="A68" s="978" t="s">
        <v>11</v>
      </c>
      <c r="B68" s="978"/>
      <c r="C68" s="978"/>
      <c r="D68" s="978"/>
      <c r="E68" s="978" t="s">
        <v>12</v>
      </c>
      <c r="F68" s="978"/>
      <c r="G68" s="978"/>
      <c r="H68" s="978"/>
      <c r="I68" s="978"/>
    </row>
    <row r="69" spans="1:9" s="18" customFormat="1" ht="12.75">
      <c r="A69" s="978" t="s">
        <v>13</v>
      </c>
      <c r="B69" s="978"/>
      <c r="C69" s="978"/>
      <c r="D69" s="978"/>
      <c r="E69" s="978" t="s">
        <v>13</v>
      </c>
      <c r="F69" s="978"/>
      <c r="G69" s="978"/>
      <c r="H69" s="978"/>
      <c r="I69" s="978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979"/>
      <c r="B76" s="979"/>
      <c r="C76" s="979"/>
      <c r="D76" s="979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982" t="s">
        <v>119</v>
      </c>
      <c r="H1" s="982"/>
      <c r="I1" s="982"/>
      <c r="J1" s="98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83"/>
      <c r="I2" s="983"/>
      <c r="J2" s="983"/>
    </row>
    <row r="3" spans="1:15" s="3" customFormat="1" ht="16.5" customHeight="1">
      <c r="A3" s="4"/>
      <c r="B3" s="16"/>
      <c r="C3" s="108"/>
      <c r="D3" s="108"/>
      <c r="E3" s="16"/>
      <c r="G3" s="983"/>
      <c r="H3" s="983"/>
      <c r="I3" s="983"/>
      <c r="J3" s="983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92" t="s">
        <v>120</v>
      </c>
      <c r="B5" s="992"/>
      <c r="C5" s="992"/>
      <c r="D5" s="992"/>
      <c r="E5" s="992"/>
      <c r="F5" s="992"/>
      <c r="G5" s="992"/>
      <c r="H5" s="992"/>
      <c r="I5" s="992"/>
      <c r="J5" s="992"/>
    </row>
    <row r="6" spans="1:15" ht="14.25" customHeight="1">
      <c r="A6" s="994" t="str">
        <f ca="1">$L$11&amp;" / "&amp;YEAR($A$14)</f>
        <v>Quý II / 2015</v>
      </c>
      <c r="B6" s="994"/>
      <c r="C6" s="994"/>
      <c r="D6" s="994"/>
      <c r="E6" s="994"/>
      <c r="F6" s="994"/>
      <c r="G6" s="994"/>
      <c r="H6" s="994"/>
      <c r="I6" s="994"/>
      <c r="J6" s="994"/>
    </row>
    <row r="7" spans="1:15">
      <c r="A7" s="993" t="s">
        <v>121</v>
      </c>
      <c r="B7" s="993"/>
      <c r="C7" s="993"/>
      <c r="D7" s="993"/>
      <c r="E7" s="993"/>
      <c r="F7" s="993"/>
      <c r="G7" s="993"/>
      <c r="H7" s="993"/>
      <c r="I7" s="993"/>
      <c r="J7" s="993"/>
    </row>
    <row r="8" spans="1:15">
      <c r="A8" s="993" t="s">
        <v>122</v>
      </c>
      <c r="B8" s="993"/>
      <c r="C8" s="993"/>
      <c r="D8" s="993"/>
      <c r="E8" s="993"/>
      <c r="F8" s="993"/>
      <c r="G8" s="993"/>
      <c r="H8" s="993"/>
      <c r="I8" s="993"/>
      <c r="J8" s="993"/>
    </row>
    <row r="9" spans="1:15">
      <c r="A9" s="111"/>
      <c r="I9" s="111" t="s">
        <v>123</v>
      </c>
    </row>
    <row r="10" spans="1:15" ht="33" customHeight="1" thickBot="1">
      <c r="A10" s="996" t="s">
        <v>20</v>
      </c>
      <c r="B10" s="996" t="s">
        <v>124</v>
      </c>
      <c r="C10" s="995" t="s">
        <v>125</v>
      </c>
      <c r="D10" s="995"/>
      <c r="E10" s="995" t="s">
        <v>0</v>
      </c>
      <c r="F10" s="996" t="s">
        <v>14</v>
      </c>
      <c r="G10" s="995" t="s">
        <v>21</v>
      </c>
      <c r="H10" s="995"/>
      <c r="I10" s="995" t="s">
        <v>126</v>
      </c>
      <c r="J10" s="995" t="s">
        <v>127</v>
      </c>
      <c r="L10" s="602"/>
      <c r="N10" s="970" t="s">
        <v>331</v>
      </c>
      <c r="O10" s="970"/>
    </row>
    <row r="11" spans="1:15" ht="24" customHeight="1" thickBot="1">
      <c r="A11" s="997"/>
      <c r="B11" s="997"/>
      <c r="C11" s="112" t="s">
        <v>128</v>
      </c>
      <c r="D11" s="112" t="s">
        <v>129</v>
      </c>
      <c r="E11" s="995"/>
      <c r="F11" s="997"/>
      <c r="G11" s="112" t="s">
        <v>22</v>
      </c>
      <c r="H11" s="112" t="s">
        <v>23</v>
      </c>
      <c r="I11" s="995"/>
      <c r="J11" s="995"/>
      <c r="L11" s="177" t="s">
        <v>355</v>
      </c>
      <c r="N11" s="623">
        <f>IF(L11="Quý I",1,IF(L11="Quý II",4,IF(L11="Quý III",7,IF(L11="Quý IV",10,""))))</f>
        <v>4</v>
      </c>
      <c r="O11" s="623">
        <f>IF(L11="Quý I",3,IF(L11="Quý II",6,IF(L11="Quý III",9,IF(L11="Quý IV",12,""))))</f>
        <v>6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4"/>
      <c r="O12" s="62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2763847424</v>
      </c>
      <c r="J13" s="116"/>
      <c r="N13" s="625"/>
      <c r="O13" s="625"/>
    </row>
    <row r="14" spans="1:15" ht="21.75" customHeight="1">
      <c r="A14" s="119">
        <f ca="1">IF(ROWS($1:1)&gt;COUNT(Dong1),"",OFFSET(TH!C$1,SMALL(Dong1,ROWS($1:1)),))</f>
        <v>42104</v>
      </c>
      <c r="B14" s="119">
        <f ca="1">IF(ROWS($1:1)&gt;COUNT(Dong1),"",OFFSET(TH!E$1,SMALL(Dong1,ROWS($1:1)),))</f>
        <v>42104</v>
      </c>
      <c r="C14" s="120" t="str">
        <f ca="1">IF(ROWS($1:1)&gt;COUNT(Dong1),"",IF(OFFSET(TH!L$1,SMALL(Dong1,ROWS($1:1)),)="1111",OFFSET(TH!D$1,SMALL(Dong1,ROWS($1:1)),),""))</f>
        <v>TP/X07</v>
      </c>
      <c r="D14" s="121" t="str">
        <f ca="1">IF(ROWS($1:1)&gt;COUNT(Dong1),"",IF(OFFSET(TH!M$1,SMALL(Dong1,ROWS($1:1)),)="1111",OFFSET(TH!D$1,SMALL(Dong1,ROWS($1:1)),),""))</f>
        <v/>
      </c>
      <c r="E14" s="228" t="str">
        <f ca="1">IF(ROWS($1:1)&gt;COUNT(Dong1),"",OFFSET(TH!F$1,SMALL(Dong1,ROWS($1:1)),))</f>
        <v>Thu tiền hàng</v>
      </c>
      <c r="F14" s="123" t="str">
        <f ca="1">IF(ROWS($1:1)&gt;COUNT(Dong1),"",IF(OFFSET(TH!M$1,SMALL(Dong1,ROWS($1:1)),)="1111",OFFSET(TH!L$1,SMALL(Dong1,ROWS($1:1)),),OFFSET(TH!M$1,SMALL(Dong1,ROWS($1:1)),)))</f>
        <v>131</v>
      </c>
      <c r="G14" s="124">
        <f ca="1">IF(ROWS($1:1)&gt;COUNT(Dong1),"",IF(OFFSET(TH!L$1,SMALL(Dong1,ROWS($1:1)),)="1111",OFFSET(TH!K$1,SMALL(Dong1,ROWS($1:1)),),0))</f>
        <v>42636203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2806483627</v>
      </c>
      <c r="J14" s="125"/>
      <c r="N14" s="626"/>
      <c r="O14" s="626"/>
    </row>
    <row r="15" spans="1:15" ht="21.75" customHeight="1">
      <c r="A15" s="119">
        <f ca="1">IF(ROWS($1:2)&gt;COUNT(Dong1),"",OFFSET(TH!C$1,SMALL(Dong1,ROWS($1:2)),))</f>
        <v>42104</v>
      </c>
      <c r="B15" s="119">
        <f ca="1">IF(ROWS($1:2)&gt;COUNT(Dong1),"",OFFSET(TH!E$1,SMALL(Dong1,ROWS($1:2)),))</f>
        <v>42104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8" t="str">
        <f ca="1">IF(ROWS($1:2)&gt;COUNT(Dong1),"",OFFSET(TH!F$1,SMALL(Dong1,ROWS($1:2)),))</f>
        <v>Mực in</v>
      </c>
      <c r="F15" s="123" t="str">
        <f ca="1">IF(ROWS($1:2)&gt;COUNT(Dong1),"",IF(OFFSET(TH!M$1,SMALL(Dong1,ROWS($1:2)),)="1111",OFFSET(TH!L$1,SMALL(Dong1,ROWS($1:2)),),OFFSET(TH!M$1,SMALL(Dong1,ROWS($1:2)),)))</f>
        <v>154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6470000</v>
      </c>
      <c r="I15" s="120">
        <f t="shared" ref="I15:I62" ca="1" si="0">IF(E15&lt;&gt;"",I14+G15-H15,0)</f>
        <v>2800013627</v>
      </c>
      <c r="J15" s="125"/>
      <c r="N15" s="626"/>
      <c r="O15" s="626"/>
    </row>
    <row r="16" spans="1:15" ht="21.75" customHeight="1">
      <c r="A16" s="119">
        <f ca="1">IF(ROWS($1:3)&gt;COUNT(Dong1),"",OFFSET(TH!C$1,SMALL(Dong1,ROWS($1:3)),))</f>
        <v>42104</v>
      </c>
      <c r="B16" s="119">
        <f ca="1">IF(ROWS($1:3)&gt;COUNT(Dong1),"",OFFSET(TH!E$1,SMALL(Dong1,ROWS($1:3)),))</f>
        <v>42104</v>
      </c>
      <c r="C16" s="120" t="str">
        <f ca="1">IF(ROWS($1:3)&gt;COUNT(Dong1),"",IF(OFFSET(TH!L$1,SMALL(Dong1,ROWS($1:3)),)="1111",OFFSET(TH!D$1,SMALL(Dong1,ROWS($1:3)),),""))</f>
        <v/>
      </c>
      <c r="D16" s="121">
        <f ca="1">IF(ROWS($1:3)&gt;COUNT(Dong1),"",IF(OFFSET(TH!M$1,SMALL(Dong1,ROWS($1:3)),)="1111",OFFSET(TH!D$1,SMALL(Dong1,ROWS($1:3)),),""))</f>
        <v>0</v>
      </c>
      <c r="E16" s="228" t="str">
        <f ca="1">IF(ROWS($1:3)&gt;COUNT(Dong1),"",OFFSET(TH!F$1,SMALL(Dong1,ROWS($1:3)),))</f>
        <v>VAT Mực in</v>
      </c>
      <c r="F16" s="123" t="str">
        <f ca="1">IF(ROWS($1:3)&gt;COUNT(Dong1),"",IF(OFFSET(TH!M$1,SMALL(Dong1,ROWS($1:3)),)="1111",OFFSET(TH!L$1,SMALL(Dong1,ROWS($1:3)),),OFFSET(TH!M$1,SMALL(Dong1,ROWS($1:3)),)))</f>
        <v>1331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647000</v>
      </c>
      <c r="I16" s="120">
        <f t="shared" ca="1" si="0"/>
        <v>2799366627</v>
      </c>
      <c r="J16" s="125"/>
      <c r="N16" s="626"/>
      <c r="O16" s="626"/>
    </row>
    <row r="17" spans="1:15" ht="21.75" customHeight="1">
      <c r="A17" s="119">
        <f ca="1">IF(ROWS($1:4)&gt;COUNT(Dong1),"",OFFSET(TH!C$1,SMALL(Dong1,ROWS($1:4)),))</f>
        <v>42104</v>
      </c>
      <c r="B17" s="119">
        <f ca="1">IF(ROWS($1:4)&gt;COUNT(Dong1),"",OFFSET(TH!E$1,SMALL(Dong1,ROWS($1:4)),))</f>
        <v>42104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VL/N01</v>
      </c>
      <c r="E17" s="228" t="str">
        <f ca="1">IF(ROWS($1:4)&gt;COUNT(Dong1),"",OFFSET(TH!F$1,SMALL(Dong1,ROWS($1:4)),))</f>
        <v>Thanh toán tiền hàng</v>
      </c>
      <c r="F17" s="123" t="str">
        <f ca="1">IF(ROWS($1:4)&gt;COUNT(Dong1),"",IF(OFFSET(TH!M$1,SMALL(Dong1,ROWS($1:4)),)="1111",OFFSET(TH!L$1,SMALL(Dong1,ROWS($1:4)),),OFFSET(TH!M$1,SMALL(Dong1,ROWS($1:4)),)))</f>
        <v>331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1135200</v>
      </c>
      <c r="I17" s="120">
        <f t="shared" ca="1" si="0"/>
        <v>2798231427</v>
      </c>
      <c r="J17" s="125"/>
      <c r="N17" s="626"/>
      <c r="O17" s="626"/>
    </row>
    <row r="18" spans="1:15" ht="21.75" customHeight="1">
      <c r="A18" s="119">
        <f ca="1">IF(ROWS($1:5)&gt;COUNT(Dong1),"",OFFSET(TH!C$1,SMALL(Dong1,ROWS($1:5)),))</f>
        <v>42108</v>
      </c>
      <c r="B18" s="119">
        <f ca="1">IF(ROWS($1:5)&gt;COUNT(Dong1),"",OFFSET(TH!E$1,SMALL(Dong1,ROWS($1:5)),))</f>
        <v>42108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8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18600000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2816831427</v>
      </c>
      <c r="J18" s="125"/>
      <c r="N18" s="626"/>
      <c r="O18" s="626"/>
    </row>
    <row r="19" spans="1:15" ht="21.75" customHeight="1">
      <c r="A19" s="119">
        <f ca="1">IF(ROWS($1:6)&gt;COUNT(Dong1),"",OFFSET(TH!C$1,SMALL(Dong1,ROWS($1:6)),))</f>
        <v>42111</v>
      </c>
      <c r="B19" s="119">
        <f ca="1">IF(ROWS($1:6)&gt;COUNT(Dong1),"",OFFSET(TH!E$1,SMALL(Dong1,ROWS($1:6)),))</f>
        <v>42111</v>
      </c>
      <c r="C19" s="120" t="str">
        <f ca="1">IF(ROWS($1:6)&gt;COUNT(Dong1),"",IF(OFFSET(TH!L$1,SMALL(Dong1,ROWS($1:6)),)="1111",OFFSET(TH!D$1,SMALL(Dong1,ROWS($1:6)),),""))</f>
        <v>TP/X13</v>
      </c>
      <c r="D19" s="121" t="str">
        <f ca="1">IF(ROWS($1:6)&gt;COUNT(Dong1),"",IF(OFFSET(TH!M$1,SMALL(Dong1,ROWS($1:6)),)="1111",OFFSET(TH!D$1,SMALL(Dong1,ROWS($1:6)),),""))</f>
        <v/>
      </c>
      <c r="E19" s="228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5054289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2821885716</v>
      </c>
      <c r="J19" s="125"/>
      <c r="N19" s="626"/>
      <c r="O19" s="626"/>
    </row>
    <row r="20" spans="1:15" ht="21.75" customHeight="1">
      <c r="A20" s="119">
        <f ca="1">IF(ROWS($1:7)&gt;COUNT(Dong1),"",OFFSET(TH!C$1,SMALL(Dong1,ROWS($1:7)),))</f>
        <v>42115</v>
      </c>
      <c r="B20" s="119">
        <f ca="1">IF(ROWS($1:7)&gt;COUNT(Dong1),"",OFFSET(TH!E$1,SMALL(Dong1,ROWS($1:7)),))</f>
        <v>42115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8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36200000</v>
      </c>
      <c r="I20" s="120">
        <f t="shared" ca="1" si="0"/>
        <v>2785685716</v>
      </c>
      <c r="J20" s="125"/>
      <c r="N20" s="626"/>
      <c r="O20" s="626"/>
    </row>
    <row r="21" spans="1:15" ht="21.75" customHeight="1">
      <c r="A21" s="119">
        <f ca="1">IF(ROWS($1:8)&gt;COUNT(Dong1),"",OFFSET(TH!C$1,SMALL(Dong1,ROWS($1:8)),))</f>
        <v>42115</v>
      </c>
      <c r="B21" s="119">
        <f ca="1">IF(ROWS($1:8)&gt;COUNT(Dong1),"",OFFSET(TH!E$1,SMALL(Dong1,ROWS($1:8)),))</f>
        <v>42115</v>
      </c>
      <c r="C21" s="120" t="str">
        <f ca="1">IF(ROWS($1:8)&gt;COUNT(Dong1),"",IF(OFFSET(TH!L$1,SMALL(Dong1,ROWS($1:8)),)="1111",OFFSET(TH!D$1,SMALL(Dong1,ROWS($1:8)),),""))</f>
        <v>GBN</v>
      </c>
      <c r="D21" s="121" t="str">
        <f ca="1">IF(ROWS($1:8)&gt;COUNT(Dong1),"",IF(OFFSET(TH!M$1,SMALL(Dong1,ROWS($1:8)),)="1111",OFFSET(TH!D$1,SMALL(Dong1,ROWS($1:8)),),""))</f>
        <v/>
      </c>
      <c r="E21" s="228" t="str">
        <f ca="1">IF(ROWS($1:8)&gt;COUNT(Dong1),"",OFFSET(TH!F$1,SMALL(Dong1,ROWS($1:8)),))</f>
        <v>Chi sec nhập quỹ tiền mặt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24000000</v>
      </c>
      <c r="H21" s="122">
        <f ca="1">IF(ROWS($1:8)&gt;COUNT(Dong1),"",IF(OFFSET(TH!M$1,SMALL(Dong1,ROWS($1:8)),)="1111",OFFSET(TH!K$1,SMALL(Dong1,ROWS($1:8)),),0))</f>
        <v>0</v>
      </c>
      <c r="I21" s="120">
        <f t="shared" ca="1" si="0"/>
        <v>2809685716</v>
      </c>
      <c r="J21" s="125"/>
      <c r="N21" s="626"/>
      <c r="O21" s="626"/>
    </row>
    <row r="22" spans="1:15" ht="21.75" customHeight="1">
      <c r="A22" s="119">
        <f ca="1">IF(ROWS($1:9)&gt;COUNT(Dong1),"",OFFSET(TH!C$1,SMALL(Dong1,ROWS($1:9)),))</f>
        <v>42117</v>
      </c>
      <c r="B22" s="119">
        <f ca="1">IF(ROWS($1:9)&gt;COUNT(Dong1),"",OFFSET(TH!E$1,SMALL(Dong1,ROWS($1:9)),))</f>
        <v>42117</v>
      </c>
      <c r="C22" s="120" t="str">
        <f ca="1">IF(ROWS($1:9)&gt;COUNT(Dong1),"",IF(OFFSET(TH!L$1,SMALL(Dong1,ROWS($1:9)),)="1111",OFFSET(TH!D$1,SMALL(Dong1,ROWS($1:9)),),""))</f>
        <v/>
      </c>
      <c r="D22" s="121">
        <f ca="1">IF(ROWS($1:9)&gt;COUNT(Dong1),"",IF(OFFSET(TH!M$1,SMALL(Dong1,ROWS($1:9)),)="1111",OFFSET(TH!D$1,SMALL(Dong1,ROWS($1:9)),),""))</f>
        <v>0</v>
      </c>
      <c r="E22" s="228" t="str">
        <f ca="1">IF(ROWS($1:9)&gt;COUNT(Dong1),"",OFFSET(TH!F$1,SMALL(Dong1,ROWS($1:9)),))</f>
        <v>Tiền điện</v>
      </c>
      <c r="F22" s="123" t="str">
        <f ca="1">IF(ROWS($1:9)&gt;COUNT(Dong1),"",IF(OFFSET(TH!M$1,SMALL(Dong1,ROWS($1:9)),)="1111",OFFSET(TH!L$1,SMALL(Dong1,ROWS($1:9)),),OFFSET(TH!M$1,SMALL(Dong1,ROWS($1:9)),)))</f>
        <v>642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1539252</v>
      </c>
      <c r="I22" s="120">
        <f t="shared" ca="1" si="0"/>
        <v>2808146464</v>
      </c>
      <c r="J22" s="125"/>
      <c r="N22" s="626"/>
      <c r="O22" s="626"/>
    </row>
    <row r="23" spans="1:15" ht="21.75" customHeight="1">
      <c r="A23" s="119">
        <f ca="1">IF(ROWS($1:10)&gt;COUNT(Dong1),"",OFFSET(TH!C$1,SMALL(Dong1,ROWS($1:10)),))</f>
        <v>42117</v>
      </c>
      <c r="B23" s="119">
        <f ca="1">IF(ROWS($1:10)&gt;COUNT(Dong1),"",OFFSET(TH!E$1,SMALL(Dong1,ROWS($1:10)),))</f>
        <v>42117</v>
      </c>
      <c r="C23" s="120" t="str">
        <f ca="1">IF(ROWS($1:10)&gt;COUNT(Dong1),"",IF(OFFSET(TH!L$1,SMALL(Dong1,ROWS($1:10)),)="1111",OFFSET(TH!D$1,SMALL(Dong1,ROWS($1:10)),),""))</f>
        <v/>
      </c>
      <c r="D23" s="121">
        <f ca="1">IF(ROWS($1:10)&gt;COUNT(Dong1),"",IF(OFFSET(TH!M$1,SMALL(Dong1,ROWS($1:10)),)="1111",OFFSET(TH!D$1,SMALL(Dong1,ROWS($1:10)),),""))</f>
        <v>0</v>
      </c>
      <c r="E23" s="228" t="str">
        <f ca="1">IF(ROWS($1:10)&gt;COUNT(Dong1),"",OFFSET(TH!F$1,SMALL(Dong1,ROWS($1:10)),))</f>
        <v>VAT Tiền điện</v>
      </c>
      <c r="F23" s="123" t="str">
        <f ca="1">IF(ROWS($1:10)&gt;COUNT(Dong1),"",IF(OFFSET(TH!M$1,SMALL(Dong1,ROWS($1:10)),)="1111",OFFSET(TH!L$1,SMALL(Dong1,ROWS($1:10)),),OFFSET(TH!M$1,SMALL(Dong1,ROWS($1:10)),)))</f>
        <v>1331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153925</v>
      </c>
      <c r="I23" s="120">
        <f t="shared" ca="1" si="0"/>
        <v>2807992539</v>
      </c>
      <c r="J23" s="125"/>
      <c r="N23" s="626"/>
      <c r="O23" s="626"/>
    </row>
    <row r="24" spans="1:15" ht="21.75" customHeight="1">
      <c r="A24" s="119">
        <f ca="1">IF(ROWS($1:11)&gt;COUNT(Dong1),"",OFFSET(TH!C$1,SMALL(Dong1,ROWS($1:11)),))</f>
        <v>42121</v>
      </c>
      <c r="B24" s="119">
        <f ca="1">IF(ROWS($1:11)&gt;COUNT(Dong1),"",OFFSET(TH!E$1,SMALL(Dong1,ROWS($1:11)),))</f>
        <v>42121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NL/N08</v>
      </c>
      <c r="E24" s="228" t="str">
        <f ca="1">IF(ROWS($1:11)&gt;COUNT(Dong1),"",OFFSET(TH!F$1,SMALL(Dong1,ROWS($1:11)),))</f>
        <v>Thanh toán tiền hàng</v>
      </c>
      <c r="F24" s="123" t="str">
        <f ca="1">IF(ROWS($1:11)&gt;COUNT(Dong1),"",IF(OFFSET(TH!M$1,SMALL(Dong1,ROWS($1:11)),)="1111",OFFSET(TH!L$1,SMALL(Dong1,ROWS($1:11)),),OFFSET(TH!M$1,SMALL(Dong1,ROWS($1:11)),)))</f>
        <v>331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13087800</v>
      </c>
      <c r="I24" s="120">
        <f t="shared" ca="1" si="0"/>
        <v>2794904739</v>
      </c>
      <c r="J24" s="125"/>
      <c r="N24" s="626"/>
      <c r="O24" s="626"/>
    </row>
    <row r="25" spans="1:15" ht="21.75" customHeight="1">
      <c r="A25" s="119">
        <f ca="1">IF(ROWS($1:12)&gt;COUNT(Dong1),"",OFFSET(TH!C$1,SMALL(Dong1,ROWS($1:12)),))</f>
        <v>42123</v>
      </c>
      <c r="B25" s="119">
        <f ca="1">IF(ROWS($1:12)&gt;COUNT(Dong1),"",OFFSET(TH!E$1,SMALL(Dong1,ROWS($1:12)),))</f>
        <v>42123</v>
      </c>
      <c r="C25" s="120" t="str">
        <f ca="1">IF(ROWS($1:12)&gt;COUNT(Dong1),"",IF(OFFSET(TH!L$1,SMALL(Dong1,ROWS($1:12)),)="1111",OFFSET(TH!D$1,SMALL(Dong1,ROWS($1:12)),),""))</f>
        <v>TP/X23</v>
      </c>
      <c r="D25" s="121" t="str">
        <f ca="1">IF(ROWS($1:12)&gt;COUNT(Dong1),"",IF(OFFSET(TH!M$1,SMALL(Dong1,ROWS($1:12)),)="1111",OFFSET(TH!D$1,SMALL(Dong1,ROWS($1:12)),),""))</f>
        <v/>
      </c>
      <c r="E25" s="228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19522278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2814427017</v>
      </c>
      <c r="J25" s="125"/>
      <c r="N25" s="626"/>
      <c r="O25" s="626"/>
    </row>
    <row r="26" spans="1:15" ht="21.75" customHeight="1">
      <c r="A26" s="119">
        <f ca="1">IF(ROWS($1:13)&gt;COUNT(Dong1),"",OFFSET(TH!C$1,SMALL(Dong1,ROWS($1:13)),))</f>
        <v>42123</v>
      </c>
      <c r="B26" s="119">
        <f ca="1">IF(ROWS($1:13)&gt;COUNT(Dong1),"",OFFSET(TH!E$1,SMALL(Dong1,ROWS($1:13)),))</f>
        <v>42123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NL/N10</v>
      </c>
      <c r="E26" s="228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14249730</v>
      </c>
      <c r="I26" s="120">
        <f t="shared" ca="1" si="0"/>
        <v>2800177287</v>
      </c>
      <c r="J26" s="125"/>
      <c r="N26" s="626"/>
      <c r="O26" s="626"/>
    </row>
    <row r="27" spans="1:15" ht="21.75" customHeight="1">
      <c r="A27" s="119">
        <f ca="1">IF(ROWS($1:14)&gt;COUNT(Dong1),"",OFFSET(TH!C$1,SMALL(Dong1,ROWS($1:14)),))</f>
        <v>42124</v>
      </c>
      <c r="B27" s="119">
        <f ca="1">IF(ROWS($1:14)&gt;COUNT(Dong1),"",OFFSET(TH!E$1,SMALL(Dong1,ROWS($1:14)),))</f>
        <v>42124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CTGS</v>
      </c>
      <c r="E27" s="228" t="str">
        <f ca="1">IF(ROWS($1:14)&gt;COUNT(Dong1),"",OFFSET(TH!F$1,SMALL(Dong1,ROWS($1:14)),))</f>
        <v>Thanh toán tiền lương tháng 4/2015</v>
      </c>
      <c r="F27" s="123" t="str">
        <f ca="1">IF(ROWS($1:14)&gt;COUNT(Dong1),"",IF(OFFSET(TH!M$1,SMALL(Dong1,ROWS($1:14)),)="1111",OFFSET(TH!L$1,SMALL(Dong1,ROWS($1:14)),),OFFSET(TH!M$1,SMALL(Dong1,ROWS($1:14)),)))</f>
        <v>3341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51050000</v>
      </c>
      <c r="I27" s="120">
        <f t="shared" ca="1" si="0"/>
        <v>2749127287</v>
      </c>
      <c r="J27" s="125"/>
      <c r="N27" s="626"/>
      <c r="O27" s="626"/>
    </row>
    <row r="28" spans="1:15" ht="21.75" customHeight="1">
      <c r="A28" s="119">
        <f ca="1">IF(ROWS($1:15)&gt;COUNT(Dong1),"",OFFSET(TH!C$1,SMALL(Dong1,ROWS($1:15)),))</f>
        <v>42124</v>
      </c>
      <c r="B28" s="119">
        <f ca="1">IF(ROWS($1:15)&gt;COUNT(Dong1),"",OFFSET(TH!E$1,SMALL(Dong1,ROWS($1:15)),))</f>
        <v>42124</v>
      </c>
      <c r="C28" s="120" t="str">
        <f ca="1">IF(ROWS($1:15)&gt;COUNT(Dong1),"",IF(OFFSET(TH!L$1,SMALL(Dong1,ROWS($1:15)),)="1111",OFFSET(TH!D$1,SMALL(Dong1,ROWS($1:15)),),""))</f>
        <v>TP/X25</v>
      </c>
      <c r="D28" s="121" t="str">
        <f ca="1">IF(ROWS($1:15)&gt;COUNT(Dong1),"",IF(OFFSET(TH!M$1,SMALL(Dong1,ROWS($1:15)),)="1111",OFFSET(TH!D$1,SMALL(Dong1,ROWS($1:15)),),""))</f>
        <v/>
      </c>
      <c r="E28" s="228" t="str">
        <f ca="1">IF(ROWS($1:15)&gt;COUNT(Dong1),"",OFFSET(TH!F$1,SMALL(Dong1,ROWS($1:15)),))</f>
        <v>Thu tiền hàng</v>
      </c>
      <c r="F28" s="123" t="str">
        <f ca="1">IF(ROWS($1:15)&gt;COUNT(Dong1),"",IF(OFFSET(TH!M$1,SMALL(Dong1,ROWS($1:15)),)="1111",OFFSET(TH!L$1,SMALL(Dong1,ROWS($1:15)),),OFFSET(TH!M$1,SMALL(Dong1,ROWS($1:15)),)))</f>
        <v>131</v>
      </c>
      <c r="G28" s="124">
        <f ca="1">IF(ROWS($1:15)&gt;COUNT(Dong1),"",IF(OFFSET(TH!L$1,SMALL(Dong1,ROWS($1:15)),)="1111",OFFSET(TH!K$1,SMALL(Dong1,ROWS($1:15)),),0))</f>
        <v>28539368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2777666655</v>
      </c>
      <c r="J28" s="125"/>
      <c r="N28" s="626"/>
      <c r="O28" s="626"/>
    </row>
    <row r="29" spans="1:15" ht="21.75" customHeight="1">
      <c r="A29" s="119">
        <f ca="1">IF(ROWS($1:16)&gt;COUNT(Dong1),"",OFFSET(TH!C$1,SMALL(Dong1,ROWS($1:16)),))</f>
        <v>42129</v>
      </c>
      <c r="B29" s="119">
        <f ca="1">IF(ROWS($1:16)&gt;COUNT(Dong1),"",OFFSET(TH!E$1,SMALL(Dong1,ROWS($1:16)),))</f>
        <v>42129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8" t="str">
        <f ca="1">IF(ROWS($1:16)&gt;COUNT(Dong1),"",OFFSET(TH!F$1,SMALL(Dong1,ROWS($1:16)),))</f>
        <v>Nộp TM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13445000</v>
      </c>
      <c r="I29" s="120">
        <f t="shared" ca="1" si="0"/>
        <v>2764221655</v>
      </c>
      <c r="J29" s="125"/>
      <c r="N29" s="626"/>
      <c r="O29" s="626"/>
    </row>
    <row r="30" spans="1:15" ht="21.75" customHeight="1">
      <c r="A30" s="119">
        <f ca="1">IF(ROWS($1:17)&gt;COUNT(Dong1),"",OFFSET(TH!C$1,SMALL(Dong1,ROWS($1:17)),))</f>
        <v>42132</v>
      </c>
      <c r="B30" s="119">
        <f ca="1">IF(ROWS($1:17)&gt;COUNT(Dong1),"",OFFSET(TH!E$1,SMALL(Dong1,ROWS($1:17)),))</f>
        <v>42132</v>
      </c>
      <c r="C30" s="120" t="str">
        <f ca="1">IF(ROWS($1:17)&gt;COUNT(Dong1),"",IF(OFFSET(TH!L$1,SMALL(Dong1,ROWS($1:17)),)="1111",OFFSET(TH!D$1,SMALL(Dong1,ROWS($1:17)),),""))</f>
        <v/>
      </c>
      <c r="D30" s="121">
        <f ca="1">IF(ROWS($1:17)&gt;COUNT(Dong1),"",IF(OFFSET(TH!M$1,SMALL(Dong1,ROWS($1:17)),)="1111",OFFSET(TH!D$1,SMALL(Dong1,ROWS($1:17)),),""))</f>
        <v>0</v>
      </c>
      <c r="E30" s="228" t="str">
        <f ca="1">IF(ROWS($1:17)&gt;COUNT(Dong1),"",OFFSET(TH!F$1,SMALL(Dong1,ROWS($1:17)),))</f>
        <v>Cước viễn thông</v>
      </c>
      <c r="F30" s="123" t="str">
        <f ca="1">IF(ROWS($1:17)&gt;COUNT(Dong1),"",IF(OFFSET(TH!M$1,SMALL(Dong1,ROWS($1:17)),)="1111",OFFSET(TH!L$1,SMALL(Dong1,ROWS($1:17)),),OFFSET(TH!M$1,SMALL(Dong1,ROWS($1:17)),)))</f>
        <v>642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1777392</v>
      </c>
      <c r="I30" s="120">
        <f t="shared" ca="1" si="0"/>
        <v>2762444263</v>
      </c>
      <c r="J30" s="125"/>
      <c r="N30" s="626"/>
      <c r="O30" s="626"/>
    </row>
    <row r="31" spans="1:15" ht="21.75" customHeight="1">
      <c r="A31" s="119">
        <f ca="1">IF(ROWS($1:18)&gt;COUNT(Dong1),"",OFFSET(TH!C$1,SMALL(Dong1,ROWS($1:18)),))</f>
        <v>42132</v>
      </c>
      <c r="B31" s="119">
        <f ca="1">IF(ROWS($1:18)&gt;COUNT(Dong1),"",OFFSET(TH!E$1,SMALL(Dong1,ROWS($1:18)),))</f>
        <v>42132</v>
      </c>
      <c r="C31" s="120" t="str">
        <f ca="1">IF(ROWS($1:18)&gt;COUNT(Dong1),"",IF(OFFSET(TH!L$1,SMALL(Dong1,ROWS($1:18)),)="1111",OFFSET(TH!D$1,SMALL(Dong1,ROWS($1:18)),),""))</f>
        <v/>
      </c>
      <c r="D31" s="121">
        <f ca="1">IF(ROWS($1:18)&gt;COUNT(Dong1),"",IF(OFFSET(TH!M$1,SMALL(Dong1,ROWS($1:18)),)="1111",OFFSET(TH!D$1,SMALL(Dong1,ROWS($1:18)),),""))</f>
        <v>0</v>
      </c>
      <c r="E31" s="228" t="str">
        <f ca="1">IF(ROWS($1:18)&gt;COUNT(Dong1),"",OFFSET(TH!F$1,SMALL(Dong1,ROWS($1:18)),))</f>
        <v>VAT Cước viễn thông</v>
      </c>
      <c r="F31" s="123" t="str">
        <f ca="1">IF(ROWS($1:18)&gt;COUNT(Dong1),"",IF(OFFSET(TH!M$1,SMALL(Dong1,ROWS($1:18)),)="1111",OFFSET(TH!L$1,SMALL(Dong1,ROWS($1:18)),),OFFSET(TH!M$1,SMALL(Dong1,ROWS($1:18)),)))</f>
        <v>1331</v>
      </c>
      <c r="G31" s="124">
        <f ca="1">IF(ROWS($1:18)&gt;COUNT(Dong1),"",IF(OFFSET(TH!L$1,SMALL(Dong1,ROWS($1:18)),)="1111",OFFSET(TH!K$1,SMALL(Dong1,ROWS($1:18)),),0))</f>
        <v>0</v>
      </c>
      <c r="H31" s="122">
        <f ca="1">IF(ROWS($1:18)&gt;COUNT(Dong1),"",IF(OFFSET(TH!M$1,SMALL(Dong1,ROWS($1:18)),)="1111",OFFSET(TH!K$1,SMALL(Dong1,ROWS($1:18)),),0))</f>
        <v>177740</v>
      </c>
      <c r="I31" s="120">
        <f t="shared" ca="1" si="0"/>
        <v>2762266523</v>
      </c>
      <c r="J31" s="125"/>
      <c r="N31" s="626"/>
      <c r="O31" s="626"/>
    </row>
    <row r="32" spans="1:15" ht="21.75" customHeight="1">
      <c r="A32" s="119">
        <f ca="1">IF(ROWS($1:19)&gt;COUNT(Dong1),"",OFFSET(TH!C$1,SMALL(Dong1,ROWS($1:19)),))</f>
        <v>42132</v>
      </c>
      <c r="B32" s="119">
        <f ca="1">IF(ROWS($1:19)&gt;COUNT(Dong1),"",OFFSET(TH!E$1,SMALL(Dong1,ROWS($1:19)),))</f>
        <v>42132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NL/N13</v>
      </c>
      <c r="E32" s="228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9954980</v>
      </c>
      <c r="I32" s="120">
        <f t="shared" ca="1" si="0"/>
        <v>2752311543</v>
      </c>
      <c r="J32" s="125"/>
      <c r="N32" s="626"/>
      <c r="O32" s="626"/>
    </row>
    <row r="33" spans="1:15" ht="21.75" customHeight="1">
      <c r="A33" s="119">
        <f ca="1">IF(ROWS($1:20)&gt;COUNT(Dong1),"",OFFSET(TH!C$1,SMALL(Dong1,ROWS($1:20)),))</f>
        <v>42133</v>
      </c>
      <c r="B33" s="119">
        <f ca="1">IF(ROWS($1:20)&gt;COUNT(Dong1),"",OFFSET(TH!E$1,SMALL(Dong1,ROWS($1:20)),))</f>
        <v>42133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7000000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2759311543</v>
      </c>
      <c r="J33" s="125"/>
      <c r="N33" s="626"/>
      <c r="O33" s="626"/>
    </row>
    <row r="34" spans="1:15" ht="21.75" customHeight="1">
      <c r="A34" s="119">
        <f ca="1">IF(ROWS($1:21)&gt;COUNT(Dong1),"",OFFSET(TH!C$1,SMALL(Dong1,ROWS($1:21)),))</f>
        <v>42133</v>
      </c>
      <c r="B34" s="119">
        <f ca="1">IF(ROWS($1:21)&gt;COUNT(Dong1),"",OFFSET(TH!E$1,SMALL(Dong1,ROWS($1:21)),))</f>
        <v>42133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NL/N14</v>
      </c>
      <c r="E34" s="228" t="str">
        <f ca="1">IF(ROWS($1:21)&gt;COUNT(Dong1),"",OFFSET(TH!F$1,SMALL(Dong1,ROWS($1:21)),))</f>
        <v>Thanh toán tiền hàng</v>
      </c>
      <c r="F34" s="123" t="str">
        <f ca="1">IF(ROWS($1:21)&gt;COUNT(Dong1),"",IF(OFFSET(TH!M$1,SMALL(Dong1,ROWS($1:21)),)="1111",OFFSET(TH!L$1,SMALL(Dong1,ROWS($1:21)),),OFFSET(TH!M$1,SMALL(Dong1,ROWS($1:21)),)))</f>
        <v>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19914400</v>
      </c>
      <c r="I34" s="120">
        <f t="shared" ca="1" si="0"/>
        <v>2739397143</v>
      </c>
      <c r="J34" s="125"/>
      <c r="N34" s="626"/>
      <c r="O34" s="626"/>
    </row>
    <row r="35" spans="1:15" ht="21.75" customHeight="1">
      <c r="A35" s="119">
        <f ca="1">IF(ROWS($1:22)&gt;COUNT(Dong1),"",OFFSET(TH!C$1,SMALL(Dong1,ROWS($1:22)),))</f>
        <v>42135</v>
      </c>
      <c r="B35" s="119">
        <f ca="1">IF(ROWS($1:22)&gt;COUNT(Dong1),"",OFFSET(TH!E$1,SMALL(Dong1,ROWS($1:22)),))</f>
        <v>42135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NL/N15</v>
      </c>
      <c r="E35" s="228" t="str">
        <f ca="1">IF(ROWS($1:22)&gt;COUNT(Dong1),"",OFFSET(TH!F$1,SMALL(Dong1,ROWS($1:22)),))</f>
        <v>Thanh toán tiền hàng</v>
      </c>
      <c r="F35" s="123" t="str">
        <f ca="1">IF(ROWS($1:22)&gt;COUNT(Dong1),"",IF(OFFSET(TH!M$1,SMALL(Dong1,ROWS($1:22)),)="1111",OFFSET(TH!L$1,SMALL(Dong1,ROWS($1:22)),),OFFSET(TH!M$1,SMALL(Dong1,ROWS($1:22)),)))</f>
        <v>331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19649410</v>
      </c>
      <c r="I35" s="120">
        <f t="shared" ca="1" si="0"/>
        <v>2719747733</v>
      </c>
      <c r="J35" s="125"/>
      <c r="N35" s="626"/>
      <c r="O35" s="626"/>
    </row>
    <row r="36" spans="1:15" ht="21.75" customHeight="1">
      <c r="A36" s="119">
        <f ca="1">IF(ROWS($1:23)&gt;COUNT(Dong1),"",OFFSET(TH!C$1,SMALL(Dong1,ROWS($1:23)),))</f>
        <v>42137</v>
      </c>
      <c r="B36" s="119">
        <f ca="1">IF(ROWS($1:23)&gt;COUNT(Dong1),"",OFFSET(TH!E$1,SMALL(Dong1,ROWS($1:23)),))</f>
        <v>42137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NL/N17</v>
      </c>
      <c r="E36" s="228" t="str">
        <f ca="1">IF(ROWS($1:23)&gt;COUNT(Dong1),"",OFFSET(TH!F$1,SMALL(Dong1,ROWS($1:23)),))</f>
        <v>Thanh toán tiền hàng</v>
      </c>
      <c r="F36" s="123" t="str">
        <f ca="1">IF(ROWS($1:23)&gt;COUNT(Dong1),"",IF(OFFSET(TH!M$1,SMALL(Dong1,ROWS($1:23)),)="1111",OFFSET(TH!L$1,SMALL(Dong1,ROWS($1:23)),),OFFSET(TH!M$1,SMALL(Dong1,ROWS($1:23)),)))</f>
        <v>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19673500</v>
      </c>
      <c r="I36" s="120">
        <f t="shared" ca="1" si="0"/>
        <v>2700074233</v>
      </c>
      <c r="J36" s="125"/>
      <c r="N36" s="626"/>
      <c r="O36" s="626"/>
    </row>
    <row r="37" spans="1:15" ht="21.75" customHeight="1">
      <c r="A37" s="119">
        <f ca="1">IF(ROWS($1:24)&gt;COUNT(Dong1),"",OFFSET(TH!C$1,SMALL(Dong1,ROWS($1:24)),))</f>
        <v>42139</v>
      </c>
      <c r="B37" s="119">
        <f ca="1">IF(ROWS($1:24)&gt;COUNT(Dong1),"",OFFSET(TH!E$1,SMALL(Dong1,ROWS($1:24)),))</f>
        <v>42139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NL/N18</v>
      </c>
      <c r="E37" s="228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19994700</v>
      </c>
      <c r="I37" s="120">
        <f t="shared" ca="1" si="0"/>
        <v>2680079533</v>
      </c>
      <c r="J37" s="125"/>
      <c r="N37" s="626"/>
      <c r="O37" s="626"/>
    </row>
    <row r="38" spans="1:15" ht="21.75" customHeight="1">
      <c r="A38" s="119">
        <f ca="1">IF(ROWS($1:25)&gt;COUNT(Dong1),"",OFFSET(TH!C$1,SMALL(Dong1,ROWS($1:25)),))</f>
        <v>42142</v>
      </c>
      <c r="B38" s="119">
        <f ca="1">IF(ROWS($1:25)&gt;COUNT(Dong1),"",OFFSET(TH!E$1,SMALL(Dong1,ROWS($1:25)),))</f>
        <v>42142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NL/N19</v>
      </c>
      <c r="E38" s="228" t="str">
        <f ca="1">IF(ROWS($1:25)&gt;COUNT(Dong1),"",OFFSET(TH!F$1,SMALL(Dong1,ROWS($1:25)),))</f>
        <v>Thanh toán tiền hàng</v>
      </c>
      <c r="F38" s="123" t="str">
        <f ca="1">IF(ROWS($1:25)&gt;COUNT(Dong1),"",IF(OFFSET(TH!M$1,SMALL(Dong1,ROWS($1:25)),)="1111",OFFSET(TH!L$1,SMALL(Dong1,ROWS($1:25)),),OFFSET(TH!M$1,SMALL(Dong1,ROWS($1:25)),)))</f>
        <v>331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19954550</v>
      </c>
      <c r="I38" s="120">
        <f t="shared" ca="1" si="0"/>
        <v>2660124983</v>
      </c>
      <c r="J38" s="125"/>
      <c r="N38" s="626"/>
      <c r="O38" s="626"/>
    </row>
    <row r="39" spans="1:15" ht="21.75" customHeight="1">
      <c r="A39" s="119">
        <f ca="1">IF(ROWS($1:26)&gt;COUNT(Dong1),"",OFFSET(TH!C$1,SMALL(Dong1,ROWS($1:26)),))</f>
        <v>42146</v>
      </c>
      <c r="B39" s="119">
        <f ca="1">IF(ROWS($1:26)&gt;COUNT(Dong1),"",OFFSET(TH!E$1,SMALL(Dong1,ROWS($1:26)),))</f>
        <v>42146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NL/N20</v>
      </c>
      <c r="E39" s="228" t="str">
        <f ca="1">IF(ROWS($1:26)&gt;COUNT(Dong1),"",OFFSET(TH!F$1,SMALL(Dong1,ROWS($1:26)),))</f>
        <v>Thanh toán tiền hàng</v>
      </c>
      <c r="F39" s="123" t="str">
        <f ca="1">IF(ROWS($1:26)&gt;COUNT(Dong1),"",IF(OFFSET(TH!M$1,SMALL(Dong1,ROWS($1:26)),)="1111",OFFSET(TH!L$1,SMALL(Dong1,ROWS($1:26)),),OFFSET(TH!M$1,SMALL(Dong1,ROWS($1:26)),)))</f>
        <v>331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19834100</v>
      </c>
      <c r="I39" s="120">
        <f t="shared" ca="1" si="0"/>
        <v>2640290883</v>
      </c>
      <c r="J39" s="125"/>
      <c r="N39" s="626"/>
      <c r="O39" s="626"/>
    </row>
    <row r="40" spans="1:15" ht="21.75" customHeight="1">
      <c r="A40" s="119">
        <f ca="1">IF(ROWS($1:27)&gt;COUNT(Dong1),"",OFFSET(TH!C$1,SMALL(Dong1,ROWS($1:27)),))</f>
        <v>42147</v>
      </c>
      <c r="B40" s="119">
        <f ca="1">IF(ROWS($1:27)&gt;COUNT(Dong1),"",OFFSET(TH!E$1,SMALL(Dong1,ROWS($1:27)),))</f>
        <v>42147</v>
      </c>
      <c r="C40" s="120" t="str">
        <f ca="1">IF(ROWS($1:27)&gt;COUNT(Dong1),"",IF(OFFSET(TH!L$1,SMALL(Dong1,ROWS($1:27)),)="1111",OFFSET(TH!D$1,SMALL(Dong1,ROWS($1:27)),),""))</f>
        <v>TP/X43</v>
      </c>
      <c r="D40" s="121" t="str">
        <f ca="1">IF(ROWS($1:27)&gt;COUNT(Dong1),"",IF(OFFSET(TH!M$1,SMALL(Dong1,ROWS($1:27)),)="1111",OFFSET(TH!D$1,SMALL(Dong1,ROWS($1:27)),),""))</f>
        <v/>
      </c>
      <c r="E40" s="228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21534040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2661824923</v>
      </c>
      <c r="J40" s="125"/>
      <c r="N40" s="626"/>
      <c r="O40" s="626"/>
    </row>
    <row r="41" spans="1:15" ht="21.75" customHeight="1">
      <c r="A41" s="119">
        <f ca="1">IF(ROWS($1:28)&gt;COUNT(Dong1),"",OFFSET(TH!C$1,SMALL(Dong1,ROWS($1:28)),))</f>
        <v>42147</v>
      </c>
      <c r="B41" s="119">
        <f ca="1">IF(ROWS($1:28)&gt;COUNT(Dong1),"",OFFSET(TH!E$1,SMALL(Dong1,ROWS($1:28)),))</f>
        <v>42147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8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27700000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2689524923</v>
      </c>
      <c r="J41" s="125"/>
      <c r="N41" s="626"/>
      <c r="O41" s="626"/>
    </row>
    <row r="42" spans="1:15" ht="21.75" customHeight="1">
      <c r="A42" s="119">
        <f ca="1">IF(ROWS($1:29)&gt;COUNT(Dong1),"",OFFSET(TH!C$1,SMALL(Dong1,ROWS($1:29)),))</f>
        <v>42149</v>
      </c>
      <c r="B42" s="119">
        <f ca="1">IF(ROWS($1:29)&gt;COUNT(Dong1),"",OFFSET(TH!E$1,SMALL(Dong1,ROWS($1:29)),))</f>
        <v>42149</v>
      </c>
      <c r="C42" s="120" t="str">
        <f ca="1">IF(ROWS($1:29)&gt;COUNT(Dong1),"",IF(OFFSET(TH!L$1,SMALL(Dong1,ROWS($1:29)),)="1111",OFFSET(TH!D$1,SMALL(Dong1,ROWS($1:29)),),""))</f>
        <v>TP/X44</v>
      </c>
      <c r="D42" s="121" t="str">
        <f ca="1">IF(ROWS($1:29)&gt;COUNT(Dong1),"",IF(OFFSET(TH!M$1,SMALL(Dong1,ROWS($1:29)),)="1111",OFFSET(TH!D$1,SMALL(Dong1,ROWS($1:29)),),""))</f>
        <v/>
      </c>
      <c r="E42" s="228" t="str">
        <f ca="1">IF(ROWS($1:29)&gt;COUNT(Dong1),"",OFFSET(TH!F$1,SMALL(Dong1,ROWS($1:29)),))</f>
        <v>Thu tiền hàng</v>
      </c>
      <c r="F42" s="123" t="str">
        <f ca="1">IF(ROWS($1:29)&gt;COUNT(Dong1),"",IF(OFFSET(TH!M$1,SMALL(Dong1,ROWS($1:29)),)="1111",OFFSET(TH!L$1,SMALL(Dong1,ROWS($1:29)),),OFFSET(TH!M$1,SMALL(Dong1,ROWS($1:29)),)))</f>
        <v>131</v>
      </c>
      <c r="G42" s="124">
        <f ca="1">IF(ROWS($1:29)&gt;COUNT(Dong1),"",IF(OFFSET(TH!L$1,SMALL(Dong1,ROWS($1:29)),)="1111",OFFSET(TH!K$1,SMALL(Dong1,ROWS($1:29)),),0))</f>
        <v>15730110</v>
      </c>
      <c r="H42" s="122">
        <f ca="1">IF(ROWS($1:29)&gt;COUNT(Dong1),"",IF(OFFSET(TH!M$1,SMALL(Dong1,ROWS($1:29)),)="1111",OFFSET(TH!K$1,SMALL(Dong1,ROWS($1:29)),),0))</f>
        <v>0</v>
      </c>
      <c r="I42" s="120">
        <f t="shared" ca="1" si="0"/>
        <v>2705255033</v>
      </c>
      <c r="J42" s="125"/>
      <c r="N42" s="626"/>
      <c r="O42" s="626"/>
    </row>
    <row r="43" spans="1:15" ht="21.75" customHeight="1">
      <c r="A43" s="119">
        <f ca="1">IF(ROWS($1:30)&gt;COUNT(Dong1),"",OFFSET(TH!C$1,SMALL(Dong1,ROWS($1:30)),))</f>
        <v>42149</v>
      </c>
      <c r="B43" s="119">
        <f ca="1">IF(ROWS($1:30)&gt;COUNT(Dong1),"",OFFSET(TH!E$1,SMALL(Dong1,ROWS($1:30)),))</f>
        <v>42149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GBN</v>
      </c>
      <c r="E43" s="228" t="str">
        <f ca="1">IF(ROWS($1:30)&gt;COUNT(Dong1),"",OFFSET(TH!F$1,SMALL(Dong1,ROWS($1:30)),))</f>
        <v>Trả gốc vay</v>
      </c>
      <c r="F43" s="123" t="str">
        <f ca="1">IF(ROWS($1:30)&gt;COUNT(Dong1),"",IF(OFFSET(TH!M$1,SMALL(Dong1,ROWS($1:30)),)="1111",OFFSET(TH!L$1,SMALL(Dong1,ROWS($1:30)),),OFFSET(TH!M$1,SMALL(Dong1,ROWS($1:30)),)))</f>
        <v>3411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1000000000</v>
      </c>
      <c r="I43" s="120">
        <f t="shared" ca="1" si="0"/>
        <v>1705255033</v>
      </c>
      <c r="J43" s="125"/>
      <c r="N43" s="626"/>
      <c r="O43" s="626"/>
    </row>
    <row r="44" spans="1:15" ht="21.75" customHeight="1">
      <c r="A44" s="119">
        <f ca="1">IF(ROWS($1:31)&gt;COUNT(Dong1),"",OFFSET(TH!C$1,SMALL(Dong1,ROWS($1:31)),))</f>
        <v>42149</v>
      </c>
      <c r="B44" s="119">
        <f ca="1">IF(ROWS($1:31)&gt;COUNT(Dong1),"",OFFSET(TH!E$1,SMALL(Dong1,ROWS($1:31)),))</f>
        <v>42149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GBN</v>
      </c>
      <c r="E44" s="228" t="str">
        <f ca="1">IF(ROWS($1:31)&gt;COUNT(Dong1),"",OFFSET(TH!F$1,SMALL(Dong1,ROWS($1:31)),))</f>
        <v>Thu lãi</v>
      </c>
      <c r="F44" s="123" t="str">
        <f ca="1">IF(ROWS($1:31)&gt;COUNT(Dong1),"",IF(OFFSET(TH!M$1,SMALL(Dong1,ROWS($1:31)),)="1111",OFFSET(TH!L$1,SMALL(Dong1,ROWS($1:31)),),OFFSET(TH!M$1,SMALL(Dong1,ROWS($1:31)),)))</f>
        <v>635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10069444</v>
      </c>
      <c r="I44" s="120">
        <f t="shared" ca="1" si="0"/>
        <v>1695185589</v>
      </c>
      <c r="J44" s="125"/>
      <c r="N44" s="626"/>
      <c r="O44" s="626"/>
    </row>
    <row r="45" spans="1:15" ht="21.75" customHeight="1">
      <c r="A45" s="119">
        <f ca="1">IF(ROWS($1:32)&gt;COUNT(Dong1),"",OFFSET(TH!C$1,SMALL(Dong1,ROWS($1:32)),))</f>
        <v>42149</v>
      </c>
      <c r="B45" s="119">
        <f ca="1">IF(ROWS($1:32)&gt;COUNT(Dong1),"",OFFSET(TH!E$1,SMALL(Dong1,ROWS($1:32)),))</f>
        <v>42149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GBN</v>
      </c>
      <c r="E45" s="228" t="str">
        <f ca="1">IF(ROWS($1:32)&gt;COUNT(Dong1),"",OFFSET(TH!F$1,SMALL(Dong1,ROWS($1:32)),))</f>
        <v>Trả gốc vay</v>
      </c>
      <c r="F45" s="123" t="str">
        <f ca="1">IF(ROWS($1:32)&gt;COUNT(Dong1),"",IF(OFFSET(TH!M$1,SMALL(Dong1,ROWS($1:32)),)="1111",OFFSET(TH!L$1,SMALL(Dong1,ROWS($1:32)),),OFFSET(TH!M$1,SMALL(Dong1,ROWS($1:32)),)))</f>
        <v>3412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99560000</v>
      </c>
      <c r="I45" s="120">
        <f t="shared" ca="1" si="0"/>
        <v>1595625589</v>
      </c>
      <c r="J45" s="125"/>
      <c r="N45" s="626"/>
      <c r="O45" s="626"/>
    </row>
    <row r="46" spans="1:15" ht="21.75" customHeight="1">
      <c r="A46" s="119">
        <f ca="1">IF(ROWS($1:33)&gt;COUNT(Dong1),"",OFFSET(TH!C$1,SMALL(Dong1,ROWS($1:33)),))</f>
        <v>42149</v>
      </c>
      <c r="B46" s="119">
        <f ca="1">IF(ROWS($1:33)&gt;COUNT(Dong1),"",OFFSET(TH!E$1,SMALL(Dong1,ROWS($1:33)),))</f>
        <v>42149</v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>GBN</v>
      </c>
      <c r="E46" s="228" t="str">
        <f ca="1">IF(ROWS($1:33)&gt;COUNT(Dong1),"",OFFSET(TH!F$1,SMALL(Dong1,ROWS($1:33)),))</f>
        <v>Thu lãi</v>
      </c>
      <c r="F46" s="123" t="str">
        <f ca="1">IF(ROWS($1:33)&gt;COUNT(Dong1),"",IF(OFFSET(TH!M$1,SMALL(Dong1,ROWS($1:33)),)="1111",OFFSET(TH!L$1,SMALL(Dong1,ROWS($1:33)),),OFFSET(TH!M$1,SMALL(Dong1,ROWS($1:33)),)))</f>
        <v>635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561408</v>
      </c>
      <c r="I46" s="120">
        <f t="shared" ca="1" si="0"/>
        <v>1595064181</v>
      </c>
      <c r="J46" s="125"/>
      <c r="N46" s="626"/>
      <c r="O46" s="626"/>
    </row>
    <row r="47" spans="1:15" ht="21.75" customHeight="1">
      <c r="A47" s="119">
        <f ca="1">IF(ROWS($1:34)&gt;COUNT(Dong1),"",OFFSET(TH!C$1,SMALL(Dong1,ROWS($1:34)),))</f>
        <v>42149</v>
      </c>
      <c r="B47" s="119">
        <f ca="1">IF(ROWS($1:34)&gt;COUNT(Dong1),"",OFFSET(TH!E$1,SMALL(Dong1,ROWS($1:34)),))</f>
        <v>42149</v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>GBN</v>
      </c>
      <c r="E47" s="228" t="str">
        <f ca="1">IF(ROWS($1:34)&gt;COUNT(Dong1),"",OFFSET(TH!F$1,SMALL(Dong1,ROWS($1:34)),))</f>
        <v>Trả gốc vay</v>
      </c>
      <c r="F47" s="123" t="str">
        <f ca="1">IF(ROWS($1:34)&gt;COUNT(Dong1),"",IF(OFFSET(TH!M$1,SMALL(Dong1,ROWS($1:34)),)="1111",OFFSET(TH!L$1,SMALL(Dong1,ROWS($1:34)),),OFFSET(TH!M$1,SMALL(Dong1,ROWS($1:34)),)))</f>
        <v>3412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99560000</v>
      </c>
      <c r="I47" s="120">
        <f t="shared" ca="1" si="0"/>
        <v>1495504181</v>
      </c>
      <c r="J47" s="125"/>
      <c r="N47" s="626"/>
      <c r="O47" s="626"/>
    </row>
    <row r="48" spans="1:15" ht="21.75" customHeight="1">
      <c r="A48" s="119">
        <f ca="1">IF(ROWS($1:35)&gt;COUNT(Dong1),"",OFFSET(TH!C$1,SMALL(Dong1,ROWS($1:35)),))</f>
        <v>42149</v>
      </c>
      <c r="B48" s="119">
        <f ca="1">IF(ROWS($1:35)&gt;COUNT(Dong1),"",OFFSET(TH!E$1,SMALL(Dong1,ROWS($1:35)),))</f>
        <v>42149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GBN</v>
      </c>
      <c r="E48" s="228" t="str">
        <f ca="1">IF(ROWS($1:35)&gt;COUNT(Dong1),"",OFFSET(TH!F$1,SMALL(Dong1,ROWS($1:35)),))</f>
        <v>Thu lãi</v>
      </c>
      <c r="F48" s="123" t="str">
        <f ca="1">IF(ROWS($1:35)&gt;COUNT(Dong1),"",IF(OFFSET(TH!M$1,SMALL(Dong1,ROWS($1:35)),)="1111",OFFSET(TH!L$1,SMALL(Dong1,ROWS($1:35)),),OFFSET(TH!M$1,SMALL(Dong1,ROWS($1:35)),)))</f>
        <v>635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561408</v>
      </c>
      <c r="I48" s="120">
        <f t="shared" ca="1" si="0"/>
        <v>1494942773</v>
      </c>
      <c r="J48" s="125"/>
      <c r="N48" s="626"/>
      <c r="O48" s="626"/>
    </row>
    <row r="49" spans="1:15" ht="21.75" customHeight="1">
      <c r="A49" s="119">
        <f ca="1">IF(ROWS($1:36)&gt;COUNT(Dong1),"",OFFSET(TH!C$1,SMALL(Dong1,ROWS($1:36)),))</f>
        <v>42149</v>
      </c>
      <c r="B49" s="119">
        <f ca="1">IF(ROWS($1:36)&gt;COUNT(Dong1),"",OFFSET(TH!E$1,SMALL(Dong1,ROWS($1:36)),))</f>
        <v>42149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GBN</v>
      </c>
      <c r="E49" s="228" t="str">
        <f ca="1">IF(ROWS($1:36)&gt;COUNT(Dong1),"",OFFSET(TH!F$1,SMALL(Dong1,ROWS($1:36)),))</f>
        <v>Trả gốc vay</v>
      </c>
      <c r="F49" s="123" t="str">
        <f ca="1">IF(ROWS($1:36)&gt;COUNT(Dong1),"",IF(OFFSET(TH!M$1,SMALL(Dong1,ROWS($1:36)),)="1111",OFFSET(TH!L$1,SMALL(Dong1,ROWS($1:36)),),OFFSET(TH!M$1,SMALL(Dong1,ROWS($1:36)),)))</f>
        <v>3412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97900000</v>
      </c>
      <c r="I49" s="120">
        <f t="shared" ca="1" si="0"/>
        <v>1397042773</v>
      </c>
      <c r="J49" s="125"/>
      <c r="N49" s="626"/>
      <c r="O49" s="626"/>
    </row>
    <row r="50" spans="1:15" ht="21.75" customHeight="1">
      <c r="A50" s="119">
        <f ca="1">IF(ROWS($1:37)&gt;COUNT(Dong1),"",OFFSET(TH!C$1,SMALL(Dong1,ROWS($1:37)),))</f>
        <v>42149</v>
      </c>
      <c r="B50" s="119">
        <f ca="1">IF(ROWS($1:37)&gt;COUNT(Dong1),"",OFFSET(TH!E$1,SMALL(Dong1,ROWS($1:37)),))</f>
        <v>42149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GBN</v>
      </c>
      <c r="E50" s="228" t="str">
        <f ca="1">IF(ROWS($1:37)&gt;COUNT(Dong1),"",OFFSET(TH!F$1,SMALL(Dong1,ROWS($1:37)),))</f>
        <v>Thu lãi</v>
      </c>
      <c r="F50" s="123" t="str">
        <f ca="1">IF(ROWS($1:37)&gt;COUNT(Dong1),"",IF(OFFSET(TH!M$1,SMALL(Dong1,ROWS($1:37)),)="1111",OFFSET(TH!L$1,SMALL(Dong1,ROWS($1:37)),),OFFSET(TH!M$1,SMALL(Dong1,ROWS($1:37)),)))</f>
        <v>635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552047</v>
      </c>
      <c r="I50" s="120">
        <f t="shared" ca="1" si="0"/>
        <v>1396490726</v>
      </c>
      <c r="J50" s="125"/>
    </row>
    <row r="51" spans="1:15" ht="21.75" customHeight="1">
      <c r="A51" s="119">
        <f ca="1">IF(ROWS($1:38)&gt;COUNT(Dong1),"",OFFSET(TH!C$1,SMALL(Dong1,ROWS($1:38)),))</f>
        <v>42149</v>
      </c>
      <c r="B51" s="119">
        <f ca="1">IF(ROWS($1:38)&gt;COUNT(Dong1),"",OFFSET(TH!E$1,SMALL(Dong1,ROWS($1:38)),))</f>
        <v>42149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GBN</v>
      </c>
      <c r="E51" s="228" t="str">
        <f ca="1">IF(ROWS($1:38)&gt;COUNT(Dong1),"",OFFSET(TH!F$1,SMALL(Dong1,ROWS($1:38)),))</f>
        <v>Trả gốc vay</v>
      </c>
      <c r="F51" s="123" t="str">
        <f ca="1">IF(ROWS($1:38)&gt;COUNT(Dong1),"",IF(OFFSET(TH!M$1,SMALL(Dong1,ROWS($1:38)),)="1111",OFFSET(TH!L$1,SMALL(Dong1,ROWS($1:38)),),OFFSET(TH!M$1,SMALL(Dong1,ROWS($1:38)),)))</f>
        <v>3412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99560000</v>
      </c>
      <c r="I51" s="120">
        <f t="shared" ca="1" si="0"/>
        <v>1296930726</v>
      </c>
      <c r="J51" s="125"/>
    </row>
    <row r="52" spans="1:15" ht="21.75" customHeight="1">
      <c r="A52" s="119">
        <f ca="1">IF(ROWS($1:39)&gt;COUNT(Dong1),"",OFFSET(TH!C$1,SMALL(Dong1,ROWS($1:39)),))</f>
        <v>42149</v>
      </c>
      <c r="B52" s="119">
        <f ca="1">IF(ROWS($1:39)&gt;COUNT(Dong1),"",OFFSET(TH!E$1,SMALL(Dong1,ROWS($1:39)),))</f>
        <v>42149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GBN</v>
      </c>
      <c r="E52" s="228" t="str">
        <f ca="1">IF(ROWS($1:39)&gt;COUNT(Dong1),"",OFFSET(TH!F$1,SMALL(Dong1,ROWS($1:39)),))</f>
        <v>Thu lãi</v>
      </c>
      <c r="F52" s="123" t="str">
        <f ca="1">IF(ROWS($1:39)&gt;COUNT(Dong1),"",IF(OFFSET(TH!M$1,SMALL(Dong1,ROWS($1:39)),)="1111",OFFSET(TH!L$1,SMALL(Dong1,ROWS($1:39)),),OFFSET(TH!M$1,SMALL(Dong1,ROWS($1:39)),)))</f>
        <v>635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561408</v>
      </c>
      <c r="I52" s="120">
        <f t="shared" ca="1" si="0"/>
        <v>1296369318</v>
      </c>
      <c r="J52" s="125"/>
    </row>
    <row r="53" spans="1:15" ht="21.75" customHeight="1">
      <c r="A53" s="119">
        <f ca="1">IF(ROWS($1:40)&gt;COUNT(Dong1),"",OFFSET(TH!C$1,SMALL(Dong1,ROWS($1:40)),))</f>
        <v>42150</v>
      </c>
      <c r="B53" s="119">
        <f ca="1">IF(ROWS($1:40)&gt;COUNT(Dong1),"",OFFSET(TH!E$1,SMALL(Dong1,ROWS($1:40)),))</f>
        <v>42150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NL/N21</v>
      </c>
      <c r="E53" s="228" t="str">
        <f ca="1">IF(ROWS($1:40)&gt;COUNT(Dong1),"",OFFSET(TH!F$1,SMALL(Dong1,ROWS($1:40)),))</f>
        <v>Thanh toán tiền hàng</v>
      </c>
      <c r="F53" s="123" t="str">
        <f ca="1">IF(ROWS($1:40)&gt;COUNT(Dong1),"",IF(OFFSET(TH!M$1,SMALL(Dong1,ROWS($1:40)),)="1111",OFFSET(TH!L$1,SMALL(Dong1,ROWS($1:40)),),OFFSET(TH!M$1,SMALL(Dong1,ROWS($1:40)),)))</f>
        <v>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19793950</v>
      </c>
      <c r="I53" s="120">
        <f t="shared" ca="1" si="0"/>
        <v>1276575368</v>
      </c>
      <c r="J53" s="125"/>
    </row>
    <row r="54" spans="1:15" ht="21.75" customHeight="1">
      <c r="A54" s="119">
        <f ca="1">IF(ROWS($1:41)&gt;COUNT(Dong1),"",OFFSET(TH!C$1,SMALL(Dong1,ROWS($1:41)),))</f>
        <v>42150</v>
      </c>
      <c r="B54" s="119">
        <f ca="1">IF(ROWS($1:41)&gt;COUNT(Dong1),"",OFFSET(TH!E$1,SMALL(Dong1,ROWS($1:41)),))</f>
        <v>42150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GBN</v>
      </c>
      <c r="E54" s="228" t="str">
        <f ca="1">IF(ROWS($1:41)&gt;COUNT(Dong1),"",OFFSET(TH!F$1,SMALL(Dong1,ROWS($1:41)),))</f>
        <v>Nộp TM</v>
      </c>
      <c r="F54" s="123" t="str">
        <f ca="1">IF(ROWS($1:41)&gt;COUNT(Dong1),"",IF(OFFSET(TH!M$1,SMALL(Dong1,ROWS($1:41)),)="1111",OFFSET(TH!L$1,SMALL(Dong1,ROWS($1:41)),),OFFSET(TH!M$1,SMALL(Dong1,ROWS($1:41)),)))</f>
        <v>1121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1000000</v>
      </c>
      <c r="I54" s="120">
        <f t="shared" ca="1" si="0"/>
        <v>1275575368</v>
      </c>
      <c r="J54" s="125"/>
    </row>
    <row r="55" spans="1:15" ht="21.75" customHeight="1">
      <c r="A55" s="119">
        <f ca="1">IF(ROWS($1:42)&gt;COUNT(Dong1),"",OFFSET(TH!C$1,SMALL(Dong1,ROWS($1:42)),))</f>
        <v>42150</v>
      </c>
      <c r="B55" s="119">
        <f ca="1">IF(ROWS($1:42)&gt;COUNT(Dong1),"",OFFSET(TH!E$1,SMALL(Dong1,ROWS($1:42)),))</f>
        <v>42150</v>
      </c>
      <c r="C55" s="120" t="str">
        <f ca="1">IF(ROWS($1:42)&gt;COUNT(Dong1),"",IF(OFFSET(TH!L$1,SMALL(Dong1,ROWS($1:42)),)="1111",OFFSET(TH!D$1,SMALL(Dong1,ROWS($1:42)),),""))</f>
        <v>GBN</v>
      </c>
      <c r="D55" s="121" t="str">
        <f ca="1">IF(ROWS($1:42)&gt;COUNT(Dong1),"",IF(OFFSET(TH!M$1,SMALL(Dong1,ROWS($1:42)),)="1111",OFFSET(TH!D$1,SMALL(Dong1,ROWS($1:42)),),""))</f>
        <v/>
      </c>
      <c r="E55" s="228" t="str">
        <f ca="1">IF(ROWS($1:42)&gt;COUNT(Dong1),"",OFFSET(TH!F$1,SMALL(Dong1,ROWS($1:42)),))</f>
        <v>Rút tiền mặt</v>
      </c>
      <c r="F55" s="123" t="str">
        <f ca="1">IF(ROWS($1:42)&gt;COUNT(Dong1),"",IF(OFFSET(TH!M$1,SMALL(Dong1,ROWS($1:42)),)="1111",OFFSET(TH!L$1,SMALL(Dong1,ROWS($1:42)),),OFFSET(TH!M$1,SMALL(Dong1,ROWS($1:42)),)))</f>
        <v>1121</v>
      </c>
      <c r="G55" s="124">
        <f ca="1">IF(ROWS($1:42)&gt;COUNT(Dong1),"",IF(OFFSET(TH!L$1,SMALL(Dong1,ROWS($1:42)),)="1111",OFFSET(TH!K$1,SMALL(Dong1,ROWS($1:42)),),0))</f>
        <v>1400000000</v>
      </c>
      <c r="H55" s="122">
        <f ca="1">IF(ROWS($1:42)&gt;COUNT(Dong1),"",IF(OFFSET(TH!M$1,SMALL(Dong1,ROWS($1:42)),)="1111",OFFSET(TH!K$1,SMALL(Dong1,ROWS($1:42)),),0))</f>
        <v>0</v>
      </c>
      <c r="I55" s="120">
        <f t="shared" ca="1" si="0"/>
        <v>2675575368</v>
      </c>
      <c r="J55" s="125"/>
    </row>
    <row r="56" spans="1:15" ht="21.75" customHeight="1">
      <c r="A56" s="119">
        <f ca="1">IF(ROWS($1:43)&gt;COUNT(Dong1),"",OFFSET(TH!C$1,SMALL(Dong1,ROWS($1:43)),))</f>
        <v>42151</v>
      </c>
      <c r="B56" s="119">
        <f ca="1">IF(ROWS($1:43)&gt;COUNT(Dong1),"",OFFSET(TH!E$1,SMALL(Dong1,ROWS($1:43)),))</f>
        <v>42151</v>
      </c>
      <c r="C56" s="120" t="str">
        <f ca="1">IF(ROWS($1:43)&gt;COUNT(Dong1),"",IF(OFFSET(TH!L$1,SMALL(Dong1,ROWS($1:43)),)="1111",OFFSET(TH!D$1,SMALL(Dong1,ROWS($1:43)),),""))</f>
        <v>TP/X46</v>
      </c>
      <c r="D56" s="121" t="str">
        <f ca="1">IF(ROWS($1:43)&gt;COUNT(Dong1),"",IF(OFFSET(TH!M$1,SMALL(Dong1,ROWS($1:43)),)="1111",OFFSET(TH!D$1,SMALL(Dong1,ROWS($1:43)),),""))</f>
        <v/>
      </c>
      <c r="E56" s="228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34411733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2709987101</v>
      </c>
      <c r="J56" s="125"/>
    </row>
    <row r="57" spans="1:15" ht="21.75" customHeight="1">
      <c r="A57" s="119">
        <f ca="1">IF(ROWS($1:44)&gt;COUNT(Dong1),"",OFFSET(TH!C$1,SMALL(Dong1,ROWS($1:44)),))</f>
        <v>42151</v>
      </c>
      <c r="B57" s="119">
        <f ca="1">IF(ROWS($1:44)&gt;COUNT(Dong1),"",OFFSET(TH!E$1,SMALL(Dong1,ROWS($1:44)),))</f>
        <v>42151</v>
      </c>
      <c r="C57" s="120" t="str">
        <f ca="1">IF(ROWS($1:44)&gt;COUNT(Dong1),"",IF(OFFSET(TH!L$1,SMALL(Dong1,ROWS($1:44)),)="1111",OFFSET(TH!D$1,SMALL(Dong1,ROWS($1:44)),),""))</f>
        <v>TP/X48</v>
      </c>
      <c r="D57" s="121" t="str">
        <f ca="1">IF(ROWS($1:44)&gt;COUNT(Dong1),"",IF(OFFSET(TH!M$1,SMALL(Dong1,ROWS($1:44)),)="1111",OFFSET(TH!D$1,SMALL(Dong1,ROWS($1:44)),),""))</f>
        <v/>
      </c>
      <c r="E57" s="228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27611628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2737598729</v>
      </c>
      <c r="J57" s="125"/>
    </row>
    <row r="58" spans="1:15" ht="21.75" customHeight="1">
      <c r="A58" s="119">
        <f ca="1">IF(ROWS($1:45)&gt;COUNT(Dong1),"",OFFSET(TH!C$1,SMALL(Dong1,ROWS($1:45)),))</f>
        <v>42151</v>
      </c>
      <c r="B58" s="119">
        <f ca="1">IF(ROWS($1:45)&gt;COUNT(Dong1),"",OFFSET(TH!E$1,SMALL(Dong1,ROWS($1:45)),))</f>
        <v>42151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NL/N24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19673500</v>
      </c>
      <c r="I58" s="120">
        <f t="shared" ca="1" si="0"/>
        <v>2717925229</v>
      </c>
      <c r="J58" s="125"/>
    </row>
    <row r="59" spans="1:15" ht="21.75" customHeight="1">
      <c r="A59" s="119">
        <f ca="1">IF(ROWS($1:46)&gt;COUNT(Dong1),"",OFFSET(TH!C$1,SMALL(Dong1,ROWS($1:46)),))</f>
        <v>42152</v>
      </c>
      <c r="B59" s="119">
        <f ca="1">IF(ROWS($1:46)&gt;COUNT(Dong1),"",OFFSET(TH!E$1,SMALL(Dong1,ROWS($1:46)),))</f>
        <v>42152</v>
      </c>
      <c r="C59" s="120" t="str">
        <f ca="1">IF(ROWS($1:46)&gt;COUNT(Dong1),"",IF(OFFSET(TH!L$1,SMALL(Dong1,ROWS($1:46)),)="1111",OFFSET(TH!D$1,SMALL(Dong1,ROWS($1:46)),),""))</f>
        <v>TP/X51</v>
      </c>
      <c r="D59" s="121" t="str">
        <f ca="1">IF(ROWS($1:46)&gt;COUNT(Dong1),"",IF(OFFSET(TH!M$1,SMALL(Dong1,ROWS($1:46)),)="1111",OFFSET(TH!D$1,SMALL(Dong1,ROWS($1:46)),),""))</f>
        <v/>
      </c>
      <c r="E59" s="228" t="str">
        <f ca="1">IF(ROWS($1:46)&gt;COUNT(Dong1),"",OFFSET(TH!F$1,SMALL(Dong1,ROWS($1:46)),))</f>
        <v>Thu tiền hàng</v>
      </c>
      <c r="F59" s="123" t="str">
        <f ca="1">IF(ROWS($1:46)&gt;COUNT(Dong1),"",IF(OFFSET(TH!M$1,SMALL(Dong1,ROWS($1:46)),)="1111",OFFSET(TH!L$1,SMALL(Dong1,ROWS($1:46)),),OFFSET(TH!M$1,SMALL(Dong1,ROWS($1:46)),)))</f>
        <v>131</v>
      </c>
      <c r="G59" s="124">
        <f ca="1">IF(ROWS($1:46)&gt;COUNT(Dong1),"",IF(OFFSET(TH!L$1,SMALL(Dong1,ROWS($1:46)),)="1111",OFFSET(TH!K$1,SMALL(Dong1,ROWS($1:46)),),0))</f>
        <v>9315020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2727240249</v>
      </c>
      <c r="J59" s="125"/>
    </row>
    <row r="60" spans="1:15" ht="21.75" customHeight="1">
      <c r="A60" s="119">
        <f ca="1">IF(ROWS($1:47)&gt;COUNT(Dong1),"",OFFSET(TH!C$1,SMALL(Dong1,ROWS($1:47)),))</f>
        <v>42152</v>
      </c>
      <c r="B60" s="119">
        <f ca="1">IF(ROWS($1:47)&gt;COUNT(Dong1),"",OFFSET(TH!E$1,SMALL(Dong1,ROWS($1:47)),))</f>
        <v>42152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NL/N26</v>
      </c>
      <c r="E60" s="228" t="str">
        <f ca="1">IF(ROWS($1:47)&gt;COUNT(Dong1),"",OFFSET(TH!F$1,SMALL(Dong1,ROWS($1:47)),))</f>
        <v>Thanh toán tiền hàng</v>
      </c>
      <c r="F60" s="123" t="str">
        <f ca="1">IF(ROWS($1:47)&gt;COUNT(Dong1),"",IF(OFFSET(TH!M$1,SMALL(Dong1,ROWS($1:47)),)="1111",OFFSET(TH!L$1,SMALL(Dong1,ROWS($1:47)),),OFFSET(TH!M$1,SMALL(Dong1,ROWS($1:47)),)))</f>
        <v>331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19713650</v>
      </c>
      <c r="I60" s="120">
        <f t="shared" ca="1" si="0"/>
        <v>2707526599</v>
      </c>
      <c r="J60" s="125"/>
    </row>
    <row r="61" spans="1:15" ht="21.75" customHeight="1">
      <c r="A61" s="119">
        <f ca="1">IF(ROWS($1:48)&gt;COUNT(Dong1),"",OFFSET(TH!C$1,SMALL(Dong1,ROWS($1:48)),))</f>
        <v>42153</v>
      </c>
      <c r="B61" s="119">
        <f ca="1">IF(ROWS($1:48)&gt;COUNT(Dong1),"",OFFSET(TH!E$1,SMALL(Dong1,ROWS($1:48)),))</f>
        <v>42153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NL/N27</v>
      </c>
      <c r="E61" s="228" t="str">
        <f ca="1">IF(ROWS($1:48)&gt;COUNT(Dong1),"",OFFSET(TH!F$1,SMALL(Dong1,ROWS($1:48)),))</f>
        <v>Thanh toán tiền hàng</v>
      </c>
      <c r="F61" s="123" t="str">
        <f ca="1">IF(ROWS($1:48)&gt;COUNT(Dong1),"",IF(OFFSET(TH!M$1,SMALL(Dong1,ROWS($1:48)),)="1111",OFFSET(TH!L$1,SMALL(Dong1,ROWS($1:48)),),OFFSET(TH!M$1,SMALL(Dong1,ROWS($1:48)),)))</f>
        <v>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15401540</v>
      </c>
      <c r="I61" s="120">
        <f t="shared" ca="1" si="0"/>
        <v>2692125059</v>
      </c>
      <c r="J61" s="125"/>
    </row>
    <row r="62" spans="1:15" ht="21.75" customHeight="1">
      <c r="A62" s="119">
        <f ca="1">IF(ROWS($1:49)&gt;COUNT(Dong1),"",OFFSET(TH!C$1,SMALL(Dong1,ROWS($1:49)),))</f>
        <v>42154</v>
      </c>
      <c r="B62" s="119">
        <f ca="1">IF(ROWS($1:49)&gt;COUNT(Dong1),"",OFFSET(TH!E$1,SMALL(Dong1,ROWS($1:49)),))</f>
        <v>42154</v>
      </c>
      <c r="C62" s="120" t="str">
        <f ca="1">IF(ROWS($1:49)&gt;COUNT(Dong1),"",IF(OFFSET(TH!L$1,SMALL(Dong1,ROWS($1:49)),)="1111",OFFSET(TH!D$1,SMALL(Dong1,ROWS($1:49)),),""))</f>
        <v>TP/X53</v>
      </c>
      <c r="D62" s="121" t="str">
        <f ca="1">IF(ROWS($1:49)&gt;COUNT(Dong1),"",IF(OFFSET(TH!M$1,SMALL(Dong1,ROWS($1:49)),)="1111",OFFSET(TH!D$1,SMALL(Dong1,ROWS($1:49)),),""))</f>
        <v/>
      </c>
      <c r="E62" s="228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17392650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2709517709</v>
      </c>
      <c r="J62" s="125"/>
    </row>
    <row r="63" spans="1:15" ht="21.75" customHeight="1">
      <c r="A63" s="119">
        <f ca="1">IF(ROWS($1:50)&gt;COUNT(Dong1),"",OFFSET(TH!C$1,SMALL(Dong1,ROWS($1:50)),))</f>
        <v>42154</v>
      </c>
      <c r="B63" s="119">
        <f ca="1">IF(ROWS($1:50)&gt;COUNT(Dong1),"",OFFSET(TH!E$1,SMALL(Dong1,ROWS($1:50)),))</f>
        <v>42154</v>
      </c>
      <c r="C63" s="120" t="str">
        <f ca="1">IF(ROWS($1:50)&gt;COUNT(Dong1),"",IF(OFFSET(TH!L$1,SMALL(Dong1,ROWS($1:50)),)="1111",OFFSET(TH!D$1,SMALL(Dong1,ROWS($1:50)),),""))</f>
        <v>GBN</v>
      </c>
      <c r="D63" s="121" t="str">
        <f ca="1">IF(ROWS($1:50)&gt;COUNT(Dong1),"",IF(OFFSET(TH!M$1,SMALL(Dong1,ROWS($1:50)),)="1111",OFFSET(TH!D$1,SMALL(Dong1,ROWS($1:50)),),""))</f>
        <v/>
      </c>
      <c r="E63" s="228" t="str">
        <f ca="1">IF(ROWS($1:50)&gt;COUNT(Dong1),"",OFFSET(TH!F$1,SMALL(Dong1,ROWS($1:50)),))</f>
        <v>Chi sec nhập quỹ tiền mặt</v>
      </c>
      <c r="F63" s="123" t="str">
        <f ca="1">IF(ROWS($1:50)&gt;COUNT(Dong1),"",IF(OFFSET(TH!M$1,SMALL(Dong1,ROWS($1:50)),)="1111",OFFSET(TH!L$1,SMALL(Dong1,ROWS($1:50)),),OFFSET(TH!M$1,SMALL(Dong1,ROWS($1:50)),)))</f>
        <v>1121</v>
      </c>
      <c r="G63" s="124">
        <f ca="1">IF(ROWS($1:50)&gt;COUNT(Dong1),"",IF(OFFSET(TH!L$1,SMALL(Dong1,ROWS($1:50)),)="1111",OFFSET(TH!K$1,SMALL(Dong1,ROWS($1:50)),),0))</f>
        <v>49500000</v>
      </c>
      <c r="H63" s="122">
        <f ca="1">IF(ROWS($1:50)&gt;COUNT(Dong1),"",IF(OFFSET(TH!M$1,SMALL(Dong1,ROWS($1:50)),)="1111",OFFSET(TH!K$1,SMALL(Dong1,ROWS($1:50)),),0))</f>
        <v>0</v>
      </c>
      <c r="I63" s="120">
        <f t="shared" ref="I63:I70" ca="1" si="1">IF(E63&lt;&gt;"",I62+G63-H63,0)</f>
        <v>2759017709</v>
      </c>
      <c r="J63" s="125"/>
    </row>
    <row r="64" spans="1:15" ht="21.75" customHeight="1">
      <c r="A64" s="119">
        <f ca="1">IF(ROWS($1:51)&gt;COUNT(Dong1),"",OFFSET(TH!C$1,SMALL(Dong1,ROWS($1:51)),))</f>
        <v>42154</v>
      </c>
      <c r="B64" s="119">
        <f ca="1">IF(ROWS($1:51)&gt;COUNT(Dong1),"",OFFSET(TH!E$1,SMALL(Dong1,ROWS($1:51)),))</f>
        <v>42154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VL/N02</v>
      </c>
      <c r="E64" s="228" t="str">
        <f ca="1">IF(ROWS($1:51)&gt;COUNT(Dong1),"",OFFSET(TH!F$1,SMALL(Dong1,ROWS($1:51)),))</f>
        <v>Thanh toán tiền hàng</v>
      </c>
      <c r="F64" s="123" t="str">
        <f ca="1">IF(ROWS($1:51)&gt;COUNT(Dong1),"",IF(OFFSET(TH!M$1,SMALL(Dong1,ROWS($1:51)),)="1111",OFFSET(TH!L$1,SMALL(Dong1,ROWS($1:51)),),OFFSET(TH!M$1,SMALL(Dong1,ROWS($1:51)),)))</f>
        <v>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1161600</v>
      </c>
      <c r="I64" s="120">
        <f t="shared" ca="1" si="1"/>
        <v>2757856109</v>
      </c>
      <c r="J64" s="125"/>
    </row>
    <row r="65" spans="1:12" ht="21.75" customHeight="1">
      <c r="A65" s="119">
        <f ca="1">IF(ROWS($1:52)&gt;COUNT(Dong1),"",OFFSET(TH!C$1,SMALL(Dong1,ROWS($1:52)),))</f>
        <v>42155</v>
      </c>
      <c r="B65" s="119">
        <f ca="1">IF(ROWS($1:52)&gt;COUNT(Dong1),"",OFFSET(TH!E$1,SMALL(Dong1,ROWS($1:52)),))</f>
        <v>42155</v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>CTGS</v>
      </c>
      <c r="E65" s="228" t="str">
        <f ca="1">IF(ROWS($1:52)&gt;COUNT(Dong1),"",OFFSET(TH!F$1,SMALL(Dong1,ROWS($1:52)),))</f>
        <v>Thanh toán tiền lương tháng 5/2015</v>
      </c>
      <c r="F65" s="123" t="str">
        <f ca="1">IF(ROWS($1:52)&gt;COUNT(Dong1),"",IF(OFFSET(TH!M$1,SMALL(Dong1,ROWS($1:52)),)="1111",OFFSET(TH!L$1,SMALL(Dong1,ROWS($1:52)),),OFFSET(TH!M$1,SMALL(Dong1,ROWS($1:52)),)))</f>
        <v>3341</v>
      </c>
      <c r="G65" s="124">
        <f ca="1">IF(ROWS($1:52)&gt;COUNT(Dong1),"",IF(OFFSET(TH!L$1,SMALL(Dong1,ROWS($1:52)),)="1111",OFFSET(TH!K$1,SMALL(Dong1,ROWS($1:52)),),0))</f>
        <v>0</v>
      </c>
      <c r="H65" s="122">
        <f ca="1">IF(ROWS($1:52)&gt;COUNT(Dong1),"",IF(OFFSET(TH!M$1,SMALL(Dong1,ROWS($1:52)),)="1111",OFFSET(TH!K$1,SMALL(Dong1,ROWS($1:52)),),0))</f>
        <v>51050000</v>
      </c>
      <c r="I65" s="120">
        <f t="shared" ca="1" si="1"/>
        <v>2706806109</v>
      </c>
      <c r="J65" s="125"/>
    </row>
    <row r="66" spans="1:12" ht="21.75" customHeight="1">
      <c r="A66" s="119">
        <f ca="1">IF(ROWS($1:53)&gt;COUNT(Dong1),"",OFFSET(TH!C$1,SMALL(Dong1,ROWS($1:53)),))</f>
        <v>42155</v>
      </c>
      <c r="B66" s="119">
        <f ca="1">IF(ROWS($1:53)&gt;COUNT(Dong1),"",OFFSET(TH!E$1,SMALL(Dong1,ROWS($1:53)),))</f>
        <v>42155</v>
      </c>
      <c r="C66" s="120" t="str">
        <f ca="1">IF(ROWS($1:53)&gt;COUNT(Dong1),"",IF(OFFSET(TH!L$1,SMALL(Dong1,ROWS($1:53)),)="1111",OFFSET(TH!D$1,SMALL(Dong1,ROWS($1:53)),),""))</f>
        <v>TP/X57</v>
      </c>
      <c r="D66" s="121" t="str">
        <f ca="1">IF(ROWS($1:53)&gt;COUNT(Dong1),"",IF(OFFSET(TH!M$1,SMALL(Dong1,ROWS($1:53)),)="1111",OFFSET(TH!D$1,SMALL(Dong1,ROWS($1:53)),),""))</f>
        <v/>
      </c>
      <c r="E66" s="228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32136391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2738942500</v>
      </c>
      <c r="J66" s="125"/>
    </row>
    <row r="67" spans="1:12" ht="21.75" customHeight="1">
      <c r="A67" s="119">
        <f ca="1">IF(ROWS($1:54)&gt;COUNT(Dong1),"",OFFSET(TH!C$1,SMALL(Dong1,ROWS($1:54)),))</f>
        <v>42155</v>
      </c>
      <c r="B67" s="119">
        <f ca="1">IF(ROWS($1:54)&gt;COUNT(Dong1),"",OFFSET(TH!E$1,SMALL(Dong1,ROWS($1:54)),))</f>
        <v>42155</v>
      </c>
      <c r="C67" s="120" t="str">
        <f ca="1">IF(ROWS($1:54)&gt;COUNT(Dong1),"",IF(OFFSET(TH!L$1,SMALL(Dong1,ROWS($1:54)),)="1111",OFFSET(TH!D$1,SMALL(Dong1,ROWS($1:54)),),""))</f>
        <v>TP/X58</v>
      </c>
      <c r="D67" s="121" t="str">
        <f ca="1">IF(ROWS($1:54)&gt;COUNT(Dong1),"",IF(OFFSET(TH!M$1,SMALL(Dong1,ROWS($1:54)),)="1111",OFFSET(TH!D$1,SMALL(Dong1,ROWS($1:54)),),""))</f>
        <v/>
      </c>
      <c r="E67" s="228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36618574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2775561074</v>
      </c>
      <c r="J67" s="125"/>
    </row>
    <row r="68" spans="1:12" ht="21.75" customHeight="1">
      <c r="A68" s="119">
        <f ca="1">IF(ROWS($1:55)&gt;COUNT(Dong1),"",OFFSET(TH!C$1,SMALL(Dong1,ROWS($1:55)),))</f>
        <v>42157</v>
      </c>
      <c r="B68" s="119">
        <f ca="1">IF(ROWS($1:55)&gt;COUNT(Dong1),"",OFFSET(TH!E$1,SMALL(Dong1,ROWS($1:55)),))</f>
        <v>42157</v>
      </c>
      <c r="C68" s="120" t="str">
        <f ca="1">IF(ROWS($1:55)&gt;COUNT(Dong1),"",IF(OFFSET(TH!L$1,SMALL(Dong1,ROWS($1:55)),)="1111",OFFSET(TH!D$1,SMALL(Dong1,ROWS($1:55)),),""))</f>
        <v>TP/X61</v>
      </c>
      <c r="D68" s="121" t="str">
        <f ca="1">IF(ROWS($1:55)&gt;COUNT(Dong1),"",IF(OFFSET(TH!M$1,SMALL(Dong1,ROWS($1:55)),)="1111",OFFSET(TH!D$1,SMALL(Dong1,ROWS($1:55)),),""))</f>
        <v/>
      </c>
      <c r="E68" s="228" t="str">
        <f ca="1">IF(ROWS($1:55)&gt;COUNT(Dong1),"",OFFSET(TH!F$1,SMALL(Dong1,ROWS($1:55)),))</f>
        <v>Thu tiền hàng</v>
      </c>
      <c r="F68" s="123" t="str">
        <f ca="1">IF(ROWS($1:55)&gt;COUNT(Dong1),"",IF(OFFSET(TH!M$1,SMALL(Dong1,ROWS($1:55)),)="1111",OFFSET(TH!L$1,SMALL(Dong1,ROWS($1:55)),),OFFSET(TH!M$1,SMALL(Dong1,ROWS($1:55)),)))</f>
        <v>131</v>
      </c>
      <c r="G68" s="124">
        <f ca="1">IF(ROWS($1:55)&gt;COUNT(Dong1),"",IF(OFFSET(TH!L$1,SMALL(Dong1,ROWS($1:55)),)="1111",OFFSET(TH!K$1,SMALL(Dong1,ROWS($1:55)),),0))</f>
        <v>18186476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2793747550</v>
      </c>
      <c r="J68" s="125"/>
    </row>
    <row r="69" spans="1:12" ht="21.75" customHeight="1">
      <c r="A69" s="119">
        <f ca="1">IF(ROWS($1:56)&gt;COUNT(Dong1),"",OFFSET(TH!C$1,SMALL(Dong1,ROWS($1:56)),))</f>
        <v>42160</v>
      </c>
      <c r="B69" s="119">
        <f ca="1">IF(ROWS($1:56)&gt;COUNT(Dong1),"",OFFSET(TH!E$1,SMALL(Dong1,ROWS($1:56)),))</f>
        <v>42160</v>
      </c>
      <c r="C69" s="120" t="str">
        <f ca="1">IF(ROWS($1:56)&gt;COUNT(Dong1),"",IF(OFFSET(TH!L$1,SMALL(Dong1,ROWS($1:56)),)="1111",OFFSET(TH!D$1,SMALL(Dong1,ROWS($1:56)),),""))</f>
        <v>GBN</v>
      </c>
      <c r="D69" s="121" t="str">
        <f ca="1">IF(ROWS($1:56)&gt;COUNT(Dong1),"",IF(OFFSET(TH!M$1,SMALL(Dong1,ROWS($1:56)),)="1111",OFFSET(TH!D$1,SMALL(Dong1,ROWS($1:56)),),""))</f>
        <v/>
      </c>
      <c r="E69" s="228" t="str">
        <f ca="1">IF(ROWS($1:56)&gt;COUNT(Dong1),"",OFFSET(TH!F$1,SMALL(Dong1,ROWS($1:56)),))</f>
        <v>Chi sec nhập quỹ tiền mặt</v>
      </c>
      <c r="F69" s="123" t="str">
        <f ca="1">IF(ROWS($1:56)&gt;COUNT(Dong1),"",IF(OFFSET(TH!M$1,SMALL(Dong1,ROWS($1:56)),)="1111",OFFSET(TH!L$1,SMALL(Dong1,ROWS($1:56)),),OFFSET(TH!M$1,SMALL(Dong1,ROWS($1:56)),)))</f>
        <v>1121</v>
      </c>
      <c r="G69" s="124">
        <f ca="1">IF(ROWS($1:56)&gt;COUNT(Dong1),"",IF(OFFSET(TH!L$1,SMALL(Dong1,ROWS($1:56)),)="1111",OFFSET(TH!K$1,SMALL(Dong1,ROWS($1:56)),),0))</f>
        <v>29300000</v>
      </c>
      <c r="H69" s="122">
        <f ca="1">IF(ROWS($1:56)&gt;COUNT(Dong1),"",IF(OFFSET(TH!M$1,SMALL(Dong1,ROWS($1:56)),)="1111",OFFSET(TH!K$1,SMALL(Dong1,ROWS($1:56)),),0))</f>
        <v>0</v>
      </c>
      <c r="I69" s="120">
        <f t="shared" ca="1" si="1"/>
        <v>2823047550</v>
      </c>
      <c r="J69" s="125"/>
    </row>
    <row r="70" spans="1:12" ht="21.75" customHeight="1">
      <c r="A70" s="119">
        <f ca="1">IF(ROWS($1:57)&gt;COUNT(Dong1),"",OFFSET(TH!C$1,SMALL(Dong1,ROWS($1:57)),))</f>
        <v>42160</v>
      </c>
      <c r="B70" s="119">
        <f ca="1">IF(ROWS($1:57)&gt;COUNT(Dong1),"",OFFSET(TH!E$1,SMALL(Dong1,ROWS($1:57)),))</f>
        <v>42160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NL/N28</v>
      </c>
      <c r="E70" s="228" t="str">
        <f ca="1">IF(ROWS($1:57)&gt;COUNT(Dong1),"",OFFSET(TH!F$1,SMALL(Dong1,ROWS($1:57)),))</f>
        <v>Thanh toán tiền hàng</v>
      </c>
      <c r="F70" s="123" t="str">
        <f ca="1">IF(ROWS($1:57)&gt;COUNT(Dong1),"",IF(OFFSET(TH!M$1,SMALL(Dong1,ROWS($1:57)),)="1111",OFFSET(TH!L$1,SMALL(Dong1,ROWS($1:57)),),OFFSET(TH!M$1,SMALL(Dong1,ROWS($1:57)),)))</f>
        <v>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19962580</v>
      </c>
      <c r="I70" s="120">
        <f t="shared" ca="1" si="1"/>
        <v>2803084970</v>
      </c>
      <c r="J70" s="125"/>
    </row>
    <row r="71" spans="1:12" ht="21.75" customHeight="1">
      <c r="A71" s="119">
        <f ca="1">IF(ROWS($1:58)&gt;COUNT(Dong1),"",OFFSET(TH!C$1,SMALL(Dong1,ROWS($1:58)),))</f>
        <v>42161</v>
      </c>
      <c r="B71" s="119">
        <f ca="1">IF(ROWS($1:58)&gt;COUNT(Dong1),"",OFFSET(TH!E$1,SMALL(Dong1,ROWS($1:58)),))</f>
        <v>42161</v>
      </c>
      <c r="C71" s="120" t="str">
        <f ca="1">IF(ROWS($1:58)&gt;COUNT(Dong1),"",IF(OFFSET(TH!L$1,SMALL(Dong1,ROWS($1:58)),)="1111",OFFSET(TH!D$1,SMALL(Dong1,ROWS($1:58)),),""))</f>
        <v>TP/X67</v>
      </c>
      <c r="D71" s="121" t="str">
        <f ca="1">IF(ROWS($1:58)&gt;COUNT(Dong1),"",IF(OFFSET(TH!M$1,SMALL(Dong1,ROWS($1:58)),)="1111",OFFSET(TH!D$1,SMALL(Dong1,ROWS($1:58)),),""))</f>
        <v/>
      </c>
      <c r="E71" s="228" t="str">
        <f ca="1">IF(ROWS($1:58)&gt;COUNT(Dong1),"",OFFSET(TH!F$1,SMALL(Dong1,ROWS($1:58)),))</f>
        <v>Thu tiền hàng</v>
      </c>
      <c r="F71" s="123" t="str">
        <f ca="1">IF(ROWS($1:58)&gt;COUNT(Dong1),"",IF(OFFSET(TH!M$1,SMALL(Dong1,ROWS($1:58)),)="1111",OFFSET(TH!L$1,SMALL(Dong1,ROWS($1:58)),),OFFSET(TH!M$1,SMALL(Dong1,ROWS($1:58)),)))</f>
        <v>131</v>
      </c>
      <c r="G71" s="124">
        <f ca="1">IF(ROWS($1:58)&gt;COUNT(Dong1),"",IF(OFFSET(TH!L$1,SMALL(Dong1,ROWS($1:58)),)="1111",OFFSET(TH!K$1,SMALL(Dong1,ROWS($1:58)),),0))</f>
        <v>8509380</v>
      </c>
      <c r="H71" s="122">
        <f ca="1">IF(ROWS($1:58)&gt;COUNT(Dong1),"",IF(OFFSET(TH!M$1,SMALL(Dong1,ROWS($1:58)),)="1111",OFFSET(TH!K$1,SMALL(Dong1,ROWS($1:58)),),0))</f>
        <v>0</v>
      </c>
      <c r="I71" s="120">
        <f t="shared" ref="I71:I75" ca="1" si="2">IF(E71&lt;&gt;"",I70+G71-H71,0)</f>
        <v>2811594350</v>
      </c>
      <c r="J71" s="125"/>
    </row>
    <row r="72" spans="1:12" ht="21.75" customHeight="1">
      <c r="A72" s="119">
        <f ca="1">IF(ROWS($1:59)&gt;COUNT(Dong1),"",OFFSET(TH!C$1,SMALL(Dong1,ROWS($1:59)),))</f>
        <v>42161</v>
      </c>
      <c r="B72" s="119">
        <f ca="1">IF(ROWS($1:59)&gt;COUNT(Dong1),"",OFFSET(TH!E$1,SMALL(Dong1,ROWS($1:59)),))</f>
        <v>42161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NL/N29</v>
      </c>
      <c r="E72" s="228" t="str">
        <f ca="1">IF(ROWS($1:59)&gt;COUNT(Dong1),"",OFFSET(TH!F$1,SMALL(Dong1,ROWS($1:59)),))</f>
        <v>Thanh toán tiền hàng</v>
      </c>
      <c r="F72" s="123" t="str">
        <f ca="1">IF(ROWS($1:59)&gt;COUNT(Dong1),"",IF(OFFSET(TH!M$1,SMALL(Dong1,ROWS($1:59)),)="1111",OFFSET(TH!L$1,SMALL(Dong1,ROWS($1:59)),),OFFSET(TH!M$1,SMALL(Dong1,ROWS($1:59)),)))</f>
        <v>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18838380</v>
      </c>
      <c r="I72" s="120">
        <f t="shared" ca="1" si="2"/>
        <v>2792755970</v>
      </c>
      <c r="J72" s="125"/>
    </row>
    <row r="73" spans="1:12" ht="21.75" customHeight="1">
      <c r="A73" s="119">
        <f ca="1">IF(ROWS($1:60)&gt;COUNT(Dong1),"",OFFSET(TH!C$1,SMALL(Dong1,ROWS($1:60)),))</f>
        <v>42163</v>
      </c>
      <c r="B73" s="119">
        <f ca="1">IF(ROWS($1:60)&gt;COUNT(Dong1),"",OFFSET(TH!E$1,SMALL(Dong1,ROWS($1:60)),))</f>
        <v>42163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NL/N30</v>
      </c>
      <c r="E73" s="228" t="str">
        <f ca="1">IF(ROWS($1:60)&gt;COUNT(Dong1),"",OFFSET(TH!F$1,SMALL(Dong1,ROWS($1:60)),))</f>
        <v>Thanh toán tiền hàng</v>
      </c>
      <c r="F73" s="123" t="str">
        <f ca="1">IF(ROWS($1:60)&gt;COUNT(Dong1),"",IF(OFFSET(TH!M$1,SMALL(Dong1,ROWS($1:60)),)="1111",OFFSET(TH!L$1,SMALL(Dong1,ROWS($1:60)),),OFFSET(TH!M$1,SMALL(Dong1,ROWS($1:60)),)))</f>
        <v>331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18934740</v>
      </c>
      <c r="I73" s="120">
        <f t="shared" ca="1" si="2"/>
        <v>2773821230</v>
      </c>
      <c r="J73" s="125"/>
    </row>
    <row r="74" spans="1:12" ht="21.75" customHeight="1">
      <c r="A74" s="119">
        <f ca="1">IF(ROWS($1:61)&gt;COUNT(Dong1),"",OFFSET(TH!C$1,SMALL(Dong1,ROWS($1:61)),))</f>
        <v>42164</v>
      </c>
      <c r="B74" s="119">
        <f ca="1">IF(ROWS($1:61)&gt;COUNT(Dong1),"",OFFSET(TH!E$1,SMALL(Dong1,ROWS($1:61)),))</f>
        <v>42164</v>
      </c>
      <c r="C74" s="120" t="str">
        <f ca="1">IF(ROWS($1:61)&gt;COUNT(Dong1),"",IF(OFFSET(TH!L$1,SMALL(Dong1,ROWS($1:61)),)="1111",OFFSET(TH!D$1,SMALL(Dong1,ROWS($1:61)),),""))</f>
        <v/>
      </c>
      <c r="D74" s="121" t="str">
        <f ca="1">IF(ROWS($1:61)&gt;COUNT(Dong1),"",IF(OFFSET(TH!M$1,SMALL(Dong1,ROWS($1:61)),)="1111",OFFSET(TH!D$1,SMALL(Dong1,ROWS($1:61)),),""))</f>
        <v>NL/N31</v>
      </c>
      <c r="E74" s="228" t="str">
        <f ca="1">IF(ROWS($1:61)&gt;COUNT(Dong1),"",OFFSET(TH!F$1,SMALL(Dong1,ROWS($1:61)),))</f>
        <v>Thanh toán tiền hàng</v>
      </c>
      <c r="F74" s="123" t="str">
        <f ca="1">IF(ROWS($1:61)&gt;COUNT(Dong1),"",IF(OFFSET(TH!M$1,SMALL(Dong1,ROWS($1:61)),)="1111",OFFSET(TH!L$1,SMALL(Dong1,ROWS($1:61)),),OFFSET(TH!M$1,SMALL(Dong1,ROWS($1:61)),)))</f>
        <v>331</v>
      </c>
      <c r="G74" s="124">
        <f ca="1">IF(ROWS($1:61)&gt;COUNT(Dong1),"",IF(OFFSET(TH!L$1,SMALL(Dong1,ROWS($1:61)),)="1111",OFFSET(TH!K$1,SMALL(Dong1,ROWS($1:61)),),0))</f>
        <v>0</v>
      </c>
      <c r="H74" s="122">
        <f ca="1">IF(ROWS($1:61)&gt;COUNT(Dong1),"",IF(OFFSET(TH!M$1,SMALL(Dong1,ROWS($1:61)),)="1111",OFFSET(TH!K$1,SMALL(Dong1,ROWS($1:61)),),0))</f>
        <v>15144580</v>
      </c>
      <c r="I74" s="120">
        <f t="shared" ca="1" si="2"/>
        <v>2758676650</v>
      </c>
      <c r="J74" s="125"/>
    </row>
    <row r="75" spans="1:12" ht="21.75" customHeight="1">
      <c r="A75" s="119">
        <f ca="1">IF(ROWS($1:62)&gt;COUNT(Dong1),"",OFFSET(TH!C$1,SMALL(Dong1,ROWS($1:62)),))</f>
        <v>42165</v>
      </c>
      <c r="B75" s="119">
        <f ca="1">IF(ROWS($1:62)&gt;COUNT(Dong1),"",OFFSET(TH!E$1,SMALL(Dong1,ROWS($1:62)),))</f>
        <v>42165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GBC</v>
      </c>
      <c r="E75" s="228" t="str">
        <f ca="1">IF(ROWS($1:62)&gt;COUNT(Dong1),"",OFFSET(TH!F$1,SMALL(Dong1,ROWS($1:62)),))</f>
        <v>Nộp tiền mặt vào tài khoản</v>
      </c>
      <c r="F75" s="123" t="str">
        <f ca="1">IF(ROWS($1:62)&gt;COUNT(Dong1),"",IF(OFFSET(TH!M$1,SMALL(Dong1,ROWS($1:62)),)="1111",OFFSET(TH!L$1,SMALL(Dong1,ROWS($1:62)),),OFFSET(TH!M$1,SMALL(Dong1,ROWS($1:62)),)))</f>
        <v>1121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15000</v>
      </c>
      <c r="I75" s="120">
        <f t="shared" ca="1" si="2"/>
        <v>2758661650</v>
      </c>
      <c r="J75" s="125"/>
    </row>
    <row r="76" spans="1:12" ht="21.75" customHeight="1">
      <c r="A76" s="126"/>
      <c r="B76" s="125"/>
      <c r="C76" s="125"/>
      <c r="D76" s="125"/>
      <c r="E76" s="229"/>
      <c r="F76" s="127"/>
      <c r="G76" s="125"/>
      <c r="H76" s="125"/>
      <c r="I76" s="120"/>
      <c r="J76" s="125"/>
    </row>
    <row r="77" spans="1:12" s="115" customFormat="1" ht="21.75" customHeight="1">
      <c r="A77" s="128"/>
      <c r="B77" s="128"/>
      <c r="C77" s="128"/>
      <c r="D77" s="128"/>
      <c r="E77" s="128" t="s">
        <v>133</v>
      </c>
      <c r="F77" s="129" t="s">
        <v>19</v>
      </c>
      <c r="G77" s="128">
        <f ca="1">SUM(G14:G76)</f>
        <v>1873298140</v>
      </c>
      <c r="H77" s="128">
        <f ca="1">SUM(H14:H76)</f>
        <v>1878483914</v>
      </c>
      <c r="I77" s="129" t="s">
        <v>19</v>
      </c>
      <c r="J77" s="129" t="s">
        <v>19</v>
      </c>
    </row>
    <row r="78" spans="1:12" s="115" customFormat="1" ht="21.75" customHeight="1">
      <c r="A78" s="130"/>
      <c r="B78" s="130"/>
      <c r="C78" s="130"/>
      <c r="D78" s="130"/>
      <c r="E78" s="130" t="s">
        <v>134</v>
      </c>
      <c r="F78" s="131" t="s">
        <v>19</v>
      </c>
      <c r="G78" s="131" t="s">
        <v>19</v>
      </c>
      <c r="H78" s="131" t="s">
        <v>19</v>
      </c>
      <c r="I78" s="132">
        <f ca="1">I13+G77-H77</f>
        <v>2758661650</v>
      </c>
      <c r="J78" s="131" t="s">
        <v>19</v>
      </c>
    </row>
    <row r="79" spans="1:12">
      <c r="L79" s="251" t="s">
        <v>155</v>
      </c>
    </row>
    <row r="80" spans="1:12">
      <c r="A80" s="133" t="s">
        <v>156</v>
      </c>
      <c r="L80" s="251" t="s">
        <v>156</v>
      </c>
    </row>
    <row r="81" spans="1:12">
      <c r="A81" s="179" t="str">
        <f ca="1">"- Ngày mở sổ: "&amp;DAY($A$14)&amp;"/"&amp;MONTH($A$14)&amp;"/ " &amp;YEAR($A$14)</f>
        <v>- Ngày mở sổ: 10/4/ 2015</v>
      </c>
      <c r="L81" s="251" t="s">
        <v>135</v>
      </c>
    </row>
    <row r="82" spans="1:12">
      <c r="I82" s="189" t="str">
        <f ca="1">"Ngày "&amp;IF(OR($L$11=4,$L$11=6,$L$11=9,$L$11=11),"30",IF($L$11=2,"28","31"))&amp;" tháng "&amp;$O$11&amp;"  năm  "&amp;YEAR($A$14)</f>
        <v>Ngày 31 tháng 6  năm  2015</v>
      </c>
      <c r="L82" s="251" t="s">
        <v>153</v>
      </c>
    </row>
    <row r="83" spans="1:12" s="134" customFormat="1" ht="14.25">
      <c r="C83" s="134" t="s">
        <v>11</v>
      </c>
      <c r="E83" s="134" t="s">
        <v>12</v>
      </c>
      <c r="I83" s="134" t="s">
        <v>109</v>
      </c>
    </row>
    <row r="84" spans="1:12" s="135" customFormat="1">
      <c r="C84" s="135" t="s">
        <v>13</v>
      </c>
      <c r="E84" s="135" t="s">
        <v>13</v>
      </c>
      <c r="I84" s="135" t="s">
        <v>136</v>
      </c>
    </row>
    <row r="85" spans="1:12" s="135" customFormat="1"/>
    <row r="86" spans="1:12" s="135" customFormat="1"/>
    <row r="87" spans="1:12" s="135" customFormat="1"/>
    <row r="88" spans="1:12" s="135" customFormat="1"/>
    <row r="91" spans="1:12" ht="15.75">
      <c r="C91" s="226"/>
      <c r="I91" s="227"/>
    </row>
    <row r="92" spans="1:12">
      <c r="E92" s="110">
        <f ca="1">SUMIF($D$14:$D$36,#REF!,H14:H36)</f>
        <v>0</v>
      </c>
    </row>
    <row r="95" spans="1:12">
      <c r="A95" s="110">
        <v>2</v>
      </c>
      <c r="B95" s="110">
        <v>3</v>
      </c>
      <c r="C95" s="110">
        <v>4</v>
      </c>
      <c r="D95" s="110">
        <v>5</v>
      </c>
      <c r="E95" s="110">
        <v>6</v>
      </c>
      <c r="F95" s="110">
        <v>9</v>
      </c>
      <c r="G95" s="110">
        <v>10</v>
      </c>
      <c r="H95" s="110">
        <v>11</v>
      </c>
      <c r="I95" s="110">
        <v>12</v>
      </c>
      <c r="J95" s="110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3" sqref="G23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02 -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CHI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7">
        <v>4</v>
      </c>
      <c r="T4" s="81"/>
      <c r="U4" s="486" t="s">
        <v>4</v>
      </c>
      <c r="V4" s="106"/>
      <c r="W4" s="487">
        <v>23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 xml:space="preserve">Lý do chi : 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e">
        <f ca="1">"Viết bằng chữ: " &amp;[2]!VND('IN-TC'!D13, TRUE)</f>
        <v>#NAME?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/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I17" s="61"/>
      <c r="J17" s="101" t="s">
        <v>110</v>
      </c>
      <c r="K17" s="102"/>
      <c r="L17" s="61"/>
      <c r="M17" s="103" t="str">
        <f>IF($U$4="T","Thủ quỹ","Người nhận tiền")</f>
        <v>Người nhận tiền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5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7"/>
      <c r="I1" s="230"/>
      <c r="K1" s="768"/>
      <c r="L1" s="768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99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8"/>
      <c r="H2" s="998"/>
      <c r="I2" s="231"/>
      <c r="K2" s="769"/>
      <c r="L2" s="769"/>
    </row>
    <row r="3" spans="1:21" s="139" customFormat="1" ht="16.5" customHeight="1">
      <c r="A3" s="176"/>
      <c r="B3" s="176"/>
      <c r="C3" s="176"/>
      <c r="D3" s="176"/>
      <c r="F3" s="998"/>
      <c r="G3" s="998"/>
      <c r="H3" s="998"/>
      <c r="I3" s="231"/>
    </row>
    <row r="4" spans="1:21" s="139" customFormat="1" ht="19.5" customHeight="1">
      <c r="A4" s="1001" t="s">
        <v>137</v>
      </c>
      <c r="B4" s="1001"/>
      <c r="C4" s="1001"/>
      <c r="D4" s="1001"/>
      <c r="E4" s="1001"/>
      <c r="F4" s="1001"/>
      <c r="G4" s="1001"/>
      <c r="H4" s="1001"/>
      <c r="I4" s="1001"/>
    </row>
    <row r="5" spans="1:21" s="139" customFormat="1" ht="15">
      <c r="A5" s="1002" t="str">
        <f>"Nơi mở tài khoản giao dịch:  "&amp;IF($M$9="ACB"," Ngân Hàng ACB"," Ngân Hàng Eximbank - Chi Nhánh Chợ Lớn")</f>
        <v>Nơi mở tài khoản giao dịch:   Ngân Hàng ACB</v>
      </c>
      <c r="B5" s="1002"/>
      <c r="C5" s="1002"/>
      <c r="D5" s="1002"/>
      <c r="E5" s="1002"/>
      <c r="F5" s="1002"/>
      <c r="G5" s="1002"/>
      <c r="H5" s="1002"/>
      <c r="I5" s="1002"/>
    </row>
    <row r="6" spans="1:21" s="139" customFormat="1" ht="15">
      <c r="D6" s="259" t="s">
        <v>158</v>
      </c>
      <c r="E6" s="1002" t="str">
        <f>IF($M$9="ACB","100983119","1004 148 5104 6511")</f>
        <v>100983119</v>
      </c>
      <c r="F6" s="1002"/>
      <c r="G6" s="1002"/>
      <c r="H6" s="588" t="s">
        <v>108</v>
      </c>
      <c r="I6" s="260" t="str">
        <f>IF(H6="VNĐ","1121",IF(H6="USD","1122",""))</f>
        <v>1121</v>
      </c>
      <c r="N6" s="993" t="s">
        <v>331</v>
      </c>
      <c r="O6" s="993"/>
      <c r="Q6" s="999" t="s">
        <v>272</v>
      </c>
      <c r="R6" s="999" t="s">
        <v>332</v>
      </c>
      <c r="S6" s="999" t="s">
        <v>1894</v>
      </c>
      <c r="T6" s="999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89"/>
      <c r="I7" s="143"/>
      <c r="Q7" s="1000"/>
      <c r="R7" s="1000"/>
      <c r="S7" s="1000"/>
      <c r="T7" s="1000"/>
    </row>
    <row r="8" spans="1:21" s="144" customFormat="1" ht="22.5" customHeight="1" thickBot="1">
      <c r="A8" s="1005" t="s">
        <v>138</v>
      </c>
      <c r="B8" s="1007" t="s">
        <v>1</v>
      </c>
      <c r="C8" s="1008"/>
      <c r="D8" s="1003" t="s">
        <v>0</v>
      </c>
      <c r="E8" s="1009" t="s">
        <v>14</v>
      </c>
      <c r="F8" s="1011" t="s">
        <v>139</v>
      </c>
      <c r="G8" s="1011"/>
      <c r="H8" s="1008"/>
      <c r="I8" s="1003" t="s">
        <v>127</v>
      </c>
      <c r="K8" s="137"/>
      <c r="L8" s="139"/>
      <c r="N8" s="596">
        <f>IF(K9="Quý I",1,IF(K9="Quý II",4,IF(K9="Quý III",7,IF(K9="Quý IV",10,""))))</f>
        <v>10</v>
      </c>
      <c r="O8" s="597">
        <f>IF(K9="Quý I",3,IF(K9="Quý II",6,IF(K9="Quý III",9,IF(K9="Quý IV",12,""))))</f>
        <v>12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06"/>
      <c r="B9" s="145" t="s">
        <v>15</v>
      </c>
      <c r="C9" s="146" t="s">
        <v>140</v>
      </c>
      <c r="D9" s="1004"/>
      <c r="E9" s="1010"/>
      <c r="F9" s="252" t="s">
        <v>141</v>
      </c>
      <c r="G9" s="147" t="s">
        <v>142</v>
      </c>
      <c r="H9" s="590" t="s">
        <v>143</v>
      </c>
      <c r="I9" s="1004"/>
      <c r="K9" s="177" t="s">
        <v>387</v>
      </c>
      <c r="L9" s="139"/>
      <c r="M9" s="463" t="s">
        <v>332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2540824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42282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42282</v>
      </c>
      <c r="D12" s="234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6748324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42282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42282</v>
      </c>
      <c r="D13" s="234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8">
        <f t="shared" ref="H13:H40" ca="1" si="0">IF(A13&lt;&gt;"",H12+F13-G13,0)</f>
        <v>36748324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42282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42282</v>
      </c>
      <c r="D14" s="234" t="str">
        <f ca="1">IF(ROWS($1:3)&gt;COUNT(Dong2),"",OFFSET(TH!F$1,SMALL(Dong2,ROWS($1:3)),))</f>
        <v>Thanh toán tiền hàng</v>
      </c>
      <c r="E14" s="155" t="str">
        <f ca="1">IF(ROWS($1:3)&gt;COUNT(Dong2),"",IF(OFFSET(TH!M$1,SMALL(Dong2,ROWS($1:3)),)=$I$6,OFFSET(TH!L$1,SMALL(Dong2,ROWS($1:3)),),OFFSET(TH!M$1,SMALL(Dong2,ROWS($1:3)),)))</f>
        <v>331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26700000</v>
      </c>
      <c r="H14" s="598">
        <f t="shared" ca="1" si="0"/>
        <v>10048324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42282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42282</v>
      </c>
      <c r="D15" s="234" t="str">
        <f ca="1">IF(ROWS($1:4)&gt;COUNT(Dong2),"",OFFSET(TH!F$1,SMALL(Dong2,ROWS($1:4)),))</f>
        <v>Thanh toán tiền hàng</v>
      </c>
      <c r="E15" s="155" t="str">
        <f ca="1">IF(ROWS($1:4)&gt;COUNT(Dong2),"",IF(OFFSET(TH!M$1,SMALL(Dong2,ROWS($1:4)),)=$I$6,OFFSET(TH!L$1,SMALL(Dong2,ROWS($1:4)),),OFFSET(TH!M$1,SMALL(Dong2,ROWS($1:4)),)))</f>
        <v>331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10000000</v>
      </c>
      <c r="H15" s="598">
        <f t="shared" ca="1" si="0"/>
        <v>48324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42282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42282</v>
      </c>
      <c r="D16" s="234" t="str">
        <f ca="1">IF(ROWS($1:5)&gt;COUNT(Dong2),"",OFFSET(TH!F$1,SMALL(Dong2,ROWS($1:5)),))</f>
        <v>Phí chuyển tiền</v>
      </c>
      <c r="E16" s="155" t="str">
        <f ca="1">IF(ROWS($1:5)&gt;COUNT(Dong2),"",IF(OFFSET(TH!M$1,SMALL(Dong2,ROWS($1:5)),)=$I$6,OFFSET(TH!L$1,SMALL(Dong2,ROWS($1:5)),),OFFSET(TH!M$1,SMALL(Dong2,ROWS($1:5)),)))</f>
        <v>642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15000</v>
      </c>
      <c r="H16" s="598">
        <f t="shared" ca="1" si="0"/>
        <v>33324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42282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42282</v>
      </c>
      <c r="D17" s="234" t="str">
        <f ca="1">IF(ROWS($1:6)&gt;COUNT(Dong2),"",OFFSET(TH!F$1,SMALL(Dong2,ROWS($1:6)),))</f>
        <v>Phí chuyển tiền</v>
      </c>
      <c r="E17" s="155" t="str">
        <f ca="1">IF(ROWS($1:6)&gt;COUNT(Dong2),"",IF(OFFSET(TH!M$1,SMALL(Dong2,ROWS($1:6)),)=$I$6,OFFSET(TH!L$1,SMALL(Dong2,ROWS($1:6)),),OFFSET(TH!M$1,SMALL(Dong2,ROWS($1:6)),)))</f>
        <v>642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15000</v>
      </c>
      <c r="H17" s="598">
        <f t="shared" ca="1" si="0"/>
        <v>18324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42284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42284</v>
      </c>
      <c r="D18" s="234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10740840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8">
        <f t="shared" ca="1" si="0"/>
        <v>10759164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42285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42285</v>
      </c>
      <c r="D19" s="234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8810340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8">
        <f t="shared" ca="1" si="0"/>
        <v>19569504</v>
      </c>
      <c r="I19" s="468"/>
      <c r="L19" s="139"/>
    </row>
    <row r="20" spans="1:17" s="144" customFormat="1" ht="18.75" customHeight="1">
      <c r="A20" s="155">
        <f ca="1">IF(ROWS($1:9)&gt;COUNT(Dong2),"",OFFSET(TH!C$1,SMALL(Dong2,ROWS($1:9)),))</f>
        <v>42286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42286</v>
      </c>
      <c r="D20" s="234" t="str">
        <f ca="1">IF(ROWS($1:9)&gt;COUNT(Dong2),"",OFFSET(TH!F$1,SMALL(Dong2,ROWS($1:9)),))</f>
        <v>Thu tiền hàng</v>
      </c>
      <c r="E20" s="155" t="str">
        <f ca="1">IF(ROWS($1:9)&gt;COUNT(Dong2),"",IF(OFFSET(TH!M$1,SMALL(Dong2,ROWS($1:9)),)=$I$6,OFFSET(TH!L$1,SMALL(Dong2,ROWS($1:9)),),OFFSET(TH!M$1,SMALL(Dong2,ROWS($1:9)),)))</f>
        <v>131</v>
      </c>
      <c r="F20" s="47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5653263</v>
      </c>
      <c r="G20" s="47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8">
        <f t="shared" ca="1" si="0"/>
        <v>25222767</v>
      </c>
      <c r="I20" s="468"/>
      <c r="L20" s="139"/>
    </row>
    <row r="21" spans="1:17" s="144" customFormat="1" ht="18.75" customHeight="1">
      <c r="A21" s="155">
        <f ca="1">IF(ROWS($1:10)&gt;COUNT(Dong2),"",OFFSET(TH!C$1,SMALL(Dong2,ROWS($1:10)),))</f>
        <v>42286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42286</v>
      </c>
      <c r="D21" s="234" t="str">
        <f ca="1">IF(ROWS($1:10)&gt;COUNT(Dong2),"",OFFSET(TH!F$1,SMALL(Dong2,ROWS($1:10)),))</f>
        <v>Chi sec nhập quỹ tiền mặt</v>
      </c>
      <c r="E21" s="155" t="str">
        <f ca="1">IF(ROWS($1:10)&gt;COUNT(Dong2),"",IF(OFFSET(TH!M$1,SMALL(Dong2,ROWS($1:10)),)=$I$6,OFFSET(TH!L$1,SMALL(Dong2,ROWS($1:10)),),OFFSET(TH!M$1,SMALL(Dong2,ROWS($1:10)),)))</f>
        <v>1111</v>
      </c>
      <c r="F21" s="47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19000000</v>
      </c>
      <c r="H21" s="598">
        <f t="shared" ca="1" si="0"/>
        <v>6222767</v>
      </c>
      <c r="I21" s="468"/>
      <c r="L21" s="139"/>
      <c r="Q21" s="466"/>
    </row>
    <row r="22" spans="1:17" s="144" customFormat="1" ht="18.75" customHeight="1">
      <c r="A22" s="155">
        <f ca="1">IF(ROWS($1:11)&gt;COUNT(Dong2),"",OFFSET(TH!C$1,SMALL(Dong2,ROWS($1:11)),))</f>
        <v>42287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42287</v>
      </c>
      <c r="D22" s="234" t="str">
        <f ca="1">IF(ROWS($1:11)&gt;COUNT(Dong2),"",OFFSET(TH!F$1,SMALL(Dong2,ROWS($1:11)),))</f>
        <v>Chi sec nhập quỹ tiền mặt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7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6200000</v>
      </c>
      <c r="H22" s="598">
        <f t="shared" ca="1" si="0"/>
        <v>22767</v>
      </c>
      <c r="I22" s="468"/>
      <c r="L22" s="139"/>
    </row>
    <row r="23" spans="1:17" s="144" customFormat="1" ht="18.75" customHeight="1">
      <c r="A23" s="155">
        <f ca="1">IF(ROWS($1:12)&gt;COUNT(Dong2),"",OFFSET(TH!C$1,SMALL(Dong2,ROWS($1:12)),))</f>
        <v>42290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42290</v>
      </c>
      <c r="D23" s="234" t="str">
        <f ca="1">IF(ROWS($1:12)&gt;COUNT(Dong2),"",OFFSET(TH!F$1,SMALL(Dong2,ROWS($1:12)),))</f>
        <v>Thu tiền hàng</v>
      </c>
      <c r="E23" s="155" t="str">
        <f ca="1">IF(ROWS($1:12)&gt;COUNT(Dong2),"",IF(OFFSET(TH!M$1,SMALL(Dong2,ROWS($1:12)),)=$I$6,OFFSET(TH!L$1,SMALL(Dong2,ROWS($1:12)),),OFFSET(TH!M$1,SMALL(Dong2,ROWS($1:12)),)))</f>
        <v>131</v>
      </c>
      <c r="F23" s="47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2739000</v>
      </c>
      <c r="G23" s="47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98">
        <f t="shared" ca="1" si="0"/>
        <v>2761767</v>
      </c>
      <c r="I23" s="468"/>
      <c r="L23" s="139"/>
      <c r="Q23" s="586"/>
    </row>
    <row r="24" spans="1:17" s="144" customFormat="1" ht="18.75" customHeight="1">
      <c r="A24" s="155">
        <f ca="1">IF(ROWS($1:13)&gt;COUNT(Dong2),"",OFFSET(TH!C$1,SMALL(Dong2,ROWS($1:13)),))</f>
        <v>42291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42291</v>
      </c>
      <c r="D24" s="234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6974925</v>
      </c>
      <c r="G24" s="47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8">
        <f t="shared" ca="1" si="0"/>
        <v>9736692</v>
      </c>
      <c r="I24" s="468"/>
      <c r="L24" s="139"/>
    </row>
    <row r="25" spans="1:17" s="144" customFormat="1" ht="18.75" customHeight="1">
      <c r="A25" s="155">
        <f ca="1">IF(ROWS($1:14)&gt;COUNT(Dong2),"",OFFSET(TH!C$1,SMALL(Dong2,ROWS($1:14)),))</f>
        <v>42291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42291</v>
      </c>
      <c r="D25" s="234" t="str">
        <f ca="1">IF(ROWS($1:14)&gt;COUNT(Dong2),"",OFFSET(TH!F$1,SMALL(Dong2,ROWS($1:14)),))</f>
        <v>Thu tiền hàng</v>
      </c>
      <c r="E25" s="155" t="str">
        <f ca="1">IF(ROWS($1:14)&gt;COUNT(Dong2),"",IF(OFFSET(TH!M$1,SMALL(Dong2,ROWS($1:14)),)=$I$6,OFFSET(TH!L$1,SMALL(Dong2,ROWS($1:14)),),OFFSET(TH!M$1,SMALL(Dong2,ROWS($1:14)),)))</f>
        <v>131</v>
      </c>
      <c r="F25" s="47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12614490</v>
      </c>
      <c r="G25" s="47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8">
        <f t="shared" ca="1" si="0"/>
        <v>22351182</v>
      </c>
      <c r="I25" s="468"/>
      <c r="L25" s="139"/>
    </row>
    <row r="26" spans="1:17" s="144" customFormat="1" ht="18.75" customHeight="1">
      <c r="A26" s="155">
        <f ca="1">IF(ROWS($1:15)&gt;COUNT(Dong2),"",OFFSET(TH!C$1,SMALL(Dong2,ROWS($1:15)),))</f>
        <v>42291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42291</v>
      </c>
      <c r="D26" s="234" t="str">
        <f ca="1">IF(ROWS($1:15)&gt;COUNT(Dong2),"",OFFSET(TH!F$1,SMALL(Dong2,ROWS($1:15)),))</f>
        <v>Chi sec nhập quỹ tiền mặt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7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2700000</v>
      </c>
      <c r="H26" s="598">
        <f t="shared" ca="1" si="0"/>
        <v>19651182</v>
      </c>
      <c r="I26" s="468"/>
      <c r="L26" s="139"/>
    </row>
    <row r="27" spans="1:17" s="144" customFormat="1" ht="18.75" customHeight="1">
      <c r="A27" s="155">
        <f ca="1">IF(ROWS($1:16)&gt;COUNT(Dong2),"",OFFSET(TH!C$1,SMALL(Dong2,ROWS($1:16)),))</f>
        <v>42293</v>
      </c>
      <c r="B27" s="155" t="str">
        <f ca="1">IF(ROWS($1:16)&gt;COUNT(Dong2),"",OFFSET(TH!D$1,SMALL(Dong2,ROWS($1:16)),))</f>
        <v>GBC</v>
      </c>
      <c r="C27" s="155">
        <f ca="1">IF(ROWS($1:16)&gt;COUNT(Dong2),"",OFFSET(TH!E$1,SMALL(Dong2,ROWS($1:16)),))</f>
        <v>42293</v>
      </c>
      <c r="D27" s="234" t="str">
        <f ca="1">IF(ROWS($1:16)&gt;COUNT(Dong2),"",OFFSET(TH!F$1,SMALL(Dong2,ROWS($1:16)),))</f>
        <v>Thu tiền hàng</v>
      </c>
      <c r="E27" s="155" t="str">
        <f ca="1">IF(ROWS($1:16)&gt;COUNT(Dong2),"",IF(OFFSET(TH!M$1,SMALL(Dong2,ROWS($1:16)),)=$I$6,OFFSET(TH!L$1,SMALL(Dong2,ROWS($1:16)),),OFFSET(TH!M$1,SMALL(Dong2,ROWS($1:16)),)))</f>
        <v>131</v>
      </c>
      <c r="F27" s="47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27641900</v>
      </c>
      <c r="G27" s="47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98">
        <f t="shared" ca="1" si="0"/>
        <v>47293082</v>
      </c>
      <c r="I27" s="468"/>
      <c r="L27" s="139"/>
    </row>
    <row r="28" spans="1:17" s="144" customFormat="1" ht="18.75" customHeight="1">
      <c r="A28" s="155">
        <f ca="1">IF(ROWS($1:17)&gt;COUNT(Dong2),"",OFFSET(TH!C$1,SMALL(Dong2,ROWS($1:17)),))</f>
        <v>42296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42296</v>
      </c>
      <c r="D28" s="234" t="str">
        <f ca="1">IF(ROWS($1:17)&gt;COUNT(Dong2),"",OFFSET(TH!F$1,SMALL(Dong2,ROWS($1:17)),))</f>
        <v>Nộp tiền mặt vào tài khoản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65200000</v>
      </c>
      <c r="G28" s="47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8">
        <f t="shared" ca="1" si="0"/>
        <v>112493082</v>
      </c>
      <c r="I28" s="468"/>
      <c r="L28" s="139"/>
    </row>
    <row r="29" spans="1:17" s="144" customFormat="1" ht="18.75" customHeight="1">
      <c r="A29" s="155">
        <f ca="1">IF(ROWS($1:18)&gt;COUNT(Dong2),"",OFFSET(TH!C$1,SMALL(Dong2,ROWS($1:18)),))</f>
        <v>42296</v>
      </c>
      <c r="B29" s="155" t="str">
        <f ca="1">IF(ROWS($1:18)&gt;COUNT(Dong2),"",OFFSET(TH!D$1,SMALL(Dong2,ROWS($1:18)),))</f>
        <v>GBC</v>
      </c>
      <c r="C29" s="155">
        <f ca="1">IF(ROWS($1:18)&gt;COUNT(Dong2),"",OFFSET(TH!E$1,SMALL(Dong2,ROWS($1:18)),))</f>
        <v>42296</v>
      </c>
      <c r="D29" s="234" t="str">
        <f ca="1">IF(ROWS($1:18)&gt;COUNT(Dong2),"",OFFSET(TH!F$1,SMALL(Dong2,ROWS($1:18)),))</f>
        <v>Chi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32200000</v>
      </c>
      <c r="H29" s="598">
        <f t="shared" ca="1" si="0"/>
        <v>80293082</v>
      </c>
      <c r="I29" s="468"/>
      <c r="L29" s="139"/>
    </row>
    <row r="30" spans="1:17" s="144" customFormat="1" ht="18.75" customHeight="1">
      <c r="A30" s="155">
        <f ca="1">IF(ROWS($1:19)&gt;COUNT(Dong2),"",OFFSET(TH!C$1,SMALL(Dong2,ROWS($1:19)),))</f>
        <v>42296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42296</v>
      </c>
      <c r="D30" s="234" t="str">
        <f ca="1">IF(ROWS($1:19)&gt;COUNT(Dong2),"",OFFSET(TH!F$1,SMALL(Dong2,ROWS($1:19)),))</f>
        <v>Thanh toán tiền hàng</v>
      </c>
      <c r="E30" s="155" t="str">
        <f ca="1">IF(ROWS($1:19)&gt;COUNT(Dong2),"",IF(OFFSET(TH!M$1,SMALL(Dong2,ROWS($1:19)),)=$I$6,OFFSET(TH!L$1,SMALL(Dong2,ROWS($1:19)),),OFFSET(TH!M$1,SMALL(Dong2,ROWS($1:19)),)))</f>
        <v>331</v>
      </c>
      <c r="F30" s="47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15000000</v>
      </c>
      <c r="H30" s="598">
        <f t="shared" ca="1" si="0"/>
        <v>65293082</v>
      </c>
      <c r="I30" s="468"/>
      <c r="L30" s="139"/>
    </row>
    <row r="31" spans="1:17" s="144" customFormat="1" ht="18.75" customHeight="1">
      <c r="A31" s="155">
        <f ca="1">IF(ROWS($1:20)&gt;COUNT(Dong2),"",OFFSET(TH!C$1,SMALL(Dong2,ROWS($1:20)),))</f>
        <v>42296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42296</v>
      </c>
      <c r="D31" s="234" t="str">
        <f ca="1">IF(ROWS($1:20)&gt;COUNT(Dong2),"",OFFSET(TH!F$1,SMALL(Dong2,ROWS($1:20)),))</f>
        <v>Phí chuyển tiền</v>
      </c>
      <c r="E31" s="155" t="str">
        <f ca="1">IF(ROWS($1:20)&gt;COUNT(Dong2),"",IF(OFFSET(TH!M$1,SMALL(Dong2,ROWS($1:20)),)=$I$6,OFFSET(TH!L$1,SMALL(Dong2,ROWS($1:20)),),OFFSET(TH!M$1,SMALL(Dong2,ROWS($1:20)),)))</f>
        <v>642</v>
      </c>
      <c r="F31" s="47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15000</v>
      </c>
      <c r="H31" s="598">
        <f t="shared" ca="1" si="0"/>
        <v>65278082</v>
      </c>
      <c r="I31" s="468"/>
      <c r="L31" s="139"/>
    </row>
    <row r="32" spans="1:17" s="144" customFormat="1" ht="18.75" customHeight="1">
      <c r="A32" s="155">
        <f ca="1">IF(ROWS($1:21)&gt;COUNT(Dong2),"",OFFSET(TH!C$1,SMALL(Dong2,ROWS($1:21)),))</f>
        <v>42296</v>
      </c>
      <c r="B32" s="155" t="str">
        <f ca="1">IF(ROWS($1:21)&gt;COUNT(Dong2),"",OFFSET(TH!D$1,SMALL(Dong2,ROWS($1:21)),))</f>
        <v>GBC</v>
      </c>
      <c r="C32" s="155">
        <f ca="1">IF(ROWS($1:21)&gt;COUNT(Dong2),"",OFFSET(TH!E$1,SMALL(Dong2,ROWS($1:21)),))</f>
        <v>42296</v>
      </c>
      <c r="D32" s="234" t="str">
        <f ca="1">IF(ROWS($1:21)&gt;COUNT(Dong2),"",OFFSET(TH!F$1,SMALL(Dong2,ROWS($1:21)),))</f>
        <v>Thanh toán tiền hàng</v>
      </c>
      <c r="E32" s="155" t="str">
        <f ca="1">IF(ROWS($1:21)&gt;COUNT(Dong2),"",IF(OFFSET(TH!M$1,SMALL(Dong2,ROWS($1:21)),)=$I$6,OFFSET(TH!L$1,SMALL(Dong2,ROWS($1:21)),),OFFSET(TH!M$1,SMALL(Dong2,ROWS($1:21)),)))</f>
        <v>331</v>
      </c>
      <c r="F32" s="47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30000000</v>
      </c>
      <c r="H32" s="598">
        <f t="shared" ca="1" si="0"/>
        <v>35278082</v>
      </c>
      <c r="I32" s="468"/>
      <c r="L32" s="139"/>
    </row>
    <row r="33" spans="1:12" s="144" customFormat="1" ht="18.75" customHeight="1">
      <c r="A33" s="155">
        <f ca="1">IF(ROWS($1:22)&gt;COUNT(Dong2),"",OFFSET(TH!C$1,SMALL(Dong2,ROWS($1:22)),))</f>
        <v>42296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42296</v>
      </c>
      <c r="D33" s="234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7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30000000</v>
      </c>
      <c r="H33" s="598">
        <f t="shared" ca="1" si="0"/>
        <v>5278082</v>
      </c>
      <c r="I33" s="468"/>
      <c r="L33" s="139"/>
    </row>
    <row r="34" spans="1:12" s="144" customFormat="1" ht="18.75" customHeight="1">
      <c r="A34" s="155">
        <f ca="1">IF(ROWS($1:23)&gt;COUNT(Dong2),"",OFFSET(TH!C$1,SMALL(Dong2,ROWS($1:23)),))</f>
        <v>42296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42296</v>
      </c>
      <c r="D34" s="234" t="str">
        <f ca="1">IF(ROWS($1:23)&gt;COUNT(Dong2),"",OFFSET(TH!F$1,SMALL(Dong2,ROWS($1:23)),))</f>
        <v>Thanh toán tiền hàng</v>
      </c>
      <c r="E34" s="155" t="str">
        <f ca="1">IF(ROWS($1:23)&gt;COUNT(Dong2),"",IF(OFFSET(TH!M$1,SMALL(Dong2,ROWS($1:23)),)=$I$6,OFFSET(TH!L$1,SMALL(Dong2,ROWS($1:23)),),OFFSET(TH!M$1,SMALL(Dong2,ROWS($1:23)),)))</f>
        <v>331</v>
      </c>
      <c r="F34" s="47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</v>
      </c>
      <c r="H34" s="598">
        <f t="shared" ca="1" si="0"/>
        <v>278082</v>
      </c>
      <c r="I34" s="468"/>
      <c r="L34" s="139"/>
    </row>
    <row r="35" spans="1:12" s="144" customFormat="1" ht="18.75" customHeight="1">
      <c r="A35" s="155">
        <f ca="1">IF(ROWS($1:24)&gt;COUNT(Dong2),"",OFFSET(TH!C$1,SMALL(Dong2,ROWS($1:24)),))</f>
        <v>42296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42296</v>
      </c>
      <c r="D35" s="234" t="str">
        <f ca="1">IF(ROWS($1:24)&gt;COUNT(Dong2),"",OFFSET(TH!F$1,SMALL(Dong2,ROWS($1:24)),))</f>
        <v>Phí kiểm đếm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7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19477</v>
      </c>
      <c r="H35" s="598">
        <f t="shared" ca="1" si="0"/>
        <v>258605</v>
      </c>
      <c r="I35" s="468"/>
      <c r="L35" s="139"/>
    </row>
    <row r="36" spans="1:12" s="144" customFormat="1" ht="18.75" customHeight="1">
      <c r="A36" s="155">
        <f ca="1">IF(ROWS($1:25)&gt;COUNT(Dong2),"",OFFSET(TH!C$1,SMALL(Dong2,ROWS($1:25)),))</f>
        <v>42296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42296</v>
      </c>
      <c r="D36" s="234" t="str">
        <f ca="1">IF(ROWS($1:25)&gt;COUNT(Dong2),"",OFFSET(TH!F$1,SMALL(Dong2,ROWS($1:25)),))</f>
        <v>Phí chuyển tiền</v>
      </c>
      <c r="E36" s="155" t="str">
        <f ca="1">IF(ROWS($1:25)&gt;COUNT(Dong2),"",IF(OFFSET(TH!M$1,SMALL(Dong2,ROWS($1:25)),)=$I$6,OFFSET(TH!L$1,SMALL(Dong2,ROWS($1:25)),),OFFSET(TH!M$1,SMALL(Dong2,ROWS($1:25)),)))</f>
        <v>642</v>
      </c>
      <c r="F36" s="47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598">
        <f t="shared" ca="1" si="0"/>
        <v>243605</v>
      </c>
      <c r="I36" s="468"/>
      <c r="L36" s="139"/>
    </row>
    <row r="37" spans="1:12" s="144" customFormat="1" ht="18.75" customHeight="1">
      <c r="A37" s="155">
        <f ca="1">IF(ROWS($1:26)&gt;COUNT(Dong2),"",OFFSET(TH!C$1,SMALL(Dong2,ROWS($1:26)),))</f>
        <v>42296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42296</v>
      </c>
      <c r="D37" s="234" t="str">
        <f ca="1">IF(ROWS($1:26)&gt;COUNT(Dong2),"",OFFSET(TH!F$1,SMALL(Dong2,ROWS($1:26)),))</f>
        <v>Phí chuyển tiền</v>
      </c>
      <c r="E37" s="155" t="str">
        <f ca="1">IF(ROWS($1:26)&gt;COUNT(Dong2),"",IF(OFFSET(TH!M$1,SMALL(Dong2,ROWS($1:26)),)=$I$6,OFFSET(TH!L$1,SMALL(Dong2,ROWS($1:26)),),OFFSET(TH!M$1,SMALL(Dong2,ROWS($1:26)),)))</f>
        <v>642</v>
      </c>
      <c r="F37" s="47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15000</v>
      </c>
      <c r="H37" s="598">
        <f t="shared" ca="1" si="0"/>
        <v>228605</v>
      </c>
      <c r="I37" s="468"/>
      <c r="L37" s="139"/>
    </row>
    <row r="38" spans="1:12" s="144" customFormat="1" ht="18.75" customHeight="1">
      <c r="A38" s="155">
        <f ca="1">IF(ROWS($1:27)&gt;COUNT(Dong2),"",OFFSET(TH!C$1,SMALL(Dong2,ROWS($1:27)),))</f>
        <v>42296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42296</v>
      </c>
      <c r="D38" s="234" t="str">
        <f ca="1">IF(ROWS($1:27)&gt;COUNT(Dong2),"",OFFSET(TH!F$1,SMALL(Dong2,ROWS($1:27)),))</f>
        <v>Phí chuyển tiền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7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15000</v>
      </c>
      <c r="H38" s="598">
        <f t="shared" ca="1" si="0"/>
        <v>213605</v>
      </c>
      <c r="I38" s="468"/>
      <c r="L38" s="139"/>
    </row>
    <row r="39" spans="1:12" s="144" customFormat="1" ht="18.75" customHeight="1">
      <c r="A39" s="155">
        <f ca="1">IF(ROWS($1:28)&gt;COUNT(Dong2),"",OFFSET(TH!C$1,SMALL(Dong2,ROWS($1:28)),))</f>
        <v>42298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42298</v>
      </c>
      <c r="D39" s="234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7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33455400</v>
      </c>
      <c r="G39" s="47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98">
        <f t="shared" ca="1" si="0"/>
        <v>33669005</v>
      </c>
      <c r="I39" s="468"/>
      <c r="L39" s="139"/>
    </row>
    <row r="40" spans="1:12" s="144" customFormat="1" ht="18.75" customHeight="1">
      <c r="A40" s="155">
        <f ca="1">IF(ROWS($1:29)&gt;COUNT(Dong2),"",OFFSET(TH!C$1,SMALL(Dong2,ROWS($1:29)),))</f>
        <v>42299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42299</v>
      </c>
      <c r="D40" s="234" t="str">
        <f ca="1">IF(ROWS($1:29)&gt;COUNT(Dong2),"",OFFSET(TH!F$1,SMALL(Dong2,ROWS($1:29)),))</f>
        <v>Chuyển tiền Eximbank</v>
      </c>
      <c r="E40" s="155" t="str">
        <f ca="1">IF(ROWS($1:29)&gt;COUNT(Dong2),"",IF(OFFSET(TH!M$1,SMALL(Dong2,ROWS($1:29)),)=$I$6,OFFSET(TH!L$1,SMALL(Dong2,ROWS($1:29)),),OFFSET(TH!M$1,SMALL(Dong2,ROWS($1:29)),)))</f>
        <v>1121</v>
      </c>
      <c r="F40" s="47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30982388</v>
      </c>
      <c r="H40" s="598">
        <f t="shared" ca="1" si="0"/>
        <v>2686617</v>
      </c>
      <c r="I40" s="468"/>
    </row>
    <row r="41" spans="1:12" s="144" customFormat="1" ht="18.75" customHeight="1">
      <c r="A41" s="155">
        <f ca="1">IF(ROWS($1:30)&gt;COUNT(Dong2),"",OFFSET(TH!C$1,SMALL(Dong2,ROWS($1:30)),))</f>
        <v>42299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42299</v>
      </c>
      <c r="D41" s="234" t="str">
        <f ca="1">IF(ROWS($1:30)&gt;COUNT(Dong2),"",OFFSET(TH!F$1,SMALL(Dong2,ROWS($1:30)),))</f>
        <v>Phí chuyển tiền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598">
        <f t="shared" ref="H41:H43" ca="1" si="1">IF(A41&lt;&gt;"",H40+F41-G41,0)</f>
        <v>2671617</v>
      </c>
      <c r="I41" s="468"/>
    </row>
    <row r="42" spans="1:12" s="144" customFormat="1" ht="18.75" customHeight="1">
      <c r="A42" s="155">
        <f ca="1">IF(ROWS($1:31)&gt;COUNT(Dong2),"",OFFSET(TH!C$1,SMALL(Dong2,ROWS($1:31)),))</f>
        <v>42300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42300</v>
      </c>
      <c r="D42" s="234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7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31016260</v>
      </c>
      <c r="G42" s="47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8">
        <f t="shared" ca="1" si="1"/>
        <v>33687877</v>
      </c>
      <c r="I42" s="468"/>
    </row>
    <row r="43" spans="1:12" s="144" customFormat="1" ht="18.75" customHeight="1">
      <c r="A43" s="155">
        <f ca="1">IF(ROWS($1:32)&gt;COUNT(Dong2),"",OFFSET(TH!C$1,SMALL(Dong2,ROWS($1:32)),))</f>
        <v>42301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42301</v>
      </c>
      <c r="D43" s="234" t="str">
        <f ca="1">IF(ROWS($1:32)&gt;COUNT(Dong2),"",OFFSET(TH!F$1,SMALL(Dong2,ROWS($1:32)),))</f>
        <v>Lãi tiền gửi</v>
      </c>
      <c r="E43" s="155" t="str">
        <f ca="1">IF(ROWS($1:32)&gt;COUNT(Dong2),"",IF(OFFSET(TH!M$1,SMALL(Dong2,ROWS($1:32)),)=$I$6,OFFSET(TH!L$1,SMALL(Dong2,ROWS($1:32)),),OFFSET(TH!M$1,SMALL(Dong2,ROWS($1:32)),)))</f>
        <v>515</v>
      </c>
      <c r="F43" s="47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4428</v>
      </c>
      <c r="G43" s="47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8">
        <f t="shared" ca="1" si="1"/>
        <v>33692305</v>
      </c>
      <c r="I43" s="468"/>
    </row>
    <row r="44" spans="1:12" s="144" customFormat="1" ht="18.75" customHeight="1">
      <c r="A44" s="155">
        <f ca="1">IF(ROWS($1:33)&gt;COUNT(Dong2),"",OFFSET(TH!C$1,SMALL(Dong2,ROWS($1:33)),))</f>
        <v>42303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42303</v>
      </c>
      <c r="D44" s="234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7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6257460</v>
      </c>
      <c r="G44" s="47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98">
        <f t="shared" ref="H44" ca="1" si="2">IF(A44&lt;&gt;"",H43+F44-G44,0)</f>
        <v>39949765</v>
      </c>
      <c r="I44" s="468"/>
    </row>
    <row r="45" spans="1:12" s="144" customFormat="1" ht="18.75" customHeight="1">
      <c r="A45" s="155">
        <f ca="1">IF(ROWS($1:34)&gt;COUNT(Dong2),"",OFFSET(TH!C$1,SMALL(Dong2,ROWS($1:34)),))</f>
        <v>42304</v>
      </c>
      <c r="B45" s="155" t="str">
        <f ca="1">IF(ROWS($1:34)&gt;COUNT(Dong2),"",OFFSET(TH!D$1,SMALL(Dong2,ROWS($1:34)),))</f>
        <v>GBC</v>
      </c>
      <c r="C45" s="155">
        <f ca="1">IF(ROWS($1:34)&gt;COUNT(Dong2),"",OFFSET(TH!E$1,SMALL(Dong2,ROWS($1:34)),))</f>
        <v>42304</v>
      </c>
      <c r="D45" s="234" t="str">
        <f ca="1">IF(ROWS($1:34)&gt;COUNT(Dong2),"",OFFSET(TH!F$1,SMALL(Dong2,ROWS($1:34)),))</f>
        <v>Chi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6900000</v>
      </c>
      <c r="H45" s="598">
        <f t="shared" ref="H45:H73" ca="1" si="3">IF(A45&lt;&gt;"",H44+F45-G45,0)</f>
        <v>33049765</v>
      </c>
      <c r="I45" s="468"/>
    </row>
    <row r="46" spans="1:12" s="144" customFormat="1" ht="18.75" customHeight="1">
      <c r="A46" s="155">
        <f ca="1">IF(ROWS($1:35)&gt;COUNT(Dong2),"",OFFSET(TH!C$1,SMALL(Dong2,ROWS($1:35)),))</f>
        <v>42304</v>
      </c>
      <c r="B46" s="155" t="str">
        <f ca="1">IF(ROWS($1:35)&gt;COUNT(Dong2),"",OFFSET(TH!D$1,SMALL(Dong2,ROWS($1:35)),))</f>
        <v>GBC</v>
      </c>
      <c r="C46" s="155">
        <f ca="1">IF(ROWS($1:35)&gt;COUNT(Dong2),"",OFFSET(TH!E$1,SMALL(Dong2,ROWS($1:35)),))</f>
        <v>42304</v>
      </c>
      <c r="D46" s="234" t="str">
        <f ca="1">IF(ROWS($1:35)&gt;COUNT(Dong2),"",OFFSET(TH!F$1,SMALL(Dong2,ROWS($1:35)),))</f>
        <v>Thanh toán tiền hàng</v>
      </c>
      <c r="E46" s="155" t="str">
        <f ca="1">IF(ROWS($1:35)&gt;COUNT(Dong2),"",IF(OFFSET(TH!M$1,SMALL(Dong2,ROWS($1:35)),)=$I$6,OFFSET(TH!L$1,SMALL(Dong2,ROWS($1:35)),),OFFSET(TH!M$1,SMALL(Dong2,ROWS($1:35)),)))</f>
        <v>331</v>
      </c>
      <c r="F46" s="47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23000000</v>
      </c>
      <c r="H46" s="598">
        <f t="shared" ca="1" si="3"/>
        <v>10049765</v>
      </c>
      <c r="I46" s="468"/>
    </row>
    <row r="47" spans="1:12" s="144" customFormat="1" ht="18.75" customHeight="1">
      <c r="A47" s="155">
        <f ca="1">IF(ROWS($1:36)&gt;COUNT(Dong2),"",OFFSET(TH!C$1,SMALL(Dong2,ROWS($1:36)),))</f>
        <v>42304</v>
      </c>
      <c r="B47" s="155" t="str">
        <f ca="1">IF(ROWS($1:36)&gt;COUNT(Dong2),"",OFFSET(TH!D$1,SMALL(Dong2,ROWS($1:36)),))</f>
        <v>GBC</v>
      </c>
      <c r="C47" s="155">
        <f ca="1">IF(ROWS($1:36)&gt;COUNT(Dong2),"",OFFSET(TH!E$1,SMALL(Dong2,ROWS($1:36)),))</f>
        <v>42304</v>
      </c>
      <c r="D47" s="234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10000000</v>
      </c>
      <c r="H47" s="598">
        <f t="shared" ca="1" si="3"/>
        <v>49765</v>
      </c>
      <c r="I47" s="468"/>
    </row>
    <row r="48" spans="1:12" s="144" customFormat="1" ht="18.75" customHeight="1">
      <c r="A48" s="155">
        <f ca="1">IF(ROWS($1:37)&gt;COUNT(Dong2),"",OFFSET(TH!C$1,SMALL(Dong2,ROWS($1:37)),))</f>
        <v>42304</v>
      </c>
      <c r="B48" s="155" t="str">
        <f ca="1">IF(ROWS($1:37)&gt;COUNT(Dong2),"",OFFSET(TH!D$1,SMALL(Dong2,ROWS($1:37)),))</f>
        <v>GBC</v>
      </c>
      <c r="C48" s="155">
        <f ca="1">IF(ROWS($1:37)&gt;COUNT(Dong2),"",OFFSET(TH!E$1,SMALL(Dong2,ROWS($1:37)),))</f>
        <v>42304</v>
      </c>
      <c r="D48" s="234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7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98">
        <f t="shared" ca="1" si="3"/>
        <v>34765</v>
      </c>
      <c r="I48" s="468"/>
    </row>
    <row r="49" spans="1:9" s="144" customFormat="1" ht="18.75" customHeight="1">
      <c r="A49" s="155">
        <f ca="1">IF(ROWS($1:38)&gt;COUNT(Dong2),"",OFFSET(TH!C$1,SMALL(Dong2,ROWS($1:38)),))</f>
        <v>42304</v>
      </c>
      <c r="B49" s="155" t="str">
        <f ca="1">IF(ROWS($1:38)&gt;COUNT(Dong2),"",OFFSET(TH!D$1,SMALL(Dong2,ROWS($1:38)),))</f>
        <v>GBC</v>
      </c>
      <c r="C49" s="155">
        <f ca="1">IF(ROWS($1:38)&gt;COUNT(Dong2),"",OFFSET(TH!E$1,SMALL(Dong2,ROWS($1:38)),))</f>
        <v>42304</v>
      </c>
      <c r="D49" s="234" t="str">
        <f ca="1">IF(ROWS($1:38)&gt;COUNT(Dong2),"",OFFSET(TH!F$1,SMALL(Dong2,ROWS($1:38)),))</f>
        <v>Phí chuyển tiền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7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598">
        <f t="shared" ca="1" si="3"/>
        <v>19765</v>
      </c>
      <c r="I49" s="468"/>
    </row>
    <row r="50" spans="1:9" s="144" customFormat="1" ht="18.75" customHeight="1">
      <c r="A50" s="155">
        <f ca="1">IF(ROWS($1:39)&gt;COUNT(Dong2),"",OFFSET(TH!C$1,SMALL(Dong2,ROWS($1:39)),))</f>
        <v>42306</v>
      </c>
      <c r="B50" s="155" t="str">
        <f ca="1">IF(ROWS($1:39)&gt;COUNT(Dong2),"",OFFSET(TH!D$1,SMALL(Dong2,ROWS($1:39)),))</f>
        <v>GBC</v>
      </c>
      <c r="C50" s="155">
        <f ca="1">IF(ROWS($1:39)&gt;COUNT(Dong2),"",OFFSET(TH!E$1,SMALL(Dong2,ROWS($1:39)),))</f>
        <v>42306</v>
      </c>
      <c r="D50" s="234" t="str">
        <f ca="1">IF(ROWS($1:39)&gt;COUNT(Dong2),"",OFFSET(TH!F$1,SMALL(Dong2,ROWS($1:39)),))</f>
        <v>Thu tiền hàng</v>
      </c>
      <c r="E50" s="155" t="str">
        <f ca="1">IF(ROWS($1:39)&gt;COUNT(Dong2),"",IF(OFFSET(TH!M$1,SMALL(Dong2,ROWS($1:39)),)=$I$6,OFFSET(TH!L$1,SMALL(Dong2,ROWS($1:39)),),OFFSET(TH!M$1,SMALL(Dong2,ROWS($1:39)),)))</f>
        <v>131</v>
      </c>
      <c r="F50" s="47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6388800</v>
      </c>
      <c r="G50" s="47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98">
        <f t="shared" ca="1" si="3"/>
        <v>6408565</v>
      </c>
      <c r="I50" s="468"/>
    </row>
    <row r="51" spans="1:9" s="144" customFormat="1" ht="18.75" customHeight="1">
      <c r="A51" s="155">
        <f ca="1">IF(ROWS($1:40)&gt;COUNT(Dong2),"",OFFSET(TH!C$1,SMALL(Dong2,ROWS($1:40)),))</f>
        <v>42307</v>
      </c>
      <c r="B51" s="155" t="str">
        <f ca="1">IF(ROWS($1:40)&gt;COUNT(Dong2),"",OFFSET(TH!D$1,SMALL(Dong2,ROWS($1:40)),))</f>
        <v>GBC</v>
      </c>
      <c r="C51" s="155">
        <f ca="1">IF(ROWS($1:40)&gt;COUNT(Dong2),"",OFFSET(TH!E$1,SMALL(Dong2,ROWS($1:40)),))</f>
        <v>42307</v>
      </c>
      <c r="D51" s="234" t="str">
        <f ca="1">IF(ROWS($1:40)&gt;COUNT(Dong2),"",OFFSET(TH!F$1,SMALL(Dong2,ROWS($1:40)),))</f>
        <v>Thu tiền hàng</v>
      </c>
      <c r="E51" s="155" t="str">
        <f ca="1">IF(ROWS($1:40)&gt;COUNT(Dong2),"",IF(OFFSET(TH!M$1,SMALL(Dong2,ROWS($1:40)),)=$I$6,OFFSET(TH!L$1,SMALL(Dong2,ROWS($1:40)),),OFFSET(TH!M$1,SMALL(Dong2,ROWS($1:40)),)))</f>
        <v>131</v>
      </c>
      <c r="F51" s="47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598">
        <f t="shared" ca="1" si="3"/>
        <v>9900405</v>
      </c>
      <c r="I51" s="468"/>
    </row>
    <row r="52" spans="1:9" s="144" customFormat="1" ht="18.75" customHeight="1">
      <c r="A52" s="155">
        <f ca="1">IF(ROWS($1:41)&gt;COUNT(Dong2),"",OFFSET(TH!C$1,SMALL(Dong2,ROWS($1:41)),))</f>
        <v>42307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42307</v>
      </c>
      <c r="D52" s="234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7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98">
        <f t="shared" ca="1" si="3"/>
        <v>14803105</v>
      </c>
      <c r="I52" s="468"/>
    </row>
    <row r="53" spans="1:9" s="144" customFormat="1" ht="18.75" customHeight="1">
      <c r="A53" s="155">
        <f ca="1">IF(ROWS($1:42)&gt;COUNT(Dong2),"",OFFSET(TH!C$1,SMALL(Dong2,ROWS($1:42)),))</f>
        <v>42307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42307</v>
      </c>
      <c r="D53" s="234" t="str">
        <f ca="1">IF(ROWS($1:42)&gt;COUNT(Dong2),"",OFFSET(TH!F$1,SMALL(Dong2,ROWS($1:42)),))</f>
        <v>Thu tiền hàng</v>
      </c>
      <c r="E53" s="155" t="str">
        <f ca="1">IF(ROWS($1:42)&gt;COUNT(Dong2),"",IF(OFFSET(TH!M$1,SMALL(Dong2,ROWS($1:42)),)=$I$6,OFFSET(TH!L$1,SMALL(Dong2,ROWS($1:42)),),OFFSET(TH!M$1,SMALL(Dong2,ROWS($1:42)),)))</f>
        <v>131</v>
      </c>
      <c r="F53" s="47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98">
        <f t="shared" ca="1" si="3"/>
        <v>25290340</v>
      </c>
      <c r="I53" s="468"/>
    </row>
    <row r="54" spans="1:9" s="144" customFormat="1" ht="18.75" customHeight="1">
      <c r="A54" s="155">
        <f ca="1">IF(ROWS($1:43)&gt;COUNT(Dong2),"",OFFSET(TH!C$1,SMALL(Dong2,ROWS($1:43)),))</f>
        <v>42307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42307</v>
      </c>
      <c r="D54" s="234" t="str">
        <f ca="1">IF(ROWS($1:43)&gt;COUNT(Dong2),"",OFFSET(TH!F$1,SMALL(Dong2,ROWS($1:43)),))</f>
        <v>Chi sec nhập quỹ tiền mặt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7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25000000</v>
      </c>
      <c r="H54" s="598">
        <f t="shared" ca="1" si="3"/>
        <v>290340</v>
      </c>
      <c r="I54" s="468"/>
    </row>
    <row r="55" spans="1:9" s="144" customFormat="1" ht="18.75" customHeight="1">
      <c r="A55" s="155">
        <f ca="1">IF(ROWS($1:44)&gt;COUNT(Dong2),"",OFFSET(TH!C$1,SMALL(Dong2,ROWS($1:44)),))</f>
        <v>42310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42310</v>
      </c>
      <c r="D55" s="234" t="str">
        <f ca="1">IF(ROWS($1:44)&gt;COUNT(Dong2),"",OFFSET(TH!F$1,SMALL(Dong2,ROWS($1:44)),))</f>
        <v>Thu tiền hàng</v>
      </c>
      <c r="E55" s="155" t="str">
        <f ca="1">IF(ROWS($1:44)&gt;COUNT(Dong2),"",IF(OFFSET(TH!M$1,SMALL(Dong2,ROWS($1:44)),)=$I$6,OFFSET(TH!L$1,SMALL(Dong2,ROWS($1:44)),),OFFSET(TH!M$1,SMALL(Dong2,ROWS($1:44)),)))</f>
        <v>131</v>
      </c>
      <c r="F55" s="47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14630000</v>
      </c>
      <c r="G55" s="47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98">
        <f t="shared" ca="1" si="3"/>
        <v>14920340</v>
      </c>
      <c r="I55" s="468"/>
    </row>
    <row r="56" spans="1:9" s="144" customFormat="1" ht="18.75" customHeight="1">
      <c r="A56" s="155">
        <f ca="1">IF(ROWS($1:45)&gt;COUNT(Dong2),"",OFFSET(TH!C$1,SMALL(Dong2,ROWS($1:45)),))</f>
        <v>42310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42310</v>
      </c>
      <c r="D56" s="234" t="str">
        <f ca="1">IF(ROWS($1:45)&gt;COUNT(Dong2),"",OFFSET(TH!F$1,SMALL(Dong2,ROWS($1:45)),))</f>
        <v>Chi sec nhập quỹ tiền mặt</v>
      </c>
      <c r="E56" s="155" t="str">
        <f ca="1">IF(ROWS($1:45)&gt;COUNT(Dong2),"",IF(OFFSET(TH!M$1,SMALL(Dong2,ROWS($1:45)),)=$I$6,OFFSET(TH!L$1,SMALL(Dong2,ROWS($1:45)),),OFFSET(TH!M$1,SMALL(Dong2,ROWS($1:45)),)))</f>
        <v>1111</v>
      </c>
      <c r="F56" s="47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14900000</v>
      </c>
      <c r="H56" s="598">
        <f t="shared" ca="1" si="3"/>
        <v>20340</v>
      </c>
      <c r="I56" s="468"/>
    </row>
    <row r="57" spans="1:9" s="144" customFormat="1" ht="18.75" customHeight="1">
      <c r="A57" s="155">
        <f ca="1">IF(ROWS($1:46)&gt;COUNT(Dong2),"",OFFSET(TH!C$1,SMALL(Dong2,ROWS($1:46)),))</f>
        <v>42311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42311</v>
      </c>
      <c r="D57" s="234" t="str">
        <f ca="1">IF(ROWS($1:46)&gt;COUNT(Dong2),"",OFFSET(TH!F$1,SMALL(Dong2,ROWS($1:46)),))</f>
        <v>Thu tiền hàng</v>
      </c>
      <c r="E57" s="155" t="str">
        <f ca="1">IF(ROWS($1:46)&gt;COUNT(Dong2),"",IF(OFFSET(TH!M$1,SMALL(Dong2,ROWS($1:46)),)=$I$6,OFFSET(TH!L$1,SMALL(Dong2,ROWS($1:46)),),OFFSET(TH!M$1,SMALL(Dong2,ROWS($1:46)),)))</f>
        <v>131</v>
      </c>
      <c r="F57" s="47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14508280</v>
      </c>
      <c r="G57" s="47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98">
        <f t="shared" ca="1" si="3"/>
        <v>14528620</v>
      </c>
      <c r="I57" s="468"/>
    </row>
    <row r="58" spans="1:9" s="144" customFormat="1" ht="18.75" customHeight="1">
      <c r="A58" s="155">
        <f ca="1">IF(ROWS($1:47)&gt;COUNT(Dong2),"",OFFSET(TH!C$1,SMALL(Dong2,ROWS($1:47)),))</f>
        <v>42312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42312</v>
      </c>
      <c r="D58" s="234" t="str">
        <f ca="1">IF(ROWS($1:47)&gt;COUNT(Dong2),"",OFFSET(TH!F$1,SMALL(Dong2,ROWS($1:47)),))</f>
        <v>Chi sec nhập quỹ tiền mặt</v>
      </c>
      <c r="E58" s="155" t="str">
        <f ca="1">IF(ROWS($1:47)&gt;COUNT(Dong2),"",IF(OFFSET(TH!M$1,SMALL(Dong2,ROWS($1:47)),)=$I$6,OFFSET(TH!L$1,SMALL(Dong2,ROWS($1:47)),),OFFSET(TH!M$1,SMALL(Dong2,ROWS($1:47)),)))</f>
        <v>1111</v>
      </c>
      <c r="F58" s="47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14500000</v>
      </c>
      <c r="H58" s="598">
        <f t="shared" ca="1" si="3"/>
        <v>28620</v>
      </c>
      <c r="I58" s="468"/>
    </row>
    <row r="59" spans="1:9" s="144" customFormat="1" ht="18.75" customHeight="1">
      <c r="A59" s="155">
        <f ca="1">IF(ROWS($1:48)&gt;COUNT(Dong2),"",OFFSET(TH!C$1,SMALL(Dong2,ROWS($1:48)),))</f>
        <v>42318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42318</v>
      </c>
      <c r="D59" s="234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25880910</v>
      </c>
      <c r="G59" s="47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98">
        <f t="shared" ca="1" si="3"/>
        <v>25909530</v>
      </c>
      <c r="I59" s="468"/>
    </row>
    <row r="60" spans="1:9" s="144" customFormat="1" ht="18.75" customHeight="1">
      <c r="A60" s="155">
        <f ca="1">IF(ROWS($1:49)&gt;COUNT(Dong2),"",OFFSET(TH!C$1,SMALL(Dong2,ROWS($1:49)),))</f>
        <v>42318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42318</v>
      </c>
      <c r="D60" s="234" t="str">
        <f ca="1">IF(ROWS($1:49)&gt;COUNT(Dong2),"",OFFSET(TH!F$1,SMALL(Dong2,ROWS($1:49)),))</f>
        <v>Chi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25800000</v>
      </c>
      <c r="H60" s="598">
        <f t="shared" ca="1" si="3"/>
        <v>109530</v>
      </c>
      <c r="I60" s="468"/>
    </row>
    <row r="61" spans="1:9" s="144" customFormat="1" ht="18.75" customHeight="1">
      <c r="A61" s="155">
        <f ca="1">IF(ROWS($1:50)&gt;COUNT(Dong2),"",OFFSET(TH!C$1,SMALL(Dong2,ROWS($1:50)),))</f>
        <v>42320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42320</v>
      </c>
      <c r="D61" s="234" t="str">
        <f ca="1">IF(ROWS($1:50)&gt;COUNT(Dong2),"",OFFSET(TH!F$1,SMALL(Dong2,ROWS($1:50)),))</f>
        <v>Thu tiền hàng</v>
      </c>
      <c r="E61" s="155" t="str">
        <f ca="1">IF(ROWS($1:50)&gt;COUNT(Dong2),"",IF(OFFSET(TH!M$1,SMALL(Dong2,ROWS($1:50)),)=$I$6,OFFSET(TH!L$1,SMALL(Dong2,ROWS($1:50)),),OFFSET(TH!M$1,SMALL(Dong2,ROWS($1:50)),)))</f>
        <v>131</v>
      </c>
      <c r="F61" s="47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27207557</v>
      </c>
      <c r="G61" s="47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598">
        <f t="shared" ca="1" si="3"/>
        <v>27317087</v>
      </c>
      <c r="I61" s="468"/>
    </row>
    <row r="62" spans="1:9" s="144" customFormat="1" ht="18.75" customHeight="1">
      <c r="A62" s="155">
        <f ca="1">IF(ROWS($1:51)&gt;COUNT(Dong2),"",OFFSET(TH!C$1,SMALL(Dong2,ROWS($1:51)),))</f>
        <v>42321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42321</v>
      </c>
      <c r="D62" s="234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7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50000559</v>
      </c>
      <c r="G62" s="47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98">
        <f t="shared" ca="1" si="3"/>
        <v>77317646</v>
      </c>
      <c r="I62" s="468"/>
    </row>
    <row r="63" spans="1:9" s="144" customFormat="1" ht="18.75" customHeight="1">
      <c r="A63" s="155">
        <f ca="1">IF(ROWS($1:52)&gt;COUNT(Dong2),"",OFFSET(TH!C$1,SMALL(Dong2,ROWS($1:52)),))</f>
        <v>42321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42321</v>
      </c>
      <c r="D63" s="234" t="str">
        <f ca="1">IF(ROWS($1:52)&gt;COUNT(Dong2),"",OFFSET(TH!F$1,SMALL(Dong2,ROWS($1:52)),))</f>
        <v>Chi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7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57000000</v>
      </c>
      <c r="H63" s="598">
        <f t="shared" ca="1" si="3"/>
        <v>20317646</v>
      </c>
      <c r="I63" s="468"/>
    </row>
    <row r="64" spans="1:9" s="144" customFormat="1" ht="18.75" customHeight="1">
      <c r="A64" s="155">
        <f ca="1">IF(ROWS($1:53)&gt;COUNT(Dong2),"",OFFSET(TH!C$1,SMALL(Dong2,ROWS($1:53)),))</f>
        <v>42324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42324</v>
      </c>
      <c r="D64" s="234" t="str">
        <f ca="1">IF(ROWS($1:53)&gt;COUNT(Dong2),"",OFFSET(TH!F$1,SMALL(Dong2,ROWS($1:53)),))</f>
        <v>Chi sec nhập quỹ tiền mặt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7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20000000</v>
      </c>
      <c r="H64" s="598">
        <f t="shared" ca="1" si="3"/>
        <v>317646</v>
      </c>
      <c r="I64" s="468"/>
    </row>
    <row r="65" spans="1:9" s="144" customFormat="1" ht="18.75" customHeight="1">
      <c r="A65" s="155">
        <f ca="1">IF(ROWS($1:54)&gt;COUNT(Dong2),"",OFFSET(TH!C$1,SMALL(Dong2,ROWS($1:54)),))</f>
        <v>42325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42325</v>
      </c>
      <c r="D65" s="234" t="str">
        <f ca="1">IF(ROWS($1:54)&gt;COUNT(Dong2),"",OFFSET(TH!F$1,SMALL(Dong2,ROWS($1:54)),))</f>
        <v>Thu tiền hàng</v>
      </c>
      <c r="E65" s="155" t="str">
        <f ca="1">IF(ROWS($1:54)&gt;COUNT(Dong2),"",IF(OFFSET(TH!M$1,SMALL(Dong2,ROWS($1:54)),)=$I$6,OFFSET(TH!L$1,SMALL(Dong2,ROWS($1:54)),),OFFSET(TH!M$1,SMALL(Dong2,ROWS($1:54)),)))</f>
        <v>131</v>
      </c>
      <c r="F65" s="47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2323970</v>
      </c>
      <c r="G65" s="47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98">
        <f t="shared" ca="1" si="3"/>
        <v>2641616</v>
      </c>
      <c r="I65" s="468"/>
    </row>
    <row r="66" spans="1:9" s="144" customFormat="1" ht="18.75" customHeight="1">
      <c r="A66" s="155">
        <f ca="1">IF(ROWS($1:55)&gt;COUNT(Dong2),"",OFFSET(TH!C$1,SMALL(Dong2,ROWS($1:55)),))</f>
        <v>42325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42325</v>
      </c>
      <c r="D66" s="234" t="str">
        <f ca="1">IF(ROWS($1:55)&gt;COUNT(Dong2),"",OFFSET(TH!F$1,SMALL(Dong2,ROWS($1:55)),))</f>
        <v>Thu tiền hàng</v>
      </c>
      <c r="E66" s="155" t="str">
        <f ca="1">IF(ROWS($1:55)&gt;COUNT(Dong2),"",IF(OFFSET(TH!M$1,SMALL(Dong2,ROWS($1:55)),)=$I$6,OFFSET(TH!L$1,SMALL(Dong2,ROWS($1:55)),),OFFSET(TH!M$1,SMALL(Dong2,ROWS($1:55)),)))</f>
        <v>131</v>
      </c>
      <c r="F66" s="47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8473520</v>
      </c>
      <c r="G66" s="47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98">
        <f t="shared" ca="1" si="3"/>
        <v>11115136</v>
      </c>
      <c r="I66" s="468"/>
    </row>
    <row r="67" spans="1:9" s="144" customFormat="1" ht="18.75" customHeight="1">
      <c r="A67" s="155">
        <f ca="1">IF(ROWS($1:56)&gt;COUNT(Dong2),"",OFFSET(TH!C$1,SMALL(Dong2,ROWS($1:56)),))</f>
        <v>42326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42326</v>
      </c>
      <c r="D67" s="234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7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10400434</v>
      </c>
      <c r="G67" s="47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98">
        <f t="shared" ca="1" si="3"/>
        <v>21515570</v>
      </c>
      <c r="I67" s="468"/>
    </row>
    <row r="68" spans="1:9" s="144" customFormat="1" ht="18.75" customHeight="1">
      <c r="A68" s="155">
        <f ca="1">IF(ROWS($1:57)&gt;COUNT(Dong2),"",OFFSET(TH!C$1,SMALL(Dong2,ROWS($1:57)),))</f>
        <v>42326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42326</v>
      </c>
      <c r="D68" s="234" t="str">
        <f ca="1">IF(ROWS($1:57)&gt;COUNT(Dong2),"",OFFSET(TH!F$1,SMALL(Dong2,ROWS($1:57)),))</f>
        <v>Thu tiền hàng</v>
      </c>
      <c r="E68" s="155" t="str">
        <f ca="1">IF(ROWS($1:57)&gt;COUNT(Dong2),"",IF(OFFSET(TH!M$1,SMALL(Dong2,ROWS($1:57)),)=$I$6,OFFSET(TH!L$1,SMALL(Dong2,ROWS($1:57)),),OFFSET(TH!M$1,SMALL(Dong2,ROWS($1:57)),)))</f>
        <v>131</v>
      </c>
      <c r="F68" s="47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17529490</v>
      </c>
      <c r="G68" s="47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98">
        <f t="shared" ca="1" si="3"/>
        <v>39045060</v>
      </c>
      <c r="I68" s="468"/>
    </row>
    <row r="69" spans="1:9" s="144" customFormat="1" ht="18.75" customHeight="1">
      <c r="A69" s="155">
        <f ca="1">IF(ROWS($1:58)&gt;COUNT(Dong2),"",OFFSET(TH!C$1,SMALL(Dong2,ROWS($1:58)),))</f>
        <v>42326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42326</v>
      </c>
      <c r="D69" s="234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7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14630000</v>
      </c>
      <c r="G69" s="47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8">
        <f t="shared" ca="1" si="3"/>
        <v>53675060</v>
      </c>
      <c r="I69" s="468"/>
    </row>
    <row r="70" spans="1:9" s="144" customFormat="1" ht="18.75" customHeight="1">
      <c r="A70" s="155">
        <f ca="1">IF(ROWS($1:59)&gt;COUNT(Dong2),"",OFFSET(TH!C$1,SMALL(Dong2,ROWS($1:59)),))</f>
        <v>42327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42327</v>
      </c>
      <c r="D70" s="234" t="str">
        <f ca="1">IF(ROWS($1:59)&gt;COUNT(Dong2),"",OFFSET(TH!F$1,SMALL(Dong2,ROWS($1:59)),))</f>
        <v>Chuyển tiền Eximbank</v>
      </c>
      <c r="E70" s="155" t="str">
        <f ca="1">IF(ROWS($1:59)&gt;COUNT(Dong2),"",IF(OFFSET(TH!M$1,SMALL(Dong2,ROWS($1:59)),)=$I$6,OFFSET(TH!L$1,SMALL(Dong2,ROWS($1:59)),),OFFSET(TH!M$1,SMALL(Dong2,ROWS($1:59)),)))</f>
        <v>1121</v>
      </c>
      <c r="F70" s="47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14700000</v>
      </c>
      <c r="H70" s="598">
        <f t="shared" ca="1" si="3"/>
        <v>38975060</v>
      </c>
      <c r="I70" s="468"/>
    </row>
    <row r="71" spans="1:9" s="144" customFormat="1" ht="18.75" customHeight="1">
      <c r="A71" s="155">
        <f ca="1">IF(ROWS($1:60)&gt;COUNT(Dong2),"",OFFSET(TH!C$1,SMALL(Dong2,ROWS($1:60)),))</f>
        <v>42327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42327</v>
      </c>
      <c r="D71" s="234" t="str">
        <f ca="1">IF(ROWS($1:60)&gt;COUNT(Dong2),"",OFFSET(TH!F$1,SMALL(Dong2,ROWS($1:60)),))</f>
        <v>Phí chuyển tiền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7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15000</v>
      </c>
      <c r="H71" s="598">
        <f t="shared" ca="1" si="3"/>
        <v>38960060</v>
      </c>
      <c r="I71" s="468"/>
    </row>
    <row r="72" spans="1:9" s="144" customFormat="1" ht="18.75" customHeight="1">
      <c r="A72" s="155">
        <f ca="1">IF(ROWS($1:61)&gt;COUNT(Dong2),"",OFFSET(TH!C$1,SMALL(Dong2,ROWS($1:61)),))</f>
        <v>42328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42328</v>
      </c>
      <c r="D72" s="234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7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34617660</v>
      </c>
      <c r="G72" s="47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98">
        <f t="shared" ca="1" si="3"/>
        <v>73577720</v>
      </c>
      <c r="I72" s="468"/>
    </row>
    <row r="73" spans="1:9" s="144" customFormat="1" ht="18.75" customHeight="1">
      <c r="A73" s="155">
        <f ca="1">IF(ROWS($1:62)&gt;COUNT(Dong2),"",OFFSET(TH!C$1,SMALL(Dong2,ROWS($1:62)),))</f>
        <v>42328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42328</v>
      </c>
      <c r="D73" s="234" t="str">
        <f ca="1">IF(ROWS($1:62)&gt;COUNT(Dong2),"",OFFSET(TH!F$1,SMALL(Dong2,ROWS($1:62)),))</f>
        <v>Thu tiền hàng</v>
      </c>
      <c r="E73" s="155" t="str">
        <f ca="1">IF(ROWS($1:62)&gt;COUNT(Dong2),"",IF(OFFSET(TH!M$1,SMALL(Dong2,ROWS($1:62)),)=$I$6,OFFSET(TH!L$1,SMALL(Dong2,ROWS($1:62)),),OFFSET(TH!M$1,SMALL(Dong2,ROWS($1:62)),)))</f>
        <v>131</v>
      </c>
      <c r="F73" s="47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15317170</v>
      </c>
      <c r="G73" s="47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98">
        <f t="shared" ca="1" si="3"/>
        <v>88894890</v>
      </c>
      <c r="I73" s="468"/>
    </row>
    <row r="74" spans="1:9" s="144" customFormat="1" ht="18.75" customHeight="1">
      <c r="A74" s="155">
        <f ca="1">IF(ROWS($1:63)&gt;COUNT(Dong2),"",OFFSET(TH!C$1,SMALL(Dong2,ROWS($1:63)),))</f>
        <v>42329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42329</v>
      </c>
      <c r="D74" s="234" t="str">
        <f ca="1">IF(ROWS($1:63)&gt;COUNT(Dong2),"",OFFSET(TH!F$1,SMALL(Dong2,ROWS($1:63)),))</f>
        <v>Thanh toán tiền hàng</v>
      </c>
      <c r="E74" s="155" t="str">
        <f ca="1">IF(ROWS($1:63)&gt;COUNT(Dong2),"",IF(OFFSET(TH!M$1,SMALL(Dong2,ROWS($1:63)),)=$I$6,OFFSET(TH!L$1,SMALL(Dong2,ROWS($1:63)),),OFFSET(TH!M$1,SMALL(Dong2,ROWS($1:63)),)))</f>
        <v>331</v>
      </c>
      <c r="F74" s="47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5000000</v>
      </c>
      <c r="H74" s="598">
        <f t="shared" ref="H74:H127" ca="1" si="4">IF(A74&lt;&gt;"",H73+F74-G74,0)</f>
        <v>83894890</v>
      </c>
      <c r="I74" s="468"/>
    </row>
    <row r="75" spans="1:9" s="144" customFormat="1" ht="18.75" customHeight="1">
      <c r="A75" s="155">
        <f ca="1">IF(ROWS($1:64)&gt;COUNT(Dong2),"",OFFSET(TH!C$1,SMALL(Dong2,ROWS($1:64)),))</f>
        <v>42329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42329</v>
      </c>
      <c r="D75" s="234" t="str">
        <f ca="1">IF(ROWS($1:64)&gt;COUNT(Dong2),"",OFFSET(TH!F$1,SMALL(Dong2,ROWS($1:64)),))</f>
        <v>Thanh toán tiền hàng</v>
      </c>
      <c r="E75" s="155" t="str">
        <f ca="1">IF(ROWS($1:64)&gt;COUNT(Dong2),"",IF(OFFSET(TH!M$1,SMALL(Dong2,ROWS($1:64)),)=$I$6,OFFSET(TH!L$1,SMALL(Dong2,ROWS($1:64)),),OFFSET(TH!M$1,SMALL(Dong2,ROWS($1:64)),)))</f>
        <v>331</v>
      </c>
      <c r="F75" s="47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598">
        <f t="shared" ca="1" si="4"/>
        <v>63894890</v>
      </c>
      <c r="I75" s="468"/>
    </row>
    <row r="76" spans="1:9" s="144" customFormat="1" ht="18.75" customHeight="1">
      <c r="A76" s="155">
        <f ca="1">IF(ROWS($1:65)&gt;COUNT(Dong2),"",OFFSET(TH!C$1,SMALL(Dong2,ROWS($1:65)),))</f>
        <v>42329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42329</v>
      </c>
      <c r="D76" s="234" t="str">
        <f ca="1">IF(ROWS($1:65)&gt;COUNT(Dong2),"",OFFSET(TH!F$1,SMALL(Dong2,ROWS($1:65)),))</f>
        <v>Thanh toán tiền hàng</v>
      </c>
      <c r="E76" s="155" t="str">
        <f ca="1">IF(ROWS($1:65)&gt;COUNT(Dong2),"",IF(OFFSET(TH!M$1,SMALL(Dong2,ROWS($1:65)),)=$I$6,OFFSET(TH!L$1,SMALL(Dong2,ROWS($1:65)),),OFFSET(TH!M$1,SMALL(Dong2,ROWS($1:65)),)))</f>
        <v>331</v>
      </c>
      <c r="F76" s="47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20000000</v>
      </c>
      <c r="H76" s="598">
        <f t="shared" ca="1" si="4"/>
        <v>43894890</v>
      </c>
      <c r="I76" s="468"/>
    </row>
    <row r="77" spans="1:9" s="144" customFormat="1" ht="18.75" customHeight="1">
      <c r="A77" s="155">
        <f ca="1">IF(ROWS($1:66)&gt;COUNT(Dong2),"",OFFSET(TH!C$1,SMALL(Dong2,ROWS($1:66)),))</f>
        <v>42329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42329</v>
      </c>
      <c r="D77" s="234" t="str">
        <f ca="1">IF(ROWS($1:66)&gt;COUNT(Dong2),"",OFFSET(TH!F$1,SMALL(Dong2,ROWS($1:66)),))</f>
        <v>Thanh toán tiền hàng</v>
      </c>
      <c r="E77" s="155" t="str">
        <f ca="1">IF(ROWS($1:66)&gt;COUNT(Dong2),"",IF(OFFSET(TH!M$1,SMALL(Dong2,ROWS($1:66)),)=$I$6,OFFSET(TH!L$1,SMALL(Dong2,ROWS($1:66)),),OFFSET(TH!M$1,SMALL(Dong2,ROWS($1:66)),)))</f>
        <v>331</v>
      </c>
      <c r="F77" s="47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98">
        <f t="shared" ca="1" si="4"/>
        <v>23894890</v>
      </c>
      <c r="I77" s="468"/>
    </row>
    <row r="78" spans="1:9" s="144" customFormat="1" ht="18.75" customHeight="1">
      <c r="A78" s="155">
        <f ca="1">IF(ROWS($1:67)&gt;COUNT(Dong2),"",OFFSET(TH!C$1,SMALL(Dong2,ROWS($1:67)),))</f>
        <v>42329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42329</v>
      </c>
      <c r="D78" s="234" t="str">
        <f ca="1">IF(ROWS($1:67)&gt;COUNT(Dong2),"",OFFSET(TH!F$1,SMALL(Dong2,ROWS($1:67)),))</f>
        <v>Thanh toán tiền hàng</v>
      </c>
      <c r="E78" s="155" t="str">
        <f ca="1">IF(ROWS($1:67)&gt;COUNT(Dong2),"",IF(OFFSET(TH!M$1,SMALL(Dong2,ROWS($1:67)),)=$I$6,OFFSET(TH!L$1,SMALL(Dong2,ROWS($1:67)),),OFFSET(TH!M$1,SMALL(Dong2,ROWS($1:67)),)))</f>
        <v>331</v>
      </c>
      <c r="F78" s="47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598">
        <f t="shared" ca="1" si="4"/>
        <v>18894890</v>
      </c>
      <c r="I78" s="468"/>
    </row>
    <row r="79" spans="1:9" s="144" customFormat="1" ht="18.75" customHeight="1">
      <c r="A79" s="155">
        <f ca="1">IF(ROWS($1:68)&gt;COUNT(Dong2),"",OFFSET(TH!C$1,SMALL(Dong2,ROWS($1:68)),))</f>
        <v>42329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42329</v>
      </c>
      <c r="D79" s="234" t="str">
        <f ca="1">IF(ROWS($1:68)&gt;COUNT(Dong2),"",OFFSET(TH!F$1,SMALL(Dong2,ROWS($1:68)),))</f>
        <v>Phí chuyển tiền</v>
      </c>
      <c r="E79" s="155" t="str">
        <f ca="1">IF(ROWS($1:68)&gt;COUNT(Dong2),"",IF(OFFSET(TH!M$1,SMALL(Dong2,ROWS($1:68)),)=$I$6,OFFSET(TH!L$1,SMALL(Dong2,ROWS($1:68)),),OFFSET(TH!M$1,SMALL(Dong2,ROWS($1:68)),)))</f>
        <v>642</v>
      </c>
      <c r="F79" s="471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1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</v>
      </c>
      <c r="H79" s="598">
        <f t="shared" ca="1" si="4"/>
        <v>18874890</v>
      </c>
      <c r="I79" s="468"/>
    </row>
    <row r="80" spans="1:9" s="144" customFormat="1" ht="18.75" customHeight="1">
      <c r="A80" s="155">
        <f ca="1">IF(ROWS($1:69)&gt;COUNT(Dong2),"",OFFSET(TH!C$1,SMALL(Dong2,ROWS($1:69)),))</f>
        <v>42329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42329</v>
      </c>
      <c r="D80" s="234" t="str">
        <f ca="1">IF(ROWS($1:69)&gt;COUNT(Dong2),"",OFFSET(TH!F$1,SMALL(Dong2,ROWS($1:69)),))</f>
        <v>Phí chuyển tiền</v>
      </c>
      <c r="E80" s="155" t="str">
        <f ca="1">IF(ROWS($1:69)&gt;COUNT(Dong2),"",IF(OFFSET(TH!M$1,SMALL(Dong2,ROWS($1:69)),)=$I$6,OFFSET(TH!L$1,SMALL(Dong2,ROWS($1:69)),),OFFSET(TH!M$1,SMALL(Dong2,ROWS($1:69)),)))</f>
        <v>642</v>
      </c>
      <c r="F80" s="471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1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15000</v>
      </c>
      <c r="H80" s="598">
        <f t="shared" ca="1" si="4"/>
        <v>18859890</v>
      </c>
      <c r="I80" s="468"/>
    </row>
    <row r="81" spans="1:9" s="144" customFormat="1" ht="18.75" customHeight="1">
      <c r="A81" s="155">
        <f ca="1">IF(ROWS($1:70)&gt;COUNT(Dong2),"",OFFSET(TH!C$1,SMALL(Dong2,ROWS($1:70)),))</f>
        <v>42329</v>
      </c>
      <c r="B81" s="155" t="str">
        <f ca="1">IF(ROWS($1:70)&gt;COUNT(Dong2),"",OFFSET(TH!D$1,SMALL(Dong2,ROWS($1:70)),))</f>
        <v>GBN</v>
      </c>
      <c r="C81" s="155">
        <f ca="1">IF(ROWS($1:70)&gt;COUNT(Dong2),"",OFFSET(TH!E$1,SMALL(Dong2,ROWS($1:70)),))</f>
        <v>42329</v>
      </c>
      <c r="D81" s="234" t="str">
        <f ca="1">IF(ROWS($1:70)&gt;COUNT(Dong2),"",OFFSET(TH!F$1,SMALL(Dong2,ROWS($1:70)),))</f>
        <v>Phí chuyển tiền</v>
      </c>
      <c r="E81" s="155" t="str">
        <f ca="1">IF(ROWS($1:70)&gt;COUNT(Dong2),"",IF(OFFSET(TH!M$1,SMALL(Dong2,ROWS($1:70)),)=$I$6,OFFSET(TH!L$1,SMALL(Dong2,ROWS($1:70)),),OFFSET(TH!M$1,SMALL(Dong2,ROWS($1:70)),)))</f>
        <v>642</v>
      </c>
      <c r="F81" s="471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1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10000</v>
      </c>
      <c r="H81" s="598">
        <f t="shared" ca="1" si="4"/>
        <v>18849890</v>
      </c>
      <c r="I81" s="468"/>
    </row>
    <row r="82" spans="1:9" s="144" customFormat="1" ht="18.75" customHeight="1">
      <c r="A82" s="155">
        <f ca="1">IF(ROWS($1:71)&gt;COUNT(Dong2),"",OFFSET(TH!C$1,SMALL(Dong2,ROWS($1:71)),))</f>
        <v>42329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42329</v>
      </c>
      <c r="D82" s="234" t="str">
        <f ca="1">IF(ROWS($1:71)&gt;COUNT(Dong2),"",OFFSET(TH!F$1,SMALL(Dong2,ROWS($1:71)),))</f>
        <v>Phí chuyển tiền</v>
      </c>
      <c r="E82" s="155" t="str">
        <f ca="1">IF(ROWS($1:71)&gt;COUNT(Dong2),"",IF(OFFSET(TH!M$1,SMALL(Dong2,ROWS($1:71)),)=$I$6,OFFSET(TH!L$1,SMALL(Dong2,ROWS($1:71)),),OFFSET(TH!M$1,SMALL(Dong2,ROWS($1:71)),)))</f>
        <v>642</v>
      </c>
      <c r="F82" s="471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1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15000</v>
      </c>
      <c r="H82" s="598">
        <f t="shared" ca="1" si="4"/>
        <v>18834890</v>
      </c>
      <c r="I82" s="468"/>
    </row>
    <row r="83" spans="1:9" s="144" customFormat="1" ht="18.75" customHeight="1">
      <c r="A83" s="155">
        <f ca="1">IF(ROWS($1:72)&gt;COUNT(Dong2),"",OFFSET(TH!C$1,SMALL(Dong2,ROWS($1:72)),))</f>
        <v>42329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42329</v>
      </c>
      <c r="D83" s="234" t="str">
        <f ca="1">IF(ROWS($1:72)&gt;COUNT(Dong2),"",OFFSET(TH!F$1,SMALL(Dong2,ROWS($1:72)),))</f>
        <v>Phí chuyển tiền</v>
      </c>
      <c r="E83" s="155" t="str">
        <f ca="1">IF(ROWS($1:72)&gt;COUNT(Dong2),"",IF(OFFSET(TH!M$1,SMALL(Dong2,ROWS($1:72)),)=$I$6,OFFSET(TH!L$1,SMALL(Dong2,ROWS($1:72)),),OFFSET(TH!M$1,SMALL(Dong2,ROWS($1:72)),)))</f>
        <v>642</v>
      </c>
      <c r="F83" s="471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1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15000</v>
      </c>
      <c r="H83" s="598">
        <f t="shared" ca="1" si="4"/>
        <v>18819890</v>
      </c>
      <c r="I83" s="468"/>
    </row>
    <row r="84" spans="1:9" s="144" customFormat="1" ht="18.75" customHeight="1">
      <c r="A84" s="155">
        <f ca="1">IF(ROWS($1:73)&gt;COUNT(Dong2),"",OFFSET(TH!C$1,SMALL(Dong2,ROWS($1:73)),))</f>
        <v>42332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42332</v>
      </c>
      <c r="D84" s="234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71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6620350</v>
      </c>
      <c r="G84" s="471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98">
        <f t="shared" ca="1" si="4"/>
        <v>25440240</v>
      </c>
      <c r="I84" s="468"/>
    </row>
    <row r="85" spans="1:9" s="144" customFormat="1" ht="18.75" customHeight="1">
      <c r="A85" s="155">
        <f ca="1">IF(ROWS($1:74)&gt;COUNT(Dong2),"",OFFSET(TH!C$1,SMALL(Dong2,ROWS($1:74)),))</f>
        <v>42332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42332</v>
      </c>
      <c r="D85" s="234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71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2401960</v>
      </c>
      <c r="G85" s="471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98">
        <f t="shared" ca="1" si="4"/>
        <v>27842200</v>
      </c>
      <c r="I85" s="468"/>
    </row>
    <row r="86" spans="1:9" s="144" customFormat="1" ht="18.75" customHeight="1">
      <c r="A86" s="155">
        <f ca="1">IF(ROWS($1:75)&gt;COUNT(Dong2),"",OFFSET(TH!C$1,SMALL(Dong2,ROWS($1:75)),))</f>
        <v>42332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42332</v>
      </c>
      <c r="D86" s="234" t="str">
        <f ca="1">IF(ROWS($1:75)&gt;COUNT(Dong2),"",OFFSET(TH!F$1,SMALL(Dong2,ROWS($1:75)),))</f>
        <v>Chi sec nhập quỹ tiền mặt</v>
      </c>
      <c r="E86" s="155" t="str">
        <f ca="1">IF(ROWS($1:75)&gt;COUNT(Dong2),"",IF(OFFSET(TH!M$1,SMALL(Dong2,ROWS($1:75)),)=$I$6,OFFSET(TH!L$1,SMALL(Dong2,ROWS($1:75)),),OFFSET(TH!M$1,SMALL(Dong2,ROWS($1:75)),)))</f>
        <v>1111</v>
      </c>
      <c r="F86" s="471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1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15000000</v>
      </c>
      <c r="H86" s="598">
        <f t="shared" ca="1" si="4"/>
        <v>12842200</v>
      </c>
      <c r="I86" s="468"/>
    </row>
    <row r="87" spans="1:9" s="144" customFormat="1" ht="18.75" customHeight="1">
      <c r="A87" s="155">
        <f ca="1">IF(ROWS($1:76)&gt;COUNT(Dong2),"",OFFSET(TH!C$1,SMALL(Dong2,ROWS($1:76)),))</f>
        <v>42333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42333</v>
      </c>
      <c r="D87" s="234" t="str">
        <f ca="1">IF(ROWS($1:76)&gt;COUNT(Dong2),"",OFFSET(TH!F$1,SMALL(Dong2,ROWS($1:76)),))</f>
        <v>Lãi tiền gửi</v>
      </c>
      <c r="E87" s="155" t="str">
        <f ca="1">IF(ROWS($1:76)&gt;COUNT(Dong2),"",IF(OFFSET(TH!M$1,SMALL(Dong2,ROWS($1:76)),)=$I$6,OFFSET(TH!L$1,SMALL(Dong2,ROWS($1:76)),),OFFSET(TH!M$1,SMALL(Dong2,ROWS($1:76)),)))</f>
        <v>515</v>
      </c>
      <c r="F87" s="471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6177</v>
      </c>
      <c r="G87" s="471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98">
        <f t="shared" ca="1" si="4"/>
        <v>12848377</v>
      </c>
      <c r="I87" s="468"/>
    </row>
    <row r="88" spans="1:9" s="144" customFormat="1" ht="18.75" customHeight="1">
      <c r="A88" s="155">
        <f ca="1">IF(ROWS($1:77)&gt;COUNT(Dong2),"",OFFSET(TH!C$1,SMALL(Dong2,ROWS($1:77)),))</f>
        <v>42333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42333</v>
      </c>
      <c r="D88" s="234" t="str">
        <f ca="1">IF(ROWS($1:77)&gt;COUNT(Dong2),"",OFFSET(TH!F$1,SMALL(Dong2,ROWS($1:77)),))</f>
        <v>Chi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71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1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10000000</v>
      </c>
      <c r="H88" s="598">
        <f t="shared" ca="1" si="4"/>
        <v>2848377</v>
      </c>
      <c r="I88" s="468"/>
    </row>
    <row r="89" spans="1:9" s="144" customFormat="1" ht="18.75" customHeight="1">
      <c r="A89" s="155">
        <f ca="1">IF(ROWS($1:78)&gt;COUNT(Dong2),"",OFFSET(TH!C$1,SMALL(Dong2,ROWS($1:78)),))</f>
        <v>42335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42335</v>
      </c>
      <c r="D89" s="234" t="str">
        <f ca="1">IF(ROWS($1:78)&gt;COUNT(Dong2),"",OFFSET(TH!F$1,SMALL(Dong2,ROWS($1:78)),))</f>
        <v>Thu tiền hàng</v>
      </c>
      <c r="E89" s="155" t="str">
        <f ca="1">IF(ROWS($1:78)&gt;COUNT(Dong2),"",IF(OFFSET(TH!M$1,SMALL(Dong2,ROWS($1:78)),)=$I$6,OFFSET(TH!L$1,SMALL(Dong2,ROWS($1:78)),),OFFSET(TH!M$1,SMALL(Dong2,ROWS($1:78)),)))</f>
        <v>131</v>
      </c>
      <c r="F89" s="471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18867915</v>
      </c>
      <c r="G89" s="471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0</v>
      </c>
      <c r="H89" s="598">
        <f t="shared" ca="1" si="4"/>
        <v>21716292</v>
      </c>
      <c r="I89" s="468"/>
    </row>
    <row r="90" spans="1:9" s="144" customFormat="1" ht="18.75" customHeight="1">
      <c r="A90" s="155">
        <f ca="1">IF(ROWS($1:79)&gt;COUNT(Dong2),"",OFFSET(TH!C$1,SMALL(Dong2,ROWS($1:79)),))</f>
        <v>42336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42336</v>
      </c>
      <c r="D90" s="234" t="str">
        <f ca="1">IF(ROWS($1:79)&gt;COUNT(Dong2),"",OFFSET(TH!F$1,SMALL(Dong2,ROWS($1:79)),))</f>
        <v>Thanh toán tiền hàng</v>
      </c>
      <c r="E90" s="155" t="str">
        <f ca="1">IF(ROWS($1:79)&gt;COUNT(Dong2),"",IF(OFFSET(TH!M$1,SMALL(Dong2,ROWS($1:79)),)=$I$6,OFFSET(TH!L$1,SMALL(Dong2,ROWS($1:79)),),OFFSET(TH!M$1,SMALL(Dong2,ROWS($1:79)),)))</f>
        <v>1388</v>
      </c>
      <c r="F90" s="471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1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598">
        <f t="shared" ca="1" si="4"/>
        <v>10716292</v>
      </c>
      <c r="I90" s="468"/>
    </row>
    <row r="91" spans="1:9" s="144" customFormat="1" ht="18.75" customHeight="1">
      <c r="A91" s="155">
        <f ca="1">IF(ROWS($1:80)&gt;COUNT(Dong2),"",OFFSET(TH!C$1,SMALL(Dong2,ROWS($1:80)),))</f>
        <v>42336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42336</v>
      </c>
      <c r="D91" s="234" t="str">
        <f ca="1">IF(ROWS($1:80)&gt;COUNT(Dong2),"",OFFSET(TH!F$1,SMALL(Dong2,ROWS($1:80)),))</f>
        <v>Thanh toán tiền hàng</v>
      </c>
      <c r="E91" s="155" t="str">
        <f ca="1">IF(ROWS($1:80)&gt;COUNT(Dong2),"",IF(OFFSET(TH!M$1,SMALL(Dong2,ROWS($1:80)),)=$I$6,OFFSET(TH!L$1,SMALL(Dong2,ROWS($1:80)),),OFFSET(TH!M$1,SMALL(Dong2,ROWS($1:80)),)))</f>
        <v>331</v>
      </c>
      <c r="F91" s="471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1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598">
        <f t="shared" ca="1" si="4"/>
        <v>716292</v>
      </c>
      <c r="I91" s="468"/>
    </row>
    <row r="92" spans="1:9" s="144" customFormat="1" ht="18.75" customHeight="1">
      <c r="A92" s="155">
        <f ca="1">IF(ROWS($1:81)&gt;COUNT(Dong2),"",OFFSET(TH!C$1,SMALL(Dong2,ROWS($1:81)),))</f>
        <v>42336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42336</v>
      </c>
      <c r="D92" s="234" t="str">
        <f ca="1">IF(ROWS($1:81)&gt;COUNT(Dong2),"",OFFSET(TH!F$1,SMALL(Dong2,ROWS($1:81)),))</f>
        <v>Phí chuyển tiền</v>
      </c>
      <c r="E92" s="155" t="str">
        <f ca="1">IF(ROWS($1:81)&gt;COUNT(Dong2),"",IF(OFFSET(TH!M$1,SMALL(Dong2,ROWS($1:81)),)=$I$6,OFFSET(TH!L$1,SMALL(Dong2,ROWS($1:81)),),OFFSET(TH!M$1,SMALL(Dong2,ROWS($1:81)),)))</f>
        <v>642</v>
      </c>
      <c r="F92" s="471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1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98">
        <f t="shared" ca="1" si="4"/>
        <v>701292</v>
      </c>
      <c r="I92" s="468"/>
    </row>
    <row r="93" spans="1:9" s="144" customFormat="1" ht="18.75" customHeight="1">
      <c r="A93" s="155">
        <f ca="1">IF(ROWS($1:82)&gt;COUNT(Dong2),"",OFFSET(TH!C$1,SMALL(Dong2,ROWS($1:82)),))</f>
        <v>42336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42336</v>
      </c>
      <c r="D93" s="234" t="str">
        <f ca="1">IF(ROWS($1:82)&gt;COUNT(Dong2),"",OFFSET(TH!F$1,SMALL(Dong2,ROWS($1:82)),))</f>
        <v>Phí chuyển tiền</v>
      </c>
      <c r="E93" s="155" t="str">
        <f ca="1">IF(ROWS($1:82)&gt;COUNT(Dong2),"",IF(OFFSET(TH!M$1,SMALL(Dong2,ROWS($1:82)),)=$I$6,OFFSET(TH!L$1,SMALL(Dong2,ROWS($1:82)),),OFFSET(TH!M$1,SMALL(Dong2,ROWS($1:82)),)))</f>
        <v>642</v>
      </c>
      <c r="F93" s="471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1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598">
        <f t="shared" ca="1" si="4"/>
        <v>686292</v>
      </c>
      <c r="I93" s="468"/>
    </row>
    <row r="94" spans="1:9" s="144" customFormat="1" ht="18.75" customHeight="1">
      <c r="A94" s="155">
        <f ca="1">IF(ROWS($1:83)&gt;COUNT(Dong2),"",OFFSET(TH!C$1,SMALL(Dong2,ROWS($1:83)),))</f>
        <v>42338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42338</v>
      </c>
      <c r="D94" s="234" t="str">
        <f ca="1">IF(ROWS($1:83)&gt;COUNT(Dong2),"",OFFSET(TH!F$1,SMALL(Dong2,ROWS($1:83)),))</f>
        <v>Thu tiền hàng</v>
      </c>
      <c r="E94" s="155" t="str">
        <f ca="1">IF(ROWS($1:83)&gt;COUNT(Dong2),"",IF(OFFSET(TH!M$1,SMALL(Dong2,ROWS($1:83)),)=$I$6,OFFSET(TH!L$1,SMALL(Dong2,ROWS($1:83)),),OFFSET(TH!M$1,SMALL(Dong2,ROWS($1:83)),)))</f>
        <v>131</v>
      </c>
      <c r="F94" s="471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1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98">
        <f t="shared" ca="1" si="4"/>
        <v>25546292</v>
      </c>
      <c r="I94" s="468"/>
    </row>
    <row r="95" spans="1:9" s="144" customFormat="1" ht="18.75" customHeight="1">
      <c r="A95" s="155">
        <f ca="1">IF(ROWS($1:84)&gt;COUNT(Dong2),"",OFFSET(TH!C$1,SMALL(Dong2,ROWS($1:84)),))</f>
        <v>42339</v>
      </c>
      <c r="B95" s="155" t="str">
        <f ca="1">IF(ROWS($1:84)&gt;COUNT(Dong2),"",OFFSET(TH!D$1,SMALL(Dong2,ROWS($1:84)),))</f>
        <v>GBC</v>
      </c>
      <c r="C95" s="155">
        <f ca="1">IF(ROWS($1:84)&gt;COUNT(Dong2),"",OFFSET(TH!E$1,SMALL(Dong2,ROWS($1:84)),))</f>
        <v>42339</v>
      </c>
      <c r="D95" s="234" t="str">
        <f ca="1">IF(ROWS($1:84)&gt;COUNT(Dong2),"",OFFSET(TH!F$1,SMALL(Dong2,ROWS($1:84)),))</f>
        <v>Thu tiền hàng</v>
      </c>
      <c r="E95" s="155" t="str">
        <f ca="1">IF(ROWS($1:84)&gt;COUNT(Dong2),"",IF(OFFSET(TH!M$1,SMALL(Dong2,ROWS($1:84)),)=$I$6,OFFSET(TH!L$1,SMALL(Dong2,ROWS($1:84)),),OFFSET(TH!M$1,SMALL(Dong2,ROWS($1:84)),)))</f>
        <v>131</v>
      </c>
      <c r="F95" s="471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1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98">
        <f t="shared" ca="1" si="4"/>
        <v>37712842</v>
      </c>
      <c r="I95" s="468"/>
    </row>
    <row r="96" spans="1:9" s="144" customFormat="1" ht="18.75" customHeight="1">
      <c r="A96" s="155">
        <f ca="1">IF(ROWS($1:85)&gt;COUNT(Dong2),"",OFFSET(TH!C$1,SMALL(Dong2,ROWS($1:85)),))</f>
        <v>42340</v>
      </c>
      <c r="B96" s="155" t="str">
        <f ca="1">IF(ROWS($1:85)&gt;COUNT(Dong2),"",OFFSET(TH!D$1,SMALL(Dong2,ROWS($1:85)),))</f>
        <v>GBC</v>
      </c>
      <c r="C96" s="155">
        <f ca="1">IF(ROWS($1:85)&gt;COUNT(Dong2),"",OFFSET(TH!E$1,SMALL(Dong2,ROWS($1:85)),))</f>
        <v>42340</v>
      </c>
      <c r="D96" s="234" t="str">
        <f ca="1">IF(ROWS($1:85)&gt;COUNT(Dong2),"",OFFSET(TH!F$1,SMALL(Dong2,ROWS($1:85)),))</f>
        <v>Hoàn trả lệnh chi do sai tên</v>
      </c>
      <c r="E96" s="155" t="str">
        <f ca="1">IF(ROWS($1:85)&gt;COUNT(Dong2),"",IF(OFFSET(TH!M$1,SMALL(Dong2,ROWS($1:85)),)=$I$6,OFFSET(TH!L$1,SMALL(Dong2,ROWS($1:85)),),OFFSET(TH!M$1,SMALL(Dong2,ROWS($1:85)),)))</f>
        <v>1388</v>
      </c>
      <c r="F96" s="471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1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98">
        <f t="shared" ca="1" si="4"/>
        <v>48712842</v>
      </c>
      <c r="I96" s="468"/>
    </row>
    <row r="97" spans="1:9" s="144" customFormat="1" ht="18.75" customHeight="1">
      <c r="A97" s="155">
        <f ca="1">IF(ROWS($1:86)&gt;COUNT(Dong2),"",OFFSET(TH!C$1,SMALL(Dong2,ROWS($1:86)),))</f>
        <v>42340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42340</v>
      </c>
      <c r="D97" s="234" t="str">
        <f ca="1">IF(ROWS($1:86)&gt;COUNT(Dong2),"",OFFSET(TH!F$1,SMALL(Dong2,ROWS($1:86)),))</f>
        <v>Chi sec nhập quỹ tiền mặt</v>
      </c>
      <c r="E97" s="155" t="str">
        <f ca="1">IF(ROWS($1:86)&gt;COUNT(Dong2),"",IF(OFFSET(TH!M$1,SMALL(Dong2,ROWS($1:86)),)=$I$6,OFFSET(TH!L$1,SMALL(Dong2,ROWS($1:86)),),OFFSET(TH!M$1,SMALL(Dong2,ROWS($1:86)),)))</f>
        <v>1111</v>
      </c>
      <c r="F97" s="471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71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17600000</v>
      </c>
      <c r="H97" s="598">
        <f t="shared" ca="1" si="4"/>
        <v>31112842</v>
      </c>
      <c r="I97" s="468"/>
    </row>
    <row r="98" spans="1:9" s="144" customFormat="1" ht="18.75" customHeight="1">
      <c r="A98" s="155">
        <f ca="1">IF(ROWS($1:87)&gt;COUNT(Dong2),"",OFFSET(TH!C$1,SMALL(Dong2,ROWS($1:87)),))</f>
        <v>42340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42340</v>
      </c>
      <c r="D98" s="234" t="str">
        <f ca="1">IF(ROWS($1:87)&gt;COUNT(Dong2),"",OFFSET(TH!F$1,SMALL(Dong2,ROWS($1:87)),))</f>
        <v>Thanh toán tiền hàng</v>
      </c>
      <c r="E98" s="155" t="str">
        <f ca="1">IF(ROWS($1:87)&gt;COUNT(Dong2),"",IF(OFFSET(TH!M$1,SMALL(Dong2,ROWS($1:87)),)=$I$6,OFFSET(TH!L$1,SMALL(Dong2,ROWS($1:87)),),OFFSET(TH!M$1,SMALL(Dong2,ROWS($1:87)),)))</f>
        <v>331</v>
      </c>
      <c r="F98" s="471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71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20000000</v>
      </c>
      <c r="H98" s="598">
        <f t="shared" ca="1" si="4"/>
        <v>11112842</v>
      </c>
      <c r="I98" s="468"/>
    </row>
    <row r="99" spans="1:9" s="144" customFormat="1" ht="18.75" customHeight="1">
      <c r="A99" s="155">
        <f ca="1">IF(ROWS($1:88)&gt;COUNT(Dong2),"",OFFSET(TH!C$1,SMALL(Dong2,ROWS($1:88)),))</f>
        <v>42340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42340</v>
      </c>
      <c r="D99" s="234" t="str">
        <f ca="1">IF(ROWS($1:88)&gt;COUNT(Dong2),"",OFFSET(TH!F$1,SMALL(Dong2,ROWS($1:88)),))</f>
        <v>Thanh toán tiền hàng</v>
      </c>
      <c r="E99" s="155" t="str">
        <f ca="1">IF(ROWS($1:88)&gt;COUNT(Dong2),"",IF(OFFSET(TH!M$1,SMALL(Dong2,ROWS($1:88)),)=$I$6,OFFSET(TH!L$1,SMALL(Dong2,ROWS($1:88)),),OFFSET(TH!M$1,SMALL(Dong2,ROWS($1:88)),)))</f>
        <v>331</v>
      </c>
      <c r="F99" s="471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71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11000000</v>
      </c>
      <c r="H99" s="598">
        <f t="shared" ca="1" si="4"/>
        <v>112842</v>
      </c>
      <c r="I99" s="468"/>
    </row>
    <row r="100" spans="1:9" s="144" customFormat="1" ht="18.75" customHeight="1">
      <c r="A100" s="155">
        <f ca="1">IF(ROWS($1:89)&gt;COUNT(Dong2),"",OFFSET(TH!C$1,SMALL(Dong2,ROWS($1:89)),))</f>
        <v>42340</v>
      </c>
      <c r="B100" s="155" t="str">
        <f ca="1">IF(ROWS($1:89)&gt;COUNT(Dong2),"",OFFSET(TH!D$1,SMALL(Dong2,ROWS($1:89)),))</f>
        <v>GBN</v>
      </c>
      <c r="C100" s="155">
        <f ca="1">IF(ROWS($1:89)&gt;COUNT(Dong2),"",OFFSET(TH!E$1,SMALL(Dong2,ROWS($1:89)),))</f>
        <v>42340</v>
      </c>
      <c r="D100" s="234" t="str">
        <f ca="1">IF(ROWS($1:89)&gt;COUNT(Dong2),"",OFFSET(TH!F$1,SMALL(Dong2,ROWS($1:89)),))</f>
        <v>Phí chuyển tiền</v>
      </c>
      <c r="E100" s="155" t="str">
        <f ca="1">IF(ROWS($1:89)&gt;COUNT(Dong2),"",IF(OFFSET(TH!M$1,SMALL(Dong2,ROWS($1:89)),)=$I$6,OFFSET(TH!L$1,SMALL(Dong2,ROWS($1:89)),),OFFSET(TH!M$1,SMALL(Dong2,ROWS($1:89)),)))</f>
        <v>642</v>
      </c>
      <c r="F100" s="471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71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15000</v>
      </c>
      <c r="H100" s="598">
        <f t="shared" ca="1" si="4"/>
        <v>97842</v>
      </c>
      <c r="I100" s="468"/>
    </row>
    <row r="101" spans="1:9" s="144" customFormat="1" ht="18.75" customHeight="1">
      <c r="A101" s="155">
        <f ca="1">IF(ROWS($1:90)&gt;COUNT(Dong2),"",OFFSET(TH!C$1,SMALL(Dong2,ROWS($1:90)),))</f>
        <v>42340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42340</v>
      </c>
      <c r="D101" s="234" t="str">
        <f ca="1">IF(ROWS($1:90)&gt;COUNT(Dong2),"",OFFSET(TH!F$1,SMALL(Dong2,ROWS($1:90)),))</f>
        <v>Phí chuyển tiền</v>
      </c>
      <c r="E101" s="155" t="str">
        <f ca="1">IF(ROWS($1:90)&gt;COUNT(Dong2),"",IF(OFFSET(TH!M$1,SMALL(Dong2,ROWS($1:90)),)=$I$6,OFFSET(TH!L$1,SMALL(Dong2,ROWS($1:90)),),OFFSET(TH!M$1,SMALL(Dong2,ROWS($1:90)),)))</f>
        <v>642</v>
      </c>
      <c r="F101" s="471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71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15000</v>
      </c>
      <c r="H101" s="598">
        <f t="shared" ca="1" si="4"/>
        <v>82842</v>
      </c>
      <c r="I101" s="468"/>
    </row>
    <row r="102" spans="1:9" s="144" customFormat="1" ht="18.75" customHeight="1">
      <c r="A102" s="155">
        <f ca="1">IF(ROWS($1:91)&gt;COUNT(Dong2),"",OFFSET(TH!C$1,SMALL(Dong2,ROWS($1:91)),))</f>
        <v>42342</v>
      </c>
      <c r="B102" s="155" t="str">
        <f ca="1">IF(ROWS($1:91)&gt;COUNT(Dong2),"",OFFSET(TH!D$1,SMALL(Dong2,ROWS($1:91)),))</f>
        <v>GBC</v>
      </c>
      <c r="C102" s="155">
        <f ca="1">IF(ROWS($1:91)&gt;COUNT(Dong2),"",OFFSET(TH!E$1,SMALL(Dong2,ROWS($1:91)),))</f>
        <v>42342</v>
      </c>
      <c r="D102" s="234" t="str">
        <f ca="1">IF(ROWS($1:91)&gt;COUNT(Dong2),"",OFFSET(TH!F$1,SMALL(Dong2,ROWS($1:91)),))</f>
        <v>Thu tiền hàng</v>
      </c>
      <c r="E102" s="155" t="str">
        <f ca="1">IF(ROWS($1:91)&gt;COUNT(Dong2),"",IF(OFFSET(TH!M$1,SMALL(Dong2,ROWS($1:91)),)=$I$6,OFFSET(TH!L$1,SMALL(Dong2,ROWS($1:91)),),OFFSET(TH!M$1,SMALL(Dong2,ROWS($1:91)),)))</f>
        <v>131</v>
      </c>
      <c r="F102" s="471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15940232</v>
      </c>
      <c r="G102" s="471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598">
        <f t="shared" ca="1" si="4"/>
        <v>16023074</v>
      </c>
      <c r="I102" s="468"/>
    </row>
    <row r="103" spans="1:9" s="144" customFormat="1" ht="18.75" customHeight="1">
      <c r="A103" s="155">
        <f ca="1">IF(ROWS($1:92)&gt;COUNT(Dong2),"",OFFSET(TH!C$1,SMALL(Dong2,ROWS($1:92)),))</f>
        <v>42343</v>
      </c>
      <c r="B103" s="155" t="str">
        <f ca="1">IF(ROWS($1:92)&gt;COUNT(Dong2),"",OFFSET(TH!D$1,SMALL(Dong2,ROWS($1:92)),))</f>
        <v>GBC</v>
      </c>
      <c r="C103" s="155">
        <f ca="1">IF(ROWS($1:92)&gt;COUNT(Dong2),"",OFFSET(TH!E$1,SMALL(Dong2,ROWS($1:92)),))</f>
        <v>42343</v>
      </c>
      <c r="D103" s="234" t="str">
        <f ca="1">IF(ROWS($1:92)&gt;COUNT(Dong2),"",OFFSET(TH!F$1,SMALL(Dong2,ROWS($1:92)),))</f>
        <v>Nộp tiền mặt vào tài khoản</v>
      </c>
      <c r="E103" s="155" t="str">
        <f ca="1">IF(ROWS($1:92)&gt;COUNT(Dong2),"",IF(OFFSET(TH!M$1,SMALL(Dong2,ROWS($1:92)),)=$I$6,OFFSET(TH!L$1,SMALL(Dong2,ROWS($1:92)),),OFFSET(TH!M$1,SMALL(Dong2,ROWS($1:92)),)))</f>
        <v>1111</v>
      </c>
      <c r="F103" s="471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6000000</v>
      </c>
      <c r="G103" s="471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598">
        <f t="shared" ca="1" si="4"/>
        <v>22023074</v>
      </c>
      <c r="I103" s="468"/>
    </row>
    <row r="104" spans="1:9" s="144" customFormat="1" ht="18.75" customHeight="1">
      <c r="A104" s="155">
        <f ca="1">IF(ROWS($1:93)&gt;COUNT(Dong2),"",OFFSET(TH!C$1,SMALL(Dong2,ROWS($1:93)),))</f>
        <v>42343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42343</v>
      </c>
      <c r="D104" s="234" t="str">
        <f ca="1">IF(ROWS($1:93)&gt;COUNT(Dong2),"",OFFSET(TH!F$1,SMALL(Dong2,ROWS($1:93)),))</f>
        <v>Thanh toán tiền hàng</v>
      </c>
      <c r="E104" s="155" t="str">
        <f ca="1">IF(ROWS($1:93)&gt;COUNT(Dong2),"",IF(OFFSET(TH!M$1,SMALL(Dong2,ROWS($1:93)),)=$I$6,OFFSET(TH!L$1,SMALL(Dong2,ROWS($1:93)),),OFFSET(TH!M$1,SMALL(Dong2,ROWS($1:93)),)))</f>
        <v>331</v>
      </c>
      <c r="F104" s="471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71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22000000</v>
      </c>
      <c r="H104" s="598">
        <f t="shared" ca="1" si="4"/>
        <v>23074</v>
      </c>
      <c r="I104" s="468"/>
    </row>
    <row r="105" spans="1:9" s="144" customFormat="1" ht="18.75" customHeight="1">
      <c r="A105" s="155">
        <f ca="1">IF(ROWS($1:94)&gt;COUNT(Dong2),"",OFFSET(TH!C$1,SMALL(Dong2,ROWS($1:94)),))</f>
        <v>42343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42343</v>
      </c>
      <c r="D105" s="234" t="str">
        <f ca="1">IF(ROWS($1:94)&gt;COUNT(Dong2),"",OFFSET(TH!F$1,SMALL(Dong2,ROWS($1:94)),))</f>
        <v>Phí chuyển tiền</v>
      </c>
      <c r="E105" s="155" t="str">
        <f ca="1">IF(ROWS($1:94)&gt;COUNT(Dong2),"",IF(OFFSET(TH!M$1,SMALL(Dong2,ROWS($1:94)),)=$I$6,OFFSET(TH!L$1,SMALL(Dong2,ROWS($1:94)),),OFFSET(TH!M$1,SMALL(Dong2,ROWS($1:94)),)))</f>
        <v>642</v>
      </c>
      <c r="F105" s="471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71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15000</v>
      </c>
      <c r="H105" s="598">
        <f t="shared" ca="1" si="4"/>
        <v>8074</v>
      </c>
      <c r="I105" s="468"/>
    </row>
    <row r="106" spans="1:9" s="144" customFormat="1" ht="18.75" customHeight="1">
      <c r="A106" s="155">
        <f ca="1">IF(ROWS($1:95)&gt;COUNT(Dong2),"",OFFSET(TH!C$1,SMALL(Dong2,ROWS($1:95)),))</f>
        <v>42345</v>
      </c>
      <c r="B106" s="155" t="str">
        <f ca="1">IF(ROWS($1:95)&gt;COUNT(Dong2),"",OFFSET(TH!D$1,SMALL(Dong2,ROWS($1:95)),))</f>
        <v>GBC</v>
      </c>
      <c r="C106" s="155">
        <f ca="1">IF(ROWS($1:95)&gt;COUNT(Dong2),"",OFFSET(TH!E$1,SMALL(Dong2,ROWS($1:95)),))</f>
        <v>42345</v>
      </c>
      <c r="D106" s="234" t="str">
        <f ca="1">IF(ROWS($1:95)&gt;COUNT(Dong2),"",OFFSET(TH!F$1,SMALL(Dong2,ROWS($1:95)),))</f>
        <v>Thu tiền hàng</v>
      </c>
      <c r="E106" s="155" t="str">
        <f ca="1">IF(ROWS($1:95)&gt;COUNT(Dong2),"",IF(OFFSET(TH!M$1,SMALL(Dong2,ROWS($1:95)),)=$I$6,OFFSET(TH!L$1,SMALL(Dong2,ROWS($1:95)),),OFFSET(TH!M$1,SMALL(Dong2,ROWS($1:95)),)))</f>
        <v>131</v>
      </c>
      <c r="F106" s="471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5599660</v>
      </c>
      <c r="G106" s="471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598">
        <f t="shared" ca="1" si="4"/>
        <v>5607734</v>
      </c>
      <c r="I106" s="468"/>
    </row>
    <row r="107" spans="1:9" s="144" customFormat="1" ht="18.75" customHeight="1">
      <c r="A107" s="155">
        <f ca="1">IF(ROWS($1:96)&gt;COUNT(Dong2),"",OFFSET(TH!C$1,SMALL(Dong2,ROWS($1:96)),))</f>
        <v>42345</v>
      </c>
      <c r="B107" s="155" t="str">
        <f ca="1">IF(ROWS($1:96)&gt;COUNT(Dong2),"",OFFSET(TH!D$1,SMALL(Dong2,ROWS($1:96)),))</f>
        <v>GBC</v>
      </c>
      <c r="C107" s="155">
        <f ca="1">IF(ROWS($1:96)&gt;COUNT(Dong2),"",OFFSET(TH!E$1,SMALL(Dong2,ROWS($1:96)),))</f>
        <v>42345</v>
      </c>
      <c r="D107" s="234" t="str">
        <f ca="1">IF(ROWS($1:96)&gt;COUNT(Dong2),"",OFFSET(TH!F$1,SMALL(Dong2,ROWS($1:96)),))</f>
        <v>Thu tiền hàng</v>
      </c>
      <c r="E107" s="155" t="str">
        <f ca="1">IF(ROWS($1:96)&gt;COUNT(Dong2),"",IF(OFFSET(TH!M$1,SMALL(Dong2,ROWS($1:96)),)=$I$6,OFFSET(TH!L$1,SMALL(Dong2,ROWS($1:96)),),OFFSET(TH!M$1,SMALL(Dong2,ROWS($1:96)),)))</f>
        <v>131</v>
      </c>
      <c r="F107" s="471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10470570</v>
      </c>
      <c r="G107" s="471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598">
        <f t="shared" ca="1" si="4"/>
        <v>16078304</v>
      </c>
      <c r="I107" s="468"/>
    </row>
    <row r="108" spans="1:9" s="144" customFormat="1" ht="18.75" customHeight="1">
      <c r="A108" s="155">
        <f ca="1">IF(ROWS($1:97)&gt;COUNT(Dong2),"",OFFSET(TH!C$1,SMALL(Dong2,ROWS($1:97)),))</f>
        <v>42346</v>
      </c>
      <c r="B108" s="155" t="str">
        <f ca="1">IF(ROWS($1:97)&gt;COUNT(Dong2),"",OFFSET(TH!D$1,SMALL(Dong2,ROWS($1:97)),))</f>
        <v>GBC</v>
      </c>
      <c r="C108" s="155">
        <f ca="1">IF(ROWS($1:97)&gt;COUNT(Dong2),"",OFFSET(TH!E$1,SMALL(Dong2,ROWS($1:97)),))</f>
        <v>42346</v>
      </c>
      <c r="D108" s="234" t="str">
        <f ca="1">IF(ROWS($1:97)&gt;COUNT(Dong2),"",OFFSET(TH!F$1,SMALL(Dong2,ROWS($1:97)),))</f>
        <v>Thu tiền hàng</v>
      </c>
      <c r="E108" s="155" t="str">
        <f ca="1">IF(ROWS($1:97)&gt;COUNT(Dong2),"",IF(OFFSET(TH!M$1,SMALL(Dong2,ROWS($1:97)),)=$I$6,OFFSET(TH!L$1,SMALL(Dong2,ROWS($1:97)),),OFFSET(TH!M$1,SMALL(Dong2,ROWS($1:97)),)))</f>
        <v>131</v>
      </c>
      <c r="F108" s="471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2193400</v>
      </c>
      <c r="G108" s="471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598">
        <f t="shared" ca="1" si="4"/>
        <v>18271704</v>
      </c>
      <c r="I108" s="468"/>
    </row>
    <row r="109" spans="1:9" s="144" customFormat="1" ht="18.75" customHeight="1">
      <c r="A109" s="155">
        <f ca="1">IF(ROWS($1:98)&gt;COUNT(Dong2),"",OFFSET(TH!C$1,SMALL(Dong2,ROWS($1:98)),))</f>
        <v>42346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42346</v>
      </c>
      <c r="D109" s="234" t="str">
        <f ca="1">IF(ROWS($1:98)&gt;COUNT(Dong2),"",OFFSET(TH!F$1,SMALL(Dong2,ROWS($1:98)),))</f>
        <v>Thanh toán tiền hàng</v>
      </c>
      <c r="E109" s="155" t="str">
        <f ca="1">IF(ROWS($1:98)&gt;COUNT(Dong2),"",IF(OFFSET(TH!M$1,SMALL(Dong2,ROWS($1:98)),)=$I$6,OFFSET(TH!L$1,SMALL(Dong2,ROWS($1:98)),),OFFSET(TH!M$1,SMALL(Dong2,ROWS($1:98)),)))</f>
        <v>331</v>
      </c>
      <c r="F109" s="471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71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15000000</v>
      </c>
      <c r="H109" s="598">
        <f t="shared" ca="1" si="4"/>
        <v>3271704</v>
      </c>
      <c r="I109" s="468"/>
    </row>
    <row r="110" spans="1:9" s="144" customFormat="1" ht="18.75" customHeight="1">
      <c r="A110" s="155">
        <f ca="1">IF(ROWS($1:99)&gt;COUNT(Dong2),"",OFFSET(TH!C$1,SMALL(Dong2,ROWS($1:99)),))</f>
        <v>42346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42346</v>
      </c>
      <c r="D110" s="234" t="str">
        <f ca="1">IF(ROWS($1:99)&gt;COUNT(Dong2),"",OFFSET(TH!F$1,SMALL(Dong2,ROWS($1:99)),))</f>
        <v>Phí chuyển tiền</v>
      </c>
      <c r="E110" s="155" t="str">
        <f ca="1">IF(ROWS($1:99)&gt;COUNT(Dong2),"",IF(OFFSET(TH!M$1,SMALL(Dong2,ROWS($1:99)),)=$I$6,OFFSET(TH!L$1,SMALL(Dong2,ROWS($1:99)),),OFFSET(TH!M$1,SMALL(Dong2,ROWS($1:99)),)))</f>
        <v>642</v>
      </c>
      <c r="F110" s="471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71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15000</v>
      </c>
      <c r="H110" s="598">
        <f t="shared" ca="1" si="4"/>
        <v>3256704</v>
      </c>
      <c r="I110" s="468"/>
    </row>
    <row r="111" spans="1:9" s="144" customFormat="1" ht="18.75" customHeight="1">
      <c r="A111" s="155">
        <f ca="1">IF(ROWS($1:100)&gt;COUNT(Dong2),"",OFFSET(TH!C$1,SMALL(Dong2,ROWS($1:100)),))</f>
        <v>42349</v>
      </c>
      <c r="B111" s="155" t="str">
        <f ca="1">IF(ROWS($1:100)&gt;COUNT(Dong2),"",OFFSET(TH!D$1,SMALL(Dong2,ROWS($1:100)),))</f>
        <v>GBC</v>
      </c>
      <c r="C111" s="155">
        <f ca="1">IF(ROWS($1:100)&gt;COUNT(Dong2),"",OFFSET(TH!E$1,SMALL(Dong2,ROWS($1:100)),))</f>
        <v>42349</v>
      </c>
      <c r="D111" s="234" t="str">
        <f ca="1">IF(ROWS($1:100)&gt;COUNT(Dong2),"",OFFSET(TH!F$1,SMALL(Dong2,ROWS($1:100)),))</f>
        <v>Thu tiền hàng</v>
      </c>
      <c r="E111" s="155" t="str">
        <f ca="1">IF(ROWS($1:100)&gt;COUNT(Dong2),"",IF(OFFSET(TH!M$1,SMALL(Dong2,ROWS($1:100)),)=$I$6,OFFSET(TH!L$1,SMALL(Dong2,ROWS($1:100)),),OFFSET(TH!M$1,SMALL(Dong2,ROWS($1:100)),)))</f>
        <v>131</v>
      </c>
      <c r="F111" s="471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44440000</v>
      </c>
      <c r="G111" s="471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598">
        <f t="shared" ca="1" si="4"/>
        <v>47696704</v>
      </c>
      <c r="I111" s="468"/>
    </row>
    <row r="112" spans="1:9" s="144" customFormat="1" ht="18.75" customHeight="1">
      <c r="A112" s="155">
        <f ca="1">IF(ROWS($1:101)&gt;COUNT(Dong2),"",OFFSET(TH!C$1,SMALL(Dong2,ROWS($1:101)),))</f>
        <v>42349</v>
      </c>
      <c r="B112" s="155" t="str">
        <f ca="1">IF(ROWS($1:101)&gt;COUNT(Dong2),"",OFFSET(TH!D$1,SMALL(Dong2,ROWS($1:101)),))</f>
        <v>GBC</v>
      </c>
      <c r="C112" s="155">
        <f ca="1">IF(ROWS($1:101)&gt;COUNT(Dong2),"",OFFSET(TH!E$1,SMALL(Dong2,ROWS($1:101)),))</f>
        <v>42349</v>
      </c>
      <c r="D112" s="234" t="str">
        <f ca="1">IF(ROWS($1:101)&gt;COUNT(Dong2),"",OFFSET(TH!F$1,SMALL(Dong2,ROWS($1:101)),))</f>
        <v>Thu tiền hàng</v>
      </c>
      <c r="E112" s="155" t="str">
        <f ca="1">IF(ROWS($1:101)&gt;COUNT(Dong2),"",IF(OFFSET(TH!M$1,SMALL(Dong2,ROWS($1:101)),)=$I$6,OFFSET(TH!L$1,SMALL(Dong2,ROWS($1:101)),),OFFSET(TH!M$1,SMALL(Dong2,ROWS($1:101)),)))</f>
        <v>131</v>
      </c>
      <c r="F112" s="471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9828940</v>
      </c>
      <c r="G112" s="471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98">
        <f t="shared" ca="1" si="4"/>
        <v>57525644</v>
      </c>
      <c r="I112" s="468"/>
    </row>
    <row r="113" spans="1:9" s="144" customFormat="1" ht="18.75" customHeight="1">
      <c r="A113" s="155">
        <f ca="1">IF(ROWS($1:102)&gt;COUNT(Dong2),"",OFFSET(TH!C$1,SMALL(Dong2,ROWS($1:102)),))</f>
        <v>42349</v>
      </c>
      <c r="B113" s="155" t="str">
        <f ca="1">IF(ROWS($1:102)&gt;COUNT(Dong2),"",OFFSET(TH!D$1,SMALL(Dong2,ROWS($1:102)),))</f>
        <v>GBN</v>
      </c>
      <c r="C113" s="155">
        <f ca="1">IF(ROWS($1:102)&gt;COUNT(Dong2),"",OFFSET(TH!E$1,SMALL(Dong2,ROWS($1:102)),))</f>
        <v>42349</v>
      </c>
      <c r="D113" s="234" t="str">
        <f ca="1">IF(ROWS($1:102)&gt;COUNT(Dong2),"",OFFSET(TH!F$1,SMALL(Dong2,ROWS($1:102)),))</f>
        <v>Chi sec nhập quỹ tiền mặt</v>
      </c>
      <c r="E113" s="155" t="str">
        <f ca="1">IF(ROWS($1:102)&gt;COUNT(Dong2),"",IF(OFFSET(TH!M$1,SMALL(Dong2,ROWS($1:102)),)=$I$6,OFFSET(TH!L$1,SMALL(Dong2,ROWS($1:102)),),OFFSET(TH!M$1,SMALL(Dong2,ROWS($1:102)),)))</f>
        <v>1111</v>
      </c>
      <c r="F113" s="471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71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22000000</v>
      </c>
      <c r="H113" s="598">
        <f t="shared" ca="1" si="4"/>
        <v>35525644</v>
      </c>
      <c r="I113" s="468"/>
    </row>
    <row r="114" spans="1:9" s="144" customFormat="1" ht="18.75" customHeight="1">
      <c r="A114" s="155">
        <f ca="1">IF(ROWS($1:103)&gt;COUNT(Dong2),"",OFFSET(TH!C$1,SMALL(Dong2,ROWS($1:103)),))</f>
        <v>42349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42349</v>
      </c>
      <c r="D114" s="234" t="str">
        <f ca="1">IF(ROWS($1:103)&gt;COUNT(Dong2),"",OFFSET(TH!F$1,SMALL(Dong2,ROWS($1:103)),))</f>
        <v>Thanh toán tiền hàng</v>
      </c>
      <c r="E114" s="155" t="str">
        <f ca="1">IF(ROWS($1:103)&gt;COUNT(Dong2),"",IF(OFFSET(TH!M$1,SMALL(Dong2,ROWS($1:103)),)=$I$6,OFFSET(TH!L$1,SMALL(Dong2,ROWS($1:103)),),OFFSET(TH!M$1,SMALL(Dong2,ROWS($1:103)),)))</f>
        <v>331</v>
      </c>
      <c r="F114" s="471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71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35000000</v>
      </c>
      <c r="H114" s="598">
        <f t="shared" ca="1" si="4"/>
        <v>525644</v>
      </c>
      <c r="I114" s="468"/>
    </row>
    <row r="115" spans="1:9" s="144" customFormat="1" ht="18.75" customHeight="1">
      <c r="A115" s="155">
        <f ca="1">IF(ROWS($1:104)&gt;COUNT(Dong2),"",OFFSET(TH!C$1,SMALL(Dong2,ROWS($1:104)),))</f>
        <v>42349</v>
      </c>
      <c r="B115" s="155" t="str">
        <f ca="1">IF(ROWS($1:104)&gt;COUNT(Dong2),"",OFFSET(TH!D$1,SMALL(Dong2,ROWS($1:104)),))</f>
        <v>GBN</v>
      </c>
      <c r="C115" s="155">
        <f ca="1">IF(ROWS($1:104)&gt;COUNT(Dong2),"",OFFSET(TH!E$1,SMALL(Dong2,ROWS($1:104)),))</f>
        <v>42349</v>
      </c>
      <c r="D115" s="234" t="str">
        <f ca="1">IF(ROWS($1:104)&gt;COUNT(Dong2),"",OFFSET(TH!F$1,SMALL(Dong2,ROWS($1:104)),))</f>
        <v>Phí chuyển tiền</v>
      </c>
      <c r="E115" s="155" t="str">
        <f ca="1">IF(ROWS($1:104)&gt;COUNT(Dong2),"",IF(OFFSET(TH!M$1,SMALL(Dong2,ROWS($1:104)),)=$I$6,OFFSET(TH!L$1,SMALL(Dong2,ROWS($1:104)),),OFFSET(TH!M$1,SMALL(Dong2,ROWS($1:104)),)))</f>
        <v>642</v>
      </c>
      <c r="F115" s="471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71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10000</v>
      </c>
      <c r="H115" s="598">
        <f t="shared" ca="1" si="4"/>
        <v>515644</v>
      </c>
      <c r="I115" s="468"/>
    </row>
    <row r="116" spans="1:9" s="144" customFormat="1" ht="18.75" customHeight="1">
      <c r="A116" s="155">
        <f ca="1">IF(ROWS($1:105)&gt;COUNT(Dong2),"",OFFSET(TH!C$1,SMALL(Dong2,ROWS($1:105)),))</f>
        <v>42352</v>
      </c>
      <c r="B116" s="155" t="str">
        <f ca="1">IF(ROWS($1:105)&gt;COUNT(Dong2),"",OFFSET(TH!D$1,SMALL(Dong2,ROWS($1:105)),))</f>
        <v>GBC</v>
      </c>
      <c r="C116" s="155">
        <f ca="1">IF(ROWS($1:105)&gt;COUNT(Dong2),"",OFFSET(TH!E$1,SMALL(Dong2,ROWS($1:105)),))</f>
        <v>42352</v>
      </c>
      <c r="D116" s="234" t="str">
        <f ca="1">IF(ROWS($1:105)&gt;COUNT(Dong2),"",OFFSET(TH!F$1,SMALL(Dong2,ROWS($1:105)),))</f>
        <v>Thu tiền hàng</v>
      </c>
      <c r="E116" s="155" t="str">
        <f ca="1">IF(ROWS($1:105)&gt;COUNT(Dong2),"",IF(OFFSET(TH!M$1,SMALL(Dong2,ROWS($1:105)),)=$I$6,OFFSET(TH!L$1,SMALL(Dong2,ROWS($1:105)),),OFFSET(TH!M$1,SMALL(Dong2,ROWS($1:105)),)))</f>
        <v>131</v>
      </c>
      <c r="F116" s="471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12104290</v>
      </c>
      <c r="G116" s="471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598">
        <f t="shared" ca="1" si="4"/>
        <v>12619934</v>
      </c>
      <c r="I116" s="468"/>
    </row>
    <row r="117" spans="1:9" s="144" customFormat="1" ht="18.75" customHeight="1">
      <c r="A117" s="155">
        <f ca="1">IF(ROWS($1:106)&gt;COUNT(Dong2),"",OFFSET(TH!C$1,SMALL(Dong2,ROWS($1:106)),))</f>
        <v>42353</v>
      </c>
      <c r="B117" s="155" t="str">
        <f ca="1">IF(ROWS($1:106)&gt;COUNT(Dong2),"",OFFSET(TH!D$1,SMALL(Dong2,ROWS($1:106)),))</f>
        <v>GBC</v>
      </c>
      <c r="C117" s="155">
        <f ca="1">IF(ROWS($1:106)&gt;COUNT(Dong2),"",OFFSET(TH!E$1,SMALL(Dong2,ROWS($1:106)),))</f>
        <v>42353</v>
      </c>
      <c r="D117" s="234" t="str">
        <f ca="1">IF(ROWS($1:106)&gt;COUNT(Dong2),"",OFFSET(TH!F$1,SMALL(Dong2,ROWS($1:106)),))</f>
        <v>Thu tiền hàng</v>
      </c>
      <c r="E117" s="155" t="str">
        <f ca="1">IF(ROWS($1:106)&gt;COUNT(Dong2),"",IF(OFFSET(TH!M$1,SMALL(Dong2,ROWS($1:106)),)=$I$6,OFFSET(TH!L$1,SMALL(Dong2,ROWS($1:106)),),OFFSET(TH!M$1,SMALL(Dong2,ROWS($1:106)),)))</f>
        <v>131</v>
      </c>
      <c r="F117" s="471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8775415</v>
      </c>
      <c r="G117" s="471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598">
        <f t="shared" ca="1" si="4"/>
        <v>21395349</v>
      </c>
      <c r="I117" s="468"/>
    </row>
    <row r="118" spans="1:9" s="144" customFormat="1" ht="18.75" customHeight="1">
      <c r="A118" s="155">
        <f ca="1">IF(ROWS($1:107)&gt;COUNT(Dong2),"",OFFSET(TH!C$1,SMALL(Dong2,ROWS($1:107)),))</f>
        <v>42353</v>
      </c>
      <c r="B118" s="155" t="str">
        <f ca="1">IF(ROWS($1:107)&gt;COUNT(Dong2),"",OFFSET(TH!D$1,SMALL(Dong2,ROWS($1:107)),))</f>
        <v>GBC</v>
      </c>
      <c r="C118" s="155">
        <f ca="1">IF(ROWS($1:107)&gt;COUNT(Dong2),"",OFFSET(TH!E$1,SMALL(Dong2,ROWS($1:107)),))</f>
        <v>42353</v>
      </c>
      <c r="D118" s="234" t="str">
        <f ca="1">IF(ROWS($1:107)&gt;COUNT(Dong2),"",OFFSET(TH!F$1,SMALL(Dong2,ROWS($1:107)),))</f>
        <v>Thu tiền hàng</v>
      </c>
      <c r="E118" s="155" t="str">
        <f ca="1">IF(ROWS($1:107)&gt;COUNT(Dong2),"",IF(OFFSET(TH!M$1,SMALL(Dong2,ROWS($1:107)),)=$I$6,OFFSET(TH!L$1,SMALL(Dong2,ROWS($1:107)),),OFFSET(TH!M$1,SMALL(Dong2,ROWS($1:107)),)))</f>
        <v>131</v>
      </c>
      <c r="F118" s="471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14636930</v>
      </c>
      <c r="G118" s="471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598">
        <f t="shared" ca="1" si="4"/>
        <v>36032279</v>
      </c>
      <c r="I118" s="468"/>
    </row>
    <row r="119" spans="1:9" s="144" customFormat="1" ht="18.75" customHeight="1">
      <c r="A119" s="155">
        <f ca="1">IF(ROWS($1:108)&gt;COUNT(Dong2),"",OFFSET(TH!C$1,SMALL(Dong2,ROWS($1:108)),))</f>
        <v>42353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42353</v>
      </c>
      <c r="D119" s="234" t="str">
        <f ca="1">IF(ROWS($1:108)&gt;COUNT(Dong2),"",OFFSET(TH!F$1,SMALL(Dong2,ROWS($1:108)),))</f>
        <v>Thanh toán tiền hàng</v>
      </c>
      <c r="E119" s="155" t="str">
        <f ca="1">IF(ROWS($1:108)&gt;COUNT(Dong2),"",IF(OFFSET(TH!M$1,SMALL(Dong2,ROWS($1:108)),)=$I$6,OFFSET(TH!L$1,SMALL(Dong2,ROWS($1:108)),),OFFSET(TH!M$1,SMALL(Dong2,ROWS($1:108)),)))</f>
        <v>331</v>
      </c>
      <c r="F119" s="471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1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20000000</v>
      </c>
      <c r="H119" s="598">
        <f t="shared" ca="1" si="4"/>
        <v>16032279</v>
      </c>
      <c r="I119" s="468"/>
    </row>
    <row r="120" spans="1:9" s="144" customFormat="1" ht="18.75" customHeight="1">
      <c r="A120" s="155">
        <f ca="1">IF(ROWS($1:109)&gt;COUNT(Dong2),"",OFFSET(TH!C$1,SMALL(Dong2,ROWS($1:109)),))</f>
        <v>42353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42353</v>
      </c>
      <c r="D120" s="234" t="str">
        <f ca="1">IF(ROWS($1:109)&gt;COUNT(Dong2),"",OFFSET(TH!F$1,SMALL(Dong2,ROWS($1:109)),))</f>
        <v>Phí chuyển tiền</v>
      </c>
      <c r="E120" s="155" t="str">
        <f ca="1">IF(ROWS($1:109)&gt;COUNT(Dong2),"",IF(OFFSET(TH!M$1,SMALL(Dong2,ROWS($1:109)),)=$I$6,OFFSET(TH!L$1,SMALL(Dong2,ROWS($1:109)),),OFFSET(TH!M$1,SMALL(Dong2,ROWS($1:109)),)))</f>
        <v>642</v>
      </c>
      <c r="F120" s="471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1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15000</v>
      </c>
      <c r="H120" s="598">
        <f t="shared" ca="1" si="4"/>
        <v>16017279</v>
      </c>
      <c r="I120" s="468"/>
    </row>
    <row r="121" spans="1:9" s="144" customFormat="1" ht="18.75" customHeight="1">
      <c r="A121" s="155">
        <f ca="1">IF(ROWS($1:110)&gt;COUNT(Dong2),"",OFFSET(TH!C$1,SMALL(Dong2,ROWS($1:110)),))</f>
        <v>42356</v>
      </c>
      <c r="B121" s="155" t="str">
        <f ca="1">IF(ROWS($1:110)&gt;COUNT(Dong2),"",OFFSET(TH!D$1,SMALL(Dong2,ROWS($1:110)),))</f>
        <v>GBC</v>
      </c>
      <c r="C121" s="155">
        <f ca="1">IF(ROWS($1:110)&gt;COUNT(Dong2),"",OFFSET(TH!E$1,SMALL(Dong2,ROWS($1:110)),))</f>
        <v>42356</v>
      </c>
      <c r="D121" s="234" t="str">
        <f ca="1">IF(ROWS($1:110)&gt;COUNT(Dong2),"",OFFSET(TH!F$1,SMALL(Dong2,ROWS($1:110)),))</f>
        <v>Nộp tiền mặt vào tài khoản</v>
      </c>
      <c r="E121" s="155" t="str">
        <f ca="1">IF(ROWS($1:110)&gt;COUNT(Dong2),"",IF(OFFSET(TH!M$1,SMALL(Dong2,ROWS($1:110)),)=$I$6,OFFSET(TH!L$1,SMALL(Dong2,ROWS($1:110)),),OFFSET(TH!M$1,SMALL(Dong2,ROWS($1:110)),)))</f>
        <v>1111</v>
      </c>
      <c r="F121" s="471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14100000</v>
      </c>
      <c r="G121" s="471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0</v>
      </c>
      <c r="H121" s="598">
        <f t="shared" ca="1" si="4"/>
        <v>30117279</v>
      </c>
      <c r="I121" s="468"/>
    </row>
    <row r="122" spans="1:9" s="144" customFormat="1" ht="18.75" customHeight="1">
      <c r="A122" s="155">
        <f ca="1">IF(ROWS($1:111)&gt;COUNT(Dong2),"",OFFSET(TH!C$1,SMALL(Dong2,ROWS($1:111)),))</f>
        <v>42356</v>
      </c>
      <c r="B122" s="155" t="str">
        <f ca="1">IF(ROWS($1:111)&gt;COUNT(Dong2),"",OFFSET(TH!D$1,SMALL(Dong2,ROWS($1:111)),))</f>
        <v>GBC</v>
      </c>
      <c r="C122" s="155">
        <f ca="1">IF(ROWS($1:111)&gt;COUNT(Dong2),"",OFFSET(TH!E$1,SMALL(Dong2,ROWS($1:111)),))</f>
        <v>42356</v>
      </c>
      <c r="D122" s="234" t="str">
        <f ca="1">IF(ROWS($1:111)&gt;COUNT(Dong2),"",OFFSET(TH!F$1,SMALL(Dong2,ROWS($1:111)),))</f>
        <v>Thu tiền hàng</v>
      </c>
      <c r="E122" s="155" t="str">
        <f ca="1">IF(ROWS($1:111)&gt;COUNT(Dong2),"",IF(OFFSET(TH!M$1,SMALL(Dong2,ROWS($1:111)),)=$I$6,OFFSET(TH!L$1,SMALL(Dong2,ROWS($1:111)),),OFFSET(TH!M$1,SMALL(Dong2,ROWS($1:111)),)))</f>
        <v>131</v>
      </c>
      <c r="F122" s="471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5192000</v>
      </c>
      <c r="G122" s="471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598">
        <f t="shared" ca="1" si="4"/>
        <v>35309279</v>
      </c>
      <c r="I122" s="468"/>
    </row>
    <row r="123" spans="1:9" s="144" customFormat="1" ht="18.75" customHeight="1">
      <c r="A123" s="155">
        <f ca="1">IF(ROWS($1:112)&gt;COUNT(Dong2),"",OFFSET(TH!C$1,SMALL(Dong2,ROWS($1:112)),))</f>
        <v>42356</v>
      </c>
      <c r="B123" s="155" t="str">
        <f ca="1">IF(ROWS($1:112)&gt;COUNT(Dong2),"",OFFSET(TH!D$1,SMALL(Dong2,ROWS($1:112)),))</f>
        <v>GBC</v>
      </c>
      <c r="C123" s="155">
        <f ca="1">IF(ROWS($1:112)&gt;COUNT(Dong2),"",OFFSET(TH!E$1,SMALL(Dong2,ROWS($1:112)),))</f>
        <v>42356</v>
      </c>
      <c r="D123" s="234" t="str">
        <f ca="1">IF(ROWS($1:112)&gt;COUNT(Dong2),"",OFFSET(TH!F$1,SMALL(Dong2,ROWS($1:112)),))</f>
        <v>Thu tiền hàng</v>
      </c>
      <c r="E123" s="155" t="str">
        <f ca="1">IF(ROWS($1:112)&gt;COUNT(Dong2),"",IF(OFFSET(TH!M$1,SMALL(Dong2,ROWS($1:112)),)=$I$6,OFFSET(TH!L$1,SMALL(Dong2,ROWS($1:112)),),OFFSET(TH!M$1,SMALL(Dong2,ROWS($1:112)),)))</f>
        <v>131</v>
      </c>
      <c r="F123" s="471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14794296</v>
      </c>
      <c r="G123" s="471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0</v>
      </c>
      <c r="H123" s="598">
        <f t="shared" ca="1" si="4"/>
        <v>50103575</v>
      </c>
      <c r="I123" s="468"/>
    </row>
    <row r="124" spans="1:9" s="144" customFormat="1" ht="18.75" customHeight="1">
      <c r="A124" s="155">
        <f ca="1">IF(ROWS($1:113)&gt;COUNT(Dong2),"",OFFSET(TH!C$1,SMALL(Dong2,ROWS($1:113)),))</f>
        <v>42356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42356</v>
      </c>
      <c r="D124" s="234" t="str">
        <f ca="1">IF(ROWS($1:113)&gt;COUNT(Dong2),"",OFFSET(TH!F$1,SMALL(Dong2,ROWS($1:113)),))</f>
        <v>Thanh toán tiền hàng</v>
      </c>
      <c r="E124" s="155" t="str">
        <f ca="1">IF(ROWS($1:113)&gt;COUNT(Dong2),"",IF(OFFSET(TH!M$1,SMALL(Dong2,ROWS($1:113)),)=$I$6,OFFSET(TH!L$1,SMALL(Dong2,ROWS($1:113)),),OFFSET(TH!M$1,SMALL(Dong2,ROWS($1:113)),)))</f>
        <v>331</v>
      </c>
      <c r="F124" s="471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1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30000000</v>
      </c>
      <c r="H124" s="598">
        <f t="shared" ca="1" si="4"/>
        <v>20103575</v>
      </c>
      <c r="I124" s="468"/>
    </row>
    <row r="125" spans="1:9" s="144" customFormat="1" ht="18.75" customHeight="1">
      <c r="A125" s="155">
        <f ca="1">IF(ROWS($1:114)&gt;COUNT(Dong2),"",OFFSET(TH!C$1,SMALL(Dong2,ROWS($1:114)),))</f>
        <v>42356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42356</v>
      </c>
      <c r="D125" s="234" t="str">
        <f ca="1">IF(ROWS($1:114)&gt;COUNT(Dong2),"",OFFSET(TH!F$1,SMALL(Dong2,ROWS($1:114)),))</f>
        <v>Phí kiểm đếm</v>
      </c>
      <c r="E125" s="155" t="str">
        <f ca="1">IF(ROWS($1:114)&gt;COUNT(Dong2),"",IF(OFFSET(TH!M$1,SMALL(Dong2,ROWS($1:114)),)=$I$6,OFFSET(TH!L$1,SMALL(Dong2,ROWS($1:114)),),OFFSET(TH!M$1,SMALL(Dong2,ROWS($1:114)),)))</f>
        <v>642</v>
      </c>
      <c r="F125" s="471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1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598">
        <f t="shared" ca="1" si="4"/>
        <v>20088575</v>
      </c>
      <c r="I125" s="468"/>
    </row>
    <row r="126" spans="1:9" s="144" customFormat="1" ht="18.75" customHeight="1">
      <c r="A126" s="155">
        <f ca="1">IF(ROWS($1:115)&gt;COUNT(Dong2),"",OFFSET(TH!C$1,SMALL(Dong2,ROWS($1:115)),))</f>
        <v>42356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42356</v>
      </c>
      <c r="D126" s="234" t="str">
        <f ca="1">IF(ROWS($1:115)&gt;COUNT(Dong2),"",OFFSET(TH!F$1,SMALL(Dong2,ROWS($1:115)),))</f>
        <v>Phí chuyển tiền</v>
      </c>
      <c r="E126" s="155" t="str">
        <f ca="1">IF(ROWS($1:115)&gt;COUNT(Dong2),"",IF(OFFSET(TH!M$1,SMALL(Dong2,ROWS($1:115)),)=$I$6,OFFSET(TH!L$1,SMALL(Dong2,ROWS($1:115)),),OFFSET(TH!M$1,SMALL(Dong2,ROWS($1:115)),)))</f>
        <v>642</v>
      </c>
      <c r="F126" s="471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1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10000</v>
      </c>
      <c r="H126" s="598">
        <f t="shared" ca="1" si="4"/>
        <v>20078575</v>
      </c>
      <c r="I126" s="468"/>
    </row>
    <row r="127" spans="1:9" s="144" customFormat="1" ht="18.75" customHeight="1">
      <c r="A127" s="155">
        <f ca="1">IF(ROWS($1:116)&gt;COUNT(Dong2),"",OFFSET(TH!C$1,SMALL(Dong2,ROWS($1:116)),))</f>
        <v>42359</v>
      </c>
      <c r="B127" s="155" t="str">
        <f ca="1">IF(ROWS($1:116)&gt;COUNT(Dong2),"",OFFSET(TH!D$1,SMALL(Dong2,ROWS($1:116)),))</f>
        <v>GBC</v>
      </c>
      <c r="C127" s="155">
        <f ca="1">IF(ROWS($1:116)&gt;COUNT(Dong2),"",OFFSET(TH!E$1,SMALL(Dong2,ROWS($1:116)),))</f>
        <v>42359</v>
      </c>
      <c r="D127" s="234" t="str">
        <f ca="1">IF(ROWS($1:116)&gt;COUNT(Dong2),"",OFFSET(TH!F$1,SMALL(Dong2,ROWS($1:116)),))</f>
        <v>Nộp tiền mặt vào tài khoản</v>
      </c>
      <c r="E127" s="155" t="str">
        <f ca="1">IF(ROWS($1:116)&gt;COUNT(Dong2),"",IF(OFFSET(TH!M$1,SMALL(Dong2,ROWS($1:116)),)=$I$6,OFFSET(TH!L$1,SMALL(Dong2,ROWS($1:116)),),OFFSET(TH!M$1,SMALL(Dong2,ROWS($1:116)),)))</f>
        <v>1111</v>
      </c>
      <c r="F127" s="471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50000000</v>
      </c>
      <c r="G127" s="471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98">
        <f t="shared" ca="1" si="4"/>
        <v>70078575</v>
      </c>
      <c r="I127" s="468"/>
    </row>
    <row r="128" spans="1:9" s="144" customFormat="1" ht="18.75" customHeight="1">
      <c r="A128" s="155">
        <f ca="1">IF(ROWS($1:117)&gt;COUNT(Dong2),"",OFFSET(TH!C$1,SMALL(Dong2,ROWS($1:117)),))</f>
        <v>42359</v>
      </c>
      <c r="B128" s="155" t="str">
        <f ca="1">IF(ROWS($1:117)&gt;COUNT(Dong2),"",OFFSET(TH!D$1,SMALL(Dong2,ROWS($1:117)),))</f>
        <v>GBC</v>
      </c>
      <c r="C128" s="155">
        <f ca="1">IF(ROWS($1:117)&gt;COUNT(Dong2),"",OFFSET(TH!E$1,SMALL(Dong2,ROWS($1:117)),))</f>
        <v>42359</v>
      </c>
      <c r="D128" s="234" t="str">
        <f ca="1">IF(ROWS($1:117)&gt;COUNT(Dong2),"",OFFSET(TH!F$1,SMALL(Dong2,ROWS($1:117)),))</f>
        <v>Nộp tiền mặt vào tài khoản</v>
      </c>
      <c r="E128" s="155" t="str">
        <f ca="1">IF(ROWS($1:117)&gt;COUNT(Dong2),"",IF(OFFSET(TH!M$1,SMALL(Dong2,ROWS($1:117)),)=$I$6,OFFSET(TH!L$1,SMALL(Dong2,ROWS($1:117)),),OFFSET(TH!M$1,SMALL(Dong2,ROWS($1:117)),)))</f>
        <v>1111</v>
      </c>
      <c r="F128" s="471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100000</v>
      </c>
      <c r="G128" s="471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0</v>
      </c>
      <c r="H128" s="598">
        <f t="shared" ref="H128:H150" ca="1" si="5">IF(A128&lt;&gt;"",H127+F128-G128,0)</f>
        <v>70178575</v>
      </c>
      <c r="I128" s="468"/>
    </row>
    <row r="129" spans="1:9" s="144" customFormat="1" ht="18.75" customHeight="1">
      <c r="A129" s="155">
        <f ca="1">IF(ROWS($1:118)&gt;COUNT(Dong2),"",OFFSET(TH!C$1,SMALL(Dong2,ROWS($1:118)),))</f>
        <v>42359</v>
      </c>
      <c r="B129" s="155" t="str">
        <f ca="1">IF(ROWS($1:118)&gt;COUNT(Dong2),"",OFFSET(TH!D$1,SMALL(Dong2,ROWS($1:118)),))</f>
        <v>GBN</v>
      </c>
      <c r="C129" s="155">
        <f ca="1">IF(ROWS($1:118)&gt;COUNT(Dong2),"",OFFSET(TH!E$1,SMALL(Dong2,ROWS($1:118)),))</f>
        <v>42359</v>
      </c>
      <c r="D129" s="234" t="str">
        <f ca="1">IF(ROWS($1:118)&gt;COUNT(Dong2),"",OFFSET(TH!F$1,SMALL(Dong2,ROWS($1:118)),))</f>
        <v>Thanh toán tiền hàng</v>
      </c>
      <c r="E129" s="155" t="str">
        <f ca="1">IF(ROWS($1:118)&gt;COUNT(Dong2),"",IF(OFFSET(TH!M$1,SMALL(Dong2,ROWS($1:118)),)=$I$6,OFFSET(TH!L$1,SMALL(Dong2,ROWS($1:118)),),OFFSET(TH!M$1,SMALL(Dong2,ROWS($1:118)),)))</f>
        <v>331</v>
      </c>
      <c r="F129" s="471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1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20000000</v>
      </c>
      <c r="H129" s="598">
        <f t="shared" ca="1" si="5"/>
        <v>50178575</v>
      </c>
      <c r="I129" s="468"/>
    </row>
    <row r="130" spans="1:9" s="144" customFormat="1" ht="18.75" customHeight="1">
      <c r="A130" s="155">
        <f ca="1">IF(ROWS($1:119)&gt;COUNT(Dong2),"",OFFSET(TH!C$1,SMALL(Dong2,ROWS($1:119)),))</f>
        <v>42359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42359</v>
      </c>
      <c r="D130" s="234" t="str">
        <f ca="1">IF(ROWS($1:119)&gt;COUNT(Dong2),"",OFFSET(TH!F$1,SMALL(Dong2,ROWS($1:119)),))</f>
        <v>Chuyển tiền Eximbank</v>
      </c>
      <c r="E130" s="155" t="str">
        <f ca="1">IF(ROWS($1:119)&gt;COUNT(Dong2),"",IF(OFFSET(TH!M$1,SMALL(Dong2,ROWS($1:119)),)=$I$6,OFFSET(TH!L$1,SMALL(Dong2,ROWS($1:119)),),OFFSET(TH!M$1,SMALL(Dong2,ROWS($1:119)),)))</f>
        <v>1121</v>
      </c>
      <c r="F130" s="471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1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50000000</v>
      </c>
      <c r="H130" s="598">
        <f t="shared" ca="1" si="5"/>
        <v>178575</v>
      </c>
      <c r="I130" s="468"/>
    </row>
    <row r="131" spans="1:9" s="144" customFormat="1" ht="18.75" customHeight="1">
      <c r="A131" s="155">
        <f ca="1">IF(ROWS($1:120)&gt;COUNT(Dong2),"",OFFSET(TH!C$1,SMALL(Dong2,ROWS($1:120)),))</f>
        <v>42359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42359</v>
      </c>
      <c r="D131" s="234" t="str">
        <f ca="1">IF(ROWS($1:120)&gt;COUNT(Dong2),"",OFFSET(TH!F$1,SMALL(Dong2,ROWS($1:120)),))</f>
        <v>Phí kiểm đếm</v>
      </c>
      <c r="E131" s="155" t="str">
        <f ca="1">IF(ROWS($1:120)&gt;COUNT(Dong2),"",IF(OFFSET(TH!M$1,SMALL(Dong2,ROWS($1:120)),)=$I$6,OFFSET(TH!L$1,SMALL(Dong2,ROWS($1:120)),),OFFSET(TH!M$1,SMALL(Dong2,ROWS($1:120)),)))</f>
        <v>642</v>
      </c>
      <c r="F131" s="471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1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15000</v>
      </c>
      <c r="H131" s="598">
        <f t="shared" ca="1" si="5"/>
        <v>163575</v>
      </c>
      <c r="I131" s="468"/>
    </row>
    <row r="132" spans="1:9" s="144" customFormat="1" ht="18.75" customHeight="1">
      <c r="A132" s="155">
        <f ca="1">IF(ROWS($1:121)&gt;COUNT(Dong2),"",OFFSET(TH!C$1,SMALL(Dong2,ROWS($1:121)),))</f>
        <v>42359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42359</v>
      </c>
      <c r="D132" s="234" t="str">
        <f ca="1">IF(ROWS($1:121)&gt;COUNT(Dong2),"",OFFSET(TH!F$1,SMALL(Dong2,ROWS($1:121)),))</f>
        <v>Phí chuyển tiền</v>
      </c>
      <c r="E132" s="155" t="str">
        <f ca="1">IF(ROWS($1:121)&gt;COUNT(Dong2),"",IF(OFFSET(TH!M$1,SMALL(Dong2,ROWS($1:121)),)=$I$6,OFFSET(TH!L$1,SMALL(Dong2,ROWS($1:121)),),OFFSET(TH!M$1,SMALL(Dong2,ROWS($1:121)),)))</f>
        <v>642</v>
      </c>
      <c r="F132" s="471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1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10000</v>
      </c>
      <c r="H132" s="598">
        <f t="shared" ca="1" si="5"/>
        <v>153575</v>
      </c>
      <c r="I132" s="468"/>
    </row>
    <row r="133" spans="1:9" s="144" customFormat="1" ht="18.75" customHeight="1">
      <c r="A133" s="155">
        <f ca="1">IF(ROWS($1:122)&gt;COUNT(Dong2),"",OFFSET(TH!C$1,SMALL(Dong2,ROWS($1:122)),))</f>
        <v>42359</v>
      </c>
      <c r="B133" s="155" t="str">
        <f ca="1">IF(ROWS($1:122)&gt;COUNT(Dong2),"",OFFSET(TH!D$1,SMALL(Dong2,ROWS($1:122)),))</f>
        <v>GBN</v>
      </c>
      <c r="C133" s="155">
        <f ca="1">IF(ROWS($1:122)&gt;COUNT(Dong2),"",OFFSET(TH!E$1,SMALL(Dong2,ROWS($1:122)),))</f>
        <v>42359</v>
      </c>
      <c r="D133" s="234" t="str">
        <f ca="1">IF(ROWS($1:122)&gt;COUNT(Dong2),"",OFFSET(TH!F$1,SMALL(Dong2,ROWS($1:122)),))</f>
        <v>Phí chuyển tiền</v>
      </c>
      <c r="E133" s="155" t="str">
        <f ca="1">IF(ROWS($1:122)&gt;COUNT(Dong2),"",IF(OFFSET(TH!M$1,SMALL(Dong2,ROWS($1:122)),)=$I$6,OFFSET(TH!L$1,SMALL(Dong2,ROWS($1:122)),),OFFSET(TH!M$1,SMALL(Dong2,ROWS($1:122)),)))</f>
        <v>642</v>
      </c>
      <c r="F133" s="471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1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15000</v>
      </c>
      <c r="H133" s="598">
        <f t="shared" ca="1" si="5"/>
        <v>138575</v>
      </c>
      <c r="I133" s="468"/>
    </row>
    <row r="134" spans="1:9" s="144" customFormat="1" ht="18.75" customHeight="1">
      <c r="A134" s="155">
        <f ca="1">IF(ROWS($1:123)&gt;COUNT(Dong2),"",OFFSET(TH!C$1,SMALL(Dong2,ROWS($1:123)),))</f>
        <v>42362</v>
      </c>
      <c r="B134" s="155" t="str">
        <f ca="1">IF(ROWS($1:123)&gt;COUNT(Dong2),"",OFFSET(TH!D$1,SMALL(Dong2,ROWS($1:123)),))</f>
        <v>GBC</v>
      </c>
      <c r="C134" s="155">
        <f ca="1">IF(ROWS($1:123)&gt;COUNT(Dong2),"",OFFSET(TH!E$1,SMALL(Dong2,ROWS($1:123)),))</f>
        <v>42362</v>
      </c>
      <c r="D134" s="234" t="str">
        <f ca="1">IF(ROWS($1:123)&gt;COUNT(Dong2),"",OFFSET(TH!F$1,SMALL(Dong2,ROWS($1:123)),))</f>
        <v>Thu tiền hàng</v>
      </c>
      <c r="E134" s="155" t="str">
        <f ca="1">IF(ROWS($1:123)&gt;COUNT(Dong2),"",IF(OFFSET(TH!M$1,SMALL(Dong2,ROWS($1:123)),)=$I$6,OFFSET(TH!L$1,SMALL(Dong2,ROWS($1:123)),),OFFSET(TH!M$1,SMALL(Dong2,ROWS($1:123)),)))</f>
        <v>131</v>
      </c>
      <c r="F134" s="471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23114400</v>
      </c>
      <c r="G134" s="471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0</v>
      </c>
      <c r="H134" s="598">
        <f t="shared" ca="1" si="5"/>
        <v>23252975</v>
      </c>
      <c r="I134" s="468"/>
    </row>
    <row r="135" spans="1:9" s="144" customFormat="1" ht="18.75" customHeight="1">
      <c r="A135" s="155">
        <f ca="1">IF(ROWS($1:124)&gt;COUNT(Dong2),"",OFFSET(TH!C$1,SMALL(Dong2,ROWS($1:124)),))</f>
        <v>42362</v>
      </c>
      <c r="B135" s="155" t="str">
        <f ca="1">IF(ROWS($1:124)&gt;COUNT(Dong2),"",OFFSET(TH!D$1,SMALL(Dong2,ROWS($1:124)),))</f>
        <v>GBC</v>
      </c>
      <c r="C135" s="155">
        <f ca="1">IF(ROWS($1:124)&gt;COUNT(Dong2),"",OFFSET(TH!E$1,SMALL(Dong2,ROWS($1:124)),))</f>
        <v>42362</v>
      </c>
      <c r="D135" s="234" t="str">
        <f ca="1">IF(ROWS($1:124)&gt;COUNT(Dong2),"",OFFSET(TH!F$1,SMALL(Dong2,ROWS($1:124)),))</f>
        <v>Thu tiền hàng</v>
      </c>
      <c r="E135" s="155" t="str">
        <f ca="1">IF(ROWS($1:124)&gt;COUNT(Dong2),"",IF(OFFSET(TH!M$1,SMALL(Dong2,ROWS($1:124)),)=$I$6,OFFSET(TH!L$1,SMALL(Dong2,ROWS($1:124)),),OFFSET(TH!M$1,SMALL(Dong2,ROWS($1:124)),)))</f>
        <v>131</v>
      </c>
      <c r="F135" s="471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4888400</v>
      </c>
      <c r="G135" s="471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0</v>
      </c>
      <c r="H135" s="598">
        <f t="shared" ca="1" si="5"/>
        <v>28141375</v>
      </c>
      <c r="I135" s="468"/>
    </row>
    <row r="136" spans="1:9" s="144" customFormat="1" ht="18.75" customHeight="1">
      <c r="A136" s="155">
        <f ca="1">IF(ROWS($1:125)&gt;COUNT(Dong2),"",OFFSET(TH!C$1,SMALL(Dong2,ROWS($1:125)),))</f>
        <v>42362</v>
      </c>
      <c r="B136" s="155" t="str">
        <f ca="1">IF(ROWS($1:125)&gt;COUNT(Dong2),"",OFFSET(TH!D$1,SMALL(Dong2,ROWS($1:125)),))</f>
        <v>GBN</v>
      </c>
      <c r="C136" s="155">
        <f ca="1">IF(ROWS($1:125)&gt;COUNT(Dong2),"",OFFSET(TH!E$1,SMALL(Dong2,ROWS($1:125)),))</f>
        <v>42362</v>
      </c>
      <c r="D136" s="234" t="str">
        <f ca="1">IF(ROWS($1:125)&gt;COUNT(Dong2),"",OFFSET(TH!F$1,SMALL(Dong2,ROWS($1:125)),))</f>
        <v>Chi sec nhập quỹ tiền mặt</v>
      </c>
      <c r="E136" s="155" t="str">
        <f ca="1">IF(ROWS($1:125)&gt;COUNT(Dong2),"",IF(OFFSET(TH!M$1,SMALL(Dong2,ROWS($1:125)),)=$I$6,OFFSET(TH!L$1,SMALL(Dong2,ROWS($1:125)),),OFFSET(TH!M$1,SMALL(Dong2,ROWS($1:125)),)))</f>
        <v>1111</v>
      </c>
      <c r="F136" s="471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1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23000000</v>
      </c>
      <c r="H136" s="598">
        <f t="shared" ca="1" si="5"/>
        <v>5141375</v>
      </c>
      <c r="I136" s="468"/>
    </row>
    <row r="137" spans="1:9" s="144" customFormat="1" ht="18.75" customHeight="1">
      <c r="A137" s="155">
        <f ca="1">IF(ROWS($1:126)&gt;COUNT(Dong2),"",OFFSET(TH!C$1,SMALL(Dong2,ROWS($1:126)),))</f>
        <v>42363</v>
      </c>
      <c r="B137" s="155" t="str">
        <f ca="1">IF(ROWS($1:126)&gt;COUNT(Dong2),"",OFFSET(TH!D$1,SMALL(Dong2,ROWS($1:126)),))</f>
        <v>GBC</v>
      </c>
      <c r="C137" s="155">
        <f ca="1">IF(ROWS($1:126)&gt;COUNT(Dong2),"",OFFSET(TH!E$1,SMALL(Dong2,ROWS($1:126)),))</f>
        <v>42363</v>
      </c>
      <c r="D137" s="234" t="str">
        <f ca="1">IF(ROWS($1:126)&gt;COUNT(Dong2),"",OFFSET(TH!F$1,SMALL(Dong2,ROWS($1:126)),))</f>
        <v>Lãi tiền gửi</v>
      </c>
      <c r="E137" s="155" t="str">
        <f ca="1">IF(ROWS($1:126)&gt;COUNT(Dong2),"",IF(OFFSET(TH!M$1,SMALL(Dong2,ROWS($1:126)),)=$I$6,OFFSET(TH!L$1,SMALL(Dong2,ROWS($1:126)),),OFFSET(TH!M$1,SMALL(Dong2,ROWS($1:126)),)))</f>
        <v>515</v>
      </c>
      <c r="F137" s="471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3870</v>
      </c>
      <c r="G137" s="471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598">
        <f t="shared" ca="1" si="5"/>
        <v>5145245</v>
      </c>
      <c r="I137" s="468"/>
    </row>
    <row r="138" spans="1:9" s="144" customFormat="1" ht="18.75" customHeight="1">
      <c r="A138" s="155">
        <f ca="1">IF(ROWS($1:127)&gt;COUNT(Dong2),"",OFFSET(TH!C$1,SMALL(Dong2,ROWS($1:127)),))</f>
        <v>42363</v>
      </c>
      <c r="B138" s="155" t="str">
        <f ca="1">IF(ROWS($1:127)&gt;COUNT(Dong2),"",OFFSET(TH!D$1,SMALL(Dong2,ROWS($1:127)),))</f>
        <v>GBN</v>
      </c>
      <c r="C138" s="155">
        <f ca="1">IF(ROWS($1:127)&gt;COUNT(Dong2),"",OFFSET(TH!E$1,SMALL(Dong2,ROWS($1:127)),))</f>
        <v>42363</v>
      </c>
      <c r="D138" s="234" t="str">
        <f ca="1">IF(ROWS($1:127)&gt;COUNT(Dong2),"",OFFSET(TH!F$1,SMALL(Dong2,ROWS($1:127)),))</f>
        <v>Chi sec nhập quỹ tiền mặt</v>
      </c>
      <c r="E138" s="155" t="str">
        <f ca="1">IF(ROWS($1:127)&gt;COUNT(Dong2),"",IF(OFFSET(TH!M$1,SMALL(Dong2,ROWS($1:127)),)=$I$6,OFFSET(TH!L$1,SMALL(Dong2,ROWS($1:127)),),OFFSET(TH!M$1,SMALL(Dong2,ROWS($1:127)),)))</f>
        <v>1111</v>
      </c>
      <c r="F138" s="471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1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5000000</v>
      </c>
      <c r="H138" s="598">
        <f t="shared" ca="1" si="5"/>
        <v>145245</v>
      </c>
      <c r="I138" s="468"/>
    </row>
    <row r="139" spans="1:9" s="144" customFormat="1" ht="18.75" customHeight="1">
      <c r="A139" s="155">
        <f ca="1">IF(ROWS($1:128)&gt;COUNT(Dong2),"",OFFSET(TH!C$1,SMALL(Dong2,ROWS($1:128)),))</f>
        <v>42366</v>
      </c>
      <c r="B139" s="155" t="str">
        <f ca="1">IF(ROWS($1:128)&gt;COUNT(Dong2),"",OFFSET(TH!D$1,SMALL(Dong2,ROWS($1:128)),))</f>
        <v>GBC</v>
      </c>
      <c r="C139" s="155">
        <f ca="1">IF(ROWS($1:128)&gt;COUNT(Dong2),"",OFFSET(TH!E$1,SMALL(Dong2,ROWS($1:128)),))</f>
        <v>42366</v>
      </c>
      <c r="D139" s="234" t="str">
        <f ca="1">IF(ROWS($1:128)&gt;COUNT(Dong2),"",OFFSET(TH!F$1,SMALL(Dong2,ROWS($1:128)),))</f>
        <v>Thu tiền hàng</v>
      </c>
      <c r="E139" s="155" t="str">
        <f ca="1">IF(ROWS($1:128)&gt;COUNT(Dong2),"",IF(OFFSET(TH!M$1,SMALL(Dong2,ROWS($1:128)),)=$I$6,OFFSET(TH!L$1,SMALL(Dong2,ROWS($1:128)),),OFFSET(TH!M$1,SMALL(Dong2,ROWS($1:128)),)))</f>
        <v>131</v>
      </c>
      <c r="F139" s="471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51076300</v>
      </c>
      <c r="G139" s="471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0</v>
      </c>
      <c r="H139" s="598">
        <f t="shared" ca="1" si="5"/>
        <v>51221545</v>
      </c>
      <c r="I139" s="468"/>
    </row>
    <row r="140" spans="1:9" s="144" customFormat="1" ht="18.75" customHeight="1">
      <c r="A140" s="155">
        <f ca="1">IF(ROWS($1:129)&gt;COUNT(Dong2),"",OFFSET(TH!C$1,SMALL(Dong2,ROWS($1:129)),))</f>
        <v>42366</v>
      </c>
      <c r="B140" s="155" t="str">
        <f ca="1">IF(ROWS($1:129)&gt;COUNT(Dong2),"",OFFSET(TH!D$1,SMALL(Dong2,ROWS($1:129)),))</f>
        <v>GBN</v>
      </c>
      <c r="C140" s="155">
        <f ca="1">IF(ROWS($1:129)&gt;COUNT(Dong2),"",OFFSET(TH!E$1,SMALL(Dong2,ROWS($1:129)),))</f>
        <v>42366</v>
      </c>
      <c r="D140" s="234" t="str">
        <f ca="1">IF(ROWS($1:129)&gt;COUNT(Dong2),"",OFFSET(TH!F$1,SMALL(Dong2,ROWS($1:129)),))</f>
        <v>Thanh toán tiền hàng</v>
      </c>
      <c r="E140" s="155" t="str">
        <f ca="1">IF(ROWS($1:129)&gt;COUNT(Dong2),"",IF(OFFSET(TH!M$1,SMALL(Dong2,ROWS($1:129)),)=$I$6,OFFSET(TH!L$1,SMALL(Dong2,ROWS($1:129)),),OFFSET(TH!M$1,SMALL(Dong2,ROWS($1:129)),)))</f>
        <v>331</v>
      </c>
      <c r="F140" s="471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1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13000000</v>
      </c>
      <c r="H140" s="598">
        <f t="shared" ca="1" si="5"/>
        <v>38221545</v>
      </c>
      <c r="I140" s="468"/>
    </row>
    <row r="141" spans="1:9" s="144" customFormat="1" ht="18.75" customHeight="1">
      <c r="A141" s="155">
        <f ca="1">IF(ROWS($1:130)&gt;COUNT(Dong2),"",OFFSET(TH!C$1,SMALL(Dong2,ROWS($1:130)),))</f>
        <v>42366</v>
      </c>
      <c r="B141" s="155" t="str">
        <f ca="1">IF(ROWS($1:130)&gt;COUNT(Dong2),"",OFFSET(TH!D$1,SMALL(Dong2,ROWS($1:130)),))</f>
        <v>GBN</v>
      </c>
      <c r="C141" s="155">
        <f ca="1">IF(ROWS($1:130)&gt;COUNT(Dong2),"",OFFSET(TH!E$1,SMALL(Dong2,ROWS($1:130)),))</f>
        <v>42366</v>
      </c>
      <c r="D141" s="234" t="str">
        <f ca="1">IF(ROWS($1:130)&gt;COUNT(Dong2),"",OFFSET(TH!F$1,SMALL(Dong2,ROWS($1:130)),))</f>
        <v>Chi sec nhập quỹ tiền mặt</v>
      </c>
      <c r="E141" s="155" t="str">
        <f ca="1">IF(ROWS($1:130)&gt;COUNT(Dong2),"",IF(OFFSET(TH!M$1,SMALL(Dong2,ROWS($1:130)),)=$I$6,OFFSET(TH!L$1,SMALL(Dong2,ROWS($1:130)),),OFFSET(TH!M$1,SMALL(Dong2,ROWS($1:130)),)))</f>
        <v>1111</v>
      </c>
      <c r="F141" s="471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1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38000000</v>
      </c>
      <c r="H141" s="598">
        <f t="shared" ca="1" si="5"/>
        <v>221545</v>
      </c>
      <c r="I141" s="468"/>
    </row>
    <row r="142" spans="1:9" s="144" customFormat="1" ht="18.75" customHeight="1">
      <c r="A142" s="155">
        <f ca="1">IF(ROWS($1:131)&gt;COUNT(Dong2),"",OFFSET(TH!C$1,SMALL(Dong2,ROWS($1:131)),))</f>
        <v>42366</v>
      </c>
      <c r="B142" s="155" t="str">
        <f ca="1">IF(ROWS($1:131)&gt;COUNT(Dong2),"",OFFSET(TH!D$1,SMALL(Dong2,ROWS($1:131)),))</f>
        <v>GBN</v>
      </c>
      <c r="C142" s="155">
        <f ca="1">IF(ROWS($1:131)&gt;COUNT(Dong2),"",OFFSET(TH!E$1,SMALL(Dong2,ROWS($1:131)),))</f>
        <v>42366</v>
      </c>
      <c r="D142" s="234" t="str">
        <f ca="1">IF(ROWS($1:131)&gt;COUNT(Dong2),"",OFFSET(TH!F$1,SMALL(Dong2,ROWS($1:131)),))</f>
        <v>Phí chuyển tiền</v>
      </c>
      <c r="E142" s="155" t="str">
        <f ca="1">IF(ROWS($1:131)&gt;COUNT(Dong2),"",IF(OFFSET(TH!M$1,SMALL(Dong2,ROWS($1:131)),)=$I$6,OFFSET(TH!L$1,SMALL(Dong2,ROWS($1:131)),),OFFSET(TH!M$1,SMALL(Dong2,ROWS($1:131)),)))</f>
        <v>642</v>
      </c>
      <c r="F142" s="471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1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15000</v>
      </c>
      <c r="H142" s="598">
        <f t="shared" ca="1" si="5"/>
        <v>206545</v>
      </c>
      <c r="I142" s="468"/>
    </row>
    <row r="143" spans="1:9" s="144" customFormat="1" ht="18.75" customHeight="1">
      <c r="A143" s="155">
        <f ca="1">IF(ROWS($1:132)&gt;COUNT(Dong2),"",OFFSET(TH!C$1,SMALL(Dong2,ROWS($1:132)),))</f>
        <v>42367</v>
      </c>
      <c r="B143" s="155" t="str">
        <f ca="1">IF(ROWS($1:132)&gt;COUNT(Dong2),"",OFFSET(TH!D$1,SMALL(Dong2,ROWS($1:132)),))</f>
        <v>GBC</v>
      </c>
      <c r="C143" s="155">
        <f ca="1">IF(ROWS($1:132)&gt;COUNT(Dong2),"",OFFSET(TH!E$1,SMALL(Dong2,ROWS($1:132)),))</f>
        <v>42367</v>
      </c>
      <c r="D143" s="234" t="str">
        <f ca="1">IF(ROWS($1:132)&gt;COUNT(Dong2),"",OFFSET(TH!F$1,SMALL(Dong2,ROWS($1:132)),))</f>
        <v>Thu tiền hàng</v>
      </c>
      <c r="E143" s="155" t="str">
        <f ca="1">IF(ROWS($1:132)&gt;COUNT(Dong2),"",IF(OFFSET(TH!M$1,SMALL(Dong2,ROWS($1:132)),)=$I$6,OFFSET(TH!L$1,SMALL(Dong2,ROWS($1:132)),),OFFSET(TH!M$1,SMALL(Dong2,ROWS($1:132)),)))</f>
        <v>131</v>
      </c>
      <c r="F143" s="471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2282500</v>
      </c>
      <c r="G143" s="471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0</v>
      </c>
      <c r="H143" s="598">
        <f t="shared" ca="1" si="5"/>
        <v>2489045</v>
      </c>
      <c r="I143" s="468"/>
    </row>
    <row r="144" spans="1:9" s="144" customFormat="1" ht="18.75" customHeight="1">
      <c r="A144" s="155">
        <f ca="1">IF(ROWS($1:133)&gt;COUNT(Dong2),"",OFFSET(TH!C$1,SMALL(Dong2,ROWS($1:133)),))</f>
        <v>42368</v>
      </c>
      <c r="B144" s="155" t="str">
        <f ca="1">IF(ROWS($1:133)&gt;COUNT(Dong2),"",OFFSET(TH!D$1,SMALL(Dong2,ROWS($1:133)),))</f>
        <v>GBC</v>
      </c>
      <c r="C144" s="155">
        <f ca="1">IF(ROWS($1:133)&gt;COUNT(Dong2),"",OFFSET(TH!E$1,SMALL(Dong2,ROWS($1:133)),))</f>
        <v>42368</v>
      </c>
      <c r="D144" s="234" t="str">
        <f ca="1">IF(ROWS($1:133)&gt;COUNT(Dong2),"",OFFSET(TH!F$1,SMALL(Dong2,ROWS($1:133)),))</f>
        <v>Thu tiền hàng</v>
      </c>
      <c r="E144" s="155" t="str">
        <f ca="1">IF(ROWS($1:133)&gt;COUNT(Dong2),"",IF(OFFSET(TH!M$1,SMALL(Dong2,ROWS($1:133)),)=$I$6,OFFSET(TH!L$1,SMALL(Dong2,ROWS($1:133)),),OFFSET(TH!M$1,SMALL(Dong2,ROWS($1:133)),)))</f>
        <v>131</v>
      </c>
      <c r="F144" s="471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27972120</v>
      </c>
      <c r="G144" s="471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0</v>
      </c>
      <c r="H144" s="598">
        <f t="shared" ca="1" si="5"/>
        <v>30461165</v>
      </c>
      <c r="I144" s="468"/>
    </row>
    <row r="145" spans="1:21" s="144" customFormat="1" ht="18.75" customHeight="1">
      <c r="A145" s="155">
        <f ca="1">IF(ROWS($1:134)&gt;COUNT(Dong2),"",OFFSET(TH!C$1,SMALL(Dong2,ROWS($1:134)),))</f>
        <v>42369</v>
      </c>
      <c r="B145" s="155" t="str">
        <f ca="1">IF(ROWS($1:134)&gt;COUNT(Dong2),"",OFFSET(TH!D$1,SMALL(Dong2,ROWS($1:134)),))</f>
        <v>GBC</v>
      </c>
      <c r="C145" s="155">
        <f ca="1">IF(ROWS($1:134)&gt;COUNT(Dong2),"",OFFSET(TH!E$1,SMALL(Dong2,ROWS($1:134)),))</f>
        <v>42369</v>
      </c>
      <c r="D145" s="234" t="str">
        <f ca="1">IF(ROWS($1:134)&gt;COUNT(Dong2),"",OFFSET(TH!F$1,SMALL(Dong2,ROWS($1:134)),))</f>
        <v>Thu tiền hàng</v>
      </c>
      <c r="E145" s="155" t="str">
        <f ca="1">IF(ROWS($1:134)&gt;COUNT(Dong2),"",IF(OFFSET(TH!M$1,SMALL(Dong2,ROWS($1:134)),)=$I$6,OFFSET(TH!L$1,SMALL(Dong2,ROWS($1:134)),),OFFSET(TH!M$1,SMALL(Dong2,ROWS($1:134)),)))</f>
        <v>131</v>
      </c>
      <c r="F145" s="471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15920520</v>
      </c>
      <c r="G145" s="471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0</v>
      </c>
      <c r="H145" s="598">
        <f t="shared" ca="1" si="5"/>
        <v>46381685</v>
      </c>
      <c r="I145" s="468"/>
    </row>
    <row r="146" spans="1:21" s="144" customFormat="1" ht="18.75" customHeight="1">
      <c r="A146" s="155">
        <f ca="1">IF(ROWS($1:135)&gt;COUNT(Dong2),"",OFFSET(TH!C$1,SMALL(Dong2,ROWS($1:135)),))</f>
        <v>42369</v>
      </c>
      <c r="B146" s="155" t="str">
        <f ca="1">IF(ROWS($1:135)&gt;COUNT(Dong2),"",OFFSET(TH!D$1,SMALL(Dong2,ROWS($1:135)),))</f>
        <v>GBN</v>
      </c>
      <c r="C146" s="155">
        <f ca="1">IF(ROWS($1:135)&gt;COUNT(Dong2),"",OFFSET(TH!E$1,SMALL(Dong2,ROWS($1:135)),))</f>
        <v>42369</v>
      </c>
      <c r="D146" s="234" t="str">
        <f ca="1">IF(ROWS($1:135)&gt;COUNT(Dong2),"",OFFSET(TH!F$1,SMALL(Dong2,ROWS($1:135)),))</f>
        <v>Thanh toán tiền hàng</v>
      </c>
      <c r="E146" s="155" t="str">
        <f ca="1">IF(ROWS($1:135)&gt;COUNT(Dong2),"",IF(OFFSET(TH!M$1,SMALL(Dong2,ROWS($1:135)),)=$I$6,OFFSET(TH!L$1,SMALL(Dong2,ROWS($1:135)),),OFFSET(TH!M$1,SMALL(Dong2,ROWS($1:135)),)))</f>
        <v>331</v>
      </c>
      <c r="F146" s="471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1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598">
        <f t="shared" ca="1" si="5"/>
        <v>36381685</v>
      </c>
      <c r="I146" s="468"/>
    </row>
    <row r="147" spans="1:21" s="144" customFormat="1" ht="18.75" customHeight="1">
      <c r="A147" s="155">
        <f ca="1">IF(ROWS($1:136)&gt;COUNT(Dong2),"",OFFSET(TH!C$1,SMALL(Dong2,ROWS($1:136)),))</f>
        <v>42369</v>
      </c>
      <c r="B147" s="155" t="str">
        <f ca="1">IF(ROWS($1:136)&gt;COUNT(Dong2),"",OFFSET(TH!D$1,SMALL(Dong2,ROWS($1:136)),))</f>
        <v>GBN</v>
      </c>
      <c r="C147" s="155">
        <f ca="1">IF(ROWS($1:136)&gt;COUNT(Dong2),"",OFFSET(TH!E$1,SMALL(Dong2,ROWS($1:136)),))</f>
        <v>42369</v>
      </c>
      <c r="D147" s="234" t="str">
        <f ca="1">IF(ROWS($1:136)&gt;COUNT(Dong2),"",OFFSET(TH!F$1,SMALL(Dong2,ROWS($1:136)),))</f>
        <v>Chi sec nhập quỹ tiền mặt</v>
      </c>
      <c r="E147" s="155" t="str">
        <f ca="1">IF(ROWS($1:136)&gt;COUNT(Dong2),"",IF(OFFSET(TH!M$1,SMALL(Dong2,ROWS($1:136)),)=$I$6,OFFSET(TH!L$1,SMALL(Dong2,ROWS($1:136)),),OFFSET(TH!M$1,SMALL(Dong2,ROWS($1:136)),)))</f>
        <v>1111</v>
      </c>
      <c r="F147" s="471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1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598">
        <f t="shared" ca="1" si="5"/>
        <v>16381685</v>
      </c>
      <c r="I147" s="468"/>
    </row>
    <row r="148" spans="1:21" s="144" customFormat="1" ht="18.75" customHeight="1">
      <c r="A148" s="155">
        <f ca="1">IF(ROWS($1:137)&gt;COUNT(Dong2),"",OFFSET(TH!C$1,SMALL(Dong2,ROWS($1:137)),))</f>
        <v>42369</v>
      </c>
      <c r="B148" s="155" t="str">
        <f ca="1">IF(ROWS($1:137)&gt;COUNT(Dong2),"",OFFSET(TH!D$1,SMALL(Dong2,ROWS($1:137)),))</f>
        <v>GBN</v>
      </c>
      <c r="C148" s="155">
        <f ca="1">IF(ROWS($1:137)&gt;COUNT(Dong2),"",OFFSET(TH!E$1,SMALL(Dong2,ROWS($1:137)),))</f>
        <v>42369</v>
      </c>
      <c r="D148" s="234" t="str">
        <f ca="1">IF(ROWS($1:137)&gt;COUNT(Dong2),"",OFFSET(TH!F$1,SMALL(Dong2,ROWS($1:137)),))</f>
        <v>Phí chuyển tiền</v>
      </c>
      <c r="E148" s="155" t="str">
        <f ca="1">IF(ROWS($1:137)&gt;COUNT(Dong2),"",IF(OFFSET(TH!M$1,SMALL(Dong2,ROWS($1:137)),)=$I$6,OFFSET(TH!L$1,SMALL(Dong2,ROWS($1:137)),),OFFSET(TH!M$1,SMALL(Dong2,ROWS($1:137)),)))</f>
        <v>642</v>
      </c>
      <c r="F148" s="471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1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598">
        <f t="shared" ca="1" si="5"/>
        <v>16366685</v>
      </c>
      <c r="I148" s="468"/>
    </row>
    <row r="149" spans="1:21" s="144" customFormat="1" ht="18.75" customHeight="1">
      <c r="A149" s="155">
        <f ca="1">IF(ROWS($1:138)&gt;COUNT(Dong2),"",OFFSET(TH!C$1,SMALL(Dong2,ROWS($1:138)),))</f>
        <v>42369</v>
      </c>
      <c r="B149" s="155" t="str">
        <f ca="1">IF(ROWS($1:138)&gt;COUNT(Dong2),"",OFFSET(TH!D$1,SMALL(Dong2,ROWS($1:138)),))</f>
        <v>GBN</v>
      </c>
      <c r="C149" s="155">
        <f ca="1">IF(ROWS($1:138)&gt;COUNT(Dong2),"",OFFSET(TH!E$1,SMALL(Dong2,ROWS($1:138)),))</f>
        <v>42369</v>
      </c>
      <c r="D149" s="234" t="str">
        <f ca="1">IF(ROWS($1:138)&gt;COUNT(Dong2),"",OFFSET(TH!F$1,SMALL(Dong2,ROWS($1:138)),))</f>
        <v>Phí bán 2 cuốn sec</v>
      </c>
      <c r="E149" s="155" t="str">
        <f ca="1">IF(ROWS($1:138)&gt;COUNT(Dong2),"",IF(OFFSET(TH!M$1,SMALL(Dong2,ROWS($1:138)),)=$I$6,OFFSET(TH!L$1,SMALL(Dong2,ROWS($1:138)),),OFFSET(TH!M$1,SMALL(Dong2,ROWS($1:138)),)))</f>
        <v>642</v>
      </c>
      <c r="F149" s="471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1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598">
        <f t="shared" ca="1" si="5"/>
        <v>16336685</v>
      </c>
      <c r="I149" s="468"/>
    </row>
    <row r="150" spans="1:21" s="144" customFormat="1" ht="18.75" customHeight="1">
      <c r="A150" s="155" t="str">
        <f ca="1">IF(ROWS($1:139)&gt;COUNT(Dong2),"",OFFSET(TH!C$1,SMALL(Dong2,ROWS($1:139)),))</f>
        <v/>
      </c>
      <c r="B150" s="155" t="str">
        <f ca="1">IF(ROWS($1:139)&gt;COUNT(Dong2),"",OFFSET(TH!D$1,SMALL(Dong2,ROWS($1:139)),))</f>
        <v/>
      </c>
      <c r="C150" s="155" t="str">
        <f ca="1">IF(ROWS($1:139)&gt;COUNT(Dong2),"",OFFSET(TH!E$1,SMALL(Dong2,ROWS($1:139)),))</f>
        <v/>
      </c>
      <c r="D150" s="234" t="str">
        <f ca="1">IF(ROWS($1:139)&gt;COUNT(Dong2),"",OFFSET(TH!F$1,SMALL(Dong2,ROWS($1:139)),))</f>
        <v/>
      </c>
      <c r="E150" s="155" t="str">
        <f ca="1">IF(ROWS($1:139)&gt;COUNT(Dong2),"",IF(OFFSET(TH!M$1,SMALL(Dong2,ROWS($1:139)),)=$I$6,OFFSET(TH!L$1,SMALL(Dong2,ROWS($1:139)),),OFFSET(TH!M$1,SMALL(Dong2,ROWS($1:139)),)))</f>
        <v/>
      </c>
      <c r="F150" s="471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1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598">
        <f t="shared" ca="1" si="5"/>
        <v>0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8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921462726</v>
      </c>
      <c r="G152" s="470">
        <f ca="1">SUM(G12:G151)</f>
        <v>907666865</v>
      </c>
      <c r="H152" s="470">
        <f ca="1">H11+F152-G152</f>
        <v>16336685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16336685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1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5/10/ 2015</v>
      </c>
      <c r="B155" s="163"/>
      <c r="F155" s="161"/>
      <c r="H155" s="591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12  năm   2015</v>
      </c>
      <c r="H156" s="591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2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1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3"/>
  <sheetViews>
    <sheetView showZeros="0" topLeftCell="A4" workbookViewId="0">
      <pane ySplit="2" topLeftCell="A6" activePane="bottomLeft" state="frozen"/>
      <selection activeCell="A4" sqref="A4"/>
      <selection pane="bottomLeft" activeCell="G6" sqref="G6:G25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8">
      <c r="A1" s="793" t="str">
        <f>TH!$A$1</f>
        <v>Đơn vị: CÔNG TY TNHH SX TM KIM DUNG PHÁT</v>
      </c>
    </row>
    <row r="2" spans="1:8">
      <c r="A2" s="794" t="str">
        <f>TH!$A$2</f>
        <v>Địa chỉ: 1A227/1 Ấp 1, Phạm Văn Hai, Bình Chánh, TPHCM</v>
      </c>
    </row>
    <row r="3" spans="1:8" ht="27" customHeight="1">
      <c r="A3" s="1013" t="s">
        <v>338</v>
      </c>
      <c r="B3" s="1013"/>
      <c r="C3" s="1013"/>
      <c r="D3" s="1013"/>
      <c r="E3" s="1013"/>
      <c r="F3" s="1013"/>
      <c r="G3" s="1013"/>
      <c r="H3" s="1013"/>
    </row>
    <row r="4" spans="1:8" s="10" customFormat="1" ht="14.25" customHeight="1">
      <c r="A4" s="1014" t="s">
        <v>35</v>
      </c>
      <c r="B4" s="1016" t="s">
        <v>36</v>
      </c>
      <c r="C4" s="1018" t="s">
        <v>37</v>
      </c>
      <c r="D4" s="1019"/>
      <c r="E4" s="1018" t="s">
        <v>38</v>
      </c>
      <c r="F4" s="1019"/>
      <c r="G4" s="1018" t="s">
        <v>41</v>
      </c>
      <c r="H4" s="1019"/>
    </row>
    <row r="5" spans="1:8" s="10" customFormat="1" ht="14.25" customHeight="1">
      <c r="A5" s="1015"/>
      <c r="B5" s="1017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8" s="10" customFormat="1" ht="16.5" customHeight="1">
      <c r="A6" s="6">
        <f t="shared" ref="A6:A60" si="0">IF(B6&lt;&gt;"",ROW()-5,"")</f>
        <v>1</v>
      </c>
      <c r="B6" s="7" t="s">
        <v>799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60" si="1">ROUND(MAX(C6+E6-D6-F6,0),2)</f>
        <v>7895900</v>
      </c>
      <c r="H6" s="55">
        <f t="shared" ref="H6:H60" si="2">ROUND(MAX(D6+F6-C6-E6,0),2)</f>
        <v>0</v>
      </c>
    </row>
    <row r="7" spans="1:8" s="10" customFormat="1" ht="16.5" customHeight="1">
      <c r="A7" s="6">
        <f t="shared" ref="A7:A25" si="3">IF(B7&lt;&gt;"",ROW()-5,"")</f>
        <v>2</v>
      </c>
      <c r="B7" s="7" t="s">
        <v>435</v>
      </c>
      <c r="C7" s="8">
        <v>39573600</v>
      </c>
      <c r="D7" s="8"/>
      <c r="E7" s="8">
        <f t="array" ref="E7">SUM(IF("131"&amp;B7=KHN&amp;KH,TH))</f>
        <v>12831555</v>
      </c>
      <c r="F7" s="8">
        <f t="array" ref="F7">SUM(IF("131"&amp;B7=KHC&amp;KH,TH))</f>
        <v>39506555</v>
      </c>
      <c r="G7" s="55">
        <f t="shared" ref="G7:G25" si="4">ROUND(MAX(C7+E7-D7-F7,0),2)</f>
        <v>12898600</v>
      </c>
      <c r="H7" s="55">
        <f t="shared" ref="H7:H25" si="5">ROUND(MAX(D7+F7-C7-E7,0),2)</f>
        <v>0</v>
      </c>
    </row>
    <row r="8" spans="1:8" s="10" customFormat="1" ht="16.5" customHeight="1">
      <c r="A8" s="6">
        <f t="shared" si="3"/>
        <v>3</v>
      </c>
      <c r="B8" s="7" t="s">
        <v>755</v>
      </c>
      <c r="C8" s="8"/>
      <c r="D8" s="8"/>
      <c r="E8" s="8">
        <f t="array" ref="E8">SUM(IF("131"&amp;B8=KHN&amp;KH,TH))</f>
        <v>57034680</v>
      </c>
      <c r="F8" s="8">
        <f t="array" ref="F8">SUM(IF("131"&amp;B8=KHC&amp;KH,TH))</f>
        <v>48200000</v>
      </c>
      <c r="G8" s="746">
        <f t="shared" si="4"/>
        <v>8834680</v>
      </c>
      <c r="H8" s="746">
        <f t="shared" si="5"/>
        <v>0</v>
      </c>
    </row>
    <row r="9" spans="1:8" s="10" customFormat="1" ht="16.5" customHeight="1">
      <c r="A9" s="6">
        <f t="shared" si="3"/>
        <v>4</v>
      </c>
      <c r="B9" s="45" t="s">
        <v>416</v>
      </c>
      <c r="C9" s="8">
        <v>21771466</v>
      </c>
      <c r="D9" s="8"/>
      <c r="E9" s="8">
        <f t="array" ref="E9">SUM(IF("131"&amp;B9=KHN&amp;KH,TH))</f>
        <v>199192194</v>
      </c>
      <c r="F9" s="8">
        <f t="array" ref="F9">SUM(IF("131"&amp;B9=KHC&amp;KH,TH))</f>
        <v>199170194</v>
      </c>
      <c r="G9" s="746">
        <f t="shared" si="4"/>
        <v>21793466</v>
      </c>
      <c r="H9" s="746">
        <f t="shared" si="5"/>
        <v>0</v>
      </c>
    </row>
    <row r="10" spans="1:8" s="10" customFormat="1" ht="16.5" customHeight="1">
      <c r="A10" s="6">
        <f t="shared" si="3"/>
        <v>5</v>
      </c>
      <c r="B10" s="7" t="s">
        <v>950</v>
      </c>
      <c r="C10" s="8"/>
      <c r="D10" s="8"/>
      <c r="E10" s="8">
        <f t="array" ref="E10">SUM(IF("131"&amp;B10=KHN&amp;KH,TH))</f>
        <v>187148973</v>
      </c>
      <c r="F10" s="8">
        <f t="array" ref="F10">SUM(IF("131"&amp;B10=KHC&amp;KH,TH))</f>
        <v>115776848</v>
      </c>
      <c r="G10" s="746">
        <f t="shared" si="4"/>
        <v>71372125</v>
      </c>
      <c r="H10" s="746">
        <f t="shared" si="5"/>
        <v>0</v>
      </c>
    </row>
    <row r="11" spans="1:8" s="10" customFormat="1" ht="16.5" customHeight="1">
      <c r="A11" s="6">
        <f t="shared" si="3"/>
        <v>6</v>
      </c>
      <c r="B11" s="7" t="s">
        <v>645</v>
      </c>
      <c r="C11" s="8">
        <v>11224400</v>
      </c>
      <c r="D11" s="8"/>
      <c r="E11" s="8">
        <f t="array" ref="E11">SUM(IF("131"&amp;B11=KHN&amp;KH,TH))</f>
        <v>18518665</v>
      </c>
      <c r="F11" s="8">
        <f t="array" ref="F11">SUM(IF("131"&amp;B11=KHC&amp;KH,TH))</f>
        <v>13512400</v>
      </c>
      <c r="G11" s="746">
        <f t="shared" si="4"/>
        <v>16230665</v>
      </c>
      <c r="H11" s="746">
        <f t="shared" si="5"/>
        <v>0</v>
      </c>
    </row>
    <row r="12" spans="1:8" s="10" customFormat="1" ht="16.5" customHeight="1">
      <c r="A12" s="6">
        <f t="shared" si="3"/>
        <v>7</v>
      </c>
      <c r="B12" s="7" t="s">
        <v>400</v>
      </c>
      <c r="C12" s="8">
        <v>14583580</v>
      </c>
      <c r="D12" s="8"/>
      <c r="E12" s="8">
        <f t="array" ref="E12">SUM(IF("131"&amp;B12=KHN&amp;KH,TH))</f>
        <v>236326684</v>
      </c>
      <c r="F12" s="8">
        <f t="array" ref="F12">SUM(IF("131"&amp;B12=KHC&amp;KH,TH))</f>
        <v>218216349</v>
      </c>
      <c r="G12" s="746">
        <f t="shared" si="4"/>
        <v>32693915</v>
      </c>
      <c r="H12" s="746">
        <f t="shared" si="5"/>
        <v>0</v>
      </c>
    </row>
    <row r="13" spans="1:8" s="10" customFormat="1" ht="16.5" customHeight="1">
      <c r="A13" s="6">
        <f t="shared" si="3"/>
        <v>8</v>
      </c>
      <c r="B13" s="7" t="s">
        <v>1013</v>
      </c>
      <c r="C13" s="8"/>
      <c r="D13" s="8"/>
      <c r="E13" s="8">
        <f t="array" ref="E13">SUM(IF("131"&amp;B13=KHN&amp;KH,TH))</f>
        <v>71759050</v>
      </c>
      <c r="F13" s="8">
        <f t="array" ref="F13">SUM(IF("131"&amp;B13=KHC&amp;KH,TH))</f>
        <v>29260000</v>
      </c>
      <c r="G13" s="746">
        <f t="shared" si="4"/>
        <v>42499050</v>
      </c>
      <c r="H13" s="746">
        <f t="shared" si="5"/>
        <v>0</v>
      </c>
    </row>
    <row r="14" spans="1:8" s="10" customFormat="1" ht="16.5" customHeight="1">
      <c r="A14" s="6">
        <f t="shared" si="3"/>
        <v>9</v>
      </c>
      <c r="B14" s="7" t="s">
        <v>453</v>
      </c>
      <c r="C14" s="8">
        <v>27317950</v>
      </c>
      <c r="D14" s="8"/>
      <c r="E14" s="8">
        <f t="array" ref="E14">SUM(IF("131"&amp;B14=KHN&amp;KH,TH))</f>
        <v>118348835</v>
      </c>
      <c r="F14" s="8">
        <f t="array" ref="F14">SUM(IF("131"&amp;B14=KHC&amp;KH,TH))</f>
        <v>111247345</v>
      </c>
      <c r="G14" s="746">
        <f t="shared" si="4"/>
        <v>34419440</v>
      </c>
      <c r="H14" s="746">
        <f t="shared" si="5"/>
        <v>0</v>
      </c>
    </row>
    <row r="15" spans="1:8" s="10" customFormat="1" ht="16.5" customHeight="1">
      <c r="A15" s="6">
        <f t="shared" si="3"/>
        <v>10</v>
      </c>
      <c r="B15" s="192" t="s">
        <v>793</v>
      </c>
      <c r="C15" s="8"/>
      <c r="D15" s="8"/>
      <c r="E15" s="8">
        <f t="array" ref="E15">SUM(IF("131"&amp;B15=KHN&amp;KH,TH))</f>
        <v>54655866</v>
      </c>
      <c r="F15" s="8">
        <f t="array" ref="F15">SUM(IF("131"&amp;B15=KHC&amp;KH,TH))</f>
        <v>19948335</v>
      </c>
      <c r="G15" s="746">
        <f t="shared" si="4"/>
        <v>34707531</v>
      </c>
      <c r="H15" s="746">
        <f t="shared" si="5"/>
        <v>0</v>
      </c>
    </row>
    <row r="16" spans="1:8" s="10" customFormat="1" ht="16.5" customHeight="1">
      <c r="A16" s="6">
        <f t="shared" si="3"/>
        <v>11</v>
      </c>
      <c r="B16" s="7" t="s">
        <v>764</v>
      </c>
      <c r="C16" s="8"/>
      <c r="D16" s="8"/>
      <c r="E16" s="8">
        <f t="array" ref="E16">SUM(IF("131"&amp;B16=KHN&amp;KH,TH))</f>
        <v>16539600</v>
      </c>
      <c r="F16" s="8">
        <f t="array" ref="F16">SUM(IF("131"&amp;B16=KHC&amp;KH,TH))</f>
        <v>14075600</v>
      </c>
      <c r="G16" s="746">
        <f t="shared" si="4"/>
        <v>2464000</v>
      </c>
      <c r="H16" s="746">
        <f t="shared" si="5"/>
        <v>0</v>
      </c>
    </row>
    <row r="17" spans="1:8" s="10" customFormat="1" ht="16.5" customHeight="1">
      <c r="A17" s="6">
        <f t="shared" si="3"/>
        <v>12</v>
      </c>
      <c r="B17" s="7" t="s">
        <v>869</v>
      </c>
      <c r="C17" s="8"/>
      <c r="D17" s="8"/>
      <c r="E17" s="8">
        <f t="array" ref="E17">SUM(IF("131"&amp;B17=KHN&amp;KH,TH))</f>
        <v>93194155</v>
      </c>
      <c r="F17" s="8">
        <f t="array" ref="F17">SUM(IF("131"&amp;B17=KHC&amp;KH,TH))</f>
        <v>91764810</v>
      </c>
      <c r="G17" s="746">
        <f t="shared" si="4"/>
        <v>1429345</v>
      </c>
      <c r="H17" s="746">
        <f t="shared" si="5"/>
        <v>0</v>
      </c>
    </row>
    <row r="18" spans="1:8" s="10" customFormat="1" ht="16.5" customHeight="1">
      <c r="A18" s="6">
        <f t="shared" si="3"/>
        <v>13</v>
      </c>
      <c r="B18" s="7" t="s">
        <v>837</v>
      </c>
      <c r="C18" s="8"/>
      <c r="D18" s="8"/>
      <c r="E18" s="8">
        <f t="array" ref="E18">SUM(IF("131"&amp;B18=KHN&amp;KH,TH))</f>
        <v>136764320</v>
      </c>
      <c r="F18" s="8">
        <f t="array" ref="F18">SUM(IF("131"&amp;B18=KHC&amp;KH,TH))</f>
        <v>108506200</v>
      </c>
      <c r="G18" s="746">
        <f t="shared" si="4"/>
        <v>28258120</v>
      </c>
      <c r="H18" s="746">
        <f t="shared" si="5"/>
        <v>0</v>
      </c>
    </row>
    <row r="19" spans="1:8" s="10" customFormat="1" ht="16.5" customHeight="1">
      <c r="A19" s="6">
        <f t="shared" si="3"/>
        <v>14</v>
      </c>
      <c r="B19" s="7" t="s">
        <v>444</v>
      </c>
      <c r="C19" s="8"/>
      <c r="D19" s="8"/>
      <c r="E19" s="8">
        <f t="array" ref="E19">SUM(IF("131"&amp;B19=KHN&amp;KH,TH))</f>
        <v>81478265</v>
      </c>
      <c r="F19" s="8">
        <f t="array" ref="F19">SUM(IF("131"&amp;B19=KHC&amp;KH,TH))</f>
        <v>64233510</v>
      </c>
      <c r="G19" s="746">
        <f t="shared" si="4"/>
        <v>17244755</v>
      </c>
      <c r="H19" s="746">
        <f t="shared" si="5"/>
        <v>0</v>
      </c>
    </row>
    <row r="20" spans="1:8" s="10" customFormat="1" ht="16.5" customHeight="1">
      <c r="A20" s="6">
        <f t="shared" si="3"/>
        <v>15</v>
      </c>
      <c r="B20" s="7" t="s">
        <v>438</v>
      </c>
      <c r="C20" s="8">
        <v>21191500</v>
      </c>
      <c r="D20" s="8"/>
      <c r="E20" s="8">
        <f t="array" ref="E20">SUM(IF("131"&amp;B20=KHN&amp;KH,TH))</f>
        <v>107837950</v>
      </c>
      <c r="F20" s="8">
        <f t="array" ref="F20">SUM(IF("131"&amp;B20=KHC&amp;KH,TH))</f>
        <v>99777970</v>
      </c>
      <c r="G20" s="746">
        <f t="shared" si="4"/>
        <v>29251480</v>
      </c>
      <c r="H20" s="746">
        <f t="shared" si="5"/>
        <v>0</v>
      </c>
    </row>
    <row r="21" spans="1:8" s="10" customFormat="1" ht="16.5" customHeight="1">
      <c r="A21" s="6">
        <f t="shared" si="3"/>
        <v>16</v>
      </c>
      <c r="B21" s="7" t="s">
        <v>851</v>
      </c>
      <c r="C21" s="8"/>
      <c r="D21" s="8"/>
      <c r="E21" s="8">
        <f t="array" ref="E21">SUM(IF("131"&amp;B21=KHN&amp;KH,TH))</f>
        <v>83322956</v>
      </c>
      <c r="F21" s="8">
        <f t="array" ref="F21">SUM(IF("131"&amp;B21=KHC&amp;KH,TH))</f>
        <v>66000508</v>
      </c>
      <c r="G21" s="746">
        <f t="shared" si="4"/>
        <v>17322448</v>
      </c>
      <c r="H21" s="746">
        <f t="shared" si="5"/>
        <v>0</v>
      </c>
    </row>
    <row r="22" spans="1:8" s="10" customFormat="1" ht="16.5" customHeight="1">
      <c r="A22" s="6">
        <f t="shared" si="3"/>
        <v>17</v>
      </c>
      <c r="B22" s="7" t="s">
        <v>976</v>
      </c>
      <c r="C22" s="8"/>
      <c r="D22" s="8"/>
      <c r="E22" s="8">
        <f t="array" ref="E22">SUM(IF("131"&amp;B22=KHN&amp;KH,TH))</f>
        <v>92243668</v>
      </c>
      <c r="F22" s="8">
        <f t="array" ref="F22">SUM(IF("131"&amp;B22=KHC&amp;KH,TH))</f>
        <v>50204275</v>
      </c>
      <c r="G22" s="746">
        <f t="shared" si="4"/>
        <v>42039393</v>
      </c>
      <c r="H22" s="746">
        <f t="shared" si="5"/>
        <v>0</v>
      </c>
    </row>
    <row r="23" spans="1:8" s="10" customFormat="1" ht="16.5" customHeight="1">
      <c r="A23" s="6">
        <f t="shared" si="3"/>
        <v>18</v>
      </c>
      <c r="B23" s="7" t="s">
        <v>957</v>
      </c>
      <c r="C23" s="8"/>
      <c r="D23" s="8"/>
      <c r="E23" s="8">
        <f t="array" ref="E23">SUM(IF("131"&amp;B23=KHN&amp;KH,TH))</f>
        <v>361667240</v>
      </c>
      <c r="F23" s="8">
        <f t="array" ref="F23">SUM(IF("131"&amp;B23=KHC&amp;KH,TH))</f>
        <v>332127840</v>
      </c>
      <c r="G23" s="746">
        <f t="shared" si="4"/>
        <v>29539400</v>
      </c>
      <c r="H23" s="746">
        <f t="shared" si="5"/>
        <v>0</v>
      </c>
    </row>
    <row r="24" spans="1:8" s="10" customFormat="1" ht="16.5" customHeight="1">
      <c r="A24" s="6">
        <f t="shared" si="3"/>
        <v>19</v>
      </c>
      <c r="B24" s="192" t="s">
        <v>832</v>
      </c>
      <c r="C24" s="8"/>
      <c r="D24" s="8"/>
      <c r="E24" s="8">
        <f t="array" ref="E24">SUM(IF("131"&amp;B24=KHN&amp;KH,TH))</f>
        <v>29319510</v>
      </c>
      <c r="F24" s="8">
        <f t="array" ref="F24">SUM(IF("131"&amp;B24=KHC&amp;KH,TH))</f>
        <v>5666760</v>
      </c>
      <c r="G24" s="746">
        <f t="shared" si="4"/>
        <v>23652750</v>
      </c>
      <c r="H24" s="746">
        <f t="shared" si="5"/>
        <v>0</v>
      </c>
    </row>
    <row r="25" spans="1:8" s="10" customFormat="1" ht="16.5" customHeight="1">
      <c r="A25" s="6">
        <f t="shared" si="3"/>
        <v>20</v>
      </c>
      <c r="B25" s="7" t="s">
        <v>1307</v>
      </c>
      <c r="C25" s="8"/>
      <c r="D25" s="8"/>
      <c r="E25" s="8">
        <f t="array" ref="E25">SUM(IF("131"&amp;B25=KHN&amp;KH,TH))</f>
        <v>28823080</v>
      </c>
      <c r="F25" s="8">
        <f t="array" ref="F25">SUM(IF("131"&amp;B25=KHC&amp;KH,TH))</f>
        <v>0</v>
      </c>
      <c r="G25" s="746">
        <f t="shared" si="4"/>
        <v>28823080</v>
      </c>
      <c r="H25" s="746">
        <f t="shared" si="5"/>
        <v>0</v>
      </c>
    </row>
    <row r="26" spans="1:8" s="10" customFormat="1" ht="16.5" customHeight="1">
      <c r="A26" s="6">
        <f t="shared" si="0"/>
        <v>21</v>
      </c>
      <c r="B26" s="7" t="s">
        <v>964</v>
      </c>
      <c r="C26" s="8"/>
      <c r="D26" s="8"/>
      <c r="E26" s="8">
        <f t="array" ref="E26">SUM(IF("131"&amp;B26=KHN&amp;KH,TH))</f>
        <v>19356040</v>
      </c>
      <c r="F26" s="8">
        <f t="array" ref="F26">SUM(IF("131"&amp;B26=KHC&amp;KH,TH))</f>
        <v>19356040</v>
      </c>
      <c r="G26" s="55">
        <f t="shared" si="1"/>
        <v>0</v>
      </c>
      <c r="H26" s="55">
        <f t="shared" si="2"/>
        <v>0</v>
      </c>
    </row>
    <row r="27" spans="1:8" s="10" customFormat="1" ht="16.5" customHeight="1">
      <c r="A27" s="6">
        <f t="shared" si="0"/>
        <v>22</v>
      </c>
      <c r="B27" s="7" t="s">
        <v>707</v>
      </c>
      <c r="C27" s="8"/>
      <c r="D27" s="8"/>
      <c r="E27" s="8">
        <f t="array" ref="E27">SUM(IF("131"&amp;B27=KHN&amp;KH,TH))</f>
        <v>9315020</v>
      </c>
      <c r="F27" s="8">
        <f t="array" ref="F27">SUM(IF("131"&amp;B27=KHC&amp;KH,TH))</f>
        <v>9315020</v>
      </c>
      <c r="G27" s="55">
        <f t="shared" si="1"/>
        <v>0</v>
      </c>
      <c r="H27" s="55">
        <f t="shared" si="2"/>
        <v>0</v>
      </c>
    </row>
    <row r="28" spans="1:8" s="10" customFormat="1" ht="16.5" customHeight="1">
      <c r="A28" s="6">
        <f t="shared" si="0"/>
        <v>23</v>
      </c>
      <c r="B28" s="44" t="s">
        <v>422</v>
      </c>
      <c r="C28" s="8"/>
      <c r="D28" s="8"/>
      <c r="E28" s="8">
        <f t="array" ref="E28">SUM(IF("131"&amp;B28=KHN&amp;KH,TH))</f>
        <v>3668720</v>
      </c>
      <c r="F28" s="8">
        <f t="array" ref="F28">SUM(IF("131"&amp;B28=KHC&amp;KH,TH))</f>
        <v>3668720</v>
      </c>
      <c r="G28" s="55">
        <f t="shared" si="1"/>
        <v>0</v>
      </c>
      <c r="H28" s="55">
        <f t="shared" si="2"/>
        <v>0</v>
      </c>
    </row>
    <row r="29" spans="1:8" s="10" customFormat="1" ht="16.5" customHeight="1">
      <c r="A29" s="6">
        <f t="shared" si="0"/>
        <v>24</v>
      </c>
      <c r="B29" s="7" t="s">
        <v>779</v>
      </c>
      <c r="C29" s="8"/>
      <c r="D29" s="8"/>
      <c r="E29" s="8">
        <f t="array" ref="E29">SUM(IF("131"&amp;B29=KHN&amp;KH,TH))</f>
        <v>5115000</v>
      </c>
      <c r="F29" s="8">
        <f t="array" ref="F29">SUM(IF("131"&amp;B29=KHC&amp;KH,TH))</f>
        <v>5115000</v>
      </c>
      <c r="G29" s="55">
        <f t="shared" si="1"/>
        <v>0</v>
      </c>
      <c r="H29" s="55">
        <f t="shared" si="2"/>
        <v>0</v>
      </c>
    </row>
    <row r="30" spans="1:8" s="10" customFormat="1" ht="16.5" customHeight="1">
      <c r="A30" s="6">
        <f t="shared" si="0"/>
        <v>25</v>
      </c>
      <c r="B30" s="7" t="s">
        <v>407</v>
      </c>
      <c r="C30" s="8">
        <v>27924325</v>
      </c>
      <c r="D30" s="8"/>
      <c r="E30" s="8">
        <f t="array" ref="E30">SUM(IF("131"&amp;B30=KHN&amp;KH,TH))</f>
        <v>165157575</v>
      </c>
      <c r="F30" s="8">
        <f t="array" ref="F30">SUM(IF("131"&amp;B30=KHC&amp;KH,TH))</f>
        <v>193081900</v>
      </c>
      <c r="G30" s="55">
        <f t="shared" si="1"/>
        <v>0</v>
      </c>
      <c r="H30" s="55">
        <f t="shared" si="2"/>
        <v>0</v>
      </c>
    </row>
    <row r="31" spans="1:8" s="10" customFormat="1" ht="16.5" customHeight="1">
      <c r="A31" s="6">
        <f t="shared" si="0"/>
        <v>26</v>
      </c>
      <c r="B31" s="7" t="s">
        <v>478</v>
      </c>
      <c r="C31" s="8"/>
      <c r="D31" s="8"/>
      <c r="E31" s="8">
        <f t="array" ref="E31">SUM(IF("131"&amp;B31=KHN&amp;KH,TH))</f>
        <v>3444100</v>
      </c>
      <c r="F31" s="8">
        <f t="array" ref="F31">SUM(IF("131"&amp;B31=KHC&amp;KH,TH))</f>
        <v>3444100</v>
      </c>
      <c r="G31" s="746">
        <f t="shared" si="1"/>
        <v>0</v>
      </c>
      <c r="H31" s="746">
        <f t="shared" si="2"/>
        <v>0</v>
      </c>
    </row>
    <row r="32" spans="1:8" s="10" customFormat="1" ht="16.5" customHeight="1">
      <c r="A32" s="6">
        <f t="shared" si="0"/>
        <v>27</v>
      </c>
      <c r="B32" s="192" t="s">
        <v>1022</v>
      </c>
      <c r="C32" s="8"/>
      <c r="D32" s="8"/>
      <c r="E32" s="8">
        <f t="array" ref="E32">SUM(IF("131"&amp;B32=KHN&amp;KH,TH))</f>
        <v>21467831</v>
      </c>
      <c r="F32" s="8">
        <f t="array" ref="F32">SUM(IF("131"&amp;B32=KHC&amp;KH,TH))</f>
        <v>21467831</v>
      </c>
      <c r="G32" s="746">
        <f t="shared" si="1"/>
        <v>0</v>
      </c>
      <c r="H32" s="746">
        <f t="shared" si="2"/>
        <v>0</v>
      </c>
    </row>
    <row r="33" spans="1:8" s="10" customFormat="1" ht="16.5" customHeight="1">
      <c r="A33" s="6">
        <f t="shared" si="0"/>
        <v>28</v>
      </c>
      <c r="B33" s="7" t="s">
        <v>549</v>
      </c>
      <c r="C33" s="8"/>
      <c r="D33" s="8"/>
      <c r="E33" s="8">
        <f t="array" ref="E33">SUM(IF("131"&amp;B33=KHN&amp;KH,TH))</f>
        <v>2904000</v>
      </c>
      <c r="F33" s="8">
        <f t="array" ref="F33">SUM(IF("131"&amp;B33=KHC&amp;KH,TH))</f>
        <v>2904000</v>
      </c>
      <c r="G33" s="746">
        <f t="shared" si="1"/>
        <v>0</v>
      </c>
      <c r="H33" s="746">
        <f t="shared" si="2"/>
        <v>0</v>
      </c>
    </row>
    <row r="34" spans="1:8" s="10" customFormat="1" ht="16.5" customHeight="1">
      <c r="A34" s="6">
        <f t="shared" si="0"/>
        <v>29</v>
      </c>
      <c r="B34" s="192" t="s">
        <v>1090</v>
      </c>
      <c r="C34" s="8"/>
      <c r="D34" s="8"/>
      <c r="E34" s="8">
        <f t="array" ref="E34">SUM(IF("131"&amp;B34=KHN&amp;KH,TH))</f>
        <v>5021500</v>
      </c>
      <c r="F34" s="8">
        <f t="array" ref="F34">SUM(IF("131"&amp;B34=KHC&amp;KH,TH))</f>
        <v>5021500</v>
      </c>
      <c r="G34" s="746">
        <f t="shared" si="1"/>
        <v>0</v>
      </c>
      <c r="H34" s="746">
        <f t="shared" si="2"/>
        <v>0</v>
      </c>
    </row>
    <row r="35" spans="1:8" s="10" customFormat="1" ht="16.5" customHeight="1">
      <c r="A35" s="6">
        <f t="shared" si="0"/>
        <v>30</v>
      </c>
      <c r="B35" s="7" t="s">
        <v>528</v>
      </c>
      <c r="C35" s="8"/>
      <c r="D35" s="8"/>
      <c r="E35" s="8">
        <f t="array" ref="E35">SUM(IF("131"&amp;B35=KHN&amp;KH,TH))</f>
        <v>66202321</v>
      </c>
      <c r="F35" s="8">
        <f t="array" ref="F35">SUM(IF("131"&amp;B35=KHC&amp;KH,TH))</f>
        <v>66202321</v>
      </c>
      <c r="G35" s="746">
        <f t="shared" si="1"/>
        <v>0</v>
      </c>
      <c r="H35" s="746">
        <f t="shared" si="2"/>
        <v>0</v>
      </c>
    </row>
    <row r="36" spans="1:8" s="10" customFormat="1" ht="16.5" customHeight="1">
      <c r="A36" s="6">
        <f t="shared" si="0"/>
        <v>31</v>
      </c>
      <c r="B36" s="192" t="s">
        <v>1093</v>
      </c>
      <c r="C36" s="8"/>
      <c r="D36" s="8"/>
      <c r="E36" s="8">
        <f t="array" ref="E36">SUM(IF("131"&amp;B36=KHN&amp;KH,TH))</f>
        <v>50000559</v>
      </c>
      <c r="F36" s="8">
        <f t="array" ref="F36">SUM(IF("131"&amp;B36=KHC&amp;KH,TH))</f>
        <v>50000559</v>
      </c>
      <c r="G36" s="746">
        <f t="shared" si="1"/>
        <v>0</v>
      </c>
      <c r="H36" s="746">
        <f t="shared" si="2"/>
        <v>0</v>
      </c>
    </row>
    <row r="37" spans="1:8" s="10" customFormat="1" ht="16.5" customHeight="1">
      <c r="A37" s="6">
        <f t="shared" si="0"/>
        <v>32</v>
      </c>
      <c r="B37" s="7" t="s">
        <v>1253</v>
      </c>
      <c r="C37" s="8"/>
      <c r="D37" s="8"/>
      <c r="E37" s="8">
        <f t="array" ref="E37">SUM(IF("131"&amp;B37=KHN&amp;KH,TH))</f>
        <v>23114410</v>
      </c>
      <c r="F37" s="8">
        <f t="array" ref="F37">SUM(IF("131"&amp;B37=KHC&amp;KH,TH))</f>
        <v>23114410</v>
      </c>
      <c r="G37" s="746">
        <f t="shared" si="1"/>
        <v>0</v>
      </c>
      <c r="H37" s="746">
        <f t="shared" si="2"/>
        <v>0</v>
      </c>
    </row>
    <row r="38" spans="1:8" s="10" customFormat="1" ht="16.5" customHeight="1">
      <c r="A38" s="6">
        <f t="shared" si="0"/>
        <v>33</v>
      </c>
      <c r="B38" s="192" t="s">
        <v>1064</v>
      </c>
      <c r="C38" s="8"/>
      <c r="D38" s="8"/>
      <c r="E38" s="8">
        <f t="array" ref="E38">SUM(IF("131"&amp;B38=KHN&amp;KH,TH))</f>
        <v>5500000</v>
      </c>
      <c r="F38" s="8">
        <f t="array" ref="F38">SUM(IF("131"&amp;B38=KHC&amp;KH,TH))</f>
        <v>5500000</v>
      </c>
      <c r="G38" s="746">
        <f t="shared" si="1"/>
        <v>0</v>
      </c>
      <c r="H38" s="746">
        <f t="shared" si="2"/>
        <v>0</v>
      </c>
    </row>
    <row r="39" spans="1:8" s="10" customFormat="1" ht="16.5" customHeight="1">
      <c r="A39" s="6">
        <f t="shared" ref="A39:A58" si="6">IF(B39&lt;&gt;"",ROW()-5,"")</f>
        <v>34</v>
      </c>
      <c r="B39" s="7" t="s">
        <v>774</v>
      </c>
      <c r="C39" s="8"/>
      <c r="D39" s="8"/>
      <c r="E39" s="8">
        <f t="array" ref="E39">SUM(IF("131"&amp;B39=KHN&amp;KH,TH))</f>
        <v>4199250</v>
      </c>
      <c r="F39" s="8">
        <f t="array" ref="F39">SUM(IF("131"&amp;B39=KHC&amp;KH,TH))</f>
        <v>4199250</v>
      </c>
      <c r="G39" s="746">
        <f t="shared" ref="G39:G58" si="7">ROUND(MAX(C39+E39-D39-F39,0),2)</f>
        <v>0</v>
      </c>
      <c r="H39" s="746">
        <f t="shared" ref="H39:H58" si="8">ROUND(MAX(D39+F39-C39-E39,0),2)</f>
        <v>0</v>
      </c>
    </row>
    <row r="40" spans="1:8" s="10" customFormat="1" ht="16.5" customHeight="1">
      <c r="A40" s="6">
        <f t="shared" si="6"/>
        <v>35</v>
      </c>
      <c r="B40" s="7" t="s">
        <v>633</v>
      </c>
      <c r="C40" s="8"/>
      <c r="D40" s="8"/>
      <c r="E40" s="8">
        <f t="array" ref="E40">SUM(IF("131"&amp;B40=KHN&amp;KH,TH))</f>
        <v>27611628</v>
      </c>
      <c r="F40" s="8">
        <f t="array" ref="F40">SUM(IF("131"&amp;B40=KHC&amp;KH,TH))</f>
        <v>27611628</v>
      </c>
      <c r="G40" s="746">
        <f t="shared" si="7"/>
        <v>0</v>
      </c>
      <c r="H40" s="746">
        <f t="shared" si="8"/>
        <v>0</v>
      </c>
    </row>
    <row r="41" spans="1:8" s="10" customFormat="1" ht="16.5" customHeight="1">
      <c r="A41" s="6">
        <f t="shared" si="6"/>
        <v>36</v>
      </c>
      <c r="B41" s="7" t="s">
        <v>715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17392650</v>
      </c>
      <c r="G41" s="746">
        <f t="shared" si="7"/>
        <v>0</v>
      </c>
      <c r="H41" s="746">
        <f t="shared" si="8"/>
        <v>0</v>
      </c>
    </row>
    <row r="42" spans="1:8" s="10" customFormat="1" ht="16.5" customHeight="1">
      <c r="A42" s="6">
        <f t="shared" si="6"/>
        <v>37</v>
      </c>
      <c r="B42" s="192" t="s">
        <v>1059</v>
      </c>
      <c r="C42" s="8"/>
      <c r="D42" s="8"/>
      <c r="E42" s="8">
        <f t="array" ref="E42">SUM(IF("131"&amp;B42=KHN&amp;KH,TH))</f>
        <v>18772600</v>
      </c>
      <c r="F42" s="8">
        <f t="array" ref="F42">SUM(IF("131"&amp;B42=KHC&amp;KH,TH))</f>
        <v>18772600</v>
      </c>
      <c r="G42" s="746">
        <f t="shared" si="7"/>
        <v>0</v>
      </c>
      <c r="H42" s="746">
        <f t="shared" si="8"/>
        <v>0</v>
      </c>
    </row>
    <row r="43" spans="1:8" s="10" customFormat="1" ht="16.5" customHeight="1">
      <c r="A43" s="6">
        <f t="shared" si="6"/>
        <v>38</v>
      </c>
      <c r="B43" s="7" t="s">
        <v>786</v>
      </c>
      <c r="C43" s="8"/>
      <c r="D43" s="8"/>
      <c r="E43" s="8">
        <f t="array" ref="E43">SUM(IF("131"&amp;B43=KHN&amp;KH,TH))</f>
        <v>2485340</v>
      </c>
      <c r="F43" s="8">
        <f t="array" ref="F43">SUM(IF("131"&amp;B43=KHC&amp;KH,TH))</f>
        <v>2485340</v>
      </c>
      <c r="G43" s="746">
        <f t="shared" si="7"/>
        <v>0</v>
      </c>
      <c r="H43" s="746">
        <f t="shared" si="8"/>
        <v>0</v>
      </c>
    </row>
    <row r="44" spans="1:8" s="10" customFormat="1" ht="16.5" customHeight="1">
      <c r="A44" s="6">
        <f t="shared" si="6"/>
        <v>39</v>
      </c>
      <c r="B44" s="7" t="s">
        <v>767</v>
      </c>
      <c r="C44" s="8"/>
      <c r="D44" s="8"/>
      <c r="E44" s="8">
        <f t="array" ref="E44">SUM(IF("131"&amp;B44=KHN&amp;KH,TH))</f>
        <v>8509380</v>
      </c>
      <c r="F44" s="8">
        <f t="array" ref="F44">SUM(IF("131"&amp;B44=KHC&amp;KH,TH))</f>
        <v>8509380</v>
      </c>
      <c r="G44" s="746">
        <f t="shared" si="7"/>
        <v>0</v>
      </c>
      <c r="H44" s="746">
        <f t="shared" si="8"/>
        <v>0</v>
      </c>
    </row>
    <row r="45" spans="1:8" s="10" customFormat="1" ht="16.5" customHeight="1">
      <c r="A45" s="6">
        <f t="shared" si="6"/>
        <v>40</v>
      </c>
      <c r="B45" s="7" t="s">
        <v>563</v>
      </c>
      <c r="C45" s="8"/>
      <c r="D45" s="8"/>
      <c r="E45" s="8">
        <f t="array" ref="E45">SUM(IF("131"&amp;B45=KHN&amp;KH,TH))</f>
        <v>38890005</v>
      </c>
      <c r="F45" s="8">
        <f t="array" ref="F45">SUM(IF("131"&amp;B45=KHC&amp;KH,TH))</f>
        <v>38890005</v>
      </c>
      <c r="G45" s="746">
        <f t="shared" si="7"/>
        <v>0</v>
      </c>
      <c r="H45" s="746">
        <f t="shared" si="8"/>
        <v>0</v>
      </c>
    </row>
    <row r="46" spans="1:8" s="10" customFormat="1" ht="16.5" customHeight="1">
      <c r="A46" s="6">
        <f t="shared" si="6"/>
        <v>41</v>
      </c>
      <c r="B46" s="7" t="s">
        <v>545</v>
      </c>
      <c r="C46" s="8"/>
      <c r="D46" s="8"/>
      <c r="E46" s="8">
        <f t="array" ref="E46">SUM(IF("131"&amp;B46=KHN&amp;KH,TH))</f>
        <v>3651725</v>
      </c>
      <c r="F46" s="8">
        <f t="array" ref="F46">SUM(IF("131"&amp;B46=KHC&amp;KH,TH))</f>
        <v>3651725</v>
      </c>
      <c r="G46" s="746">
        <f t="shared" si="7"/>
        <v>0</v>
      </c>
      <c r="H46" s="746">
        <f t="shared" si="8"/>
        <v>0</v>
      </c>
    </row>
    <row r="47" spans="1:8" s="10" customFormat="1" ht="16.5" customHeight="1">
      <c r="A47" s="6">
        <f t="shared" si="6"/>
        <v>42</v>
      </c>
      <c r="B47" s="7" t="s">
        <v>468</v>
      </c>
      <c r="C47" s="8"/>
      <c r="D47" s="8"/>
      <c r="E47" s="8">
        <f t="array" ref="E47">SUM(IF("131"&amp;B47=KHN&amp;KH,TH))</f>
        <v>3212660</v>
      </c>
      <c r="F47" s="8">
        <f t="array" ref="F47">SUM(IF("131"&amp;B47=KHC&amp;KH,TH))</f>
        <v>3212660</v>
      </c>
      <c r="G47" s="746">
        <f t="shared" si="7"/>
        <v>0</v>
      </c>
      <c r="H47" s="746">
        <f t="shared" si="8"/>
        <v>0</v>
      </c>
    </row>
    <row r="48" spans="1:8" s="10" customFormat="1" ht="16.5" customHeight="1">
      <c r="A48" s="6">
        <f t="shared" si="6"/>
        <v>43</v>
      </c>
      <c r="B48" s="7" t="s">
        <v>606</v>
      </c>
      <c r="C48" s="8"/>
      <c r="D48" s="8"/>
      <c r="E48" s="8">
        <f t="array" ref="E48">SUM(IF("131"&amp;B48=KHN&amp;KH,TH))</f>
        <v>5054289</v>
      </c>
      <c r="F48" s="8">
        <f t="array" ref="F48">SUM(IF("131"&amp;B48=KHC&amp;KH,TH))</f>
        <v>5054289</v>
      </c>
      <c r="G48" s="746">
        <f t="shared" si="7"/>
        <v>0</v>
      </c>
      <c r="H48" s="746">
        <f t="shared" si="8"/>
        <v>0</v>
      </c>
    </row>
    <row r="49" spans="1:8" s="10" customFormat="1" ht="16.5" customHeight="1">
      <c r="A49" s="6">
        <f t="shared" si="6"/>
        <v>44</v>
      </c>
      <c r="B49" s="7" t="s">
        <v>507</v>
      </c>
      <c r="C49" s="8"/>
      <c r="D49" s="8"/>
      <c r="E49" s="8">
        <f t="array" ref="E49">SUM(IF("131"&amp;B49=KHN&amp;KH,TH))</f>
        <v>4180000</v>
      </c>
      <c r="F49" s="8">
        <f t="array" ref="F49">SUM(IF("131"&amp;B49=KHC&amp;KH,TH))</f>
        <v>4180000</v>
      </c>
      <c r="G49" s="746">
        <f t="shared" si="7"/>
        <v>0</v>
      </c>
      <c r="H49" s="746">
        <f t="shared" si="8"/>
        <v>0</v>
      </c>
    </row>
    <row r="50" spans="1:8" s="10" customFormat="1" ht="16.5" customHeight="1">
      <c r="A50" s="6">
        <f t="shared" si="6"/>
        <v>45</v>
      </c>
      <c r="B50" s="7" t="s">
        <v>489</v>
      </c>
      <c r="C50" s="8"/>
      <c r="D50" s="8"/>
      <c r="E50" s="8">
        <f t="array" ref="E50">SUM(IF("131"&amp;B50=KHN&amp;KH,TH))</f>
        <v>9537088</v>
      </c>
      <c r="F50" s="8">
        <f t="array" ref="F50">SUM(IF("131"&amp;B50=KHC&amp;KH,TH))</f>
        <v>9537088</v>
      </c>
      <c r="G50" s="746">
        <f t="shared" si="7"/>
        <v>0</v>
      </c>
      <c r="H50" s="746">
        <f t="shared" si="8"/>
        <v>0</v>
      </c>
    </row>
    <row r="51" spans="1:8" s="10" customFormat="1" ht="16.5" customHeight="1">
      <c r="A51" s="6">
        <f t="shared" si="6"/>
        <v>46</v>
      </c>
      <c r="B51" s="7" t="s">
        <v>473</v>
      </c>
      <c r="C51" s="8">
        <v>250000</v>
      </c>
      <c r="D51" s="8"/>
      <c r="E51" s="8">
        <f t="array" ref="E51">SUM(IF("131"&amp;B51=KHN&amp;KH,TH))</f>
        <v>140812469</v>
      </c>
      <c r="F51" s="8">
        <f t="array" ref="F51">SUM(IF("131"&amp;B51=KHC&amp;KH,TH))</f>
        <v>141062469</v>
      </c>
      <c r="G51" s="746">
        <f t="shared" si="7"/>
        <v>0</v>
      </c>
      <c r="H51" s="746">
        <f t="shared" si="8"/>
        <v>0</v>
      </c>
    </row>
    <row r="52" spans="1:8" s="10" customFormat="1" ht="16.5" customHeight="1">
      <c r="A52" s="6">
        <f t="shared" si="6"/>
        <v>47</v>
      </c>
      <c r="B52" s="7" t="s">
        <v>872</v>
      </c>
      <c r="C52" s="8">
        <v>34482685</v>
      </c>
      <c r="D52" s="8"/>
      <c r="E52" s="8">
        <f t="array" ref="E52">SUM(IF("131"&amp;B52=KHN&amp;KH,TH))</f>
        <v>33100691</v>
      </c>
      <c r="F52" s="8">
        <f t="array" ref="F52">SUM(IF("131"&amp;B52=KHC&amp;KH,TH))</f>
        <v>67583376</v>
      </c>
      <c r="G52" s="746">
        <f t="shared" si="7"/>
        <v>0</v>
      </c>
      <c r="H52" s="746">
        <f t="shared" si="8"/>
        <v>0</v>
      </c>
    </row>
    <row r="53" spans="1:8" s="10" customFormat="1" ht="16.5" customHeight="1">
      <c r="A53" s="6">
        <f t="shared" si="6"/>
        <v>48</v>
      </c>
      <c r="B53" s="7" t="s">
        <v>762</v>
      </c>
      <c r="C53" s="8"/>
      <c r="D53" s="8"/>
      <c r="E53" s="8">
        <f t="array" ref="E53">SUM(IF("131"&amp;B53=KHN&amp;KH,TH))</f>
        <v>19806380</v>
      </c>
      <c r="F53" s="8">
        <f t="array" ref="F53">SUM(IF("131"&amp;B53=KHC&amp;KH,TH))</f>
        <v>19806380</v>
      </c>
      <c r="G53" s="746">
        <f t="shared" si="7"/>
        <v>0</v>
      </c>
      <c r="H53" s="746">
        <f t="shared" si="8"/>
        <v>0</v>
      </c>
    </row>
    <row r="54" spans="1:8" s="10" customFormat="1" ht="16.5" customHeight="1">
      <c r="A54" s="6">
        <f t="shared" si="6"/>
        <v>49</v>
      </c>
      <c r="B54" s="7" t="s">
        <v>1051</v>
      </c>
      <c r="C54" s="8"/>
      <c r="D54" s="8"/>
      <c r="E54" s="8">
        <f t="array" ref="E54">SUM(IF("131"&amp;B54=KHN&amp;KH,TH))</f>
        <v>6166050</v>
      </c>
      <c r="F54" s="8">
        <f t="array" ref="F54">SUM(IF("131"&amp;B54=KHC&amp;KH,TH))</f>
        <v>6166050</v>
      </c>
      <c r="G54" s="746">
        <f t="shared" si="7"/>
        <v>0</v>
      </c>
      <c r="H54" s="746">
        <f t="shared" si="8"/>
        <v>0</v>
      </c>
    </row>
    <row r="55" spans="1:8" s="10" customFormat="1" ht="16.5" customHeight="1">
      <c r="A55" s="6">
        <f t="shared" si="6"/>
        <v>50</v>
      </c>
      <c r="B55" s="7" t="s">
        <v>555</v>
      </c>
      <c r="C55" s="8"/>
      <c r="D55" s="8"/>
      <c r="E55" s="8">
        <f t="array" ref="E55">SUM(IF("131"&amp;B55=KHN&amp;KH,TH))</f>
        <v>1760000</v>
      </c>
      <c r="F55" s="8">
        <f t="array" ref="F55">SUM(IF("131"&amp;B55=KHC&amp;KH,TH))</f>
        <v>1760000</v>
      </c>
      <c r="G55" s="746">
        <f t="shared" si="7"/>
        <v>0</v>
      </c>
      <c r="H55" s="746">
        <f t="shared" si="8"/>
        <v>0</v>
      </c>
    </row>
    <row r="56" spans="1:8" s="10" customFormat="1" ht="16.5" customHeight="1">
      <c r="A56" s="6">
        <f t="shared" si="6"/>
        <v>51</v>
      </c>
      <c r="B56" s="7" t="s">
        <v>1245</v>
      </c>
      <c r="C56" s="8"/>
      <c r="D56" s="8"/>
      <c r="E56" s="8">
        <f t="array" ref="E56">SUM(IF("131"&amp;B56=KHN&amp;KH,TH))</f>
        <v>12104290</v>
      </c>
      <c r="F56" s="8">
        <f t="array" ref="F56">SUM(IF("131"&amp;B56=KHC&amp;KH,TH))</f>
        <v>12104290</v>
      </c>
      <c r="G56" s="746">
        <f t="shared" si="7"/>
        <v>0</v>
      </c>
      <c r="H56" s="746">
        <f t="shared" si="8"/>
        <v>0</v>
      </c>
    </row>
    <row r="57" spans="1:8" s="10" customFormat="1" ht="16.5" customHeight="1">
      <c r="A57" s="6">
        <f t="shared" si="6"/>
        <v>52</v>
      </c>
      <c r="B57" s="7" t="s">
        <v>1651</v>
      </c>
      <c r="C57" s="8"/>
      <c r="D57" s="8"/>
      <c r="E57" s="8">
        <f t="array" ref="E57">SUM(IF("131"&amp;B57=KHN&amp;KH,TH))</f>
        <v>330000</v>
      </c>
      <c r="F57" s="8">
        <f t="array" ref="F57">SUM(IF("131"&amp;B57=KHC&amp;KH,TH))</f>
        <v>330000</v>
      </c>
      <c r="G57" s="746">
        <f t="shared" si="7"/>
        <v>0</v>
      </c>
      <c r="H57" s="746">
        <f t="shared" si="8"/>
        <v>0</v>
      </c>
    </row>
    <row r="58" spans="1:8" s="10" customFormat="1" ht="16.5" customHeight="1">
      <c r="A58" s="6">
        <f t="shared" si="6"/>
        <v>53</v>
      </c>
      <c r="B58" s="7" t="s">
        <v>1932</v>
      </c>
      <c r="C58" s="8">
        <v>19056098</v>
      </c>
      <c r="D58" s="8"/>
      <c r="E58" s="8">
        <f t="array" ref="E58">SUM(IF("131"&amp;B58=KHN&amp;KH,TH))</f>
        <v>0</v>
      </c>
      <c r="F58" s="8">
        <f t="array" ref="F58">SUM(IF("131"&amp;B58=KHC&amp;KH,TH))</f>
        <v>19056098</v>
      </c>
      <c r="G58" s="746">
        <f t="shared" si="7"/>
        <v>0</v>
      </c>
      <c r="H58" s="746">
        <f t="shared" si="8"/>
        <v>0</v>
      </c>
    </row>
    <row r="59" spans="1:8" s="10" customFormat="1" ht="16.5" customHeight="1">
      <c r="A59" s="6">
        <f t="shared" si="0"/>
        <v>54</v>
      </c>
      <c r="B59" s="7" t="s">
        <v>783</v>
      </c>
      <c r="C59" s="8"/>
      <c r="D59" s="8"/>
      <c r="E59" s="8">
        <f t="array" ref="E59">SUM(IF("131"&amp;B59=KHN&amp;KH,TH))</f>
        <v>78718200</v>
      </c>
      <c r="F59" s="8">
        <f t="array" ref="F59">SUM(IF("131"&amp;B59=KHC&amp;KH,TH))</f>
        <v>28393200</v>
      </c>
      <c r="G59" s="746">
        <f t="shared" si="1"/>
        <v>50325000</v>
      </c>
      <c r="H59" s="746">
        <f t="shared" si="2"/>
        <v>0</v>
      </c>
    </row>
    <row r="60" spans="1:8" s="10" customFormat="1" ht="16.5" customHeight="1">
      <c r="A60" s="6">
        <f t="shared" si="0"/>
        <v>55</v>
      </c>
      <c r="B60" s="7" t="s">
        <v>1178</v>
      </c>
      <c r="C60" s="8"/>
      <c r="D60" s="8"/>
      <c r="E60" s="8">
        <f t="array" ref="E60">SUM(IF("131"&amp;B60=KHN&amp;KH,TH))</f>
        <v>2371600</v>
      </c>
      <c r="F60" s="8">
        <f t="array" ref="F60">SUM(IF("131"&amp;B60=KHC&amp;KH,TH))</f>
        <v>0</v>
      </c>
      <c r="G60" s="746">
        <f t="shared" si="1"/>
        <v>2371600</v>
      </c>
      <c r="H60" s="746">
        <f t="shared" si="2"/>
        <v>0</v>
      </c>
    </row>
    <row r="61" spans="1:8" s="10" customFormat="1" ht="16.5" customHeight="1">
      <c r="A61" s="6">
        <f t="shared" ref="A61:A73" si="9">IF(B61&lt;&gt;"",ROW()-5,"")</f>
        <v>56</v>
      </c>
      <c r="B61" s="7" t="s">
        <v>464</v>
      </c>
      <c r="C61" s="8"/>
      <c r="D61" s="8"/>
      <c r="E61" s="8">
        <f t="array" ref="E61">SUM(IF("131"&amp;B61=KHN&amp;KH,TH))</f>
        <v>30401976</v>
      </c>
      <c r="F61" s="8">
        <f t="array" ref="F61">SUM(IF("131"&amp;B61=KHC&amp;KH,TH))</f>
        <v>18186476</v>
      </c>
      <c r="G61" s="746">
        <f t="shared" ref="G61:G73" si="10">ROUND(MAX(C61+E61-D61-F61,0),2)</f>
        <v>12215500</v>
      </c>
      <c r="H61" s="746">
        <f t="shared" ref="H61:H73" si="11">ROUND(MAX(D61+F61-C61-E61,0),2)</f>
        <v>0</v>
      </c>
    </row>
    <row r="62" spans="1:8" s="10" customFormat="1" ht="16.5" customHeight="1">
      <c r="A62" s="6">
        <f t="shared" si="9"/>
        <v>57</v>
      </c>
      <c r="B62" s="7" t="s">
        <v>1172</v>
      </c>
      <c r="C62" s="8"/>
      <c r="D62" s="8"/>
      <c r="E62" s="8">
        <f t="array" ref="E62">SUM(IF("131"&amp;B62=KHN&amp;KH,TH))</f>
        <v>2853400</v>
      </c>
      <c r="F62" s="8">
        <f t="array" ref="F62">SUM(IF("131"&amp;B62=KHC&amp;KH,TH))</f>
        <v>0</v>
      </c>
      <c r="G62" s="746">
        <f t="shared" si="10"/>
        <v>2853400</v>
      </c>
      <c r="H62" s="746">
        <f t="shared" si="11"/>
        <v>0</v>
      </c>
    </row>
    <row r="63" spans="1:8" s="10" customFormat="1" ht="16.5" customHeight="1">
      <c r="A63" s="6">
        <f t="shared" si="9"/>
        <v>58</v>
      </c>
      <c r="B63" s="7" t="s">
        <v>1175</v>
      </c>
      <c r="C63" s="8"/>
      <c r="D63" s="8"/>
      <c r="E63" s="8">
        <f t="array" ref="E63">SUM(IF("131"&amp;B63=KHN&amp;KH,TH))</f>
        <v>5368000</v>
      </c>
      <c r="F63" s="8">
        <f t="array" ref="F63">SUM(IF("131"&amp;B63=KHC&amp;KH,TH))</f>
        <v>0</v>
      </c>
      <c r="G63" s="746">
        <f t="shared" si="10"/>
        <v>5368000</v>
      </c>
      <c r="H63" s="746">
        <f t="shared" si="11"/>
        <v>0</v>
      </c>
    </row>
    <row r="64" spans="1:8" s="10" customFormat="1" ht="16.5" customHeight="1">
      <c r="A64" s="6">
        <f t="shared" si="9"/>
        <v>59</v>
      </c>
      <c r="B64" s="7" t="s">
        <v>1226</v>
      </c>
      <c r="C64" s="8"/>
      <c r="D64" s="8"/>
      <c r="E64" s="8">
        <f t="array" ref="E64">SUM(IF("131"&amp;B64=KHN&amp;KH,TH))</f>
        <v>32298085</v>
      </c>
      <c r="F64" s="8">
        <f t="array" ref="F64">SUM(IF("131"&amp;B64=KHC&amp;KH,TH))</f>
        <v>0</v>
      </c>
      <c r="G64" s="746">
        <f t="shared" si="10"/>
        <v>32298085</v>
      </c>
      <c r="H64" s="746">
        <f t="shared" si="11"/>
        <v>0</v>
      </c>
    </row>
    <row r="65" spans="1:8" s="10" customFormat="1" ht="16.5" customHeight="1">
      <c r="A65" s="6">
        <f t="shared" si="9"/>
        <v>60</v>
      </c>
      <c r="B65" s="7" t="s">
        <v>967</v>
      </c>
      <c r="C65" s="8"/>
      <c r="D65" s="8"/>
      <c r="E65" s="8">
        <f t="array" ref="E65">SUM(IF("131"&amp;B65=KHN&amp;KH,TH))</f>
        <v>27676724</v>
      </c>
      <c r="F65" s="8">
        <f t="array" ref="F65">SUM(IF("131"&amp;B65=KHC&amp;KH,TH))</f>
        <v>10502580</v>
      </c>
      <c r="G65" s="746">
        <f t="shared" si="10"/>
        <v>17174144</v>
      </c>
      <c r="H65" s="746">
        <f t="shared" si="11"/>
        <v>0</v>
      </c>
    </row>
    <row r="66" spans="1:8" s="10" customFormat="1" ht="16.5" customHeight="1">
      <c r="A66" s="6">
        <f t="shared" si="9"/>
        <v>61</v>
      </c>
      <c r="B66" s="209" t="s">
        <v>733</v>
      </c>
      <c r="C66" s="8"/>
      <c r="D66" s="8"/>
      <c r="E66" s="8">
        <f t="array" ref="E66">SUM(IF("131"&amp;B66=KHN&amp;KH,TH))</f>
        <v>317519800</v>
      </c>
      <c r="F66" s="8">
        <f t="array" ref="F66">SUM(IF("131"&amp;B66=KHC&amp;KH,TH))</f>
        <v>185120463</v>
      </c>
      <c r="G66" s="746">
        <f t="shared" si="10"/>
        <v>132399337</v>
      </c>
      <c r="H66" s="746">
        <f t="shared" si="11"/>
        <v>0</v>
      </c>
    </row>
    <row r="67" spans="1:8" s="10" customFormat="1" ht="16.5" customHeight="1">
      <c r="A67" s="6">
        <f t="shared" si="9"/>
        <v>62</v>
      </c>
      <c r="B67" s="7" t="s">
        <v>954</v>
      </c>
      <c r="C67" s="8"/>
      <c r="D67" s="8"/>
      <c r="E67" s="8">
        <f t="array" ref="E67">SUM(IF("131"&amp;B67=KHN&amp;KH,TH))</f>
        <v>7857850</v>
      </c>
      <c r="F67" s="8">
        <f t="array" ref="F67">SUM(IF("131"&amp;B67=KHC&amp;KH,TH))</f>
        <v>0</v>
      </c>
      <c r="G67" s="746">
        <f t="shared" si="10"/>
        <v>7857850</v>
      </c>
      <c r="H67" s="746">
        <f t="shared" si="11"/>
        <v>0</v>
      </c>
    </row>
    <row r="68" spans="1:8" s="10" customFormat="1" ht="16.5" customHeight="1">
      <c r="A68" s="6">
        <f t="shared" si="9"/>
        <v>63</v>
      </c>
      <c r="B68" s="7" t="s">
        <v>1128</v>
      </c>
      <c r="C68" s="8"/>
      <c r="D68" s="8"/>
      <c r="E68" s="8">
        <f t="array" ref="E68">SUM(IF("131"&amp;B68=KHN&amp;KH,TH))</f>
        <v>78925000</v>
      </c>
      <c r="F68" s="8">
        <f t="array" ref="F68">SUM(IF("131"&amp;B68=KHC&amp;KH,TH))</f>
        <v>31339000</v>
      </c>
      <c r="G68" s="746">
        <f t="shared" si="10"/>
        <v>47586000</v>
      </c>
      <c r="H68" s="746">
        <f t="shared" si="11"/>
        <v>0</v>
      </c>
    </row>
    <row r="69" spans="1:8" s="10" customFormat="1" ht="16.5" customHeight="1">
      <c r="A69" s="6">
        <f t="shared" si="9"/>
        <v>64</v>
      </c>
      <c r="B69" s="7" t="s">
        <v>1003</v>
      </c>
      <c r="C69" s="8"/>
      <c r="D69" s="8"/>
      <c r="E69" s="8">
        <f t="array" ref="E69">SUM(IF("131"&amp;B69=KHN&amp;KH,TH))</f>
        <v>27675890</v>
      </c>
      <c r="F69" s="8">
        <f t="array" ref="F69">SUM(IF("131"&amp;B69=KHC&amp;KH,TH))</f>
        <v>0</v>
      </c>
      <c r="G69" s="746">
        <f t="shared" si="10"/>
        <v>27675890</v>
      </c>
      <c r="H69" s="746">
        <f t="shared" si="11"/>
        <v>0</v>
      </c>
    </row>
    <row r="70" spans="1:8" s="10" customFormat="1" ht="16.5" customHeight="1">
      <c r="A70" s="6">
        <f t="shared" si="9"/>
        <v>65</v>
      </c>
      <c r="B70" s="7" t="s">
        <v>412</v>
      </c>
      <c r="C70" s="8"/>
      <c r="D70" s="8"/>
      <c r="E70" s="8">
        <f t="array" ref="E70">SUM(IF("131"&amp;B70=KHN&amp;KH,TH))</f>
        <v>193923400</v>
      </c>
      <c r="F70" s="8">
        <f t="array" ref="F70">SUM(IF("131"&amp;B70=KHC&amp;KH,TH))</f>
        <v>125120600</v>
      </c>
      <c r="G70" s="746">
        <f t="shared" si="10"/>
        <v>68802800</v>
      </c>
      <c r="H70" s="746">
        <f t="shared" si="11"/>
        <v>0</v>
      </c>
    </row>
    <row r="71" spans="1:8" s="10" customFormat="1" ht="16.5" customHeight="1">
      <c r="A71" s="6">
        <f t="shared" si="9"/>
        <v>66</v>
      </c>
      <c r="B71" s="192" t="s">
        <v>834</v>
      </c>
      <c r="C71" s="8"/>
      <c r="D71" s="8"/>
      <c r="E71" s="8">
        <f t="array" ref="E71">SUM(IF("131"&amp;B71=KHN&amp;KH,TH))</f>
        <v>149999520</v>
      </c>
      <c r="F71" s="8">
        <f t="array" ref="F71">SUM(IF("131"&amp;B71=KHC&amp;KH,TH))</f>
        <v>138304540</v>
      </c>
      <c r="G71" s="746">
        <f t="shared" si="10"/>
        <v>11694980</v>
      </c>
      <c r="H71" s="746">
        <f t="shared" si="11"/>
        <v>0</v>
      </c>
    </row>
    <row r="72" spans="1:8" s="10" customFormat="1" ht="16.5" customHeight="1">
      <c r="A72" s="6">
        <f t="shared" si="9"/>
        <v>67</v>
      </c>
      <c r="B72" s="192" t="s">
        <v>1096</v>
      </c>
      <c r="C72" s="8"/>
      <c r="D72" s="8"/>
      <c r="E72" s="8">
        <f t="array" ref="E72">SUM(IF("131"&amp;B72=KHN&amp;KH,TH))</f>
        <v>32743700</v>
      </c>
      <c r="F72" s="8">
        <f t="array" ref="F72">SUM(IF("131"&amp;B72=KHC&amp;KH,TH))</f>
        <v>0</v>
      </c>
      <c r="G72" s="746">
        <f t="shared" si="10"/>
        <v>32743700</v>
      </c>
      <c r="H72" s="746">
        <f t="shared" si="11"/>
        <v>0</v>
      </c>
    </row>
    <row r="73" spans="1:8" s="10" customFormat="1" ht="16.5" customHeight="1">
      <c r="A73" s="6">
        <f t="shared" si="9"/>
        <v>68</v>
      </c>
      <c r="B73" s="192" t="s">
        <v>1126</v>
      </c>
      <c r="C73" s="8"/>
      <c r="D73" s="8"/>
      <c r="E73" s="8">
        <f t="array" ref="E73">SUM(IF("131"&amp;B73=KHN&amp;KH,TH))</f>
        <v>2508000</v>
      </c>
      <c r="F73" s="8">
        <f t="array" ref="F73">SUM(IF("131"&amp;B73=KHC&amp;KH,TH))</f>
        <v>0</v>
      </c>
      <c r="G73" s="746">
        <f t="shared" si="10"/>
        <v>2508000</v>
      </c>
      <c r="H73" s="746">
        <f t="shared" si="11"/>
        <v>0</v>
      </c>
    </row>
    <row r="74" spans="1:8" s="10" customFormat="1" ht="16.5" customHeight="1">
      <c r="A74" s="6">
        <f t="shared" ref="A74:A76" si="12">IF(B74&lt;&gt;"",ROW()-5,"")</f>
        <v>69</v>
      </c>
      <c r="B74" s="209" t="s">
        <v>1272</v>
      </c>
      <c r="C74" s="8"/>
      <c r="D74" s="8"/>
      <c r="E74" s="8">
        <f t="array" ref="E74">SUM(IF("131"&amp;B74=KHN&amp;KH,TH))</f>
        <v>2035000</v>
      </c>
      <c r="F74" s="8">
        <f t="array" ref="F74">SUM(IF("131"&amp;B74=KHC&amp;KH,TH))</f>
        <v>0</v>
      </c>
      <c r="G74" s="746">
        <f t="shared" ref="G74:G76" si="13">ROUND(MAX(C74+E74-D74-F74,0),2)</f>
        <v>2035000</v>
      </c>
      <c r="H74" s="746">
        <f t="shared" ref="H74:H76" si="14">ROUND(MAX(D74+F74-C74-E74,0),2)</f>
        <v>0</v>
      </c>
    </row>
    <row r="75" spans="1:8" s="10" customFormat="1" ht="16.5" customHeight="1">
      <c r="A75" s="6">
        <f t="shared" si="12"/>
        <v>70</v>
      </c>
      <c r="B75" s="7" t="s">
        <v>1237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46">
        <f t="shared" si="13"/>
        <v>8069094</v>
      </c>
      <c r="H75" s="746">
        <f t="shared" si="14"/>
        <v>0</v>
      </c>
    </row>
    <row r="76" spans="1:8" s="10" customFormat="1" ht="16.5" customHeight="1">
      <c r="A76" s="6">
        <f t="shared" si="12"/>
        <v>71</v>
      </c>
      <c r="B76" s="7" t="s">
        <v>1934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526688028</v>
      </c>
      <c r="G76" s="746">
        <f t="shared" si="13"/>
        <v>240150418</v>
      </c>
      <c r="H76" s="746">
        <f t="shared" si="14"/>
        <v>0</v>
      </c>
    </row>
    <row r="77" spans="1:8" s="10" customFormat="1" ht="16.5" customHeight="1">
      <c r="A77" s="6" t="str">
        <f t="shared" ref="A77" si="15">IF(B77&lt;&gt;"",ROW()-3,"")</f>
        <v/>
      </c>
      <c r="B77" s="44"/>
      <c r="C77" s="8"/>
      <c r="D77" s="8"/>
      <c r="E77" s="8"/>
      <c r="F77" s="8"/>
      <c r="G77" s="55"/>
      <c r="H77" s="55"/>
    </row>
    <row r="78" spans="1:8" s="14" customFormat="1" ht="14.25" customHeight="1">
      <c r="A78" s="11"/>
      <c r="B78" s="12" t="s">
        <v>39</v>
      </c>
      <c r="C78" s="13">
        <f t="shared" ref="C78:H78" si="16">SUM(C6:C77)</f>
        <v>217375604</v>
      </c>
      <c r="D78" s="13">
        <f t="shared" si="16"/>
        <v>0</v>
      </c>
      <c r="E78" s="13">
        <f t="shared" si="16"/>
        <v>4531638741</v>
      </c>
      <c r="F78" s="13">
        <f t="shared" si="16"/>
        <v>3541515404</v>
      </c>
      <c r="G78" s="13">
        <f>SUM(G6:G77)</f>
        <v>1207498941</v>
      </c>
      <c r="H78" s="13">
        <f t="shared" si="16"/>
        <v>0</v>
      </c>
    </row>
    <row r="79" spans="1:8">
      <c r="D79" s="182">
        <f>C78-D78-CDPS!C14</f>
        <v>0</v>
      </c>
      <c r="E79" s="15">
        <f>E78-CDPS!E14</f>
        <v>0</v>
      </c>
      <c r="F79" s="15">
        <f>F78-CDPS!F14</f>
        <v>0</v>
      </c>
      <c r="G79" s="15"/>
    </row>
    <row r="81" spans="5:8">
      <c r="E81" s="15"/>
      <c r="F81" s="1012" t="s">
        <v>395</v>
      </c>
      <c r="G81" s="1012"/>
      <c r="H81" s="1012"/>
    </row>
    <row r="82" spans="5:8">
      <c r="F82" s="1012" t="s">
        <v>109</v>
      </c>
      <c r="G82" s="1012"/>
      <c r="H82" s="1012"/>
    </row>
    <row r="83" spans="5:8">
      <c r="E83" s="182"/>
      <c r="F83" s="1012" t="s">
        <v>136</v>
      </c>
      <c r="G83" s="1012"/>
      <c r="H83" s="1012"/>
    </row>
  </sheetData>
  <sortState ref="A6:I78">
    <sortCondition ref="B6:B78"/>
  </sortState>
  <mergeCells count="9">
    <mergeCell ref="F81:H81"/>
    <mergeCell ref="F82:H82"/>
    <mergeCell ref="F83:H8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09" t="str">
        <f>TH!A1</f>
        <v>Đơn vị: CÔNG TY TNHH SX TM KIM DUNG PHÁT</v>
      </c>
      <c r="B1" s="601"/>
      <c r="C1" s="601"/>
      <c r="G1" s="2"/>
      <c r="H1" s="1022" t="s">
        <v>46</v>
      </c>
      <c r="I1" s="1022"/>
      <c r="J1" s="1022"/>
    </row>
    <row r="2" spans="1:10" s="460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2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23"/>
      <c r="J2" s="1023"/>
    </row>
    <row r="3" spans="1:10" s="460" customFormat="1" ht="14.25" customHeight="1">
      <c r="A3" s="603"/>
      <c r="B3" s="601"/>
      <c r="C3" s="601"/>
      <c r="G3" s="17"/>
      <c r="H3" s="1023"/>
      <c r="I3" s="1023"/>
      <c r="J3" s="1023"/>
    </row>
    <row r="4" spans="1:10" s="5" customFormat="1" ht="28.5" customHeight="1">
      <c r="A4" s="1024" t="s">
        <v>26</v>
      </c>
      <c r="B4" s="1024"/>
      <c r="C4" s="1024"/>
      <c r="D4" s="1024"/>
      <c r="E4" s="1024"/>
      <c r="F4" s="1024"/>
      <c r="G4" s="1024"/>
      <c r="H4" s="1024"/>
      <c r="I4" s="1024"/>
      <c r="J4" s="1024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25" t="s">
        <v>1105</v>
      </c>
      <c r="F7" s="1025"/>
      <c r="G7" s="1025"/>
      <c r="H7" s="1025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26"/>
      <c r="D9" s="1026"/>
      <c r="E9" s="1026"/>
      <c r="F9" s="1026"/>
      <c r="G9" s="1026"/>
      <c r="H9" s="1026"/>
      <c r="I9" s="1026"/>
      <c r="J9" s="1026"/>
    </row>
    <row r="10" spans="1:10" s="18" customFormat="1" ht="14.25" customHeight="1">
      <c r="A10" s="990" t="s">
        <v>20</v>
      </c>
      <c r="B10" s="1027" t="s">
        <v>1</v>
      </c>
      <c r="C10" s="1027"/>
      <c r="D10" s="990" t="s">
        <v>0</v>
      </c>
      <c r="E10" s="990" t="s">
        <v>14</v>
      </c>
      <c r="F10" s="990" t="s">
        <v>30</v>
      </c>
      <c r="G10" s="1020" t="s">
        <v>21</v>
      </c>
      <c r="H10" s="1021"/>
      <c r="I10" s="1020" t="s">
        <v>31</v>
      </c>
      <c r="J10" s="1021"/>
    </row>
    <row r="11" spans="1:10" s="18" customFormat="1" ht="24.75" customHeight="1">
      <c r="A11" s="990"/>
      <c r="B11" s="30" t="s">
        <v>15</v>
      </c>
      <c r="C11" s="30" t="s">
        <v>32</v>
      </c>
      <c r="D11" s="990"/>
      <c r="E11" s="990"/>
      <c r="F11" s="99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 t="e">
        <f>VLOOKUP($E$7,'131'!$B$6:$H$77,2,0)</f>
        <v>#N/A</v>
      </c>
      <c r="J13" s="47" t="e">
        <f>VLOOKUP($E$7,'131'!$B$6:$H$77,3,0)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5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5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5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5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5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5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5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5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5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5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5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5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5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5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5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5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978" t="e">
        <f ca="1">"Ngày 31 tháng  12  năm  "&amp;YEAR($A$14)</f>
        <v>#VALUE!</v>
      </c>
      <c r="F37" s="978"/>
      <c r="G37" s="978"/>
      <c r="H37" s="978"/>
      <c r="I37" s="978"/>
      <c r="J37" s="978"/>
    </row>
    <row r="38" spans="1:11" s="18" customFormat="1" ht="14.25" customHeight="1">
      <c r="C38" s="599" t="s">
        <v>11</v>
      </c>
      <c r="E38" s="978" t="s">
        <v>12</v>
      </c>
      <c r="F38" s="978"/>
      <c r="G38" s="978"/>
      <c r="H38" s="978"/>
      <c r="I38" s="978"/>
      <c r="J38" s="978"/>
    </row>
    <row r="39" spans="1:11" s="18" customFormat="1" ht="14.25" customHeight="1">
      <c r="C39" s="599" t="s">
        <v>13</v>
      </c>
      <c r="E39" s="978" t="s">
        <v>13</v>
      </c>
      <c r="F39" s="978"/>
      <c r="G39" s="978"/>
      <c r="H39" s="978"/>
      <c r="I39" s="978"/>
      <c r="J39" s="978"/>
    </row>
    <row r="40" spans="1:11" s="29" customFormat="1"/>
    <row r="46" spans="1:11" ht="15">
      <c r="C46" s="60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abSelected="1" topLeftCell="A4" workbookViewId="0">
      <pane ySplit="2" topLeftCell="A6" activePane="bottomLeft" state="frozen"/>
      <selection activeCell="A4" sqref="A4"/>
      <selection pane="bottomLeft" activeCell="H15" sqref="H15:H2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3" t="str">
        <f>TH!$A$1</f>
        <v>Đơn vị: CÔNG TY TNHH SX TM KIM DUNG PHÁT</v>
      </c>
    </row>
    <row r="2" spans="1:9">
      <c r="A2" s="794" t="str">
        <f>TH!$A$2</f>
        <v>Địa chỉ: 1A227/1 Ấp 1, Phạm Văn Hai, Bình Chánh, TPHCM</v>
      </c>
    </row>
    <row r="3" spans="1:9" ht="27" customHeight="1">
      <c r="A3" s="1013" t="s">
        <v>102</v>
      </c>
      <c r="B3" s="1013"/>
      <c r="C3" s="1013"/>
      <c r="D3" s="1013"/>
      <c r="E3" s="1013"/>
      <c r="F3" s="1013"/>
      <c r="G3" s="1013"/>
      <c r="H3" s="1013"/>
    </row>
    <row r="4" spans="1:9" s="10" customFormat="1" ht="14.25" customHeight="1">
      <c r="A4" s="1014" t="s">
        <v>35</v>
      </c>
      <c r="B4" s="1016" t="s">
        <v>36</v>
      </c>
      <c r="C4" s="1018" t="s">
        <v>37</v>
      </c>
      <c r="D4" s="1019"/>
      <c r="E4" s="1018" t="s">
        <v>38</v>
      </c>
      <c r="F4" s="1019"/>
      <c r="G4" s="1018" t="s">
        <v>41</v>
      </c>
      <c r="H4" s="1019"/>
      <c r="I4" s="292"/>
    </row>
    <row r="5" spans="1:9" s="10" customFormat="1" ht="14.25" customHeight="1">
      <c r="A5" s="1015"/>
      <c r="B5" s="101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1348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1457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6">
        <f t="shared" ref="G7" si="3">ROUND(MAX(C7+E7-D7-F7,0),2)</f>
        <v>0</v>
      </c>
      <c r="H7" s="746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1374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6">
        <f t="shared" ref="G8:G18" si="5">ROUND(MAX(C8+E8-D8-F8,0),2)</f>
        <v>0</v>
      </c>
      <c r="H8" s="746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6">
        <f t="shared" si="5"/>
        <v>0</v>
      </c>
      <c r="H9" s="746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1430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6">
        <f>ROUND(MAX(C10+E10-D10-F10,0),2)</f>
        <v>0</v>
      </c>
      <c r="H10" s="746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1443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6">
        <f>ROUND(MAX(C11+E11-D11-F11,0),2)</f>
        <v>0</v>
      </c>
      <c r="H11" s="746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1449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6">
        <f>ROUND(MAX(C12+E12-D12-F12,0),2)</f>
        <v>0</v>
      </c>
      <c r="H12" s="746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1459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6">
        <f t="shared" si="5"/>
        <v>0</v>
      </c>
      <c r="H13" s="746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1376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6">
        <f>ROUND(MAX(C14+E14-D14-F14,0),2)</f>
        <v>0</v>
      </c>
      <c r="H14" s="746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1391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46">
        <f>ROUND(MAX(C15+E15-D15-F15,0),2)</f>
        <v>0</v>
      </c>
      <c r="H15" s="746">
        <f>ROUND(MAX(D15+F15-C15-E15,0),2)</f>
        <v>0</v>
      </c>
      <c r="I15" s="292"/>
    </row>
    <row r="16" spans="1:9" s="10" customFormat="1" ht="16.5" customHeight="1">
      <c r="A16" s="6">
        <f>IF(B16&lt;&gt;"",ROW()-5,"")</f>
        <v>11</v>
      </c>
      <c r="B16" s="7" t="s">
        <v>1397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46">
        <f>ROUND(MAX(C16+E16-D16-F16,0),2)</f>
        <v>0</v>
      </c>
      <c r="H16" s="746">
        <f>ROUND(MAX(D16+F16-C16-E16,0),2)</f>
        <v>0</v>
      </c>
      <c r="I16" s="292"/>
    </row>
    <row r="17" spans="1:10" s="10" customFormat="1" ht="16.5" customHeight="1">
      <c r="A17" s="6">
        <f t="shared" si="2"/>
        <v>12</v>
      </c>
      <c r="B17" s="7" t="s">
        <v>1356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6">
        <f t="shared" si="5"/>
        <v>0</v>
      </c>
      <c r="H17" s="746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1448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6">
        <f t="shared" si="5"/>
        <v>0</v>
      </c>
      <c r="H18" s="746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1472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6">
        <f t="shared" ref="G19:G22" si="7">ROUND(MAX(C19+E19-D19-F19,0),2)</f>
        <v>0</v>
      </c>
      <c r="H19" s="746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1487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6">
        <f t="shared" si="7"/>
        <v>0</v>
      </c>
      <c r="H20" s="746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1491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6">
        <f t="shared" si="7"/>
        <v>0</v>
      </c>
      <c r="H21" s="746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1504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6">
        <f t="shared" si="7"/>
        <v>0</v>
      </c>
      <c r="H22" s="746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1927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6">
        <f t="shared" ref="G23:G24" si="9">ROUND(MAX(C23+E23-D23-F23,0),2)</f>
        <v>0</v>
      </c>
      <c r="H23" s="746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1928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6">
        <f t="shared" si="9"/>
        <v>0</v>
      </c>
      <c r="H24" s="746">
        <f t="shared" si="10"/>
        <v>230553200</v>
      </c>
      <c r="I24" s="292"/>
      <c r="J24" s="917"/>
    </row>
    <row r="25" spans="1:10" s="10" customFormat="1" ht="16.5" customHeight="1">
      <c r="A25" s="6">
        <f t="shared" si="2"/>
        <v>20</v>
      </c>
      <c r="B25" s="7" t="s">
        <v>1929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6">
        <f t="shared" ref="G25" si="11">ROUND(MAX(C25+E25-D25-F25,0),2)</f>
        <v>0</v>
      </c>
      <c r="H25" s="746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1930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6">
        <f t="shared" ref="G26:G28" si="13">ROUND(MAX(C26+E26-D26-F26,0),2)</f>
        <v>0</v>
      </c>
      <c r="H26" s="746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1931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6">
        <f t="shared" si="13"/>
        <v>0</v>
      </c>
      <c r="H27" s="746">
        <f t="shared" si="14"/>
        <v>388135760</v>
      </c>
      <c r="I27" s="292"/>
      <c r="J27" s="917"/>
    </row>
    <row r="28" spans="1:10" s="10" customFormat="1" ht="16.5" customHeight="1">
      <c r="A28" s="6">
        <f t="shared" si="2"/>
        <v>23</v>
      </c>
      <c r="B28" s="7" t="s">
        <v>1450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6">
        <f t="shared" si="13"/>
        <v>0</v>
      </c>
      <c r="H28" s="746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16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12" t="s">
        <v>395</v>
      </c>
      <c r="G32" s="1012"/>
      <c r="H32" s="1012"/>
    </row>
    <row r="33" spans="5:8">
      <c r="F33" s="1012" t="s">
        <v>109</v>
      </c>
      <c r="G33" s="1012"/>
      <c r="H33" s="1012"/>
    </row>
    <row r="34" spans="5:8">
      <c r="E34" s="182"/>
      <c r="F34" s="1012" t="s">
        <v>136</v>
      </c>
      <c r="G34" s="1012"/>
      <c r="H34" s="1012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22" t="s">
        <v>46</v>
      </c>
      <c r="I1" s="1022"/>
      <c r="J1" s="1022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2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23"/>
      <c r="J2" s="1023"/>
    </row>
    <row r="3" spans="1:10" s="3" customFormat="1" ht="14.25" customHeight="1">
      <c r="A3" s="4"/>
      <c r="B3" s="16"/>
      <c r="C3" s="16"/>
      <c r="G3" s="17"/>
      <c r="H3" s="1023"/>
      <c r="I3" s="1023"/>
      <c r="J3" s="1023"/>
    </row>
    <row r="4" spans="1:10" s="5" customFormat="1" ht="28.5" customHeight="1">
      <c r="A4" s="1024" t="s">
        <v>26</v>
      </c>
      <c r="B4" s="1024"/>
      <c r="C4" s="1024"/>
      <c r="D4" s="1024"/>
      <c r="E4" s="1024"/>
      <c r="F4" s="1024"/>
      <c r="G4" s="1024"/>
      <c r="H4" s="1024"/>
      <c r="I4" s="1024"/>
      <c r="J4" s="102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5" t="s">
        <v>1448</v>
      </c>
      <c r="F7" s="1025"/>
      <c r="G7" s="1025"/>
      <c r="H7" s="102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6"/>
      <c r="D9" s="1026"/>
      <c r="E9" s="1026"/>
      <c r="F9" s="1026"/>
      <c r="G9" s="1026"/>
      <c r="H9" s="1026"/>
      <c r="I9" s="1026"/>
      <c r="J9" s="1026"/>
    </row>
    <row r="10" spans="1:10" s="18" customFormat="1" ht="14.25" customHeight="1">
      <c r="A10" s="990" t="s">
        <v>20</v>
      </c>
      <c r="B10" s="1027" t="s">
        <v>1</v>
      </c>
      <c r="C10" s="1027"/>
      <c r="D10" s="990" t="s">
        <v>0</v>
      </c>
      <c r="E10" s="990" t="s">
        <v>14</v>
      </c>
      <c r="F10" s="990" t="s">
        <v>30</v>
      </c>
      <c r="G10" s="1020" t="s">
        <v>21</v>
      </c>
      <c r="H10" s="1021"/>
      <c r="I10" s="1020" t="s">
        <v>31</v>
      </c>
      <c r="J10" s="1021"/>
    </row>
    <row r="11" spans="1:10" s="18" customFormat="1" ht="24.75" customHeight="1">
      <c r="A11" s="990"/>
      <c r="B11" s="30" t="s">
        <v>15</v>
      </c>
      <c r="C11" s="30" t="s">
        <v>32</v>
      </c>
      <c r="D11" s="990"/>
      <c r="E11" s="990"/>
      <c r="F11" s="99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42214</v>
      </c>
      <c r="B14" s="9" t="str">
        <f ca="1">IF(ROWS($1:1)&gt;COUNT(Dong),"",OFFSET(TH!D$1,SMALL(Dong,ROWS($1:1)),))</f>
        <v>NL/N02</v>
      </c>
      <c r="C14" s="9">
        <f ca="1">IF(ROWS($1:1)&gt;COUNT(Dong),"",OFFSET(TH!E$1,SMALL(Dong,ROWS($1:1)),))</f>
        <v>42214</v>
      </c>
      <c r="D14" s="225" t="str">
        <f ca="1">IF(ROWS($1:1)&gt;COUNT(Dong),"",OFFSET(TH!F$1,SMALL(Dong,ROWS($1:1)),))</f>
        <v>Giấy xeo gia keo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86728400</v>
      </c>
      <c r="I14" s="25">
        <f ca="1">IF(D14&lt;&gt;"",MAX(I13+G14-H14-J13,0),0)</f>
        <v>0</v>
      </c>
      <c r="J14" s="25">
        <f ca="1">IF(D14&lt;&gt;"",MAX(J13+H14-I13-G14,0),0)</f>
        <v>86728400</v>
      </c>
    </row>
    <row r="15" spans="1:10" s="18" customFormat="1" ht="18" customHeight="1">
      <c r="A15" s="9">
        <f ca="1">IF(ROWS($1:2)&gt;COUNT(Dong),"",OFFSET(TH!C$1,SMALL(Dong,ROWS($1:2)),))</f>
        <v>42214</v>
      </c>
      <c r="B15" s="9" t="str">
        <f ca="1">IF(ROWS($1:2)&gt;COUNT(Dong),"",OFFSET(TH!D$1,SMALL(Dong,ROWS($1:2)),))</f>
        <v>NL/N02</v>
      </c>
      <c r="C15" s="9">
        <f ca="1">IF(ROWS($1:2)&gt;COUNT(Dong),"",OFFSET(TH!E$1,SMALL(Dong,ROWS($1:2)),))</f>
        <v>42214</v>
      </c>
      <c r="D15" s="225" t="str">
        <f ca="1">IF(ROWS($1:2)&gt;COUNT(Dong),"",OFFSET(TH!F$1,SMALL(Dong,ROWS($1:2)),))</f>
        <v>VAT Giấy xeo gia keo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8672840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95401240</v>
      </c>
    </row>
    <row r="16" spans="1:10" s="18" customFormat="1" ht="18" customHeight="1">
      <c r="A16" s="9">
        <f ca="1">IF(ROWS($1:3)&gt;COUNT(Dong),"",OFFSET(TH!C$1,SMALL(Dong,ROWS($1:3)),))</f>
        <v>42236</v>
      </c>
      <c r="B16" s="9" t="str">
        <f ca="1">IF(ROWS($1:3)&gt;COUNT(Dong),"",OFFSET(TH!D$1,SMALL(Dong,ROWS($1:3)),))</f>
        <v>NL/N05</v>
      </c>
      <c r="C16" s="9">
        <f ca="1">IF(ROWS($1:3)&gt;COUNT(Dong),"",OFFSET(TH!E$1,SMALL(Dong,ROWS($1:3)),))</f>
        <v>42236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32476000</v>
      </c>
      <c r="I16" s="25">
        <f t="shared" ca="1" si="0"/>
        <v>0</v>
      </c>
      <c r="J16" s="25">
        <f t="shared" ca="1" si="1"/>
        <v>127877240</v>
      </c>
    </row>
    <row r="17" spans="1:10" s="18" customFormat="1" ht="18" customHeight="1">
      <c r="A17" s="9">
        <f ca="1">IF(ROWS($1:4)&gt;COUNT(Dong),"",OFFSET(TH!C$1,SMALL(Dong,ROWS($1:4)),))</f>
        <v>42236</v>
      </c>
      <c r="B17" s="9" t="str">
        <f ca="1">IF(ROWS($1:4)&gt;COUNT(Dong),"",OFFSET(TH!D$1,SMALL(Dong,ROWS($1:4)),))</f>
        <v>NL/N05</v>
      </c>
      <c r="C17" s="9">
        <f ca="1">IF(ROWS($1:4)&gt;COUNT(Dong),"",OFFSET(TH!E$1,SMALL(Dong,ROWS($1:4)),))</f>
        <v>42236</v>
      </c>
      <c r="D17" s="225" t="str">
        <f ca="1">IF(ROWS($1:4)&gt;COUNT(Dong),"",OFFSET(TH!F$1,SMALL(Dong,ROWS($1:4)),))</f>
        <v>Giấy 2 da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43387200</v>
      </c>
      <c r="I17" s="25">
        <f t="shared" ca="1" si="0"/>
        <v>0</v>
      </c>
      <c r="J17" s="25">
        <f t="shared" ca="1" si="1"/>
        <v>171264440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VAT Giấy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7586320</v>
      </c>
      <c r="I18" s="25">
        <f t="shared" ca="1" si="0"/>
        <v>0</v>
      </c>
      <c r="J18" s="25">
        <f t="shared" ca="1" si="1"/>
        <v>178850760</v>
      </c>
    </row>
    <row r="19" spans="1:10" s="18" customFormat="1" ht="18" customHeight="1">
      <c r="A19" s="9">
        <f ca="1">IF(ROWS($1:6)&gt;COUNT(Dong),"",OFFSET(TH!C$1,SMALL(Dong,ROWS($1:6)),))</f>
        <v>42268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42268</v>
      </c>
      <c r="D19" s="225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163850760</v>
      </c>
    </row>
    <row r="20" spans="1:10" s="18" customFormat="1" ht="18" customHeight="1">
      <c r="A20" s="9">
        <f ca="1">IF(ROWS($1:7)&gt;COUNT(Dong),"",OFFSET(TH!C$1,SMALL(Dong,ROWS($1:7)),))</f>
        <v>42296</v>
      </c>
      <c r="B20" s="9" t="str">
        <f ca="1">IF(ROWS($1:7)&gt;COUNT(Dong),"",OFFSET(TH!D$1,SMALL(Dong,ROWS($1:7)),))</f>
        <v>GBC</v>
      </c>
      <c r="C20" s="9">
        <f ca="1">IF(ROWS($1:7)&gt;COUNT(Dong),"",OFFSET(TH!E$1,SMALL(Dong,ROWS($1:7)),))</f>
        <v>42296</v>
      </c>
      <c r="D20" s="225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15000000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29/7/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8" t="str">
        <f ca="1">"Ngày 31 tháng  12  năm  "&amp;YEAR($A$14)</f>
        <v>Ngày 31 tháng  12  năm  2015</v>
      </c>
      <c r="F56" s="978"/>
      <c r="G56" s="978"/>
      <c r="H56" s="978"/>
      <c r="I56" s="978"/>
      <c r="J56" s="978"/>
    </row>
    <row r="57" spans="1:11" s="18" customFormat="1" ht="14.25" customHeight="1">
      <c r="C57" s="213" t="s">
        <v>11</v>
      </c>
      <c r="E57" s="978" t="s">
        <v>12</v>
      </c>
      <c r="F57" s="978"/>
      <c r="G57" s="978"/>
      <c r="H57" s="978"/>
      <c r="I57" s="978"/>
      <c r="J57" s="978"/>
    </row>
    <row r="58" spans="1:11" s="18" customFormat="1" ht="14.25" customHeight="1">
      <c r="C58" s="213" t="s">
        <v>13</v>
      </c>
      <c r="E58" s="978" t="s">
        <v>13</v>
      </c>
      <c r="F58" s="978"/>
      <c r="G58" s="978"/>
      <c r="H58" s="978"/>
      <c r="I58" s="978"/>
      <c r="J58" s="978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13" t="s">
        <v>1872</v>
      </c>
      <c r="B1" s="1013"/>
      <c r="C1" s="1013"/>
      <c r="D1" s="1013"/>
      <c r="E1" s="1013"/>
      <c r="F1" s="1013"/>
      <c r="G1" s="1013"/>
      <c r="H1" s="1013"/>
      <c r="I1" s="1013"/>
    </row>
    <row r="2" spans="1:9" s="10" customFormat="1" ht="15.75" customHeight="1">
      <c r="A2" s="1028" t="s">
        <v>35</v>
      </c>
      <c r="B2" s="1029" t="s">
        <v>1873</v>
      </c>
      <c r="C2" s="1029" t="s">
        <v>1874</v>
      </c>
      <c r="D2" s="1029" t="s">
        <v>37</v>
      </c>
      <c r="E2" s="1029"/>
      <c r="F2" s="1029" t="s">
        <v>38</v>
      </c>
      <c r="G2" s="1029"/>
      <c r="H2" s="1030" t="s">
        <v>353</v>
      </c>
      <c r="I2" s="1019"/>
    </row>
    <row r="3" spans="1:9" s="10" customFormat="1" ht="15.75" customHeight="1">
      <c r="A3" s="1028"/>
      <c r="B3" s="1029"/>
      <c r="C3" s="1029"/>
      <c r="D3" s="840" t="s">
        <v>42</v>
      </c>
      <c r="E3" s="840" t="s">
        <v>43</v>
      </c>
      <c r="F3" s="840" t="s">
        <v>42</v>
      </c>
      <c r="G3" s="840" t="s">
        <v>43</v>
      </c>
      <c r="H3" s="840" t="s">
        <v>42</v>
      </c>
      <c r="I3" s="840" t="s">
        <v>43</v>
      </c>
    </row>
    <row r="4" spans="1:9" s="10" customFormat="1" ht="18" customHeight="1">
      <c r="A4" s="461">
        <f t="shared" ref="A4:A11" si="0">IF(B4&lt;&gt;"",ROW()-3,"")</f>
        <v>1</v>
      </c>
      <c r="B4" s="841" t="s">
        <v>1875</v>
      </c>
      <c r="C4" s="84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3">
        <f t="shared" ref="H4:H11" si="1">ROUND(MAX(D4+F4-E4-G4,0),2)</f>
        <v>0</v>
      </c>
      <c r="I4" s="843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1898</v>
      </c>
      <c r="C5" s="84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3">
        <f t="shared" si="1"/>
        <v>0</v>
      </c>
      <c r="I5" s="843">
        <f t="shared" si="2"/>
        <v>0</v>
      </c>
    </row>
    <row r="6" spans="1:9" s="10" customFormat="1" ht="18" customHeight="1">
      <c r="A6" s="461">
        <f t="shared" si="0"/>
        <v>3</v>
      </c>
      <c r="B6" s="7" t="s">
        <v>1877</v>
      </c>
      <c r="C6" s="84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3">
        <f t="shared" si="1"/>
        <v>0</v>
      </c>
      <c r="I6" s="843">
        <f t="shared" si="2"/>
        <v>0</v>
      </c>
    </row>
    <row r="7" spans="1:9" s="10" customFormat="1" ht="18" customHeight="1">
      <c r="A7" s="461">
        <f t="shared" si="0"/>
        <v>4</v>
      </c>
      <c r="B7" s="7" t="s">
        <v>1878</v>
      </c>
      <c r="C7" s="84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3">
        <f t="shared" si="1"/>
        <v>0</v>
      </c>
      <c r="I7" s="843">
        <f t="shared" si="2"/>
        <v>0</v>
      </c>
    </row>
    <row r="8" spans="1:9" s="10" customFormat="1" ht="18" customHeight="1">
      <c r="A8" s="461">
        <f t="shared" si="0"/>
        <v>5</v>
      </c>
      <c r="B8" s="7" t="s">
        <v>1879</v>
      </c>
      <c r="C8" s="84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3">
        <f t="shared" si="1"/>
        <v>0</v>
      </c>
      <c r="I8" s="843">
        <f t="shared" si="2"/>
        <v>0</v>
      </c>
    </row>
    <row r="9" spans="1:9" s="10" customFormat="1" ht="18" customHeight="1">
      <c r="A9" s="461">
        <f t="shared" si="0"/>
        <v>6</v>
      </c>
      <c r="B9" s="7" t="s">
        <v>1902</v>
      </c>
      <c r="C9" s="725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3">
        <f t="shared" si="1"/>
        <v>0</v>
      </c>
      <c r="I9" s="843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1909</v>
      </c>
      <c r="C10" s="84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3">
        <f t="shared" si="1"/>
        <v>0</v>
      </c>
      <c r="I10" s="843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1920</v>
      </c>
      <c r="C11" s="84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3">
        <f t="shared" si="1"/>
        <v>0</v>
      </c>
      <c r="I11" s="843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45"/>
      <c r="C12" s="846"/>
      <c r="D12" s="181"/>
      <c r="E12" s="181"/>
      <c r="F12" s="181"/>
      <c r="G12" s="181"/>
      <c r="H12" s="847"/>
      <c r="I12" s="84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68" customWidth="1"/>
    <col min="2" max="2" width="8.28515625" style="868" customWidth="1"/>
    <col min="3" max="3" width="9.28515625" style="868" customWidth="1"/>
    <col min="4" max="4" width="37.28515625" style="868" customWidth="1"/>
    <col min="5" max="5" width="10.140625" style="868" customWidth="1"/>
    <col min="6" max="9" width="15" style="868" customWidth="1"/>
    <col min="10" max="16384" width="9.140625" style="868"/>
  </cols>
  <sheetData>
    <row r="1" spans="1:9" s="849" customFormat="1" ht="16.5" customHeight="1">
      <c r="A1" s="609" t="str">
        <f>[3]TH!A1</f>
        <v>Đơn vị: CÔNG TY TNHH SX TM KIM DUNG PHÁT</v>
      </c>
      <c r="B1" s="848"/>
      <c r="C1" s="848"/>
      <c r="F1" s="848"/>
      <c r="G1" s="1022" t="s">
        <v>1880</v>
      </c>
      <c r="H1" s="1022"/>
      <c r="I1" s="1022"/>
    </row>
    <row r="2" spans="1:9" s="849" customFormat="1" ht="16.5" customHeight="1">
      <c r="A2" s="608" t="str">
        <f>[3]TH!A2</f>
        <v>Địa chỉ: 1A227/1 Ấp 1, Phạm Văn Hai, Bình Chánh, TPHCM</v>
      </c>
      <c r="B2" s="822"/>
      <c r="C2" s="822"/>
      <c r="F2" s="702"/>
      <c r="G2" s="1023" t="s">
        <v>1881</v>
      </c>
      <c r="H2" s="1023"/>
      <c r="I2" s="1023"/>
    </row>
    <row r="3" spans="1:9" s="849" customFormat="1" ht="16.5" customHeight="1">
      <c r="A3" s="822"/>
      <c r="B3" s="822"/>
      <c r="C3" s="822"/>
      <c r="F3" s="702"/>
      <c r="G3" s="1023"/>
      <c r="H3" s="1023"/>
      <c r="I3" s="1023"/>
    </row>
    <row r="4" spans="1:9" s="849" customFormat="1" ht="16.5" customHeight="1">
      <c r="A4" s="822"/>
      <c r="B4" s="822"/>
      <c r="C4" s="822"/>
      <c r="F4" s="702"/>
      <c r="G4" s="823"/>
      <c r="H4" s="823"/>
      <c r="I4" s="823"/>
    </row>
    <row r="5" spans="1:9" s="18" customFormat="1" ht="23.25" customHeight="1">
      <c r="A5" s="1031" t="s">
        <v>1882</v>
      </c>
      <c r="B5" s="1031"/>
      <c r="C5" s="1031"/>
      <c r="D5" s="1031"/>
      <c r="E5" s="1031"/>
      <c r="F5" s="1031"/>
      <c r="G5" s="1031"/>
      <c r="H5" s="1031"/>
      <c r="I5" s="1031"/>
    </row>
    <row r="6" spans="1:9" s="18" customFormat="1">
      <c r="A6" s="978" t="s">
        <v>1883</v>
      </c>
      <c r="B6" s="978"/>
      <c r="C6" s="978"/>
      <c r="D6" s="978"/>
      <c r="E6" s="978"/>
      <c r="F6" s="978"/>
      <c r="G6" s="978"/>
      <c r="H6" s="978"/>
      <c r="I6" s="978"/>
    </row>
    <row r="7" spans="1:9" s="18" customFormat="1">
      <c r="A7" s="978" t="s">
        <v>1884</v>
      </c>
      <c r="B7" s="978"/>
      <c r="C7" s="978"/>
      <c r="D7" s="978"/>
      <c r="E7" s="978"/>
      <c r="F7" s="978"/>
      <c r="G7" s="978"/>
      <c r="H7" s="978"/>
      <c r="I7" s="978"/>
    </row>
    <row r="8" spans="1:9" s="18" customFormat="1" ht="15" customHeight="1">
      <c r="A8" s="978" t="str">
        <f>IF(MID($E$9,4,4)="1015","Đối tượng cho vay: NH Eximbank CN Q11","Đối tượng cho vay: NH Eximbank CN Q4")</f>
        <v>Đối tượng cho vay: NH Eximbank CN Q4</v>
      </c>
      <c r="B8" s="978"/>
      <c r="C8" s="978"/>
      <c r="D8" s="978"/>
      <c r="E8" s="978"/>
      <c r="F8" s="978"/>
      <c r="G8" s="978"/>
      <c r="H8" s="978"/>
      <c r="I8" s="978"/>
    </row>
    <row r="9" spans="1:9" s="18" customFormat="1">
      <c r="A9" s="820"/>
      <c r="B9" s="820"/>
      <c r="C9" s="820"/>
      <c r="D9" s="20" t="s">
        <v>1885</v>
      </c>
      <c r="E9" s="1032" t="s">
        <v>1876</v>
      </c>
      <c r="F9" s="1032"/>
      <c r="G9" s="824" t="e">
        <f>"ngày "&amp; TEXT(VLOOKUP($E$9,'341'!$B$4:$I$12,2,0),"dd/MM/yy")</f>
        <v>#N/A</v>
      </c>
      <c r="H9" s="820"/>
      <c r="I9" s="820"/>
    </row>
    <row r="10" spans="1:9" s="18" customFormat="1">
      <c r="A10" s="978" t="s">
        <v>1886</v>
      </c>
      <c r="B10" s="978"/>
      <c r="C10" s="978"/>
      <c r="D10" s="978"/>
      <c r="E10" s="978"/>
      <c r="F10" s="978"/>
      <c r="G10" s="978"/>
      <c r="H10" s="978"/>
      <c r="I10" s="978"/>
    </row>
    <row r="11" spans="1:9" s="18" customFormat="1">
      <c r="C11" s="1026"/>
      <c r="D11" s="1026"/>
      <c r="E11" s="1026"/>
      <c r="F11" s="1026"/>
      <c r="G11" s="1026"/>
      <c r="H11" s="1026"/>
      <c r="I11" s="1026"/>
    </row>
    <row r="12" spans="1:9" s="18" customFormat="1" ht="15.75" customHeight="1">
      <c r="A12" s="1033" t="s">
        <v>20</v>
      </c>
      <c r="B12" s="1020" t="s">
        <v>1</v>
      </c>
      <c r="C12" s="1021"/>
      <c r="D12" s="1033" t="s">
        <v>0</v>
      </c>
      <c r="E12" s="1033" t="s">
        <v>14</v>
      </c>
      <c r="F12" s="1035" t="s">
        <v>1887</v>
      </c>
      <c r="G12" s="1036"/>
      <c r="H12" s="1035" t="s">
        <v>1888</v>
      </c>
      <c r="I12" s="1036"/>
    </row>
    <row r="13" spans="1:9" s="18" customFormat="1" ht="33.75" customHeight="1">
      <c r="A13" s="1034"/>
      <c r="B13" s="241" t="s">
        <v>15</v>
      </c>
      <c r="C13" s="241" t="s">
        <v>32</v>
      </c>
      <c r="D13" s="1034"/>
      <c r="E13" s="1034"/>
      <c r="F13" s="850" t="s">
        <v>22</v>
      </c>
      <c r="G13" s="850" t="s">
        <v>23</v>
      </c>
      <c r="H13" s="850" t="s">
        <v>22</v>
      </c>
      <c r="I13" s="850" t="s">
        <v>23</v>
      </c>
    </row>
    <row r="14" spans="1:9" s="820" customFormat="1">
      <c r="A14" s="821" t="s">
        <v>2</v>
      </c>
      <c r="B14" s="825" t="s">
        <v>3</v>
      </c>
      <c r="C14" s="821" t="s">
        <v>4</v>
      </c>
      <c r="D14" s="821" t="s">
        <v>5</v>
      </c>
      <c r="E14" s="821" t="s">
        <v>6</v>
      </c>
      <c r="F14" s="821">
        <v>3</v>
      </c>
      <c r="G14" s="821">
        <v>5</v>
      </c>
      <c r="H14" s="821">
        <v>7</v>
      </c>
      <c r="I14" s="821">
        <v>9</v>
      </c>
    </row>
    <row r="15" spans="1:9" s="18" customFormat="1" ht="19.5" customHeight="1">
      <c r="A15" s="851"/>
      <c r="B15" s="851"/>
      <c r="C15" s="851"/>
      <c r="D15" s="236" t="s">
        <v>7</v>
      </c>
      <c r="E15" s="237"/>
      <c r="F15" s="851"/>
      <c r="G15" s="851"/>
      <c r="H15" s="852" t="e">
        <f>VLOOKUP($E$9,'341'!$B$4:$I$12,3,0)</f>
        <v>#N/A</v>
      </c>
      <c r="I15" s="852" t="e">
        <f>VLOOKUP($E$9,'341'!$B$4:$I$12,4,0)</f>
        <v>#N/A</v>
      </c>
    </row>
    <row r="16" spans="1:9" s="18" customFormat="1" ht="19.5" customHeight="1">
      <c r="A16" s="198" t="str">
        <f ca="1">IF(ROWS($1:1)&gt;COUNT(Dong4),"",OFFSET([3]TH!C$1,SMALL(Dong4,ROWS($1:1)),))</f>
        <v/>
      </c>
      <c r="B16" s="183" t="str">
        <f ca="1">IF(ROWS($1:1)&gt;COUNT(Dong4),"",OFFSET([3]TH!D$1,SMALL(Dong4,ROWS($1:1)),))</f>
        <v/>
      </c>
      <c r="C16" s="183" t="str">
        <f ca="1">IF(ROWS($1:1)&gt;COUNT(Dong4),"",OFFSET([3]TH!E$1,SMALL(Dong4,ROWS($1:1)),))</f>
        <v/>
      </c>
      <c r="D16" s="853" t="str">
        <f ca="1">IF(ROWS($1:1)&gt;COUNT(Dong4),"",OFFSET([3]TH!F$1,SMALL(Dong4,ROWS($1:1)),))</f>
        <v/>
      </c>
      <c r="E16" s="183" t="str">
        <f ca="1">IF(ROWS($1:1)&gt;COUNT(Dong4),"",IF(LEFT(OFFSET([3]TH!M$1,SMALL(Dong4,ROWS($1:1)),),3)="341",OFFSET([3]TH!L$1,SMALL(Dong4,ROWS($1:1)),),OFFSET([3]TH!M$1,SMALL(Dong4,ROWS($1:1)),)))</f>
        <v/>
      </c>
      <c r="F16" s="854" t="str">
        <f ca="1">IF(ROWS($1:1)&gt;COUNT(Dong4),"",IF(LEFT(OFFSET([3]TH!L$1,SMALL(Dong4,ROWS($1:1)),),3)="341",OFFSET([3]TH!K$1,SMALL(Dong4,ROWS($1:1)),),0))</f>
        <v/>
      </c>
      <c r="G16" s="854" t="str">
        <f ca="1">IF(ROWS($1:1)&gt;COUNT(Dong4),"",IF(LEFT(OFFSET([3]TH!M$1,SMALL(Dong4,ROWS($1:1)),),3)="341",OFFSET([3]TH!K$1,SMALL(Dong4,ROWS($1:1)),),0))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55" customFormat="1" ht="19.5" customHeight="1">
      <c r="A17" s="198" t="str">
        <f ca="1">IF(ROWS($1:2)&gt;COUNT(Dong4),"",OFFSET([3]TH!C$1,SMALL(Dong4,ROWS($1:2)),))</f>
        <v/>
      </c>
      <c r="B17" s="183" t="str">
        <f ca="1">IF(ROWS($1:2)&gt;COUNT(Dong4),"",OFFSET([3]TH!D$1,SMALL(Dong4,ROWS($1:2)),))</f>
        <v/>
      </c>
      <c r="C17" s="183" t="str">
        <f ca="1">IF(ROWS($1:2)&gt;COUNT(Dong4),"",OFFSET([3]TH!E$1,SMALL(Dong4,ROWS($1:2)),))</f>
        <v/>
      </c>
      <c r="D17" s="853" t="str">
        <f ca="1">IF(ROWS($1:2)&gt;COUNT(Dong4),"",OFFSET([3]TH!F$1,SMALL(Dong4,ROWS($1:2)),))</f>
        <v/>
      </c>
      <c r="E17" s="183" t="str">
        <f ca="1">IF(ROWS($1:2)&gt;COUNT(Dong4),"",IF(LEFT(OFFSET([3]TH!M$1,SMALL(Dong4,ROWS($1:2)),),3)="341",OFFSET([3]TH!L$1,SMALL(Dong4,ROWS($1:2)),),OFFSET([3]TH!M$1,SMALL(Dong4,ROWS($1:2)),)))</f>
        <v/>
      </c>
      <c r="F17" s="854" t="str">
        <f ca="1">IF(ROWS($1:2)&gt;COUNT(Dong4),"",IF(LEFT(OFFSET([3]TH!L$1,SMALL(Dong4,ROWS($1:2)),),3)="341",OFFSET([3]TH!K$1,SMALL(Dong4,ROWS($1:2)),),0))</f>
        <v/>
      </c>
      <c r="G17" s="854" t="str">
        <f ca="1">IF(ROWS($1:2)&gt;COUNT(Dong4),"",IF(LEFT(OFFSET([3]TH!M$1,SMALL(Dong4,ROWS($1:2)),),3)="341",OFFSET([3]TH!K$1,SMALL(Dong4,ROWS($1:2)),),0))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55" customFormat="1" ht="19.5" customHeight="1">
      <c r="A18" s="198" t="str">
        <f ca="1">IF(ROWS($1:3)&gt;COUNT(Dong4),"",OFFSET([3]TH!C$1,SMALL(Dong4,ROWS($1:3)),))</f>
        <v/>
      </c>
      <c r="B18" s="183" t="str">
        <f ca="1">IF(ROWS($1:3)&gt;COUNT(Dong4),"",OFFSET([3]TH!D$1,SMALL(Dong4,ROWS($1:3)),))</f>
        <v/>
      </c>
      <c r="C18" s="183" t="str">
        <f ca="1">IF(ROWS($1:3)&gt;COUNT(Dong4),"",OFFSET([3]TH!E$1,SMALL(Dong4,ROWS($1:3)),))</f>
        <v/>
      </c>
      <c r="D18" s="853" t="str">
        <f ca="1">IF(ROWS($1:3)&gt;COUNT(Dong4),"",OFFSET([3]TH!F$1,SMALL(Dong4,ROWS($1:3)),))</f>
        <v/>
      </c>
      <c r="E18" s="183" t="str">
        <f ca="1">IF(ROWS($1:3)&gt;COUNT(Dong4),"",IF(LEFT(OFFSET([3]TH!M$1,SMALL(Dong4,ROWS($1:3)),),3)="341",OFFSET([3]TH!L$1,SMALL(Dong4,ROWS($1:3)),),OFFSET([3]TH!M$1,SMALL(Dong4,ROWS($1:3)),)))</f>
        <v/>
      </c>
      <c r="F18" s="854" t="str">
        <f ca="1">IF(ROWS($1:3)&gt;COUNT(Dong4),"",IF(LEFT(OFFSET([3]TH!L$1,SMALL(Dong4,ROWS($1:3)),),3)="341",OFFSET([3]TH!K$1,SMALL(Dong4,ROWS($1:3)),),0))</f>
        <v/>
      </c>
      <c r="G18" s="854" t="str">
        <f ca="1">IF(ROWS($1:3)&gt;COUNT(Dong4),"",IF(LEFT(OFFSET([3]TH!M$1,SMALL(Dong4,ROWS($1:3)),),3)="341",OFFSET([3]TH!K$1,SMALL(Dong4,ROWS($1:3)),),0))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55" customFormat="1" ht="19.5" customHeight="1">
      <c r="A19" s="198" t="str">
        <f ca="1">IF(ROWS($1:4)&gt;COUNT(Dong4),"",OFFSET([3]TH!C$1,SMALL(Dong4,ROWS($1:4)),))</f>
        <v/>
      </c>
      <c r="B19" s="183" t="str">
        <f ca="1">IF(ROWS($1:4)&gt;COUNT(Dong4),"",OFFSET([3]TH!D$1,SMALL(Dong4,ROWS($1:4)),))</f>
        <v/>
      </c>
      <c r="C19" s="183" t="str">
        <f ca="1">IF(ROWS($1:4)&gt;COUNT(Dong4),"",OFFSET([3]TH!E$1,SMALL(Dong4,ROWS($1:4)),))</f>
        <v/>
      </c>
      <c r="D19" s="853" t="str">
        <f ca="1">IF(ROWS($1:4)&gt;COUNT(Dong4),"",OFFSET([3]TH!F$1,SMALL(Dong4,ROWS($1:4)),))</f>
        <v/>
      </c>
      <c r="E19" s="183" t="str">
        <f ca="1">IF(ROWS($1:4)&gt;COUNT(Dong4),"",IF(LEFT(OFFSET([3]TH!M$1,SMALL(Dong4,ROWS($1:4)),),3)="341",OFFSET([3]TH!L$1,SMALL(Dong4,ROWS($1:4)),),OFFSET([3]TH!M$1,SMALL(Dong4,ROWS($1:4)),)))</f>
        <v/>
      </c>
      <c r="F19" s="854" t="str">
        <f ca="1">IF(ROWS($1:4)&gt;COUNT(Dong4),"",IF(LEFT(OFFSET([3]TH!L$1,SMALL(Dong4,ROWS($1:4)),),3)="341",OFFSET([3]TH!K$1,SMALL(Dong4,ROWS($1:4)),),0))</f>
        <v/>
      </c>
      <c r="G19" s="854" t="str">
        <f ca="1">IF(ROWS($1:4)&gt;COUNT(Dong4),"",IF(LEFT(OFFSET([3]TH!M$1,SMALL(Dong4,ROWS($1:4)),),3)="341",OFFSET([3]TH!K$1,SMALL(Dong4,ROWS($1:4)),),0))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55" customFormat="1" ht="19.5" customHeight="1">
      <c r="A20" s="198" t="str">
        <f ca="1">IF(ROWS($1:5)&gt;COUNT(Dong4),"",OFFSET([3]TH!C$1,SMALL(Dong4,ROWS($1:5)),))</f>
        <v/>
      </c>
      <c r="B20" s="183" t="str">
        <f ca="1">IF(ROWS($1:5)&gt;COUNT(Dong4),"",OFFSET([3]TH!D$1,SMALL(Dong4,ROWS($1:5)),))</f>
        <v/>
      </c>
      <c r="C20" s="183" t="str">
        <f ca="1">IF(ROWS($1:5)&gt;COUNT(Dong4),"",OFFSET([3]TH!E$1,SMALL(Dong4,ROWS($1:5)),))</f>
        <v/>
      </c>
      <c r="D20" s="853" t="str">
        <f ca="1">IF(ROWS($1:5)&gt;COUNT(Dong4),"",OFFSET([3]TH!F$1,SMALL(Dong4,ROWS($1:5)),))</f>
        <v/>
      </c>
      <c r="E20" s="183" t="str">
        <f ca="1">IF(ROWS($1:5)&gt;COUNT(Dong4),"",IF(LEFT(OFFSET([3]TH!M$1,SMALL(Dong4,ROWS($1:5)),),3)="341",OFFSET([3]TH!L$1,SMALL(Dong4,ROWS($1:5)),),OFFSET([3]TH!M$1,SMALL(Dong4,ROWS($1:5)),)))</f>
        <v/>
      </c>
      <c r="F20" s="854" t="str">
        <f ca="1">IF(ROWS($1:5)&gt;COUNT(Dong4),"",IF(LEFT(OFFSET([3]TH!L$1,SMALL(Dong4,ROWS($1:5)),),3)="341",OFFSET([3]TH!K$1,SMALL(Dong4,ROWS($1:5)),),0))</f>
        <v/>
      </c>
      <c r="G20" s="854" t="str">
        <f ca="1">IF(ROWS($1:5)&gt;COUNT(Dong4),"",IF(LEFT(OFFSET([3]TH!M$1,SMALL(Dong4,ROWS($1:5)),),3)="341",OFFSET([3]TH!K$1,SMALL(Dong4,ROWS($1:5)),),0))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55" customFormat="1" ht="19.5" customHeight="1">
      <c r="A21" s="198" t="str">
        <f ca="1">IF(ROWS($1:6)&gt;COUNT(Dong4),"",OFFSET([3]TH!C$1,SMALL(Dong4,ROWS($1:6)),))</f>
        <v/>
      </c>
      <c r="B21" s="183" t="str">
        <f ca="1">IF(ROWS($1:6)&gt;COUNT(Dong4),"",OFFSET([3]TH!D$1,SMALL(Dong4,ROWS($1:6)),))</f>
        <v/>
      </c>
      <c r="C21" s="183" t="str">
        <f ca="1">IF(ROWS($1:6)&gt;COUNT(Dong4),"",OFFSET([3]TH!E$1,SMALL(Dong4,ROWS($1:6)),))</f>
        <v/>
      </c>
      <c r="D21" s="853" t="str">
        <f ca="1">IF(ROWS($1:6)&gt;COUNT(Dong4),"",OFFSET([3]TH!F$1,SMALL(Dong4,ROWS($1:6)),))</f>
        <v/>
      </c>
      <c r="E21" s="183" t="str">
        <f ca="1">IF(ROWS($1:6)&gt;COUNT(Dong4),"",IF(LEFT(OFFSET([3]TH!M$1,SMALL(Dong4,ROWS($1:6)),),3)="341",OFFSET([3]TH!L$1,SMALL(Dong4,ROWS($1:6)),),OFFSET([3]TH!M$1,SMALL(Dong4,ROWS($1:6)),)))</f>
        <v/>
      </c>
      <c r="F21" s="854" t="str">
        <f ca="1">IF(ROWS($1:6)&gt;COUNT(Dong4),"",IF(LEFT(OFFSET([3]TH!L$1,SMALL(Dong4,ROWS($1:6)),),3)="341",OFFSET([3]TH!K$1,SMALL(Dong4,ROWS($1:6)),),0))</f>
        <v/>
      </c>
      <c r="G21" s="854" t="str">
        <f ca="1">IF(ROWS($1:6)&gt;COUNT(Dong4),"",IF(LEFT(OFFSET([3]TH!M$1,SMALL(Dong4,ROWS($1:6)),),3)="341",OFFSET([3]TH!K$1,SMALL(Dong4,ROWS($1:6)),),0))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55" customFormat="1" ht="19.5" customHeight="1">
      <c r="A22" s="198" t="str">
        <f ca="1">IF(ROWS($1:7)&gt;COUNT(Dong4),"",OFFSET([3]TH!C$1,SMALL(Dong4,ROWS($1:7)),))</f>
        <v/>
      </c>
      <c r="B22" s="183" t="str">
        <f ca="1">IF(ROWS($1:7)&gt;COUNT(Dong4),"",OFFSET([3]TH!D$1,SMALL(Dong4,ROWS($1:7)),))</f>
        <v/>
      </c>
      <c r="C22" s="183" t="str">
        <f ca="1">IF(ROWS($1:7)&gt;COUNT(Dong4),"",OFFSET([3]TH!E$1,SMALL(Dong4,ROWS($1:7)),))</f>
        <v/>
      </c>
      <c r="D22" s="853" t="str">
        <f ca="1">IF(ROWS($1:7)&gt;COUNT(Dong4),"",OFFSET([3]TH!F$1,SMALL(Dong4,ROWS($1:7)),))</f>
        <v/>
      </c>
      <c r="E22" s="183" t="str">
        <f ca="1">IF(ROWS($1:7)&gt;COUNT(Dong4),"",IF(LEFT(OFFSET([3]TH!M$1,SMALL(Dong4,ROWS($1:7)),),3)="341",OFFSET([3]TH!L$1,SMALL(Dong4,ROWS($1:7)),),OFFSET([3]TH!M$1,SMALL(Dong4,ROWS($1:7)),)))</f>
        <v/>
      </c>
      <c r="F22" s="854" t="str">
        <f ca="1">IF(ROWS($1:7)&gt;COUNT(Dong4),"",IF(LEFT(OFFSET([3]TH!L$1,SMALL(Dong4,ROWS($1:7)),),3)="341",OFFSET([3]TH!K$1,SMALL(Dong4,ROWS($1:7)),),0))</f>
        <v/>
      </c>
      <c r="G22" s="854" t="str">
        <f ca="1">IF(ROWS($1:7)&gt;COUNT(Dong4),"",IF(LEFT(OFFSET([3]TH!M$1,SMALL(Dong4,ROWS($1:7)),),3)="341",OFFSET([3]TH!K$1,SMALL(Dong4,ROWS($1:7)),),0))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55" customFormat="1" ht="19.5" customHeight="1">
      <c r="A23" s="198" t="str">
        <f ca="1">IF(ROWS($1:8)&gt;COUNT(Dong4),"",OFFSET([3]TH!C$1,SMALL(Dong4,ROWS($1:8)),))</f>
        <v/>
      </c>
      <c r="B23" s="183" t="str">
        <f ca="1">IF(ROWS($1:8)&gt;COUNT(Dong4),"",OFFSET([3]TH!D$1,SMALL(Dong4,ROWS($1:8)),))</f>
        <v/>
      </c>
      <c r="C23" s="183" t="str">
        <f ca="1">IF(ROWS($1:8)&gt;COUNT(Dong4),"",OFFSET([3]TH!E$1,SMALL(Dong4,ROWS($1:8)),))</f>
        <v/>
      </c>
      <c r="D23" s="853" t="str">
        <f ca="1">IF(ROWS($1:8)&gt;COUNT(Dong4),"",OFFSET([3]TH!F$1,SMALL(Dong4,ROWS($1:8)),))</f>
        <v/>
      </c>
      <c r="E23" s="183" t="str">
        <f ca="1">IF(ROWS($1:8)&gt;COUNT(Dong4),"",IF(LEFT(OFFSET([3]TH!M$1,SMALL(Dong4,ROWS($1:8)),),3)="341",OFFSET([3]TH!L$1,SMALL(Dong4,ROWS($1:8)),),OFFSET([3]TH!M$1,SMALL(Dong4,ROWS($1:8)),)))</f>
        <v/>
      </c>
      <c r="F23" s="854" t="str">
        <f ca="1">IF(ROWS($1:8)&gt;COUNT(Dong4),"",IF(LEFT(OFFSET([3]TH!L$1,SMALL(Dong4,ROWS($1:8)),),3)="341",OFFSET([3]TH!K$1,SMALL(Dong4,ROWS($1:8)),),0))</f>
        <v/>
      </c>
      <c r="G23" s="854" t="str">
        <f ca="1">IF(ROWS($1:8)&gt;COUNT(Dong4),"",IF(LEFT(OFFSET([3]TH!M$1,SMALL(Dong4,ROWS($1:8)),),3)="341",OFFSET([3]TH!K$1,SMALL(Dong4,ROWS($1:8)),),0))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55" customFormat="1" ht="19.5" customHeight="1">
      <c r="A24" s="198" t="str">
        <f ca="1">IF(ROWS($1:9)&gt;COUNT(Dong4),"",OFFSET([3]TH!C$1,SMALL(Dong4,ROWS($1:9)),))</f>
        <v/>
      </c>
      <c r="B24" s="183" t="str">
        <f ca="1">IF(ROWS($1:9)&gt;COUNT(Dong4),"",OFFSET([3]TH!D$1,SMALL(Dong4,ROWS($1:9)),))</f>
        <v/>
      </c>
      <c r="C24" s="183" t="str">
        <f ca="1">IF(ROWS($1:9)&gt;COUNT(Dong4),"",OFFSET([3]TH!E$1,SMALL(Dong4,ROWS($1:9)),))</f>
        <v/>
      </c>
      <c r="D24" s="853" t="str">
        <f ca="1">IF(ROWS($1:9)&gt;COUNT(Dong4),"",OFFSET([3]TH!F$1,SMALL(Dong4,ROWS($1:9)),))</f>
        <v/>
      </c>
      <c r="E24" s="183" t="str">
        <f ca="1">IF(ROWS($1:9)&gt;COUNT(Dong4),"",IF(LEFT(OFFSET([3]TH!M$1,SMALL(Dong4,ROWS($1:9)),),3)="341",OFFSET([3]TH!L$1,SMALL(Dong4,ROWS($1:9)),),OFFSET([3]TH!M$1,SMALL(Dong4,ROWS($1:9)),)))</f>
        <v/>
      </c>
      <c r="F24" s="854" t="str">
        <f ca="1">IF(ROWS($1:9)&gt;COUNT(Dong4),"",IF(LEFT(OFFSET([3]TH!L$1,SMALL(Dong4,ROWS($1:9)),),3)="341",OFFSET([3]TH!K$1,SMALL(Dong4,ROWS($1:9)),),0))</f>
        <v/>
      </c>
      <c r="G24" s="854" t="str">
        <f ca="1">IF(ROWS($1:9)&gt;COUNT(Dong4),"",IF(LEFT(OFFSET([3]TH!M$1,SMALL(Dong4,ROWS($1:9)),),3)="341",OFFSET([3]TH!K$1,SMALL(Dong4,ROWS($1:9)),),0))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55" customFormat="1" ht="19.5" customHeight="1">
      <c r="A25" s="856"/>
      <c r="B25" s="856"/>
      <c r="C25" s="856"/>
      <c r="D25" s="857"/>
      <c r="E25" s="858"/>
      <c r="F25" s="859"/>
      <c r="G25" s="860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5">
        <f ca="1">SUM(F16:F25)</f>
        <v>0</v>
      </c>
      <c r="G26" s="745">
        <f ca="1">SUM(G16:G25)</f>
        <v>0</v>
      </c>
      <c r="H26" s="861" t="s">
        <v>19</v>
      </c>
      <c r="I26" s="861" t="s">
        <v>19</v>
      </c>
    </row>
    <row r="27" spans="1:9" s="18" customFormat="1" ht="19.5" customHeight="1">
      <c r="A27" s="862"/>
      <c r="B27" s="862"/>
      <c r="C27" s="862"/>
      <c r="D27" s="239" t="s">
        <v>10</v>
      </c>
      <c r="E27" s="240" t="s">
        <v>19</v>
      </c>
      <c r="F27" s="240" t="s">
        <v>19</v>
      </c>
      <c r="G27" s="240" t="s">
        <v>19</v>
      </c>
      <c r="H27" s="863" t="e">
        <f ca="1">MAX(H15+F26-I15-G26,0)</f>
        <v>#N/A</v>
      </c>
      <c r="I27" s="863" t="e">
        <f ca="1">MAX(I15+G26-H15-F26,0)</f>
        <v>#N/A</v>
      </c>
    </row>
    <row r="28" spans="1:9" s="18" customFormat="1">
      <c r="E28" s="820"/>
    </row>
    <row r="29" spans="1:9" s="18" customFormat="1">
      <c r="A29" s="864" t="s">
        <v>1889</v>
      </c>
      <c r="E29" s="820"/>
    </row>
    <row r="30" spans="1:9" s="18" customFormat="1">
      <c r="A30" s="864" t="e">
        <f>"- Ngày mở sổ: "&amp; TEXT(VLOOKUP($E$9,'341'!$B$4:$I$12,2,0),"dd/MM/yy")</f>
        <v>#N/A</v>
      </c>
      <c r="E30" s="820"/>
    </row>
    <row r="31" spans="1:9" s="18" customFormat="1">
      <c r="E31" s="820"/>
      <c r="H31" s="820" t="s">
        <v>1890</v>
      </c>
    </row>
    <row r="32" spans="1:9" s="18" customFormat="1">
      <c r="C32" s="820" t="s">
        <v>11</v>
      </c>
      <c r="E32" s="820"/>
      <c r="H32" s="820" t="s">
        <v>12</v>
      </c>
    </row>
    <row r="33" spans="2:8" s="18" customFormat="1">
      <c r="C33" s="820" t="s">
        <v>13</v>
      </c>
      <c r="E33" s="820"/>
      <c r="H33" s="820" t="s">
        <v>13</v>
      </c>
    </row>
    <row r="34" spans="2:8" s="18" customFormat="1">
      <c r="E34" s="820"/>
    </row>
    <row r="35" spans="2:8" s="18" customFormat="1">
      <c r="E35" s="820"/>
    </row>
    <row r="36" spans="2:8" s="865" customFormat="1"/>
    <row r="37" spans="2:8" s="865" customFormat="1"/>
    <row r="38" spans="2:8" s="865" customFormat="1"/>
    <row r="39" spans="2:8" s="865" customFormat="1"/>
    <row r="40" spans="2:8" s="865" customFormat="1" ht="15">
      <c r="B40" s="866"/>
      <c r="C40" s="867" t="s">
        <v>1891</v>
      </c>
      <c r="D40" s="866"/>
    </row>
    <row r="41" spans="2:8" s="865" customFormat="1"/>
    <row r="42" spans="2:8" s="865" customFormat="1"/>
    <row r="43" spans="2:8" s="865" customFormat="1"/>
    <row r="44" spans="2:8" s="865" customFormat="1"/>
    <row r="45" spans="2:8" s="865" customFormat="1"/>
    <row r="46" spans="2:8" s="865" customFormat="1"/>
    <row r="47" spans="2:8" s="865" customFormat="1"/>
    <row r="48" spans="2:8" s="865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3" t="str">
        <f>TH!$A$1</f>
        <v>Đơn vị: CÔNG TY TNHH SX TM KIM DUNG PHÁT</v>
      </c>
      <c r="C2" s="264"/>
      <c r="F2" s="265"/>
      <c r="G2" s="265"/>
      <c r="H2" s="265"/>
      <c r="I2" s="265"/>
      <c r="J2" s="1038" t="s">
        <v>178</v>
      </c>
      <c r="K2" s="1038"/>
      <c r="L2" s="1038"/>
      <c r="M2" s="1038"/>
      <c r="N2" s="265"/>
    </row>
    <row r="3" spans="1:14">
      <c r="A3" s="794" t="str">
        <f>TH!$A$2</f>
        <v>Địa chỉ: 1A227/1 Ấp 1, Phạm Văn Hai, Bình Chánh, TPHCM</v>
      </c>
      <c r="C3" s="264"/>
      <c r="F3" s="266"/>
      <c r="G3" s="266"/>
      <c r="H3" s="266"/>
      <c r="I3" s="266"/>
      <c r="J3" s="103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7"/>
      <c r="L3" s="1037"/>
      <c r="M3" s="1037"/>
      <c r="N3" s="266"/>
    </row>
    <row r="4" spans="1:14">
      <c r="F4" s="266"/>
      <c r="G4" s="266"/>
      <c r="H4" s="266"/>
      <c r="I4" s="266"/>
      <c r="J4" s="1037"/>
      <c r="K4" s="1037"/>
      <c r="L4" s="1037"/>
      <c r="M4" s="1037"/>
      <c r="N4" s="266"/>
    </row>
    <row r="5" spans="1:14" s="267" customFormat="1" ht="23.25" customHeight="1">
      <c r="A5" s="1047" t="s">
        <v>179</v>
      </c>
      <c r="B5" s="1047"/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1047"/>
    </row>
    <row r="6" spans="1:14">
      <c r="A6" s="1038" t="s">
        <v>396</v>
      </c>
      <c r="B6" s="1038" t="s">
        <v>180</v>
      </c>
      <c r="C6" s="1038"/>
      <c r="D6" s="1038"/>
      <c r="E6" s="1038"/>
      <c r="F6" s="1038"/>
      <c r="G6" s="1038"/>
      <c r="H6" s="1038"/>
      <c r="I6" s="1038"/>
      <c r="J6" s="1038"/>
      <c r="K6" s="1038"/>
      <c r="L6" s="1038"/>
      <c r="M6" s="1038"/>
      <c r="N6" s="1038"/>
    </row>
    <row r="7" spans="1:14">
      <c r="C7" s="1048"/>
      <c r="D7" s="1048"/>
      <c r="E7" s="1048"/>
      <c r="F7" s="1048"/>
      <c r="G7" s="1048"/>
      <c r="H7" s="1048"/>
      <c r="I7" s="1048"/>
      <c r="J7" s="1048"/>
      <c r="K7" s="1048"/>
      <c r="L7" s="1048"/>
      <c r="M7" s="1048"/>
      <c r="N7" s="1048"/>
    </row>
    <row r="8" spans="1:14" ht="15.75" customHeight="1">
      <c r="A8" s="1041" t="s">
        <v>20</v>
      </c>
      <c r="B8" s="1049" t="s">
        <v>1</v>
      </c>
      <c r="C8" s="1050"/>
      <c r="D8" s="1041" t="s">
        <v>0</v>
      </c>
      <c r="E8" s="1041" t="s">
        <v>14</v>
      </c>
      <c r="F8" s="1040" t="s">
        <v>21</v>
      </c>
      <c r="G8" s="1040"/>
      <c r="H8" s="1040"/>
      <c r="I8" s="1040"/>
      <c r="J8" s="1040"/>
      <c r="K8" s="1040"/>
      <c r="L8" s="1040" t="s">
        <v>31</v>
      </c>
      <c r="M8" s="1040"/>
      <c r="N8" s="1040"/>
    </row>
    <row r="9" spans="1:14" ht="15.75" customHeight="1">
      <c r="A9" s="1041"/>
      <c r="B9" s="1051"/>
      <c r="C9" s="1052"/>
      <c r="D9" s="1041"/>
      <c r="E9" s="1041"/>
      <c r="F9" s="1040" t="s">
        <v>181</v>
      </c>
      <c r="G9" s="1040"/>
      <c r="H9" s="1040"/>
      <c r="I9" s="1040" t="s">
        <v>182</v>
      </c>
      <c r="J9" s="1040"/>
      <c r="K9" s="1040"/>
      <c r="L9" s="1041" t="s">
        <v>183</v>
      </c>
      <c r="M9" s="1041" t="s">
        <v>184</v>
      </c>
      <c r="N9" s="1041" t="s">
        <v>185</v>
      </c>
    </row>
    <row r="10" spans="1:14" ht="15.75" customHeight="1">
      <c r="A10" s="1041"/>
      <c r="B10" s="1043" t="s">
        <v>15</v>
      </c>
      <c r="C10" s="1043" t="s">
        <v>32</v>
      </c>
      <c r="D10" s="1041"/>
      <c r="E10" s="1041"/>
      <c r="F10" s="1045" t="s">
        <v>183</v>
      </c>
      <c r="G10" s="1045" t="s">
        <v>184</v>
      </c>
      <c r="H10" s="1045" t="s">
        <v>185</v>
      </c>
      <c r="I10" s="1045" t="s">
        <v>183</v>
      </c>
      <c r="J10" s="1045" t="s">
        <v>184</v>
      </c>
      <c r="K10" s="1045" t="s">
        <v>185</v>
      </c>
      <c r="L10" s="1042"/>
      <c r="M10" s="1042"/>
      <c r="N10" s="1042"/>
    </row>
    <row r="11" spans="1:14">
      <c r="A11" s="1041"/>
      <c r="B11" s="1044"/>
      <c r="C11" s="1044"/>
      <c r="D11" s="1041"/>
      <c r="E11" s="1041"/>
      <c r="F11" s="1046"/>
      <c r="G11" s="1046"/>
      <c r="H11" s="1046"/>
      <c r="I11" s="1046"/>
      <c r="J11" s="1046"/>
      <c r="K11" s="1046"/>
      <c r="L11" s="1042"/>
      <c r="M11" s="1042"/>
      <c r="N11" s="1042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8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7">
        <v>40634</v>
      </c>
      <c r="B14" s="692" t="s">
        <v>358</v>
      </c>
      <c r="C14" s="797">
        <v>40634</v>
      </c>
      <c r="D14" s="273" t="s">
        <v>382</v>
      </c>
      <c r="E14" s="692" t="s">
        <v>47</v>
      </c>
      <c r="F14" s="273"/>
      <c r="G14" s="273"/>
      <c r="H14" s="273"/>
      <c r="I14" s="348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97">
        <v>40634</v>
      </c>
      <c r="B15" s="692" t="s">
        <v>359</v>
      </c>
      <c r="C15" s="797">
        <v>40634</v>
      </c>
      <c r="D15" s="274" t="s">
        <v>383</v>
      </c>
      <c r="E15" s="693" t="s">
        <v>47</v>
      </c>
      <c r="F15" s="274"/>
      <c r="G15" s="274"/>
      <c r="H15" s="274"/>
      <c r="I15" s="363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97">
        <v>40634</v>
      </c>
      <c r="B16" s="692" t="s">
        <v>363</v>
      </c>
      <c r="C16" s="797">
        <v>40634</v>
      </c>
      <c r="D16" s="274" t="s">
        <v>384</v>
      </c>
      <c r="E16" s="693" t="s">
        <v>47</v>
      </c>
      <c r="F16" s="274"/>
      <c r="G16" s="274"/>
      <c r="H16" s="274"/>
      <c r="I16" s="363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88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39" t="str">
        <f>"Ngày 31 tháng  12  năm  "&amp;YEAR($A$14)</f>
        <v>Ngày 31 tháng  12  năm  2011</v>
      </c>
      <c r="F23" s="1039"/>
      <c r="G23" s="1039"/>
      <c r="H23" s="1039"/>
      <c r="I23" s="1039"/>
      <c r="J23" s="1039"/>
      <c r="K23" s="1039"/>
      <c r="L23" s="1039"/>
      <c r="M23" s="1039"/>
      <c r="N23" s="1039"/>
    </row>
    <row r="24" spans="1:14">
      <c r="A24" s="1039" t="s">
        <v>11</v>
      </c>
      <c r="B24" s="1039"/>
      <c r="C24" s="1039"/>
      <c r="D24" s="1039"/>
      <c r="E24" s="1039" t="s">
        <v>12</v>
      </c>
      <c r="F24" s="1039"/>
      <c r="G24" s="1039"/>
      <c r="H24" s="1039"/>
      <c r="I24" s="1039"/>
      <c r="J24" s="1039"/>
      <c r="K24" s="1039"/>
      <c r="L24" s="1039"/>
      <c r="M24" s="1039"/>
      <c r="N24" s="1039"/>
    </row>
    <row r="25" spans="1:14">
      <c r="A25" s="1039" t="s">
        <v>13</v>
      </c>
      <c r="B25" s="1039"/>
      <c r="C25" s="1039"/>
      <c r="D25" s="1039"/>
      <c r="E25" s="1039" t="s">
        <v>13</v>
      </c>
      <c r="F25" s="1039"/>
      <c r="G25" s="1039"/>
      <c r="H25" s="1039"/>
      <c r="I25" s="1039"/>
      <c r="J25" s="1039"/>
      <c r="K25" s="1039"/>
      <c r="L25" s="1039"/>
      <c r="M25" s="1039"/>
      <c r="N25" s="103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3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3" t="str">
        <f>TH!$A$1</f>
        <v>Đơn vị: CÔNG TY TNHH SX TM KIM DUNG PHÁT</v>
      </c>
      <c r="C1" s="282"/>
      <c r="D1" s="282"/>
      <c r="E1" s="282"/>
      <c r="F1" s="283"/>
      <c r="G1" s="283"/>
      <c r="H1" s="1022" t="s">
        <v>187</v>
      </c>
      <c r="I1" s="1022"/>
      <c r="J1" s="1022"/>
      <c r="K1" s="1022"/>
      <c r="L1" s="1022"/>
      <c r="M1" s="697"/>
      <c r="N1" s="698"/>
    </row>
    <row r="2" spans="1:14" s="262" customFormat="1" ht="14.25" customHeight="1">
      <c r="B2" s="794" t="str">
        <f>TH!$A$2</f>
        <v>Địa chỉ: 1A227/1 Ấp 1, Phạm Văn Hai, Bình Chánh, TPHCM</v>
      </c>
      <c r="C2" s="284"/>
      <c r="D2" s="284"/>
      <c r="E2" s="284"/>
      <c r="F2" s="284"/>
      <c r="G2" s="284"/>
      <c r="H2" s="102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23"/>
      <c r="J2" s="1023"/>
      <c r="K2" s="1023"/>
      <c r="L2" s="1023"/>
      <c r="M2" s="702"/>
      <c r="N2" s="698"/>
    </row>
    <row r="3" spans="1:14" s="262" customFormat="1" ht="14.25" customHeight="1">
      <c r="B3" s="284"/>
      <c r="C3" s="284"/>
      <c r="D3" s="284"/>
      <c r="E3" s="284"/>
      <c r="F3" s="284"/>
      <c r="G3" s="284"/>
      <c r="H3" s="1023"/>
      <c r="I3" s="1023"/>
      <c r="J3" s="1023"/>
      <c r="K3" s="1023"/>
      <c r="L3" s="1023"/>
      <c r="M3" s="703"/>
      <c r="N3" s="698"/>
    </row>
    <row r="4" spans="1:14" s="285" customFormat="1" ht="27.75" customHeight="1">
      <c r="B4" s="1054" t="s">
        <v>188</v>
      </c>
      <c r="C4" s="1054"/>
      <c r="D4" s="1054"/>
      <c r="E4" s="1054"/>
      <c r="F4" s="1054"/>
      <c r="G4" s="1054"/>
      <c r="H4" s="1054"/>
      <c r="I4" s="1054"/>
      <c r="J4" s="1054"/>
      <c r="K4" s="1054"/>
      <c r="L4" s="1054"/>
      <c r="N4" s="699"/>
    </row>
    <row r="5" spans="1:14" s="285" customFormat="1" ht="15" customHeight="1">
      <c r="B5" s="1053" t="s">
        <v>189</v>
      </c>
      <c r="C5" s="1053"/>
      <c r="D5" s="1053"/>
      <c r="E5" s="1053"/>
      <c r="F5" s="1053"/>
      <c r="G5" s="1053"/>
      <c r="H5" s="1053"/>
      <c r="I5" s="1053"/>
      <c r="J5" s="1053"/>
      <c r="K5" s="1053"/>
      <c r="L5" s="1053"/>
      <c r="N5" s="699"/>
    </row>
    <row r="6" spans="1:14" s="285" customFormat="1" ht="12.75" customHeight="1">
      <c r="B6" s="1053" t="s">
        <v>190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N6" s="699"/>
    </row>
    <row r="7" spans="1:14" s="286" customFormat="1" ht="24" customHeight="1">
      <c r="C7" s="1055" t="s">
        <v>191</v>
      </c>
      <c r="D7" s="1055"/>
      <c r="E7" s="1055"/>
      <c r="F7" s="1055"/>
      <c r="G7" s="1055"/>
      <c r="H7" s="1055"/>
      <c r="I7" s="1055"/>
      <c r="J7" s="1055"/>
      <c r="K7" s="1055"/>
      <c r="L7" s="1055"/>
      <c r="N7" s="700"/>
    </row>
    <row r="8" spans="1:14" ht="20.25" customHeight="1">
      <c r="B8" s="1056" t="s">
        <v>35</v>
      </c>
      <c r="C8" s="1057" t="s">
        <v>192</v>
      </c>
      <c r="D8" s="1058" t="s">
        <v>193</v>
      </c>
      <c r="E8" s="1060" t="s">
        <v>139</v>
      </c>
      <c r="F8" s="1060"/>
      <c r="G8" s="1060"/>
      <c r="H8" s="1060"/>
      <c r="I8" s="1060"/>
      <c r="J8" s="1060"/>
      <c r="K8" s="1060"/>
      <c r="L8" s="1060"/>
    </row>
    <row r="9" spans="1:14" ht="20.25" customHeight="1">
      <c r="B9" s="1056"/>
      <c r="C9" s="1057"/>
      <c r="D9" s="1059"/>
      <c r="E9" s="1060" t="s">
        <v>194</v>
      </c>
      <c r="F9" s="1060"/>
      <c r="G9" s="1061" t="s">
        <v>195</v>
      </c>
      <c r="H9" s="1061"/>
      <c r="I9" s="1061" t="s">
        <v>196</v>
      </c>
      <c r="J9" s="1061"/>
      <c r="K9" s="1061" t="s">
        <v>197</v>
      </c>
      <c r="L9" s="1061"/>
    </row>
    <row r="10" spans="1:14" ht="20.25" customHeight="1">
      <c r="B10" s="1056"/>
      <c r="C10" s="1057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1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3">
        <f t="shared" ref="B14" si="2">IF(C14&lt;&gt;"",ROW()-11,"")</f>
        <v>3</v>
      </c>
      <c r="C14" s="296" t="s">
        <v>2017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1455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3">
        <f t="shared" ref="B16:B18" si="6">IF(C16&lt;&gt;"",ROW()-11,"")</f>
        <v>5</v>
      </c>
      <c r="C16" s="296" t="s">
        <v>1460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3">
        <f t="shared" si="6"/>
        <v>6</v>
      </c>
      <c r="C17" s="191" t="s">
        <v>1372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3">
        <f t="shared" si="6"/>
        <v>7</v>
      </c>
      <c r="C18" s="188" t="s">
        <v>1871</v>
      </c>
      <c r="D18" s="295" t="s">
        <v>336</v>
      </c>
      <c r="E18" s="745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1936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1947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1937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1378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1398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1402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1357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1360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1359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1363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1362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1361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1380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1445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1488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1497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1499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665</v>
      </c>
      <c r="D42" s="304" t="s">
        <v>2019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675</v>
      </c>
      <c r="D43" s="304" t="s">
        <v>2019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668</v>
      </c>
      <c r="D44" s="304" t="s">
        <v>2019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673</v>
      </c>
      <c r="D45" s="304" t="s">
        <v>2019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667</v>
      </c>
      <c r="D46" s="304" t="s">
        <v>2019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674</v>
      </c>
      <c r="D47" s="304" t="s">
        <v>2019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672</v>
      </c>
      <c r="D48" s="304" t="s">
        <v>2019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670</v>
      </c>
      <c r="D49" s="304" t="s">
        <v>2019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671</v>
      </c>
      <c r="D50" s="304" t="s">
        <v>2019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669</v>
      </c>
      <c r="D51" s="304" t="s">
        <v>2019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1772</v>
      </c>
      <c r="D52" s="304" t="s">
        <v>2019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1745</v>
      </c>
      <c r="D53" s="304" t="s">
        <v>2019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1806</v>
      </c>
      <c r="D54" s="304" t="s">
        <v>2019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1697</v>
      </c>
      <c r="D55" s="304" t="s">
        <v>2019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1827</v>
      </c>
      <c r="D56" s="304" t="s">
        <v>2019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689</v>
      </c>
      <c r="D57" s="304" t="s">
        <v>2019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1776</v>
      </c>
      <c r="D58" s="304" t="s">
        <v>2019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1739</v>
      </c>
      <c r="D59" s="304" t="s">
        <v>2019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1762</v>
      </c>
      <c r="D60" s="304" t="s">
        <v>2019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1769</v>
      </c>
      <c r="D61" s="304" t="s">
        <v>2019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1756</v>
      </c>
      <c r="D62" s="304" t="s">
        <v>2019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1768</v>
      </c>
      <c r="D63" s="304" t="s">
        <v>2019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1693</v>
      </c>
      <c r="D64" s="304" t="s">
        <v>2019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1699</v>
      </c>
      <c r="D65" s="304" t="s">
        <v>2019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1708</v>
      </c>
      <c r="D66" s="304" t="s">
        <v>2019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1736</v>
      </c>
      <c r="D67" s="304" t="s">
        <v>2019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1826</v>
      </c>
      <c r="D68" s="304" t="s">
        <v>2019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1726</v>
      </c>
      <c r="D69" s="304" t="s">
        <v>2019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1724</v>
      </c>
      <c r="D70" s="304" t="s">
        <v>2019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730</v>
      </c>
      <c r="D71" s="304" t="s">
        <v>2019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1743</v>
      </c>
      <c r="D72" s="304" t="s">
        <v>2019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1780</v>
      </c>
      <c r="D73" s="304" t="s">
        <v>2019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1833</v>
      </c>
      <c r="D74" s="304" t="s">
        <v>2019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1824</v>
      </c>
      <c r="D75" s="304" t="s">
        <v>2019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1738</v>
      </c>
      <c r="D76" s="304" t="s">
        <v>2019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1811</v>
      </c>
      <c r="D77" s="304" t="s">
        <v>2019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694</v>
      </c>
      <c r="D78" s="304" t="s">
        <v>2019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693</v>
      </c>
      <c r="D79" s="304" t="s">
        <v>2019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1704</v>
      </c>
      <c r="D80" s="304" t="s">
        <v>2019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695</v>
      </c>
      <c r="D81" s="304" t="s">
        <v>2019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692</v>
      </c>
      <c r="D82" s="304" t="s">
        <v>2019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1695</v>
      </c>
      <c r="D83" s="304" t="s">
        <v>2019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1845</v>
      </c>
      <c r="D84" s="304" t="s">
        <v>2019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1797</v>
      </c>
      <c r="D85" s="304" t="s">
        <v>2019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1702</v>
      </c>
      <c r="D86" s="304" t="s">
        <v>2019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1766</v>
      </c>
      <c r="D87" s="304" t="s">
        <v>2019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1805</v>
      </c>
      <c r="D88" s="304" t="s">
        <v>2019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744</v>
      </c>
      <c r="D89" s="304" t="s">
        <v>2019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1823</v>
      </c>
      <c r="D90" s="304" t="s">
        <v>2019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1761</v>
      </c>
      <c r="D91" s="304" t="s">
        <v>2019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1752</v>
      </c>
      <c r="D92" s="304" t="s">
        <v>2019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1725</v>
      </c>
      <c r="D93" s="304" t="s">
        <v>2019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1728</v>
      </c>
      <c r="D94" s="304" t="s">
        <v>2019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1696</v>
      </c>
      <c r="D95" s="304" t="s">
        <v>2019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1707</v>
      </c>
      <c r="D96" s="304" t="s">
        <v>2019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1775</v>
      </c>
      <c r="D97" s="304" t="s">
        <v>2019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743</v>
      </c>
      <c r="D98" s="304" t="s">
        <v>2019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1810</v>
      </c>
      <c r="D99" s="304" t="s">
        <v>2019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1846</v>
      </c>
      <c r="D100" s="304" t="s">
        <v>2019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748</v>
      </c>
      <c r="D101" s="304" t="s">
        <v>2019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1754</v>
      </c>
      <c r="D102" s="304" t="s">
        <v>2019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1814</v>
      </c>
      <c r="D103" s="304" t="s">
        <v>2019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1760</v>
      </c>
      <c r="D104" s="304" t="s">
        <v>2019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1779</v>
      </c>
      <c r="D105" s="304" t="s">
        <v>2019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1727</v>
      </c>
      <c r="D106" s="304" t="s">
        <v>2019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1800</v>
      </c>
      <c r="D107" s="304" t="s">
        <v>2019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1794</v>
      </c>
      <c r="D108" s="304" t="s">
        <v>2019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1792</v>
      </c>
      <c r="D109" s="304" t="s">
        <v>2019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1817</v>
      </c>
      <c r="D110" s="304" t="s">
        <v>2019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727</v>
      </c>
      <c r="D111" s="304" t="s">
        <v>2019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1750</v>
      </c>
      <c r="D112" s="304" t="s">
        <v>2019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1755</v>
      </c>
      <c r="D113" s="304" t="s">
        <v>2019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739</v>
      </c>
      <c r="D114" s="304" t="s">
        <v>2019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723</v>
      </c>
      <c r="D115" s="304" t="s">
        <v>2019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1820</v>
      </c>
      <c r="D116" s="304" t="s">
        <v>2019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1734</v>
      </c>
      <c r="D117" s="304" t="s">
        <v>2019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1753</v>
      </c>
      <c r="D118" s="304" t="s">
        <v>2019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1749</v>
      </c>
      <c r="D119" s="304" t="s">
        <v>2019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1834</v>
      </c>
      <c r="D120" s="304" t="s">
        <v>2019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746</v>
      </c>
      <c r="D121" s="304" t="s">
        <v>2019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724</v>
      </c>
      <c r="D122" s="304" t="s">
        <v>2019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1709</v>
      </c>
      <c r="D123" s="304" t="s">
        <v>2019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1802</v>
      </c>
      <c r="D124" s="304" t="s">
        <v>2019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1788</v>
      </c>
      <c r="D125" s="304" t="s">
        <v>2019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688</v>
      </c>
      <c r="D126" s="304" t="s">
        <v>2019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1840</v>
      </c>
      <c r="D127" s="304" t="s">
        <v>2019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1842</v>
      </c>
      <c r="D128" s="304" t="s">
        <v>2019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1822</v>
      </c>
      <c r="D129" s="304" t="s">
        <v>2019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691</v>
      </c>
      <c r="D130" s="304" t="s">
        <v>2019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1818</v>
      </c>
      <c r="D131" s="304" t="s">
        <v>2019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690</v>
      </c>
      <c r="D132" s="304" t="s">
        <v>2019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1844</v>
      </c>
      <c r="D133" s="304" t="s">
        <v>2019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1711</v>
      </c>
      <c r="D134" s="304" t="s">
        <v>2019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1819</v>
      </c>
      <c r="D135" s="304" t="s">
        <v>2019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1783</v>
      </c>
      <c r="D136" s="304" t="s">
        <v>2019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1785</v>
      </c>
      <c r="D137" s="304" t="s">
        <v>2019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1839</v>
      </c>
      <c r="D138" s="304" t="s">
        <v>2019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1694</v>
      </c>
      <c r="D139" s="304" t="s">
        <v>2019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1767</v>
      </c>
      <c r="D140" s="304" t="s">
        <v>2019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1791</v>
      </c>
      <c r="D141" s="304" t="s">
        <v>2019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1784</v>
      </c>
      <c r="D142" s="304" t="s">
        <v>2019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1832</v>
      </c>
      <c r="D143" s="304" t="s">
        <v>2019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685</v>
      </c>
      <c r="D144" s="304" t="s">
        <v>2019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1815</v>
      </c>
      <c r="D145" s="304" t="s">
        <v>2019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696</v>
      </c>
      <c r="D146" s="304" t="s">
        <v>2019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742</v>
      </c>
      <c r="D147" s="304" t="s">
        <v>2019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1710</v>
      </c>
      <c r="D148" s="304" t="s">
        <v>2019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1764</v>
      </c>
      <c r="D149" s="304" t="s">
        <v>2019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1803</v>
      </c>
      <c r="D150" s="304" t="s">
        <v>2019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1804</v>
      </c>
      <c r="D151" s="304" t="s">
        <v>2019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1733</v>
      </c>
      <c r="D152" s="304" t="s">
        <v>2019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1835</v>
      </c>
      <c r="D153" s="304" t="s">
        <v>2019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1751</v>
      </c>
      <c r="D154" s="304" t="s">
        <v>2019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725</v>
      </c>
      <c r="D155" s="304" t="s">
        <v>2019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1837</v>
      </c>
      <c r="D156" s="304" t="s">
        <v>2019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1786</v>
      </c>
      <c r="D157" s="304" t="s">
        <v>2019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1821</v>
      </c>
      <c r="D158" s="304" t="s">
        <v>2019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1698</v>
      </c>
      <c r="D159" s="304" t="s">
        <v>2019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1836</v>
      </c>
      <c r="D160" s="304" t="s">
        <v>2019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1688</v>
      </c>
      <c r="D161" s="304" t="s">
        <v>2019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1692</v>
      </c>
      <c r="D162" s="304" t="s">
        <v>2019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1691</v>
      </c>
      <c r="D163" s="304" t="s">
        <v>2019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1816</v>
      </c>
      <c r="D164" s="304" t="s">
        <v>2019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1771</v>
      </c>
      <c r="D165" s="304" t="s">
        <v>2019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1689</v>
      </c>
      <c r="D166" s="304" t="s">
        <v>2019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1796</v>
      </c>
      <c r="D167" s="304" t="s">
        <v>2019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1690</v>
      </c>
      <c r="D168" s="304" t="s">
        <v>2019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1787</v>
      </c>
      <c r="D169" s="304" t="s">
        <v>2019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1731</v>
      </c>
      <c r="D170" s="304" t="s">
        <v>2019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1706</v>
      </c>
      <c r="D171" s="304" t="s">
        <v>2019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1721</v>
      </c>
      <c r="D172" s="304" t="s">
        <v>2019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747</v>
      </c>
      <c r="D173" s="304" t="s">
        <v>2019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1735</v>
      </c>
      <c r="D174" s="304" t="s">
        <v>2019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1720</v>
      </c>
      <c r="D175" s="304" t="s">
        <v>2019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1812</v>
      </c>
      <c r="D176" s="304" t="s">
        <v>2019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1719</v>
      </c>
      <c r="D177" s="304" t="s">
        <v>2019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1718</v>
      </c>
      <c r="D178" s="304" t="s">
        <v>2019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1831</v>
      </c>
      <c r="D179" s="304" t="s">
        <v>2019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729</v>
      </c>
      <c r="D180" s="304" t="s">
        <v>2019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1795</v>
      </c>
      <c r="D181" s="304" t="s">
        <v>2019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1798</v>
      </c>
      <c r="D182" s="304" t="s">
        <v>2019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1838</v>
      </c>
      <c r="D183" s="304" t="s">
        <v>2019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1740</v>
      </c>
      <c r="D184" s="304" t="s">
        <v>2019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1825</v>
      </c>
      <c r="D185" s="304" t="s">
        <v>2019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1807</v>
      </c>
      <c r="D186" s="304" t="s">
        <v>2019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1732</v>
      </c>
      <c r="D187" s="304" t="s">
        <v>2019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1723</v>
      </c>
      <c r="D188" s="304" t="s">
        <v>2019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1782</v>
      </c>
      <c r="D189" s="304" t="s">
        <v>2019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1713</v>
      </c>
      <c r="D190" s="304" t="s">
        <v>2019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1770</v>
      </c>
      <c r="D191" s="304" t="s">
        <v>2019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1714</v>
      </c>
      <c r="D192" s="304" t="s">
        <v>2019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1715</v>
      </c>
      <c r="D193" s="304" t="s">
        <v>2019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728</v>
      </c>
      <c r="D194" s="304" t="s">
        <v>2019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1808</v>
      </c>
      <c r="D195" s="304" t="s">
        <v>2019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1793</v>
      </c>
      <c r="D196" s="304" t="s">
        <v>2019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1705</v>
      </c>
      <c r="D197" s="304" t="s">
        <v>2019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1843</v>
      </c>
      <c r="D198" s="304" t="s">
        <v>2019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1757</v>
      </c>
      <c r="D199" s="304" t="s">
        <v>2019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741</v>
      </c>
      <c r="D200" s="304" t="s">
        <v>2019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1773</v>
      </c>
      <c r="D201" s="304" t="s">
        <v>2019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1765</v>
      </c>
      <c r="D202" s="304" t="s">
        <v>2019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1717</v>
      </c>
      <c r="D203" s="304" t="s">
        <v>2019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745</v>
      </c>
      <c r="D204" s="304" t="s">
        <v>2019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1741</v>
      </c>
      <c r="D205" s="304" t="s">
        <v>2019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1748</v>
      </c>
      <c r="D206" s="304" t="s">
        <v>2019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1778</v>
      </c>
      <c r="D207" s="304" t="s">
        <v>2019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1742</v>
      </c>
      <c r="D208" s="304" t="s">
        <v>2019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1712</v>
      </c>
      <c r="D209" s="304" t="s">
        <v>2019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1716</v>
      </c>
      <c r="D210" s="304" t="s">
        <v>2019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1799</v>
      </c>
      <c r="D211" s="304" t="s">
        <v>2019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1758</v>
      </c>
      <c r="D212" s="304" t="s">
        <v>2019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1777</v>
      </c>
      <c r="D213" s="304" t="s">
        <v>2019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1737</v>
      </c>
      <c r="D214" s="304" t="s">
        <v>2019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1700</v>
      </c>
      <c r="D215" s="304" t="s">
        <v>2019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1781</v>
      </c>
      <c r="D216" s="304" t="s">
        <v>2019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1747</v>
      </c>
      <c r="D217" s="304" t="s">
        <v>2019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1801</v>
      </c>
      <c r="D218" s="304" t="s">
        <v>2019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726</v>
      </c>
      <c r="D219" s="304" t="s">
        <v>2019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1841</v>
      </c>
      <c r="D220" s="304" t="s">
        <v>2019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1759</v>
      </c>
      <c r="D221" s="304" t="s">
        <v>2019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1829</v>
      </c>
      <c r="D222" s="304" t="s">
        <v>2019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722</v>
      </c>
      <c r="D223" s="304" t="s">
        <v>2019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1828</v>
      </c>
      <c r="D224" s="304" t="s">
        <v>2019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1730</v>
      </c>
      <c r="D225" s="304" t="s">
        <v>2019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1701</v>
      </c>
      <c r="D226" s="304" t="s">
        <v>2019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1722</v>
      </c>
      <c r="D227" s="304" t="s">
        <v>2019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720</v>
      </c>
      <c r="D228" s="304" t="s">
        <v>2019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1729</v>
      </c>
      <c r="D229" s="304" t="s">
        <v>2019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1790</v>
      </c>
      <c r="D230" s="304" t="s">
        <v>2019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1809</v>
      </c>
      <c r="D231" s="304" t="s">
        <v>2019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1746</v>
      </c>
      <c r="D232" s="304" t="s">
        <v>2019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1763</v>
      </c>
      <c r="D233" s="304" t="s">
        <v>2019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687</v>
      </c>
      <c r="D234" s="304" t="s">
        <v>2019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1830</v>
      </c>
      <c r="D235" s="304" t="s">
        <v>2019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1774</v>
      </c>
      <c r="D236" s="304" t="s">
        <v>2019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1703</v>
      </c>
      <c r="D237" s="304" t="s">
        <v>2019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1744</v>
      </c>
      <c r="D238" s="304" t="s">
        <v>2019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1813</v>
      </c>
      <c r="D239" s="304" t="s">
        <v>2019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1789</v>
      </c>
      <c r="D240" s="304" t="s">
        <v>2019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1935</v>
      </c>
      <c r="D241" s="304" t="s">
        <v>2019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2012</v>
      </c>
      <c r="D242" s="304" t="s">
        <v>2019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1663</v>
      </c>
      <c r="D243" s="304" t="s">
        <v>2019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1662</v>
      </c>
      <c r="D244" s="304" t="s">
        <v>2019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1661</v>
      </c>
      <c r="D245" s="304" t="s">
        <v>2019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1317</v>
      </c>
      <c r="D246" s="304" t="s">
        <v>2019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1687</v>
      </c>
      <c r="D247" s="304" t="s">
        <v>2019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1671</v>
      </c>
      <c r="D248" s="304" t="s">
        <v>2019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1665</v>
      </c>
      <c r="D249" s="304" t="s">
        <v>2019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1674</v>
      </c>
      <c r="D250" s="304" t="s">
        <v>2019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1655</v>
      </c>
      <c r="D251" s="304" t="s">
        <v>2019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1686</v>
      </c>
      <c r="D252" s="304" t="s">
        <v>2019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1678</v>
      </c>
      <c r="D253" s="304" t="s">
        <v>2019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1666</v>
      </c>
      <c r="D254" s="304" t="s">
        <v>2019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1668</v>
      </c>
      <c r="D255" s="304" t="s">
        <v>2019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1664</v>
      </c>
      <c r="D256" s="304" t="s">
        <v>2019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1314</v>
      </c>
      <c r="D257" s="304" t="s">
        <v>2019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1653</v>
      </c>
      <c r="D258" s="304" t="s">
        <v>2019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1316</v>
      </c>
      <c r="D259" s="304" t="s">
        <v>2019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1676</v>
      </c>
      <c r="D260" s="304" t="s">
        <v>2019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1685</v>
      </c>
      <c r="D261" s="304" t="s">
        <v>2019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1677</v>
      </c>
      <c r="D262" s="304" t="s">
        <v>2019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1657</v>
      </c>
      <c r="D263" s="304" t="s">
        <v>2019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1654</v>
      </c>
      <c r="D264" s="304" t="s">
        <v>2019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1667</v>
      </c>
      <c r="D265" s="304" t="s">
        <v>2019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1669</v>
      </c>
      <c r="D266" s="304" t="s">
        <v>2019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1313</v>
      </c>
      <c r="D267" s="304" t="s">
        <v>2019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1672</v>
      </c>
      <c r="D268" s="304" t="s">
        <v>2019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1659</v>
      </c>
      <c r="D269" s="304" t="s">
        <v>2019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1670</v>
      </c>
      <c r="D270" s="304" t="s">
        <v>2019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1675</v>
      </c>
      <c r="D271" s="304" t="s">
        <v>2019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1673</v>
      </c>
      <c r="D272" s="304" t="s">
        <v>2019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1652</v>
      </c>
      <c r="D273" s="304" t="s">
        <v>2019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1658</v>
      </c>
      <c r="D274" s="304" t="s">
        <v>2019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1684</v>
      </c>
      <c r="D275" s="304" t="s">
        <v>2019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1656</v>
      </c>
      <c r="D276" s="304" t="s">
        <v>2019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1682</v>
      </c>
      <c r="D277" s="304" t="s">
        <v>2019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1679</v>
      </c>
      <c r="D278" s="304" t="s">
        <v>2019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1315</v>
      </c>
      <c r="D279" s="304" t="s">
        <v>2019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1681</v>
      </c>
      <c r="D280" s="304" t="s">
        <v>2019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1683</v>
      </c>
      <c r="D281" s="304" t="s">
        <v>2019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1680</v>
      </c>
      <c r="D282" s="304" t="s">
        <v>2019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1660</v>
      </c>
      <c r="D283" s="304" t="s">
        <v>2019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1318</v>
      </c>
      <c r="D284" s="304" t="s">
        <v>2019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784</v>
      </c>
      <c r="D285" s="304" t="s">
        <v>2018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1298</v>
      </c>
      <c r="D286" s="304" t="s">
        <v>2018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628</v>
      </c>
      <c r="D287" s="304" t="s">
        <v>2018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454</v>
      </c>
      <c r="D288" s="304" t="s">
        <v>2018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903</v>
      </c>
      <c r="D289" s="304" t="s">
        <v>2018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947</v>
      </c>
      <c r="D290" s="304" t="s">
        <v>2018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414</v>
      </c>
      <c r="D291" s="304" t="s">
        <v>2018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828</v>
      </c>
      <c r="D292" s="304" t="s">
        <v>2018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812</v>
      </c>
      <c r="D293" s="304" t="s">
        <v>2018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811</v>
      </c>
      <c r="D294" s="304" t="s">
        <v>2018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765</v>
      </c>
      <c r="D295" s="304" t="s">
        <v>2018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768</v>
      </c>
      <c r="D296" s="304" t="s">
        <v>2018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769</v>
      </c>
      <c r="D297" s="304" t="s">
        <v>2018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1212</v>
      </c>
      <c r="D298" s="304" t="s">
        <v>2018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1091</v>
      </c>
      <c r="D299" s="304" t="s">
        <v>2018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1302</v>
      </c>
      <c r="D300" s="304" t="s">
        <v>2018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1007</v>
      </c>
      <c r="D301" s="304" t="s">
        <v>2018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1296</v>
      </c>
      <c r="D302" s="304" t="s">
        <v>2018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927</v>
      </c>
      <c r="D303" s="304" t="s">
        <v>2018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570</v>
      </c>
      <c r="D304" s="304" t="s">
        <v>2018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770</v>
      </c>
      <c r="D305" s="304" t="s">
        <v>2018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5" t="s">
        <v>1240</v>
      </c>
      <c r="D306" s="304" t="s">
        <v>2018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624</v>
      </c>
      <c r="D307" s="304" t="s">
        <v>2018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924</v>
      </c>
      <c r="D308" s="304" t="s">
        <v>2018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1117</v>
      </c>
      <c r="D309" s="304" t="s">
        <v>2018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547</v>
      </c>
      <c r="D310" s="304" t="s">
        <v>2018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1119</v>
      </c>
      <c r="D311" s="304" t="s">
        <v>2018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1301</v>
      </c>
      <c r="D312" s="304" t="s">
        <v>2018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734</v>
      </c>
      <c r="D313" s="304" t="s">
        <v>2018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1137</v>
      </c>
      <c r="D314" s="304" t="s">
        <v>2018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1304</v>
      </c>
      <c r="D315" s="304" t="s">
        <v>2018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1094</v>
      </c>
      <c r="D316" s="304" t="s">
        <v>2018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608</v>
      </c>
      <c r="D317" s="304" t="s">
        <v>2018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441</v>
      </c>
      <c r="D318" s="304" t="s">
        <v>2018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879</v>
      </c>
      <c r="D319" s="304" t="s">
        <v>2018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1289</v>
      </c>
      <c r="D320" s="304" t="s">
        <v>2018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680</v>
      </c>
      <c r="D321" s="304" t="s">
        <v>2018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469</v>
      </c>
      <c r="D322" s="304" t="s">
        <v>2018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601</v>
      </c>
      <c r="D323" s="304" t="s">
        <v>2018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508</v>
      </c>
      <c r="D324" s="304" t="s">
        <v>2018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752</v>
      </c>
      <c r="D325" s="304" t="s">
        <v>2018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946</v>
      </c>
      <c r="D326" s="304" t="s">
        <v>2018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1231</v>
      </c>
      <c r="D327" s="304" t="s">
        <v>2018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895</v>
      </c>
      <c r="D328" s="304" t="s">
        <v>2018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896</v>
      </c>
      <c r="D329" s="304" t="s">
        <v>2018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1294</v>
      </c>
      <c r="D330" s="304" t="s">
        <v>2018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543</v>
      </c>
      <c r="D331" s="304" t="s">
        <v>2018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522</v>
      </c>
      <c r="D332" s="304" t="s">
        <v>2018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497</v>
      </c>
      <c r="D333" s="304" t="s">
        <v>2018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436</v>
      </c>
      <c r="D334" s="304" t="s">
        <v>2018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546</v>
      </c>
      <c r="D335" s="304" t="s">
        <v>2018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466</v>
      </c>
      <c r="D336" s="304" t="s">
        <v>2018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1155</v>
      </c>
      <c r="D337" s="304" t="s">
        <v>2018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496</v>
      </c>
      <c r="D338" s="304" t="s">
        <v>2018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682</v>
      </c>
      <c r="D339" s="304" t="s">
        <v>2018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1262</v>
      </c>
      <c r="D340" s="304" t="s">
        <v>2018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1260</v>
      </c>
      <c r="D341" s="304" t="s">
        <v>2018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499</v>
      </c>
      <c r="D342" s="304" t="s">
        <v>2018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753</v>
      </c>
      <c r="D343" s="304" t="s">
        <v>2018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862</v>
      </c>
      <c r="D344" s="304" t="s">
        <v>2018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772</v>
      </c>
      <c r="D345" s="304" t="s">
        <v>2018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870</v>
      </c>
      <c r="D346" s="304" t="s">
        <v>2018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875</v>
      </c>
      <c r="D347" s="304" t="s">
        <v>2018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874</v>
      </c>
      <c r="D348" s="304" t="s">
        <v>2018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873</v>
      </c>
      <c r="D349" s="304" t="s">
        <v>2018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1144</v>
      </c>
      <c r="D350" s="304" t="s">
        <v>2018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430</v>
      </c>
      <c r="D351" s="304" t="s">
        <v>2018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931</v>
      </c>
      <c r="D352" s="304" t="s">
        <v>2018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882</v>
      </c>
      <c r="D353" s="304" t="s">
        <v>2018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614</v>
      </c>
      <c r="D354" s="304" t="s">
        <v>2018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409</v>
      </c>
      <c r="D355" s="304" t="s">
        <v>2018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897</v>
      </c>
      <c r="D356" s="304" t="s">
        <v>2018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1273</v>
      </c>
      <c r="D357" s="304" t="s">
        <v>2018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1267</v>
      </c>
      <c r="D358" s="304" t="s">
        <v>2018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709</v>
      </c>
      <c r="D359" s="304" t="s">
        <v>2018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611</v>
      </c>
      <c r="D360" s="304" t="s">
        <v>2018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1062</v>
      </c>
      <c r="D361" s="304" t="s">
        <v>2018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617</v>
      </c>
      <c r="D362" s="304" t="s">
        <v>2018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910</v>
      </c>
      <c r="D363" s="304" t="s">
        <v>2018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887</v>
      </c>
      <c r="D364" s="304" t="s">
        <v>2018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616</v>
      </c>
      <c r="D365" s="304" t="s">
        <v>2018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494</v>
      </c>
      <c r="D366" s="304" t="s">
        <v>2018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1248</v>
      </c>
      <c r="D367" s="304" t="s">
        <v>2018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609</v>
      </c>
      <c r="D368" s="304" t="s">
        <v>2018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1110</v>
      </c>
      <c r="D369" s="304" t="s">
        <v>2018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1243</v>
      </c>
      <c r="D370" s="304" t="s">
        <v>2018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658</v>
      </c>
      <c r="D371" s="304" t="s">
        <v>2018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588</v>
      </c>
      <c r="D372" s="304" t="s">
        <v>2018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431</v>
      </c>
      <c r="D373" s="304" t="s">
        <v>2018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948</v>
      </c>
      <c r="D374" s="304" t="s">
        <v>2018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653</v>
      </c>
      <c r="D375" s="304" t="s">
        <v>2018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447</v>
      </c>
      <c r="D376" s="304" t="s">
        <v>2018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716</v>
      </c>
      <c r="D377" s="304" t="s">
        <v>2018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1199</v>
      </c>
      <c r="D378" s="304" t="s">
        <v>2018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1024</v>
      </c>
      <c r="D379" s="304" t="s">
        <v>2018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587</v>
      </c>
      <c r="D380" s="304" t="s">
        <v>2018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1164</v>
      </c>
      <c r="D381" s="304" t="s">
        <v>2018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1163</v>
      </c>
      <c r="D382" s="304" t="s">
        <v>2018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526</v>
      </c>
      <c r="D383" s="304" t="s">
        <v>2018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471</v>
      </c>
      <c r="D384" s="304" t="s">
        <v>2018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1161</v>
      </c>
      <c r="D385" s="304" t="s">
        <v>2018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539</v>
      </c>
      <c r="D386" s="304" t="s">
        <v>2018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1246</v>
      </c>
      <c r="D387" s="304" t="s">
        <v>2018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598</v>
      </c>
      <c r="D388" s="304" t="s">
        <v>2018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1264</v>
      </c>
      <c r="D389" s="304" t="s">
        <v>2018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777</v>
      </c>
      <c r="D390" s="304" t="s">
        <v>2018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4" t="s">
        <v>482</v>
      </c>
      <c r="D391" s="304" t="s">
        <v>2018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481</v>
      </c>
      <c r="D392" s="304" t="s">
        <v>2018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479</v>
      </c>
      <c r="D393" s="304" t="s">
        <v>2018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529</v>
      </c>
      <c r="D394" s="304" t="s">
        <v>2018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533</v>
      </c>
      <c r="D395" s="304" t="s">
        <v>2018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1255</v>
      </c>
      <c r="D396" s="304" t="s">
        <v>2018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758</v>
      </c>
      <c r="D397" s="304" t="s">
        <v>2018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999</v>
      </c>
      <c r="D398" s="304" t="s">
        <v>2018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1173</v>
      </c>
      <c r="D399" s="304" t="s">
        <v>2018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1188</v>
      </c>
      <c r="D400" s="304" t="s">
        <v>2018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708</v>
      </c>
      <c r="D401" s="304" t="s">
        <v>2018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538</v>
      </c>
      <c r="D402" s="304" t="s">
        <v>2018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717</v>
      </c>
      <c r="D403" s="304" t="s">
        <v>2018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1247</v>
      </c>
      <c r="D404" s="304" t="s">
        <v>2018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646</v>
      </c>
      <c r="D405" s="304" t="s">
        <v>2018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1134</v>
      </c>
      <c r="D406" s="304" t="s">
        <v>2018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662</v>
      </c>
      <c r="D407" s="304" t="s">
        <v>2018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483</v>
      </c>
      <c r="D408" s="304" t="s">
        <v>2018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484</v>
      </c>
      <c r="D409" s="304" t="s">
        <v>2018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485</v>
      </c>
      <c r="D410" s="304" t="s">
        <v>2018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1215</v>
      </c>
      <c r="D411" s="304" t="s">
        <v>2018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440</v>
      </c>
      <c r="D412" s="304" t="s">
        <v>2018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1256</v>
      </c>
      <c r="D413" s="304" t="s">
        <v>2018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560</v>
      </c>
      <c r="D414" s="304" t="s">
        <v>2018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892</v>
      </c>
      <c r="D415" s="304" t="s">
        <v>2018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540</v>
      </c>
      <c r="D416" s="304" t="s">
        <v>2018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663</v>
      </c>
      <c r="D417" s="304" t="s">
        <v>2018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1145</v>
      </c>
      <c r="D418" s="304" t="s">
        <v>2018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1146</v>
      </c>
      <c r="D419" s="304" t="s">
        <v>2018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589</v>
      </c>
      <c r="D420" s="304" t="s">
        <v>2018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1277</v>
      </c>
      <c r="D421" s="304" t="s">
        <v>2018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575</v>
      </c>
      <c r="D422" s="304" t="s">
        <v>2018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577</v>
      </c>
      <c r="D423" s="304" t="s">
        <v>2018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578</v>
      </c>
      <c r="D424" s="304" t="s">
        <v>2018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419</v>
      </c>
      <c r="D425" s="304" t="s">
        <v>2018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906</v>
      </c>
      <c r="D426" s="304" t="s">
        <v>2018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595</v>
      </c>
      <c r="D427" s="304" t="s">
        <v>2018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1235</v>
      </c>
      <c r="D428" s="304" t="s">
        <v>2018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403</v>
      </c>
      <c r="D429" s="304" t="s">
        <v>2018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428</v>
      </c>
      <c r="D430" s="304" t="s">
        <v>2018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705</v>
      </c>
      <c r="D431" s="304" t="s">
        <v>2018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420</v>
      </c>
      <c r="D432" s="304" t="s">
        <v>2018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986</v>
      </c>
      <c r="D433" s="304" t="s">
        <v>2018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860</v>
      </c>
      <c r="D434" s="304" t="s">
        <v>2018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858</v>
      </c>
      <c r="D435" s="304" t="s">
        <v>2018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1124</v>
      </c>
      <c r="D436" s="304" t="s">
        <v>2018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643</v>
      </c>
      <c r="D437" s="304" t="s">
        <v>2018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1254</v>
      </c>
      <c r="D438" s="304" t="s">
        <v>2018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678</v>
      </c>
      <c r="D439" s="304" t="s">
        <v>2018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1250</v>
      </c>
      <c r="D440" s="304" t="s">
        <v>2018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516</v>
      </c>
      <c r="D441" s="304" t="s">
        <v>2018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518</v>
      </c>
      <c r="D442" s="304" t="s">
        <v>2018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1122</v>
      </c>
      <c r="D443" s="304" t="s">
        <v>2018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519</v>
      </c>
      <c r="D444" s="304" t="s">
        <v>2018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1140</v>
      </c>
      <c r="D445" s="304" t="s">
        <v>2018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408</v>
      </c>
      <c r="D446" s="304" t="s">
        <v>2018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659</v>
      </c>
      <c r="D447" s="304" t="s">
        <v>2018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637</v>
      </c>
      <c r="D448" s="304" t="s">
        <v>2018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1070</v>
      </c>
      <c r="D449" s="304" t="s">
        <v>2018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1300</v>
      </c>
      <c r="D450" s="304" t="s">
        <v>2018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738</v>
      </c>
      <c r="D451" s="304" t="s">
        <v>2018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951</v>
      </c>
      <c r="D452" s="304" t="s">
        <v>2018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1072</v>
      </c>
      <c r="D453" s="304" t="s">
        <v>2018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424</v>
      </c>
      <c r="D454" s="304" t="s">
        <v>2018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405</v>
      </c>
      <c r="D455" s="304" t="s">
        <v>2018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602</v>
      </c>
      <c r="D456" s="304" t="s">
        <v>2018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650</v>
      </c>
      <c r="D457" s="304" t="s">
        <v>2018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737</v>
      </c>
      <c r="D458" s="304" t="s">
        <v>2018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736</v>
      </c>
      <c r="D459" s="304" t="s">
        <v>2018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491</v>
      </c>
      <c r="D460" s="304" t="s">
        <v>2018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586</v>
      </c>
      <c r="D461" s="304" t="s">
        <v>2018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600</v>
      </c>
      <c r="D462" s="304" t="s">
        <v>2018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590</v>
      </c>
      <c r="D463" s="304" t="s">
        <v>2018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432</v>
      </c>
      <c r="D464" s="304" t="s">
        <v>2018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523</v>
      </c>
      <c r="D465" s="304" t="s">
        <v>2018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1299</v>
      </c>
      <c r="D466" s="304" t="s">
        <v>2018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921</v>
      </c>
      <c r="D467" s="304" t="s">
        <v>2018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604</v>
      </c>
      <c r="D468" s="304" t="s">
        <v>2018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1052</v>
      </c>
      <c r="D469" s="304" t="s">
        <v>2018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698</v>
      </c>
      <c r="D470" s="304" t="s">
        <v>2018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542</v>
      </c>
      <c r="D471" s="304" t="s">
        <v>2018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994</v>
      </c>
      <c r="D472" s="304" t="s">
        <v>2018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929</v>
      </c>
      <c r="D473" s="304" t="s">
        <v>2018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451</v>
      </c>
      <c r="D474" s="304" t="s">
        <v>2018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636</v>
      </c>
      <c r="D475" s="304" t="s">
        <v>2018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634</v>
      </c>
      <c r="D476" s="304" t="s">
        <v>2018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701</v>
      </c>
      <c r="D477" s="304" t="s">
        <v>2018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413</v>
      </c>
      <c r="D478" s="304" t="s">
        <v>2018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821</v>
      </c>
      <c r="D479" s="304" t="s">
        <v>2018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534</v>
      </c>
      <c r="D480" s="304" t="s">
        <v>2018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531</v>
      </c>
      <c r="D481" s="304" t="s">
        <v>2018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532</v>
      </c>
      <c r="D482" s="304" t="s">
        <v>2018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919</v>
      </c>
      <c r="D483" s="304" t="s">
        <v>2018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1075</v>
      </c>
      <c r="D484" s="304" t="s">
        <v>2018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1120</v>
      </c>
      <c r="D485" s="304" t="s">
        <v>2018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1190</v>
      </c>
      <c r="D486" s="304" t="s">
        <v>2018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1011</v>
      </c>
      <c r="D487" s="304" t="s">
        <v>2018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476</v>
      </c>
      <c r="D488" s="304" t="s">
        <v>2018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1192</v>
      </c>
      <c r="D489" s="304" t="s">
        <v>2018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1115</v>
      </c>
      <c r="D490" s="304" t="s">
        <v>2018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1018</v>
      </c>
      <c r="D491" s="304" t="s">
        <v>2018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1251</v>
      </c>
      <c r="D492" s="304" t="s">
        <v>2018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1088</v>
      </c>
      <c r="D493" s="304" t="s">
        <v>2018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962</v>
      </c>
      <c r="D494" s="304" t="s">
        <v>2018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429</v>
      </c>
      <c r="D495" s="304" t="s">
        <v>2018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635</v>
      </c>
      <c r="D496" s="304" t="s">
        <v>2018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439</v>
      </c>
      <c r="D497" s="304" t="s">
        <v>2018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631</v>
      </c>
      <c r="D498" s="304" t="s">
        <v>2018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638</v>
      </c>
      <c r="D499" s="304" t="s">
        <v>2018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474</v>
      </c>
      <c r="D500" s="304" t="s">
        <v>2018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1046</v>
      </c>
      <c r="D501" s="304" t="s">
        <v>2018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525</v>
      </c>
      <c r="D502" s="304" t="s">
        <v>2018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1045</v>
      </c>
      <c r="D503" s="304" t="s">
        <v>2018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1043</v>
      </c>
      <c r="D504" s="304" t="s">
        <v>2018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703</v>
      </c>
      <c r="D505" s="304" t="s">
        <v>2018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398</v>
      </c>
      <c r="D506" s="304" t="s">
        <v>2018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1103</v>
      </c>
      <c r="D507" s="304" t="s">
        <v>2018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1193</v>
      </c>
      <c r="D508" s="304" t="s">
        <v>2018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446</v>
      </c>
      <c r="D509" s="304" t="s">
        <v>2018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1106</v>
      </c>
      <c r="D510" s="304" t="s">
        <v>2018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702</v>
      </c>
      <c r="D511" s="304" t="s">
        <v>2018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760</v>
      </c>
      <c r="D512" s="304" t="s">
        <v>2018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1263</v>
      </c>
      <c r="D513" s="304" t="s">
        <v>2018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700</v>
      </c>
      <c r="D514" s="304" t="s">
        <v>2018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401</v>
      </c>
      <c r="D515" s="304" t="s">
        <v>2018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1169</v>
      </c>
      <c r="D516" s="304" t="s">
        <v>2018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983</v>
      </c>
      <c r="D517" s="304" t="s">
        <v>2018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995</v>
      </c>
      <c r="D518" s="304" t="s">
        <v>2018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803</v>
      </c>
      <c r="D519" s="304" t="s">
        <v>2018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1196</v>
      </c>
      <c r="D520" s="304" t="s">
        <v>2018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876</v>
      </c>
      <c r="D521" s="304" t="s">
        <v>2018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791</v>
      </c>
      <c r="D522" s="304" t="s">
        <v>2018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943</v>
      </c>
      <c r="D523" s="304" t="s">
        <v>2018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648</v>
      </c>
      <c r="D524" s="304" t="s">
        <v>2018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514</v>
      </c>
      <c r="D525" s="304" t="s">
        <v>2018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510</v>
      </c>
      <c r="D526" s="304" t="s">
        <v>2018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512</v>
      </c>
      <c r="D527" s="304" t="s">
        <v>2018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513</v>
      </c>
      <c r="D528" s="304" t="s">
        <v>2018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487</v>
      </c>
      <c r="D529" s="304" t="s">
        <v>2018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830</v>
      </c>
      <c r="D530" s="304" t="s">
        <v>2018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711</v>
      </c>
      <c r="D531" s="304" t="s">
        <v>2018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501</v>
      </c>
      <c r="D532" s="304" t="s">
        <v>2018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1030</v>
      </c>
      <c r="D533" s="304" t="s">
        <v>2018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505</v>
      </c>
      <c r="D534" s="304" t="s">
        <v>2018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1249</v>
      </c>
      <c r="D535" s="304" t="s">
        <v>2018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460</v>
      </c>
      <c r="D536" s="304" t="s">
        <v>2018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1061</v>
      </c>
      <c r="D537" s="304" t="s">
        <v>2018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1049</v>
      </c>
      <c r="D538" s="304" t="s">
        <v>2018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1060</v>
      </c>
      <c r="D539" s="304" t="s">
        <v>2018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794</v>
      </c>
      <c r="D540" s="304" t="s">
        <v>2018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456</v>
      </c>
      <c r="D541" s="304" t="s">
        <v>2018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1157</v>
      </c>
      <c r="D542" s="304" t="s">
        <v>2018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1159</v>
      </c>
      <c r="D543" s="304" t="s">
        <v>2018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1165</v>
      </c>
      <c r="D544" s="304" t="s">
        <v>2018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818</v>
      </c>
      <c r="D545" s="304" t="s">
        <v>2018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795</v>
      </c>
      <c r="D546" s="304" t="s">
        <v>2018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880</v>
      </c>
      <c r="D547" s="304" t="s">
        <v>2018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781</v>
      </c>
      <c r="D548" s="304" t="s">
        <v>2018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661</v>
      </c>
      <c r="D549" s="304" t="s">
        <v>2018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1238</v>
      </c>
      <c r="D550" s="304" t="s">
        <v>2018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1135</v>
      </c>
      <c r="D551" s="304" t="s">
        <v>2018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1107</v>
      </c>
      <c r="D552" s="304" t="s">
        <v>2018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979</v>
      </c>
      <c r="D553" s="304" t="s">
        <v>2018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849</v>
      </c>
      <c r="D554" s="304" t="s">
        <v>2018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550</v>
      </c>
      <c r="D555" s="304" t="s">
        <v>2018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844</v>
      </c>
      <c r="D556" s="304" t="s">
        <v>2018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1015</v>
      </c>
      <c r="D557" s="304" t="s">
        <v>2018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1257</v>
      </c>
      <c r="D558" s="304" t="s">
        <v>2018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596</v>
      </c>
      <c r="D559" s="304" t="s">
        <v>2018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925</v>
      </c>
      <c r="D560" s="304" t="s">
        <v>2018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1008</v>
      </c>
      <c r="D561" s="304" t="s">
        <v>2018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923</v>
      </c>
      <c r="D562" s="304" t="s">
        <v>2018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1009</v>
      </c>
      <c r="D563" s="304" t="s">
        <v>2018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854</v>
      </c>
      <c r="D564" s="304" t="s">
        <v>2018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855</v>
      </c>
      <c r="D565" s="304" t="s">
        <v>2018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433</v>
      </c>
      <c r="D566" s="304" t="s">
        <v>2018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856</v>
      </c>
      <c r="D567" s="304" t="s">
        <v>2018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814</v>
      </c>
      <c r="D568" s="304" t="s">
        <v>2018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817</v>
      </c>
      <c r="D569" s="304" t="s">
        <v>2018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808</v>
      </c>
      <c r="D570" s="304" t="s">
        <v>2018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551</v>
      </c>
      <c r="D571" s="304" t="s">
        <v>2018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713</v>
      </c>
      <c r="D572" s="304" t="s">
        <v>2018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718</v>
      </c>
      <c r="D573" s="304" t="s">
        <v>2018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442</v>
      </c>
      <c r="D574" s="304" t="s">
        <v>2018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1034</v>
      </c>
      <c r="D575" s="304" t="s">
        <v>2018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2018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1083</v>
      </c>
      <c r="D577" s="304" t="s">
        <v>2018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965</v>
      </c>
      <c r="D578" s="304" t="s">
        <v>2018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801</v>
      </c>
      <c r="D579" s="304" t="s">
        <v>2018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797</v>
      </c>
      <c r="D580" s="304" t="s">
        <v>2018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800</v>
      </c>
      <c r="D581" s="304" t="s">
        <v>2018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1183</v>
      </c>
      <c r="D582" s="304" t="s">
        <v>2018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450</v>
      </c>
      <c r="D583" s="304" t="s">
        <v>2018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4" t="s">
        <v>1185</v>
      </c>
      <c r="D584" s="304" t="s">
        <v>2018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852</v>
      </c>
      <c r="D585" s="304" t="s">
        <v>2018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571</v>
      </c>
      <c r="D586" s="304" t="s">
        <v>2018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536</v>
      </c>
      <c r="D587" s="304" t="s">
        <v>2018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807</v>
      </c>
      <c r="D588" s="304" t="s">
        <v>2018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813</v>
      </c>
      <c r="D589" s="304" t="s">
        <v>2018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806</v>
      </c>
      <c r="D590" s="304" t="s">
        <v>2018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1270</v>
      </c>
      <c r="D591" s="304" t="s">
        <v>2018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426</v>
      </c>
      <c r="D592" s="304" t="s">
        <v>2018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585</v>
      </c>
      <c r="D593" s="304" t="s">
        <v>2018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557</v>
      </c>
      <c r="D594" s="304" t="s">
        <v>2018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845</v>
      </c>
      <c r="D595" s="304" t="s">
        <v>2018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1130</v>
      </c>
      <c r="D596" s="304" t="s">
        <v>2018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553</v>
      </c>
      <c r="D597" s="304" t="s">
        <v>2018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627</v>
      </c>
      <c r="D598" s="304" t="s">
        <v>2018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566</v>
      </c>
      <c r="D599" s="304" t="s">
        <v>2018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853</v>
      </c>
      <c r="D600" s="304" t="s">
        <v>2018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503</v>
      </c>
      <c r="D601" s="304" t="s">
        <v>2018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449</v>
      </c>
      <c r="D602" s="304" t="s">
        <v>2018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655</v>
      </c>
      <c r="D603" s="304" t="s">
        <v>2018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861</v>
      </c>
      <c r="D604" s="304" t="s">
        <v>2018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654</v>
      </c>
      <c r="D605" s="304" t="s">
        <v>2018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418</v>
      </c>
      <c r="D606" s="304" t="s">
        <v>2018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579</v>
      </c>
      <c r="D607" s="304" t="s">
        <v>2018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581</v>
      </c>
      <c r="D608" s="304" t="s">
        <v>2018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580</v>
      </c>
      <c r="D609" s="304" t="s">
        <v>2018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1309</v>
      </c>
      <c r="D610" s="304" t="s">
        <v>2018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1305</v>
      </c>
      <c r="D611" s="304" t="s">
        <v>2018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926</v>
      </c>
      <c r="D612" s="304" t="s">
        <v>2018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998</v>
      </c>
      <c r="D613" s="304" t="s">
        <v>2018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823</v>
      </c>
      <c r="D614" s="304" t="s">
        <v>2018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1224</v>
      </c>
      <c r="D615" s="304" t="s">
        <v>2018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1312</v>
      </c>
      <c r="D616" s="304" t="s">
        <v>2018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810</v>
      </c>
      <c r="D617" s="304" t="s">
        <v>2018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825</v>
      </c>
      <c r="D618" s="304" t="s">
        <v>2018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843</v>
      </c>
      <c r="D619" s="304" t="s">
        <v>2018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846</v>
      </c>
      <c r="D620" s="304" t="s">
        <v>2018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839</v>
      </c>
      <c r="D621" s="304" t="s">
        <v>2018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841</v>
      </c>
      <c r="D622" s="304" t="s">
        <v>2018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1308</v>
      </c>
      <c r="D623" s="304" t="s">
        <v>2018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863</v>
      </c>
      <c r="D624" s="304" t="s">
        <v>2018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804</v>
      </c>
      <c r="D625" s="304" t="s">
        <v>2018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660</v>
      </c>
      <c r="D626" s="304" t="s">
        <v>2018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1132</v>
      </c>
      <c r="D627" s="304" t="s">
        <v>2018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1284</v>
      </c>
      <c r="D628" s="304" t="s">
        <v>2018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626</v>
      </c>
      <c r="D629" s="304" t="s">
        <v>2018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417</v>
      </c>
      <c r="D630" s="304" t="s">
        <v>2018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567</v>
      </c>
      <c r="D631" s="304" t="s">
        <v>2018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458</v>
      </c>
      <c r="D632" s="304" t="s">
        <v>2018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802</v>
      </c>
      <c r="D633" s="304" t="s">
        <v>2018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568</v>
      </c>
      <c r="D634" s="304" t="s">
        <v>2018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1228</v>
      </c>
      <c r="D635" s="304" t="s">
        <v>2018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842</v>
      </c>
      <c r="D636" s="304" t="s">
        <v>2018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1227</v>
      </c>
      <c r="D637" s="304" t="s">
        <v>2018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805</v>
      </c>
      <c r="D638" s="304" t="s">
        <v>2018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914</v>
      </c>
      <c r="D639" s="304" t="s">
        <v>2018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916</v>
      </c>
      <c r="D640" s="304" t="s">
        <v>2018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952</v>
      </c>
      <c r="D641" s="304" t="s">
        <v>2018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816</v>
      </c>
      <c r="D642" s="304" t="s">
        <v>2018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815</v>
      </c>
      <c r="D643" s="304" t="s">
        <v>2018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977</v>
      </c>
      <c r="D644" s="304" t="s">
        <v>2018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847</v>
      </c>
      <c r="D645" s="304" t="s">
        <v>2018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1310</v>
      </c>
      <c r="D646" s="304" t="s">
        <v>2018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824</v>
      </c>
      <c r="D647" s="304" t="s">
        <v>2018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827</v>
      </c>
      <c r="D648" s="304" t="s">
        <v>2018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826</v>
      </c>
      <c r="D649" s="304" t="s">
        <v>2018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569</v>
      </c>
      <c r="D650" s="304" t="s">
        <v>2018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1957</v>
      </c>
      <c r="D651" s="304" t="s">
        <v>2018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2008</v>
      </c>
      <c r="D652" s="304" t="s">
        <v>2018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2009</v>
      </c>
      <c r="D653" s="304" t="s">
        <v>2018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2010</v>
      </c>
      <c r="D654" s="304" t="s">
        <v>2018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1948</v>
      </c>
      <c r="D655" s="304" t="s">
        <v>2018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1949</v>
      </c>
      <c r="D656" s="304" t="s">
        <v>2018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1950</v>
      </c>
      <c r="D657" s="304" t="s">
        <v>2018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1951</v>
      </c>
      <c r="D658" s="304" t="s">
        <v>2018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1952</v>
      </c>
      <c r="D659" s="304" t="s">
        <v>2018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2011</v>
      </c>
      <c r="D660" s="304" t="s">
        <v>2018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1953</v>
      </c>
      <c r="D661" s="304" t="s">
        <v>2018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1954</v>
      </c>
      <c r="D662" s="304" t="s">
        <v>2018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1955</v>
      </c>
      <c r="D663" s="304" t="s">
        <v>2018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1956</v>
      </c>
      <c r="D664" s="304" t="s">
        <v>2018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1285</v>
      </c>
      <c r="D665" s="304" t="s">
        <v>2018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12"/>
      <c r="D671" s="1012"/>
      <c r="E671" s="1012"/>
      <c r="F671" s="795"/>
      <c r="G671" s="795"/>
      <c r="H671" s="795"/>
      <c r="I671" s="795"/>
      <c r="J671" s="1012" t="s">
        <v>395</v>
      </c>
      <c r="K671" s="1012"/>
      <c r="L671" s="1012"/>
    </row>
    <row r="672" spans="1:13" ht="19.5" customHeight="1">
      <c r="C672" s="796"/>
      <c r="D672" s="796"/>
      <c r="E672" s="796"/>
      <c r="F672" s="1012"/>
      <c r="G672" s="1012"/>
      <c r="H672" s="1012"/>
      <c r="I672" s="795"/>
      <c r="J672" s="1012" t="s">
        <v>109</v>
      </c>
      <c r="K672" s="1012"/>
      <c r="L672" s="1012"/>
    </row>
    <row r="673" spans="3:12" ht="19.5" customHeight="1">
      <c r="C673" s="796"/>
      <c r="D673" s="796"/>
      <c r="E673" s="796"/>
      <c r="F673" s="1012"/>
      <c r="G673" s="1012"/>
      <c r="H673" s="1012"/>
      <c r="I673" s="287"/>
      <c r="J673" s="1012" t="s">
        <v>136</v>
      </c>
      <c r="K673" s="1012"/>
      <c r="L673" s="1012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3" customFormat="1" ht="12" customHeight="1">
      <c r="A2" s="662" t="str">
        <f>TH!A1</f>
        <v>Đơn vị: CÔNG TY TNHH SX TM KIM DUNG PHÁT</v>
      </c>
      <c r="G2" s="664" t="str">
        <f>+IF(LEFT($D$7,1)="N","Mẫu số 01 - VT","Mẫu số 02 - VT")</f>
        <v>Mẫu số 02 - VT</v>
      </c>
    </row>
    <row r="3" spans="1:17" s="663" customFormat="1" ht="12" customHeight="1">
      <c r="A3" s="66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4" t="s">
        <v>104</v>
      </c>
      <c r="O3" s="666"/>
      <c r="P3" s="667">
        <f>IF(J5="Quý I",1,IF(J5="Quý II",4,IF(J5="Quý III",7,IF(J5="Quý IV",10,""))))</f>
        <v>1</v>
      </c>
      <c r="Q3" s="667">
        <f>IF(J5="Quý I",3,IF(J5="Quý II",6,IF(J5="Quý III",9,IF(J5="Quý IV",12,""))))</f>
        <v>3</v>
      </c>
    </row>
    <row r="4" spans="1:17" s="66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8"/>
      <c r="M4" s="669"/>
      <c r="N4" s="664" t="s">
        <v>105</v>
      </c>
      <c r="O4" s="666"/>
    </row>
    <row r="5" spans="1:17" ht="18" customHeight="1" thickBot="1">
      <c r="D5" s="314" t="str">
        <f>+IF(LEFT($L$5,1)="N","PHIẾU NHẬP KHO","PHIẾU XUẤT KHO")</f>
        <v>PHIẾU XUẤT KHO</v>
      </c>
      <c r="J5" s="659" t="s">
        <v>2021</v>
      </c>
      <c r="K5" s="315"/>
      <c r="L5" s="660" t="s">
        <v>390</v>
      </c>
      <c r="M5" s="316"/>
      <c r="N5" s="661">
        <v>27</v>
      </c>
      <c r="O5" s="311"/>
      <c r="P5" s="311"/>
    </row>
    <row r="6" spans="1:17" ht="10.5" customHeight="1">
      <c r="D6" s="67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2  năm  2015</v>
      </c>
      <c r="E6" s="672"/>
      <c r="M6" s="313"/>
      <c r="O6" s="31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TP/X27</v>
      </c>
      <c r="G7" s="310" t="str">
        <f ca="1">"Nợ:  "&amp;IF(ROWS($1:1)&gt;COUNT(Dong10),"",OFFSET(TH!L$1,SMALL(Dong10,ROWS($1:1)),))</f>
        <v>Nợ:  131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5112</v>
      </c>
      <c r="M8" s="313"/>
      <c r="O8" s="675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APEX VN                                         Địa chỉ (bộ phận) :     Sản Xuất 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2" t="s">
        <v>35</v>
      </c>
      <c r="B14" s="1062" t="s">
        <v>201</v>
      </c>
      <c r="C14" s="1062" t="s">
        <v>202</v>
      </c>
      <c r="D14" s="1062" t="s">
        <v>193</v>
      </c>
      <c r="E14" s="1064" t="s">
        <v>203</v>
      </c>
      <c r="F14" s="1064"/>
      <c r="G14" s="1062" t="s">
        <v>204</v>
      </c>
      <c r="H14" s="1062" t="s">
        <v>205</v>
      </c>
    </row>
    <row r="15" spans="1:17" ht="12.75" customHeight="1">
      <c r="A15" s="1063"/>
      <c r="B15" s="1063"/>
      <c r="C15" s="1063"/>
      <c r="D15" s="1063"/>
      <c r="E15" s="676" t="s">
        <v>206</v>
      </c>
      <c r="F15" s="676" t="str">
        <f>IF(LEFT($D$7,1)="N","Thực nhập","Thực xuất")</f>
        <v>Thực xuất</v>
      </c>
      <c r="G15" s="1063"/>
      <c r="H15" s="1063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>
        <f ca="1">IF(B17="","",ROW()-16)</f>
        <v>1</v>
      </c>
      <c r="B17" s="679" t="str">
        <f ca="1">IF(ROWS($1:1)&gt;COUNT(Dong10),"",OFFSET(TH!F$1,SMALL(Dong10,ROWS($1:1)),))</f>
        <v>Thùng (40,5x30,5x35,5)</v>
      </c>
      <c r="C17" s="680"/>
      <c r="D17" s="681" t="str">
        <f ca="1">IF(ISNA(VLOOKUP(B17,NXT!$C$12:$D$666,2,0)),"",VLOOKUP(B17,NXT!$C$12:$D$666,2,0))</f>
        <v>cái</v>
      </c>
      <c r="E17" s="682"/>
      <c r="F17" s="683">
        <f ca="1">IF(ROWS($1:1)&gt;COUNT(Dong10),"",OFFSET(TH!I$1,SMALL(Dong10,ROWS($1:1)),))</f>
        <v>69</v>
      </c>
      <c r="G17" s="683">
        <f ca="1">IF(ROWS($1:1)&gt;COUNT(Dong10),"",OFFSET(TH!J$1,SMALL(Dong10,ROWS($1:1)),))</f>
        <v>15834</v>
      </c>
      <c r="H17" s="682">
        <f ca="1">IF(F17&lt;&gt;"",ROUND(F17*G17,0),0)</f>
        <v>1092546</v>
      </c>
    </row>
    <row r="18" spans="1:8" ht="11.25" customHeight="1">
      <c r="A18" s="678">
        <f t="shared" ref="A18:A20" ca="1" si="0">IF(B18="","",A17+1)</f>
        <v>2</v>
      </c>
      <c r="B18" s="679" t="str">
        <f ca="1">IF(ROWS($1:2)&gt;COUNT(Dong10),"",OFFSET(TH!F$1,SMALL(Dong10,ROWS($1:2)),))</f>
        <v>Thùng (40,5x30,5x17,7)</v>
      </c>
      <c r="C18" s="680"/>
      <c r="D18" s="681" t="str">
        <f ca="1">IF(ISNA(VLOOKUP(B18,NXT!$C$12:$D$666,2,0)),"",VLOOKUP(B18,NXT!$C$12:$D$666,2,0))</f>
        <v>cái</v>
      </c>
      <c r="E18" s="682"/>
      <c r="F18" s="683">
        <f ca="1">IF(ROWS($1:2)&gt;COUNT(Dong10),"",OFFSET(TH!I$1,SMALL(Dong10,ROWS($1:2)),))</f>
        <v>87</v>
      </c>
      <c r="G18" s="683">
        <f ca="1">IF(ROWS($1:2)&gt;COUNT(Dong10),"",OFFSET(TH!J$1,SMALL(Dong10,ROWS($1:2)),))</f>
        <v>12317</v>
      </c>
      <c r="H18" s="682">
        <f t="shared" ref="H18:H24" ca="1" si="1">IF(F18&lt;&gt;"",ROUND(F18*G18,0),0)</f>
        <v>1071579</v>
      </c>
    </row>
    <row r="19" spans="1:8" ht="11.25" customHeight="1">
      <c r="A19" s="678">
        <f t="shared" ca="1" si="0"/>
        <v>3</v>
      </c>
      <c r="B19" s="679" t="str">
        <f ca="1">IF(ROWS($1:3)&gt;COUNT(Dong10),"",OFFSET(TH!F$1,SMALL(Dong10,ROWS($1:3)),))</f>
        <v>Thùng (40,5x30,5x10)</v>
      </c>
      <c r="C19" s="680"/>
      <c r="D19" s="681" t="str">
        <f ca="1">IF(ISNA(VLOOKUP(B19,NXT!$C$12:$D$666,2,0)),"",VLOOKUP(B19,NXT!$C$12:$D$666,2,0))</f>
        <v>cái</v>
      </c>
      <c r="E19" s="682"/>
      <c r="F19" s="683">
        <f ca="1">IF(ROWS($1:3)&gt;COUNT(Dong10),"",OFFSET(TH!I$1,SMALL(Dong10,ROWS($1:3)),))</f>
        <v>4</v>
      </c>
      <c r="G19" s="683">
        <f ca="1">IF(ROWS($1:3)&gt;COUNT(Dong10),"",OFFSET(TH!J$1,SMALL(Dong10,ROWS($1:3)),))</f>
        <v>10796</v>
      </c>
      <c r="H19" s="682">
        <f t="shared" ca="1" si="1"/>
        <v>43184</v>
      </c>
    </row>
    <row r="20" spans="1:8" ht="11.25" customHeight="1">
      <c r="A20" s="678">
        <f t="shared" ca="1" si="0"/>
        <v>4</v>
      </c>
      <c r="B20" s="679" t="str">
        <f ca="1">IF(ROWS($1:4)&gt;COUNT(Dong10),"",OFFSET(TH!F$1,SMALL(Dong10,ROWS($1:4)),))</f>
        <v>Thùng (42,5x42,5x11,5)</v>
      </c>
      <c r="C20" s="680"/>
      <c r="D20" s="681" t="str">
        <f ca="1">IF(ISNA(VLOOKUP(B20,NXT!$C$12:$D$666,2,0)),"",VLOOKUP(B20,NXT!$C$12:$D$666,2,0))</f>
        <v>cái</v>
      </c>
      <c r="E20" s="682"/>
      <c r="F20" s="683">
        <f ca="1">IF(ROWS($1:4)&gt;COUNT(Dong10),"",OFFSET(TH!I$1,SMALL(Dong10,ROWS($1:4)),))</f>
        <v>4</v>
      </c>
      <c r="G20" s="683">
        <f ca="1">IF(ROWS($1:4)&gt;COUNT(Dong10),"",OFFSET(TH!J$1,SMALL(Dong10,ROWS($1:4)),))</f>
        <v>15338</v>
      </c>
      <c r="H20" s="682">
        <f t="shared" ca="1" si="1"/>
        <v>61352</v>
      </c>
    </row>
    <row r="21" spans="1:8" ht="11.25" customHeight="1">
      <c r="A21" s="678">
        <f t="shared" ref="A21:A23" ca="1" si="2">IF(B21="","",A20+1)</f>
        <v>5</v>
      </c>
      <c r="B21" s="679" t="str">
        <f ca="1">IF(ROWS($1:5)&gt;COUNT(Dong10),"",OFFSET(TH!F$1,SMALL(Dong10,ROWS($1:5)),))</f>
        <v>Thùng (42,5x42,5x22,5)</v>
      </c>
      <c r="C21" s="680"/>
      <c r="D21" s="681" t="str">
        <f ca="1">IF(ISNA(VLOOKUP(B21,NXT!$C$12:$D$666,2,0)),"",VLOOKUP(B21,NXT!$C$12:$D$666,2,0))</f>
        <v>cái</v>
      </c>
      <c r="E21" s="682"/>
      <c r="F21" s="683">
        <f ca="1">IF(ROWS($1:5)&gt;COUNT(Dong10),"",OFFSET(TH!I$1,SMALL(Dong10,ROWS($1:5)),))</f>
        <v>13</v>
      </c>
      <c r="G21" s="683">
        <f ca="1">IF(ROWS($1:5)&gt;COUNT(Dong10),"",OFFSET(TH!J$1,SMALL(Dong10,ROWS($1:5)),))</f>
        <v>17900</v>
      </c>
      <c r="H21" s="682">
        <f t="shared" ca="1" si="1"/>
        <v>232700</v>
      </c>
    </row>
    <row r="22" spans="1:8" ht="11.25" customHeight="1">
      <c r="A22" s="678">
        <f t="shared" ca="1" si="2"/>
        <v>6</v>
      </c>
      <c r="B22" s="679" t="str">
        <f ca="1">IF(ROWS($1:6)&gt;COUNT(Dong10),"",OFFSET(TH!F$1,SMALL(Dong10,ROWS($1:6)),))</f>
        <v>Thùng (42,5x42,5x32,5)</v>
      </c>
      <c r="C22" s="680"/>
      <c r="D22" s="681" t="str">
        <f ca="1">IF(ISNA(VLOOKUP(B22,NXT!$C$12:$D$666,2,0)),"",VLOOKUP(B22,NXT!$C$12:$D$666,2,0))</f>
        <v>cái</v>
      </c>
      <c r="E22" s="682"/>
      <c r="F22" s="683">
        <f ca="1">IF(ROWS($1:6)&gt;COUNT(Dong10),"",OFFSET(TH!I$1,SMALL(Dong10,ROWS($1:6)),))</f>
        <v>68</v>
      </c>
      <c r="G22" s="683">
        <f ca="1">IF(ROWS($1:6)&gt;COUNT(Dong10),"",OFFSET(TH!J$1,SMALL(Dong10,ROWS($1:6)),))</f>
        <v>20250</v>
      </c>
      <c r="H22" s="682">
        <f t="shared" ca="1" si="1"/>
        <v>1377000</v>
      </c>
    </row>
    <row r="23" spans="1:8" ht="11.25" customHeight="1">
      <c r="A23" s="678">
        <f t="shared" ca="1" si="2"/>
        <v>7</v>
      </c>
      <c r="B23" s="679" t="str">
        <f ca="1">IF(ROWS($1:7)&gt;COUNT(Dong10),"",OFFSET(TH!F$1,SMALL(Dong10,ROWS($1:7)),))</f>
        <v>Tấm lót (30x20)</v>
      </c>
      <c r="C23" s="680"/>
      <c r="D23" s="681" t="str">
        <f ca="1">IF(ISNA(VLOOKUP(B23,NXT!$C$12:$D$666,2,0)),"",VLOOKUP(B23,NXT!$C$12:$D$666,2,0))</f>
        <v>tấm</v>
      </c>
      <c r="E23" s="682"/>
      <c r="F23" s="683">
        <f ca="1">IF(ROWS($1:7)&gt;COUNT(Dong10),"",OFFSET(TH!I$1,SMALL(Dong10,ROWS($1:7)),))</f>
        <v>490</v>
      </c>
      <c r="G23" s="683">
        <f ca="1">IF(ROWS($1:7)&gt;COUNT(Dong10),"",OFFSET(TH!J$1,SMALL(Dong10,ROWS($1:7)),))</f>
        <v>1600</v>
      </c>
      <c r="H23" s="682">
        <f t="shared" ca="1" si="1"/>
        <v>784000</v>
      </c>
    </row>
    <row r="24" spans="1:8" ht="11.25" customHeight="1">
      <c r="A24" s="678">
        <f t="shared" ref="A24" ca="1" si="3">IF(B24="","",A23+1)</f>
        <v>8</v>
      </c>
      <c r="B24" s="679" t="str">
        <f ca="1">IF(ROWS($1:8)&gt;COUNT(Dong10),"",OFFSET(TH!F$1,SMALL(Dong10,ROWS($1:8)),))</f>
        <v>Thùng (61x44x35)</v>
      </c>
      <c r="C24" s="680"/>
      <c r="D24" s="681" t="str">
        <f ca="1">IF(ISNA(VLOOKUP(B24,NXT!$C$12:$D$666,2,0)),"",VLOOKUP(B24,NXT!$C$12:$D$666,2,0))</f>
        <v>cái</v>
      </c>
      <c r="E24" s="682"/>
      <c r="F24" s="683">
        <f ca="1">IF(ROWS($1:8)&gt;COUNT(Dong10),"",OFFSET(TH!I$1,SMALL(Dong10,ROWS($1:8)),))</f>
        <v>42</v>
      </c>
      <c r="G24" s="683">
        <f ca="1">IF(ROWS($1:8)&gt;COUNT(Dong10),"",OFFSET(TH!J$1,SMALL(Dong10,ROWS($1:8)),))</f>
        <v>24450</v>
      </c>
      <c r="H24" s="682">
        <f t="shared" ca="1" si="1"/>
        <v>1026900</v>
      </c>
    </row>
    <row r="25" spans="1:8" ht="11.25" customHeight="1">
      <c r="A25" s="678">
        <f t="shared" ref="A25" ca="1" si="4">IF(B25="","",A24+1)</f>
        <v>9</v>
      </c>
      <c r="B25" s="679" t="str">
        <f ca="1">IF(ROWS($1:9)&gt;COUNT(Dong10),"",OFFSET(TH!F$1,SMALL(Dong10,ROWS($1:9)),))</f>
        <v>Tấm lót (50x20)</v>
      </c>
      <c r="C25" s="680"/>
      <c r="D25" s="681" t="str">
        <f ca="1">IF(ISNA(VLOOKUP(B25,NXT!$C$12:$D$666,2,0)),"",VLOOKUP(B25,NXT!$C$12:$D$666,2,0))</f>
        <v>tấm</v>
      </c>
      <c r="E25" s="682"/>
      <c r="F25" s="683">
        <f ca="1">IF(ROWS($1:9)&gt;COUNT(Dong10),"",OFFSET(TH!I$1,SMALL(Dong10,ROWS($1:9)),))</f>
        <v>84</v>
      </c>
      <c r="G25" s="683">
        <f ca="1">IF(ROWS($1:9)&gt;COUNT(Dong10),"",OFFSET(TH!J$1,SMALL(Dong10,ROWS($1:9)),))</f>
        <v>1000</v>
      </c>
      <c r="H25" s="682">
        <f t="shared" ref="H25" ca="1" si="5">IF(F25&lt;&gt;"",ROUND(F25*G25,0),0)</f>
        <v>84000</v>
      </c>
    </row>
    <row r="26" spans="1:8" ht="11.25" customHeight="1">
      <c r="A26" s="678" t="str">
        <f t="shared" ref="A26" ca="1" si="6">IF(B26="","",A25+1)</f>
        <v/>
      </c>
      <c r="B26" s="679" t="str">
        <f ca="1">IF(ROWS($1:10)&gt;COUNT(Dong10),"",OFFSET(TH!F$1,SMALL(Dong10,ROWS($1:10)),))</f>
        <v/>
      </c>
      <c r="C26" s="680"/>
      <c r="D26" s="681" t="str">
        <f ca="1">IF(ISNA(VLOOKUP(B26,NXT!$C$12:$D$666,2,0)),"",VLOOKUP(B26,NXT!$C$12:$D$666,2,0))</f>
        <v/>
      </c>
      <c r="E26" s="682"/>
      <c r="F26" s="683" t="str">
        <f ca="1">IF(ROWS($1:10)&gt;COUNT(Dong10),"",OFFSET(TH!I$1,SMALL(Dong10,ROWS($1:10)),))</f>
        <v/>
      </c>
      <c r="G26" s="683" t="str">
        <f ca="1">IF(ROWS($1:10)&gt;COUNT(Dong10),"",OFFSET(TH!J$1,SMALL(Dong10,ROWS($1:10)),))</f>
        <v/>
      </c>
      <c r="H26" s="682">
        <f t="shared" ref="H26" ca="1" si="7">IF(F26&lt;&gt;"",ROUND(F26*G26,0),0)</f>
        <v>0</v>
      </c>
    </row>
    <row r="27" spans="1:8" ht="6.75" customHeight="1">
      <c r="A27" s="678" t="str">
        <f t="shared" ref="A27" ca="1" si="8">IF(B27="","",A26+1)</f>
        <v/>
      </c>
      <c r="B27" s="679" t="str">
        <f ca="1">IF(ROWS($1:11)&gt;COUNT(Dong10),"",OFFSET(TH!F$1,SMALL(Dong10,ROWS($1:11)),))</f>
        <v/>
      </c>
      <c r="C27" s="680"/>
      <c r="D27" s="681" t="str">
        <f ca="1">IF(ISNA(VLOOKUP(B27,NXT!$C$12:$D$666,2,0)),"",VLOOKUP(B27,NXT!$C$12:$D$666,2,0))</f>
        <v/>
      </c>
      <c r="E27" s="682"/>
      <c r="F27" s="683" t="str">
        <f ca="1">IF(ROWS($1:11)&gt;COUNT(Dong10),"",OFFSET(TH!I$1,SMALL(Dong10,ROWS($1:11)),))</f>
        <v/>
      </c>
      <c r="G27" s="683" t="str">
        <f ca="1">IF(ROWS($1:11)&gt;COUNT(Dong10),"",OFFSET(TH!J$1,SMALL(Dong10,ROWS($1:11)),))</f>
        <v/>
      </c>
      <c r="H27" s="682">
        <f t="shared" ref="H27" ca="1" si="9">IF(F27&lt;&gt;"",ROUND(F27*G27,0),0)</f>
        <v>0</v>
      </c>
    </row>
    <row r="28" spans="1:8" ht="11.25" customHeight="1">
      <c r="A28" s="1064" t="s">
        <v>207</v>
      </c>
      <c r="B28" s="1064"/>
      <c r="C28" s="684"/>
      <c r="D28" s="684"/>
      <c r="E28" s="685"/>
      <c r="F28" s="685"/>
      <c r="G28" s="685"/>
      <c r="H28" s="685">
        <f ca="1">SUM(H17:H27)</f>
        <v>5773261</v>
      </c>
    </row>
    <row r="29" spans="1:8" ht="3" customHeight="1">
      <c r="A29" s="686"/>
      <c r="B29" s="686"/>
      <c r="C29" s="313"/>
      <c r="D29" s="313"/>
      <c r="E29" s="687"/>
      <c r="F29" s="687"/>
      <c r="G29" s="687"/>
      <c r="H29" s="687"/>
    </row>
    <row r="30" spans="1:8" ht="11.25" customHeight="1">
      <c r="A30" s="310" t="str">
        <f ca="1">"Tổng số tiền (viết bằng chữ):  "&amp;[4]!VND(H28, TRUE)</f>
        <v>Tổng số tiền (viết bằng chữ):  Năm triệu, bảy trăm bảy mươi ba ngàn, hai trăm sáu mươi mốt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0000279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2  năm  2015</v>
      </c>
    </row>
    <row r="33" spans="1:8" s="312" customFormat="1" ht="11.25" customHeight="1">
      <c r="A33" s="68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7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74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0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072" t="s">
        <v>211</v>
      </c>
      <c r="K2" s="1072"/>
      <c r="L2" s="1072"/>
      <c r="M2" s="1072"/>
      <c r="N2" s="327"/>
    </row>
    <row r="3" spans="1:17" s="262" customFormat="1" ht="16.5" customHeight="1">
      <c r="B3" s="610" t="str">
        <f>TH!A2</f>
        <v>Địa chỉ: 1A227/1 Ấp 1, Phạm Văn Hai, Bình Chánh, TPHCM</v>
      </c>
      <c r="C3" s="323"/>
      <c r="D3" s="323"/>
      <c r="E3" s="328"/>
      <c r="F3" s="323"/>
      <c r="J3" s="1073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73"/>
      <c r="L3" s="1073"/>
      <c r="M3" s="1073"/>
      <c r="N3" s="329"/>
    </row>
    <row r="4" spans="1:17" s="262" customFormat="1" ht="16.5" customHeight="1">
      <c r="B4" s="323"/>
      <c r="C4" s="323"/>
      <c r="D4" s="323"/>
      <c r="E4" s="328"/>
      <c r="F4" s="323"/>
      <c r="J4" s="1073"/>
      <c r="K4" s="1073"/>
      <c r="L4" s="1073"/>
      <c r="M4" s="1073"/>
      <c r="N4" s="329"/>
    </row>
    <row r="5" spans="1:17" ht="18.75" customHeight="1">
      <c r="B5" s="1074" t="s">
        <v>212</v>
      </c>
      <c r="C5" s="1074"/>
      <c r="D5" s="1074"/>
      <c r="E5" s="1074"/>
      <c r="F5" s="1074"/>
      <c r="G5" s="1074"/>
      <c r="H5" s="1074"/>
      <c r="I5" s="1074"/>
      <c r="J5" s="1074"/>
      <c r="K5" s="1074"/>
      <c r="L5" s="1074"/>
      <c r="M5" s="1074"/>
      <c r="N5" s="330"/>
    </row>
    <row r="6" spans="1:17" s="331" customFormat="1" ht="12.75">
      <c r="B6" s="1075" t="s">
        <v>213</v>
      </c>
      <c r="C6" s="1075"/>
      <c r="D6" s="1075"/>
      <c r="E6" s="1075"/>
      <c r="F6" s="1075"/>
      <c r="G6" s="1075"/>
      <c r="H6" s="1075"/>
      <c r="I6" s="1075"/>
      <c r="J6" s="1075"/>
      <c r="K6" s="1075"/>
      <c r="L6" s="1075"/>
      <c r="M6" s="1075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076" t="s">
        <v>1380</v>
      </c>
      <c r="K8" s="1076"/>
      <c r="L8" s="1076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66" t="s">
        <v>35</v>
      </c>
      <c r="B10" s="1067" t="s">
        <v>1</v>
      </c>
      <c r="C10" s="1067"/>
      <c r="D10" s="1068" t="s">
        <v>0</v>
      </c>
      <c r="E10" s="1068" t="s">
        <v>216</v>
      </c>
      <c r="F10" s="1068" t="s">
        <v>204</v>
      </c>
      <c r="G10" s="1070" t="s">
        <v>217</v>
      </c>
      <c r="H10" s="1071"/>
      <c r="I10" s="1070" t="s">
        <v>218</v>
      </c>
      <c r="J10" s="1071"/>
      <c r="K10" s="1070" t="s">
        <v>219</v>
      </c>
      <c r="L10" s="1071"/>
      <c r="M10" s="1068" t="s">
        <v>127</v>
      </c>
      <c r="N10" s="340"/>
      <c r="O10" s="341" t="s">
        <v>210</v>
      </c>
    </row>
    <row r="11" spans="1:17" ht="31.5" customHeight="1">
      <c r="A11" s="1066"/>
      <c r="B11" s="342" t="s">
        <v>15</v>
      </c>
      <c r="C11" s="342" t="s">
        <v>32</v>
      </c>
      <c r="D11" s="1068"/>
      <c r="E11" s="1068"/>
      <c r="F11" s="1068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068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069" t="str">
        <f ca="1">"Ngày 31 tháng  12  năm  "&amp;YEAR($A$14)</f>
        <v>Ngày 31 tháng  12  năm  1900</v>
      </c>
      <c r="K77" s="1069"/>
      <c r="L77" s="1069"/>
      <c r="M77" s="1069"/>
      <c r="N77" s="346"/>
    </row>
    <row r="78" spans="1:14">
      <c r="C78" s="333"/>
      <c r="D78" s="553" t="s">
        <v>11</v>
      </c>
      <c r="E78" s="1069" t="s">
        <v>12</v>
      </c>
      <c r="F78" s="1069"/>
      <c r="G78" s="1069"/>
      <c r="H78" s="1069"/>
      <c r="I78" s="1069"/>
      <c r="J78" s="1069" t="s">
        <v>109</v>
      </c>
      <c r="K78" s="1069"/>
      <c r="L78" s="1069"/>
      <c r="M78" s="1069"/>
      <c r="N78" s="346"/>
    </row>
    <row r="79" spans="1:14">
      <c r="C79" s="333"/>
      <c r="D79" s="553" t="s">
        <v>13</v>
      </c>
      <c r="E79" s="1069" t="s">
        <v>13</v>
      </c>
      <c r="F79" s="1069"/>
      <c r="G79" s="1069"/>
      <c r="H79" s="1069" t="s">
        <v>136</v>
      </c>
      <c r="I79" s="1069"/>
      <c r="J79" s="1069" t="s">
        <v>136</v>
      </c>
      <c r="K79" s="1069"/>
      <c r="L79" s="1069"/>
      <c r="M79" s="1069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8" t="s">
        <v>151</v>
      </c>
      <c r="E88" s="578"/>
      <c r="J88" s="1065" t="s">
        <v>103</v>
      </c>
      <c r="K88" s="1065"/>
      <c r="L88" s="1065"/>
      <c r="M88" s="1065"/>
      <c r="N88" s="579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078" t="s">
        <v>226</v>
      </c>
      <c r="G1" s="1078"/>
      <c r="H1" s="1078"/>
      <c r="I1" s="1078"/>
      <c r="J1" s="1078"/>
      <c r="K1" s="376"/>
      <c r="L1" s="377"/>
    </row>
    <row r="2" spans="1:12" ht="15" customHeight="1">
      <c r="A2" s="611" t="str">
        <f>TH!A2</f>
        <v>Địa chỉ: 1A227/1 Ấp 1, Phạm Văn Hai, Bình Chánh, TPHCM</v>
      </c>
      <c r="B2" s="378"/>
      <c r="C2" s="378"/>
      <c r="D2" s="378"/>
      <c r="E2" s="379"/>
      <c r="F2" s="1077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77"/>
      <c r="H2" s="1077"/>
      <c r="I2" s="1077"/>
      <c r="J2" s="1077"/>
      <c r="K2" s="376"/>
    </row>
    <row r="3" spans="1:12" ht="15">
      <c r="A3" s="378"/>
      <c r="B3" s="378"/>
      <c r="C3" s="378"/>
      <c r="D3" s="378"/>
      <c r="E3" s="379"/>
      <c r="F3" s="1077"/>
      <c r="G3" s="1077"/>
      <c r="H3" s="1077"/>
      <c r="I3" s="1077"/>
      <c r="J3" s="1077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079" t="s">
        <v>231</v>
      </c>
      <c r="B9" s="1080"/>
      <c r="C9" s="1080"/>
      <c r="D9" s="1080"/>
      <c r="E9" s="386"/>
      <c r="F9" s="380"/>
      <c r="G9" s="387"/>
      <c r="H9" s="387"/>
      <c r="I9" s="387"/>
      <c r="J9" s="388"/>
      <c r="K9" s="388"/>
    </row>
    <row r="10" spans="1:12" ht="19.5" customHeight="1">
      <c r="A10" s="1081" t="s">
        <v>232</v>
      </c>
      <c r="B10" s="1082" t="s">
        <v>233</v>
      </c>
      <c r="C10" s="1084" t="s">
        <v>15</v>
      </c>
      <c r="D10" s="1085"/>
      <c r="E10" s="1086" t="s">
        <v>0</v>
      </c>
      <c r="F10" s="1095" t="s">
        <v>234</v>
      </c>
      <c r="G10" s="1089" t="s">
        <v>203</v>
      </c>
      <c r="H10" s="1089"/>
      <c r="I10" s="1085"/>
      <c r="J10" s="1090" t="s">
        <v>235</v>
      </c>
      <c r="K10" s="389"/>
      <c r="L10" s="390" t="s">
        <v>220</v>
      </c>
    </row>
    <row r="11" spans="1:12" ht="19.5" customHeight="1">
      <c r="A11" s="1081"/>
      <c r="B11" s="1083"/>
      <c r="C11" s="391" t="s">
        <v>217</v>
      </c>
      <c r="D11" s="391" t="s">
        <v>218</v>
      </c>
      <c r="E11" s="1087"/>
      <c r="F11" s="1096"/>
      <c r="G11" s="392" t="s">
        <v>217</v>
      </c>
      <c r="H11" s="392" t="s">
        <v>218</v>
      </c>
      <c r="I11" s="392" t="s">
        <v>219</v>
      </c>
      <c r="J11" s="1091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100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7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200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7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500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7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400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7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300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7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150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7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150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7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7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7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7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7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7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7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7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7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7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7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8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500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09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93"/>
      <c r="C35" s="1093"/>
      <c r="D35" s="1093"/>
      <c r="E35" s="1093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094" t="s">
        <v>12</v>
      </c>
      <c r="F37" s="1094"/>
      <c r="G37" s="387"/>
      <c r="I37" s="582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088" t="s">
        <v>13</v>
      </c>
      <c r="F38" s="1088"/>
      <c r="G38" s="387"/>
      <c r="I38" s="583" t="s">
        <v>136</v>
      </c>
      <c r="J38" s="581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978" workbookViewId="0">
      <selection activeCell="K888" activeCellId="1" sqref="I888:I1259 K888:K1259"/>
    </sheetView>
  </sheetViews>
  <sheetFormatPr defaultColWidth="10.28515625" defaultRowHeight="12.75"/>
  <cols>
    <col min="1" max="1" width="4.7109375" style="705" customWidth="1"/>
    <col min="2" max="2" width="26.28515625" style="705" customWidth="1"/>
    <col min="3" max="3" width="10.140625" style="718" customWidth="1"/>
    <col min="4" max="4" width="9.5703125" style="719" customWidth="1"/>
    <col min="5" max="7" width="7.140625" style="751" customWidth="1"/>
    <col min="8" max="8" width="8.5703125" style="705" customWidth="1"/>
    <col min="9" max="10" width="8.42578125" style="705" customWidth="1"/>
    <col min="11" max="11" width="8" style="705" customWidth="1"/>
    <col min="12" max="12" width="2" style="717" customWidth="1"/>
    <col min="13" max="13" width="25.7109375" style="705" customWidth="1"/>
    <col min="14" max="14" width="10.140625" style="718" customWidth="1"/>
    <col min="15" max="15" width="8.140625" style="751" customWidth="1"/>
    <col min="16" max="16" width="7.5703125" style="292" customWidth="1"/>
    <col min="17" max="17" width="13.5703125" style="705" customWidth="1"/>
    <col min="18" max="16384" width="10.28515625" style="705"/>
  </cols>
  <sheetData>
    <row r="1" spans="1:17" ht="18" hidden="1" customHeight="1">
      <c r="A1" s="563" t="str">
        <f>TH!$A$1</f>
        <v>Đơn vị: CÔNG TY TNHH SX TM KIM DUNG PHÁT</v>
      </c>
      <c r="B1" s="706"/>
      <c r="C1" s="701"/>
      <c r="H1" s="292"/>
      <c r="I1" s="591"/>
      <c r="J1" s="591"/>
      <c r="K1" s="292"/>
      <c r="L1" s="720"/>
      <c r="M1" s="292"/>
      <c r="N1" s="701"/>
    </row>
    <row r="2" spans="1:17" ht="18.75" customHeight="1">
      <c r="A2" s="707" t="s">
        <v>1848</v>
      </c>
      <c r="B2" s="707"/>
      <c r="C2" s="701"/>
      <c r="E2" s="809"/>
      <c r="F2" s="809"/>
      <c r="G2" s="809"/>
      <c r="H2" s="707"/>
      <c r="I2" s="707"/>
      <c r="J2" s="707"/>
      <c r="K2" s="707"/>
      <c r="L2" s="720"/>
      <c r="M2" s="292"/>
      <c r="N2" s="701"/>
    </row>
    <row r="3" spans="1:17" ht="12.75" customHeight="1">
      <c r="A3" s="747"/>
      <c r="B3" s="744"/>
      <c r="C3" s="747"/>
      <c r="D3" s="747"/>
      <c r="E3" s="810"/>
      <c r="F3" s="810"/>
      <c r="G3" s="810"/>
      <c r="H3" s="744"/>
      <c r="I3" s="722"/>
      <c r="J3" s="722"/>
      <c r="K3" s="744"/>
      <c r="L3" s="720"/>
      <c r="M3" s="715"/>
      <c r="N3" s="747"/>
      <c r="O3" s="752"/>
      <c r="P3" s="723"/>
      <c r="Q3" s="747"/>
    </row>
    <row r="4" spans="1:17" s="442" customFormat="1" ht="21" customHeight="1">
      <c r="A4" s="1097" t="s">
        <v>35</v>
      </c>
      <c r="B4" s="1097" t="s">
        <v>239</v>
      </c>
      <c r="C4" s="1097" t="s">
        <v>1858</v>
      </c>
      <c r="D4" s="1097" t="s">
        <v>1859</v>
      </c>
      <c r="E4" s="1098" t="s">
        <v>1860</v>
      </c>
      <c r="F4" s="1099"/>
      <c r="G4" s="1099"/>
      <c r="H4" s="1100"/>
      <c r="I4" s="1097" t="s">
        <v>240</v>
      </c>
      <c r="J4" s="1104" t="s">
        <v>1870</v>
      </c>
      <c r="K4" s="1097" t="s">
        <v>1864</v>
      </c>
      <c r="L4" s="441"/>
      <c r="M4" s="1097" t="s">
        <v>239</v>
      </c>
      <c r="N4" s="1097" t="s">
        <v>1865</v>
      </c>
      <c r="O4" s="1097" t="s">
        <v>198</v>
      </c>
      <c r="P4" s="1097" t="s">
        <v>241</v>
      </c>
      <c r="Q4" s="1097" t="s">
        <v>242</v>
      </c>
    </row>
    <row r="5" spans="1:17" s="442" customFormat="1" ht="21" customHeight="1">
      <c r="A5" s="1097"/>
      <c r="B5" s="1097"/>
      <c r="C5" s="1097"/>
      <c r="D5" s="1097"/>
      <c r="E5" s="753" t="s">
        <v>1861</v>
      </c>
      <c r="F5" s="753" t="s">
        <v>1862</v>
      </c>
      <c r="G5" s="753" t="s">
        <v>1863</v>
      </c>
      <c r="H5" s="440" t="s">
        <v>1868</v>
      </c>
      <c r="I5" s="1097"/>
      <c r="J5" s="1105"/>
      <c r="K5" s="1097"/>
      <c r="L5" s="441"/>
      <c r="M5" s="1097"/>
      <c r="N5" s="1097"/>
      <c r="O5" s="1097"/>
      <c r="P5" s="1097"/>
      <c r="Q5" s="1097"/>
    </row>
    <row r="6" spans="1:17" ht="16.5" customHeight="1">
      <c r="A6" s="709">
        <f>IF(B6&lt;&gt;"",ROW()-(ROW()-1),"")</f>
        <v>1</v>
      </c>
      <c r="B6" s="294" t="s">
        <v>398</v>
      </c>
      <c r="C6" s="725">
        <v>42010</v>
      </c>
      <c r="D6" s="726" t="s">
        <v>399</v>
      </c>
      <c r="E6" s="811">
        <v>52</v>
      </c>
      <c r="F6" s="811">
        <v>24.5</v>
      </c>
      <c r="G6" s="811">
        <v>24.5</v>
      </c>
      <c r="H6" s="807">
        <f>IF(G6&lt;&gt;"",ROUND(((E6+F6)*2+5)*(F6+G6+3)/10000,2),ROUND(E6*F6/10000,2))</f>
        <v>0.82</v>
      </c>
      <c r="I6" s="710">
        <v>936</v>
      </c>
      <c r="J6" s="710">
        <f>H6*I6</f>
        <v>767.52</v>
      </c>
      <c r="K6" s="710">
        <f t="shared" ref="K6:K37" si="0">H6*$Q$31</f>
        <v>6786.2992119664887</v>
      </c>
      <c r="L6" s="724"/>
      <c r="M6" s="443" t="s">
        <v>1937</v>
      </c>
      <c r="N6" s="725">
        <v>42006</v>
      </c>
      <c r="O6" s="304">
        <v>4502</v>
      </c>
      <c r="P6" s="746">
        <v>7200</v>
      </c>
      <c r="Q6" s="8">
        <f t="shared" ref="Q6:Q7" si="1">ROUND(O6*P6,0)</f>
        <v>32414400</v>
      </c>
    </row>
    <row r="7" spans="1:17" ht="16.5" customHeight="1">
      <c r="A7" s="709">
        <f>IF(B7&lt;&gt;"",A6+1,"")</f>
        <v>2</v>
      </c>
      <c r="B7" s="296" t="s">
        <v>401</v>
      </c>
      <c r="C7" s="727">
        <v>42010</v>
      </c>
      <c r="D7" s="728" t="s">
        <v>399</v>
      </c>
      <c r="E7" s="812">
        <v>52</v>
      </c>
      <c r="F7" s="811">
        <v>32</v>
      </c>
      <c r="G7" s="811">
        <v>21</v>
      </c>
      <c r="H7" s="807">
        <f t="shared" ref="H7:H69" si="2">IF(G7&lt;&gt;"",ROUND(((E7+F7)*2+5)*(F7+G7+3)/10000,2),ROUND(E7*F7/10000,2))</f>
        <v>0.97</v>
      </c>
      <c r="I7" s="256">
        <v>316</v>
      </c>
      <c r="J7" s="710">
        <f t="shared" ref="J7:J69" si="3">H7*I7</f>
        <v>306.52</v>
      </c>
      <c r="K7" s="710">
        <f t="shared" si="0"/>
        <v>8027.6954092774313</v>
      </c>
      <c r="L7" s="724"/>
      <c r="M7" s="443" t="s">
        <v>1937</v>
      </c>
      <c r="N7" s="725">
        <v>42014</v>
      </c>
      <c r="O7" s="754">
        <v>17104</v>
      </c>
      <c r="P7" s="745">
        <v>7300</v>
      </c>
      <c r="Q7" s="8">
        <f t="shared" si="1"/>
        <v>124859200</v>
      </c>
    </row>
    <row r="8" spans="1:17" ht="16.5" customHeight="1">
      <c r="A8" s="709">
        <f t="shared" ref="A8:A97" si="4">IF(B8&lt;&gt;"",A7+1,"")</f>
        <v>3</v>
      </c>
      <c r="B8" s="296" t="s">
        <v>403</v>
      </c>
      <c r="C8" s="727">
        <v>42011</v>
      </c>
      <c r="D8" s="728" t="s">
        <v>404</v>
      </c>
      <c r="E8" s="812">
        <v>43</v>
      </c>
      <c r="F8" s="811">
        <v>31</v>
      </c>
      <c r="G8" s="811">
        <v>25</v>
      </c>
      <c r="H8" s="807">
        <f t="shared" si="2"/>
        <v>0.9</v>
      </c>
      <c r="I8" s="256">
        <v>500</v>
      </c>
      <c r="J8" s="710">
        <f t="shared" si="3"/>
        <v>450</v>
      </c>
      <c r="K8" s="710">
        <f t="shared" si="0"/>
        <v>7448.3771838656585</v>
      </c>
      <c r="L8" s="724"/>
      <c r="M8" s="443" t="s">
        <v>1937</v>
      </c>
      <c r="N8" s="725">
        <v>42036</v>
      </c>
      <c r="O8" s="754">
        <v>17275</v>
      </c>
      <c r="P8" s="745">
        <v>7600</v>
      </c>
      <c r="Q8" s="8">
        <f t="shared" ref="Q8" si="5">ROUND(O8*P8,0)</f>
        <v>131290000</v>
      </c>
    </row>
    <row r="9" spans="1:17" ht="16.5" customHeight="1">
      <c r="A9" s="709">
        <f t="shared" si="4"/>
        <v>4</v>
      </c>
      <c r="B9" s="296" t="s">
        <v>405</v>
      </c>
      <c r="C9" s="727">
        <v>42011</v>
      </c>
      <c r="D9" s="728" t="s">
        <v>406</v>
      </c>
      <c r="E9" s="812">
        <v>46</v>
      </c>
      <c r="F9" s="811">
        <v>42</v>
      </c>
      <c r="G9" s="811">
        <v>24</v>
      </c>
      <c r="H9" s="807">
        <f t="shared" si="2"/>
        <v>1.25</v>
      </c>
      <c r="I9" s="256">
        <v>660</v>
      </c>
      <c r="J9" s="710">
        <f t="shared" si="3"/>
        <v>825</v>
      </c>
      <c r="K9" s="710">
        <f t="shared" si="0"/>
        <v>10344.968310924525</v>
      </c>
      <c r="L9" s="724"/>
      <c r="M9" s="191" t="s">
        <v>1947</v>
      </c>
      <c r="N9" s="725">
        <v>42064</v>
      </c>
      <c r="O9" s="754">
        <v>2730</v>
      </c>
      <c r="P9" s="745">
        <v>9200</v>
      </c>
      <c r="Q9" s="8">
        <f t="shared" ref="Q9" si="6">ROUND(O9*P9,0)</f>
        <v>25116000</v>
      </c>
    </row>
    <row r="10" spans="1:17" ht="16.5" customHeight="1">
      <c r="A10" s="709">
        <f t="shared" si="4"/>
        <v>5</v>
      </c>
      <c r="B10" s="296" t="s">
        <v>408</v>
      </c>
      <c r="C10" s="727">
        <v>42011</v>
      </c>
      <c r="D10" s="728" t="s">
        <v>406</v>
      </c>
      <c r="E10" s="812">
        <v>45</v>
      </c>
      <c r="F10" s="811">
        <v>39</v>
      </c>
      <c r="G10" s="811">
        <v>24</v>
      </c>
      <c r="H10" s="807">
        <f t="shared" si="2"/>
        <v>1.1399999999999999</v>
      </c>
      <c r="I10" s="256">
        <v>661</v>
      </c>
      <c r="J10" s="710">
        <f t="shared" si="3"/>
        <v>753.54</v>
      </c>
      <c r="K10" s="710">
        <f t="shared" si="0"/>
        <v>9434.6110995631661</v>
      </c>
      <c r="L10" s="724"/>
      <c r="M10" s="191" t="s">
        <v>1936</v>
      </c>
      <c r="N10" s="725">
        <v>42078</v>
      </c>
      <c r="O10" s="754">
        <v>5000</v>
      </c>
      <c r="P10" s="745">
        <v>9600</v>
      </c>
      <c r="Q10" s="8">
        <f t="shared" ref="Q10:Q11" si="7">ROUND(O10*P10,0)</f>
        <v>48000000</v>
      </c>
    </row>
    <row r="11" spans="1:17" ht="16.5" customHeight="1">
      <c r="A11" s="709">
        <f t="shared" si="4"/>
        <v>6</v>
      </c>
      <c r="B11" s="296" t="s">
        <v>409</v>
      </c>
      <c r="C11" s="727">
        <v>42012</v>
      </c>
      <c r="D11" s="728" t="s">
        <v>410</v>
      </c>
      <c r="E11" s="812">
        <v>36.5</v>
      </c>
      <c r="F11" s="811">
        <v>27.3</v>
      </c>
      <c r="G11" s="811">
        <v>25.5</v>
      </c>
      <c r="H11" s="807">
        <f t="shared" si="2"/>
        <v>0.74</v>
      </c>
      <c r="I11" s="256">
        <v>7200</v>
      </c>
      <c r="J11" s="710">
        <f t="shared" si="3"/>
        <v>5328</v>
      </c>
      <c r="K11" s="710">
        <f t="shared" si="0"/>
        <v>6124.2212400673188</v>
      </c>
      <c r="L11" s="724"/>
      <c r="M11" s="444"/>
      <c r="N11" s="725"/>
      <c r="O11" s="754"/>
      <c r="P11" s="745"/>
      <c r="Q11" s="8">
        <f t="shared" si="7"/>
        <v>0</v>
      </c>
    </row>
    <row r="12" spans="1:17" ht="16.5" customHeight="1">
      <c r="A12" s="709">
        <f t="shared" si="4"/>
        <v>7</v>
      </c>
      <c r="B12" s="296" t="s">
        <v>413</v>
      </c>
      <c r="C12" s="727">
        <v>42017</v>
      </c>
      <c r="D12" s="728" t="s">
        <v>411</v>
      </c>
      <c r="E12" s="812">
        <v>49</v>
      </c>
      <c r="F12" s="811">
        <v>38</v>
      </c>
      <c r="G12" s="811">
        <v>12</v>
      </c>
      <c r="H12" s="807">
        <f t="shared" si="2"/>
        <v>0.95</v>
      </c>
      <c r="I12" s="256">
        <v>503</v>
      </c>
      <c r="J12" s="710">
        <f t="shared" si="3"/>
        <v>477.84999999999997</v>
      </c>
      <c r="K12" s="710">
        <f t="shared" si="0"/>
        <v>7862.1759163026391</v>
      </c>
      <c r="L12" s="724"/>
      <c r="M12" s="444"/>
      <c r="N12" s="725"/>
      <c r="O12" s="754"/>
      <c r="P12" s="745"/>
      <c r="Q12" s="8"/>
    </row>
    <row r="13" spans="1:17" ht="16.5" customHeight="1">
      <c r="A13" s="709">
        <f t="shared" si="4"/>
        <v>8</v>
      </c>
      <c r="B13" s="296" t="s">
        <v>413</v>
      </c>
      <c r="C13" s="727">
        <v>42017</v>
      </c>
      <c r="D13" s="728" t="s">
        <v>411</v>
      </c>
      <c r="E13" s="812">
        <v>49</v>
      </c>
      <c r="F13" s="811">
        <v>38</v>
      </c>
      <c r="G13" s="811">
        <v>12</v>
      </c>
      <c r="H13" s="807">
        <f t="shared" si="2"/>
        <v>0.95</v>
      </c>
      <c r="I13" s="256">
        <v>499</v>
      </c>
      <c r="J13" s="710">
        <f t="shared" si="3"/>
        <v>474.04999999999995</v>
      </c>
      <c r="K13" s="710">
        <f t="shared" si="0"/>
        <v>7862.1759163026391</v>
      </c>
      <c r="L13" s="724"/>
      <c r="M13" s="803" t="s">
        <v>1852</v>
      </c>
      <c r="N13" s="804"/>
      <c r="O13" s="805"/>
      <c r="P13" s="530"/>
      <c r="Q13" s="530">
        <f>SUM(Q6:Q12)</f>
        <v>361679600</v>
      </c>
    </row>
    <row r="14" spans="1:17" ht="16.5" customHeight="1">
      <c r="A14" s="709">
        <f t="shared" si="4"/>
        <v>9</v>
      </c>
      <c r="B14" s="296" t="s">
        <v>414</v>
      </c>
      <c r="C14" s="727">
        <v>42018</v>
      </c>
      <c r="D14" s="728" t="s">
        <v>415</v>
      </c>
      <c r="E14" s="812">
        <v>105</v>
      </c>
      <c r="F14" s="811">
        <v>55</v>
      </c>
      <c r="G14" s="811">
        <v>33</v>
      </c>
      <c r="H14" s="807">
        <f t="shared" si="2"/>
        <v>2.96</v>
      </c>
      <c r="I14" s="256">
        <v>27</v>
      </c>
      <c r="J14" s="710">
        <f t="shared" si="3"/>
        <v>79.92</v>
      </c>
      <c r="K14" s="710">
        <f t="shared" si="0"/>
        <v>24496.884960269275</v>
      </c>
      <c r="L14" s="724"/>
      <c r="M14" s="188" t="s">
        <v>1871</v>
      </c>
      <c r="N14" s="727">
        <v>42006</v>
      </c>
      <c r="O14" s="745">
        <v>500</v>
      </c>
      <c r="P14" s="745">
        <v>9800</v>
      </c>
      <c r="Q14" s="8">
        <f t="shared" ref="Q14" si="8">ROUND(O14*P14,0)</f>
        <v>4900000</v>
      </c>
    </row>
    <row r="15" spans="1:17" ht="16.5" customHeight="1">
      <c r="A15" s="709">
        <f t="shared" si="4"/>
        <v>10</v>
      </c>
      <c r="B15" s="296" t="s">
        <v>417</v>
      </c>
      <c r="C15" s="727">
        <v>42018</v>
      </c>
      <c r="D15" s="728" t="s">
        <v>415</v>
      </c>
      <c r="E15" s="812">
        <v>75</v>
      </c>
      <c r="F15" s="811">
        <v>55</v>
      </c>
      <c r="G15" s="811">
        <v>34</v>
      </c>
      <c r="H15" s="807">
        <f t="shared" si="2"/>
        <v>2.44</v>
      </c>
      <c r="I15" s="256">
        <v>67</v>
      </c>
      <c r="J15" s="710">
        <f t="shared" si="3"/>
        <v>163.47999999999999</v>
      </c>
      <c r="K15" s="710">
        <f t="shared" si="0"/>
        <v>20193.378142924674</v>
      </c>
      <c r="L15" s="724"/>
      <c r="M15" s="296" t="s">
        <v>2017</v>
      </c>
      <c r="N15" s="727">
        <v>42006</v>
      </c>
      <c r="O15" s="745">
        <v>500</v>
      </c>
      <c r="P15" s="745">
        <v>11000</v>
      </c>
      <c r="Q15" s="8">
        <f t="shared" ref="Q15" si="9">ROUND(O15*P15,0)</f>
        <v>5500000</v>
      </c>
    </row>
    <row r="16" spans="1:17" ht="16.5" customHeight="1">
      <c r="A16" s="709">
        <f t="shared" si="4"/>
        <v>11</v>
      </c>
      <c r="B16" s="296" t="s">
        <v>418</v>
      </c>
      <c r="C16" s="727">
        <v>42018</v>
      </c>
      <c r="D16" s="728" t="s">
        <v>415</v>
      </c>
      <c r="E16" s="812">
        <v>66</v>
      </c>
      <c r="F16" s="811">
        <v>40.6</v>
      </c>
      <c r="G16" s="811">
        <v>35.5</v>
      </c>
      <c r="H16" s="807">
        <f t="shared" si="2"/>
        <v>1.73</v>
      </c>
      <c r="I16" s="256">
        <v>85</v>
      </c>
      <c r="J16" s="710">
        <f t="shared" si="3"/>
        <v>147.05000000000001</v>
      </c>
      <c r="K16" s="710">
        <f t="shared" si="0"/>
        <v>14317.436142319544</v>
      </c>
      <c r="L16" s="724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09">
        <f t="shared" si="4"/>
        <v>12</v>
      </c>
      <c r="B17" s="296" t="s">
        <v>419</v>
      </c>
      <c r="C17" s="727">
        <v>42018</v>
      </c>
      <c r="D17" s="728" t="s">
        <v>415</v>
      </c>
      <c r="E17" s="812">
        <v>43.1</v>
      </c>
      <c r="F17" s="811">
        <v>35.5</v>
      </c>
      <c r="G17" s="811">
        <v>20.3</v>
      </c>
      <c r="H17" s="807">
        <f t="shared" si="2"/>
        <v>0.95</v>
      </c>
      <c r="I17" s="256">
        <v>572</v>
      </c>
      <c r="J17" s="710">
        <f t="shared" si="3"/>
        <v>543.4</v>
      </c>
      <c r="K17" s="710">
        <f t="shared" si="0"/>
        <v>7862.1759163026391</v>
      </c>
      <c r="L17" s="724"/>
      <c r="M17" s="188" t="s">
        <v>337</v>
      </c>
      <c r="N17" s="727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09">
        <f t="shared" si="4"/>
        <v>13</v>
      </c>
      <c r="B18" s="296" t="s">
        <v>1652</v>
      </c>
      <c r="C18" s="727">
        <v>42018</v>
      </c>
      <c r="D18" s="728" t="s">
        <v>415</v>
      </c>
      <c r="E18" s="812">
        <v>60</v>
      </c>
      <c r="F18" s="811">
        <v>25</v>
      </c>
      <c r="G18" s="811"/>
      <c r="H18" s="807">
        <f t="shared" si="2"/>
        <v>0.15</v>
      </c>
      <c r="I18" s="256">
        <v>358</v>
      </c>
      <c r="J18" s="710">
        <f t="shared" si="3"/>
        <v>53.699999999999996</v>
      </c>
      <c r="K18" s="710">
        <f t="shared" si="0"/>
        <v>1241.3961973109431</v>
      </c>
      <c r="L18" s="724"/>
      <c r="M18" s="188" t="s">
        <v>337</v>
      </c>
      <c r="N18" s="727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09">
        <f t="shared" si="4"/>
        <v>14</v>
      </c>
      <c r="B19" s="296" t="s">
        <v>1653</v>
      </c>
      <c r="C19" s="727">
        <v>42018</v>
      </c>
      <c r="D19" s="728" t="s">
        <v>415</v>
      </c>
      <c r="E19" s="812">
        <v>41</v>
      </c>
      <c r="F19" s="811">
        <v>26</v>
      </c>
      <c r="G19" s="811"/>
      <c r="H19" s="807">
        <f t="shared" si="2"/>
        <v>0.11</v>
      </c>
      <c r="I19" s="256">
        <v>1144</v>
      </c>
      <c r="J19" s="710">
        <f t="shared" si="3"/>
        <v>125.84</v>
      </c>
      <c r="K19" s="710">
        <f t="shared" si="0"/>
        <v>910.35721136135828</v>
      </c>
      <c r="L19" s="724"/>
      <c r="M19" s="188" t="s">
        <v>1372</v>
      </c>
      <c r="N19" s="725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09">
        <f t="shared" si="4"/>
        <v>15</v>
      </c>
      <c r="B20" s="296" t="s">
        <v>420</v>
      </c>
      <c r="C20" s="727">
        <v>42024</v>
      </c>
      <c r="D20" s="728" t="s">
        <v>421</v>
      </c>
      <c r="E20" s="812">
        <v>44</v>
      </c>
      <c r="F20" s="811">
        <v>38</v>
      </c>
      <c r="G20" s="811">
        <v>30</v>
      </c>
      <c r="H20" s="807">
        <f t="shared" si="2"/>
        <v>1.2</v>
      </c>
      <c r="I20" s="256">
        <v>220</v>
      </c>
      <c r="J20" s="710">
        <f t="shared" si="3"/>
        <v>264</v>
      </c>
      <c r="K20" s="710">
        <f t="shared" si="0"/>
        <v>9931.1695784875446</v>
      </c>
      <c r="L20" s="724"/>
      <c r="M20" s="444"/>
      <c r="N20" s="725"/>
      <c r="O20" s="754"/>
      <c r="P20" s="745"/>
      <c r="Q20" s="8"/>
    </row>
    <row r="21" spans="1:17" ht="16.5" customHeight="1">
      <c r="A21" s="709">
        <f t="shared" si="4"/>
        <v>16</v>
      </c>
      <c r="B21" s="296" t="s">
        <v>405</v>
      </c>
      <c r="C21" s="727">
        <v>42024</v>
      </c>
      <c r="D21" s="728" t="s">
        <v>423</v>
      </c>
      <c r="E21" s="812">
        <v>46</v>
      </c>
      <c r="F21" s="811">
        <v>42</v>
      </c>
      <c r="G21" s="811">
        <v>24</v>
      </c>
      <c r="H21" s="807">
        <f t="shared" si="2"/>
        <v>1.25</v>
      </c>
      <c r="I21" s="256">
        <v>455</v>
      </c>
      <c r="J21" s="710">
        <f t="shared" si="3"/>
        <v>568.75</v>
      </c>
      <c r="K21" s="710">
        <f t="shared" si="0"/>
        <v>10344.968310924525</v>
      </c>
      <c r="L21" s="724"/>
      <c r="M21" s="803" t="s">
        <v>1853</v>
      </c>
      <c r="N21" s="804"/>
      <c r="O21" s="805"/>
      <c r="P21" s="530"/>
      <c r="Q21" s="530">
        <f>SUM(Q14:Q20)</f>
        <v>15614000</v>
      </c>
    </row>
    <row r="22" spans="1:17" ht="16.5" customHeight="1">
      <c r="A22" s="709">
        <f t="shared" si="4"/>
        <v>17</v>
      </c>
      <c r="B22" s="296" t="s">
        <v>408</v>
      </c>
      <c r="C22" s="727">
        <v>42024</v>
      </c>
      <c r="D22" s="728" t="s">
        <v>423</v>
      </c>
      <c r="E22" s="812">
        <v>45</v>
      </c>
      <c r="F22" s="811">
        <v>39</v>
      </c>
      <c r="G22" s="811">
        <v>24</v>
      </c>
      <c r="H22" s="807">
        <f t="shared" si="2"/>
        <v>1.1399999999999999</v>
      </c>
      <c r="I22" s="256">
        <v>51</v>
      </c>
      <c r="J22" s="710">
        <f t="shared" si="3"/>
        <v>58.139999999999993</v>
      </c>
      <c r="K22" s="710">
        <f t="shared" si="0"/>
        <v>9434.6110995631661</v>
      </c>
      <c r="L22" s="724"/>
      <c r="M22" s="444" t="s">
        <v>1854</v>
      </c>
      <c r="N22" s="725"/>
      <c r="O22" s="754"/>
      <c r="P22" s="745"/>
      <c r="Q22" s="8">
        <f>Q13</f>
        <v>361679600</v>
      </c>
    </row>
    <row r="23" spans="1:17" ht="16.5" customHeight="1">
      <c r="A23" s="709">
        <f t="shared" si="4"/>
        <v>18</v>
      </c>
      <c r="B23" s="296" t="s">
        <v>424</v>
      </c>
      <c r="C23" s="727">
        <v>42024</v>
      </c>
      <c r="D23" s="728" t="s">
        <v>425</v>
      </c>
      <c r="E23" s="812">
        <v>46</v>
      </c>
      <c r="F23" s="811">
        <v>42</v>
      </c>
      <c r="G23" s="811">
        <v>13</v>
      </c>
      <c r="H23" s="807">
        <f t="shared" si="2"/>
        <v>1.05</v>
      </c>
      <c r="I23" s="256">
        <v>1934</v>
      </c>
      <c r="J23" s="710">
        <f t="shared" si="3"/>
        <v>2030.7</v>
      </c>
      <c r="K23" s="710">
        <f t="shared" si="0"/>
        <v>8689.7733811766011</v>
      </c>
      <c r="L23" s="724"/>
      <c r="M23" s="444" t="s">
        <v>1855</v>
      </c>
      <c r="N23" s="725"/>
      <c r="O23" s="754"/>
      <c r="P23" s="745"/>
      <c r="Q23" s="8">
        <f>Q21</f>
        <v>15614000</v>
      </c>
    </row>
    <row r="24" spans="1:17" ht="16.5" customHeight="1">
      <c r="A24" s="709">
        <f t="shared" si="4"/>
        <v>19</v>
      </c>
      <c r="B24" s="296" t="s">
        <v>426</v>
      </c>
      <c r="C24" s="727">
        <v>42025</v>
      </c>
      <c r="D24" s="728" t="s">
        <v>427</v>
      </c>
      <c r="E24" s="812">
        <v>62</v>
      </c>
      <c r="F24" s="811">
        <v>40</v>
      </c>
      <c r="G24" s="811">
        <v>27</v>
      </c>
      <c r="H24" s="807">
        <f t="shared" si="2"/>
        <v>1.46</v>
      </c>
      <c r="I24" s="256">
        <v>105</v>
      </c>
      <c r="J24" s="710">
        <f t="shared" si="3"/>
        <v>153.29999999999998</v>
      </c>
      <c r="K24" s="710">
        <f t="shared" si="0"/>
        <v>12082.922987159845</v>
      </c>
      <c r="L24" s="724"/>
      <c r="M24" s="444" t="s">
        <v>1857</v>
      </c>
      <c r="N24" s="725"/>
      <c r="O24" s="754"/>
      <c r="P24" s="745"/>
      <c r="Q24" s="8">
        <v>4700000</v>
      </c>
    </row>
    <row r="25" spans="1:17" ht="16.5" customHeight="1">
      <c r="A25" s="709">
        <f t="shared" si="4"/>
        <v>20</v>
      </c>
      <c r="B25" s="296" t="s">
        <v>428</v>
      </c>
      <c r="C25" s="727">
        <v>42025</v>
      </c>
      <c r="D25" s="728" t="s">
        <v>427</v>
      </c>
      <c r="E25" s="812">
        <v>43</v>
      </c>
      <c r="F25" s="811">
        <v>41</v>
      </c>
      <c r="G25" s="811">
        <v>27</v>
      </c>
      <c r="H25" s="807">
        <f t="shared" si="2"/>
        <v>1.23</v>
      </c>
      <c r="I25" s="256">
        <v>32</v>
      </c>
      <c r="J25" s="710">
        <f t="shared" si="3"/>
        <v>39.36</v>
      </c>
      <c r="K25" s="710">
        <f t="shared" si="0"/>
        <v>10179.448817949733</v>
      </c>
      <c r="L25" s="724"/>
      <c r="M25" s="444" t="s">
        <v>1856</v>
      </c>
      <c r="N25" s="725"/>
      <c r="O25" s="754"/>
      <c r="P25" s="745"/>
      <c r="Q25" s="8">
        <v>30750000</v>
      </c>
    </row>
    <row r="26" spans="1:17" ht="16.5" customHeight="1">
      <c r="A26" s="709">
        <f t="shared" si="4"/>
        <v>21</v>
      </c>
      <c r="B26" s="296" t="s">
        <v>405</v>
      </c>
      <c r="C26" s="727">
        <v>42025</v>
      </c>
      <c r="D26" s="728" t="s">
        <v>427</v>
      </c>
      <c r="E26" s="812">
        <v>46</v>
      </c>
      <c r="F26" s="811">
        <v>42</v>
      </c>
      <c r="G26" s="811">
        <v>24</v>
      </c>
      <c r="H26" s="807">
        <f t="shared" si="2"/>
        <v>1.25</v>
      </c>
      <c r="I26" s="256">
        <v>102</v>
      </c>
      <c r="J26" s="710">
        <f t="shared" si="3"/>
        <v>127.5</v>
      </c>
      <c r="K26" s="710">
        <f t="shared" si="0"/>
        <v>10344.968310924525</v>
      </c>
      <c r="L26" s="724"/>
      <c r="M26" s="444" t="s">
        <v>1869</v>
      </c>
      <c r="N26" s="725"/>
      <c r="O26" s="754"/>
      <c r="P26" s="745"/>
      <c r="Q26" s="8">
        <v>102855000</v>
      </c>
    </row>
    <row r="27" spans="1:17" ht="16.5" customHeight="1">
      <c r="A27" s="709">
        <f t="shared" si="4"/>
        <v>22</v>
      </c>
      <c r="B27" s="296" t="s">
        <v>429</v>
      </c>
      <c r="C27" s="727">
        <v>42025</v>
      </c>
      <c r="D27" s="728" t="s">
        <v>427</v>
      </c>
      <c r="E27" s="812">
        <v>50</v>
      </c>
      <c r="F27" s="811">
        <v>42</v>
      </c>
      <c r="G27" s="811">
        <v>26</v>
      </c>
      <c r="H27" s="807">
        <f t="shared" si="2"/>
        <v>1.34</v>
      </c>
      <c r="I27" s="256">
        <v>102</v>
      </c>
      <c r="J27" s="710">
        <f t="shared" si="3"/>
        <v>136.68</v>
      </c>
      <c r="K27" s="710">
        <f t="shared" si="0"/>
        <v>11089.806029311092</v>
      </c>
      <c r="L27" s="724"/>
      <c r="M27" s="444"/>
      <c r="N27" s="725"/>
      <c r="O27" s="754"/>
      <c r="P27" s="745"/>
      <c r="Q27" s="8"/>
    </row>
    <row r="28" spans="1:17" ht="16.5" customHeight="1">
      <c r="A28" s="709">
        <f t="shared" si="4"/>
        <v>23</v>
      </c>
      <c r="B28" s="296" t="s">
        <v>430</v>
      </c>
      <c r="C28" s="727">
        <v>42025</v>
      </c>
      <c r="D28" s="728" t="s">
        <v>427</v>
      </c>
      <c r="E28" s="812">
        <v>35</v>
      </c>
      <c r="F28" s="811">
        <v>32</v>
      </c>
      <c r="G28" s="811">
        <v>29</v>
      </c>
      <c r="H28" s="807">
        <f t="shared" si="2"/>
        <v>0.89</v>
      </c>
      <c r="I28" s="256">
        <v>40</v>
      </c>
      <c r="J28" s="710">
        <f t="shared" si="3"/>
        <v>35.6</v>
      </c>
      <c r="K28" s="710">
        <f t="shared" si="0"/>
        <v>7365.6174373782624</v>
      </c>
      <c r="L28" s="724"/>
      <c r="M28" s="803" t="s">
        <v>1866</v>
      </c>
      <c r="N28" s="804"/>
      <c r="O28" s="805"/>
      <c r="P28" s="530"/>
      <c r="Q28" s="530">
        <f>SUM(Q22:Q27)</f>
        <v>515598600</v>
      </c>
    </row>
    <row r="29" spans="1:17" ht="16.5" customHeight="1">
      <c r="A29" s="709">
        <f t="shared" si="4"/>
        <v>24</v>
      </c>
      <c r="B29" s="296" t="s">
        <v>424</v>
      </c>
      <c r="C29" s="727">
        <v>42025</v>
      </c>
      <c r="D29" s="728" t="s">
        <v>427</v>
      </c>
      <c r="E29" s="812">
        <v>46</v>
      </c>
      <c r="F29" s="811">
        <v>42</v>
      </c>
      <c r="G29" s="811">
        <v>13</v>
      </c>
      <c r="H29" s="807">
        <f t="shared" si="2"/>
        <v>1.05</v>
      </c>
      <c r="I29" s="256">
        <v>298</v>
      </c>
      <c r="J29" s="710">
        <f t="shared" si="3"/>
        <v>312.90000000000003</v>
      </c>
      <c r="K29" s="710">
        <f t="shared" si="0"/>
        <v>8689.7733811766011</v>
      </c>
      <c r="L29" s="724"/>
      <c r="M29" s="445"/>
      <c r="N29" s="733"/>
      <c r="O29" s="755"/>
      <c r="P29" s="723"/>
      <c r="Q29" s="735"/>
    </row>
    <row r="30" spans="1:17" ht="16.5" customHeight="1">
      <c r="A30" s="709">
        <f t="shared" si="4"/>
        <v>25</v>
      </c>
      <c r="B30" s="296" t="s">
        <v>431</v>
      </c>
      <c r="C30" s="727">
        <v>42025</v>
      </c>
      <c r="D30" s="728" t="s">
        <v>427</v>
      </c>
      <c r="E30" s="812">
        <v>37</v>
      </c>
      <c r="F30" s="811">
        <v>37</v>
      </c>
      <c r="G30" s="811">
        <v>29</v>
      </c>
      <c r="H30" s="807">
        <f t="shared" si="2"/>
        <v>1.06</v>
      </c>
      <c r="I30" s="256">
        <v>51</v>
      </c>
      <c r="J30" s="710">
        <f t="shared" si="3"/>
        <v>54.06</v>
      </c>
      <c r="K30" s="710">
        <f t="shared" si="0"/>
        <v>8772.533127663999</v>
      </c>
      <c r="L30" s="724"/>
      <c r="M30" s="445"/>
      <c r="N30" s="733"/>
      <c r="O30" s="755"/>
      <c r="P30" s="723"/>
      <c r="Q30" s="735"/>
    </row>
    <row r="31" spans="1:17" ht="16.5" customHeight="1">
      <c r="A31" s="709">
        <f t="shared" si="4"/>
        <v>26</v>
      </c>
      <c r="B31" s="296" t="s">
        <v>432</v>
      </c>
      <c r="C31" s="727">
        <v>42025</v>
      </c>
      <c r="D31" s="728" t="s">
        <v>427</v>
      </c>
      <c r="E31" s="812">
        <v>47</v>
      </c>
      <c r="F31" s="811">
        <v>42</v>
      </c>
      <c r="G31" s="811">
        <v>27</v>
      </c>
      <c r="H31" s="807">
        <f t="shared" si="2"/>
        <v>1.32</v>
      </c>
      <c r="I31" s="256">
        <v>380</v>
      </c>
      <c r="J31" s="710">
        <f t="shared" si="3"/>
        <v>501.6</v>
      </c>
      <c r="K31" s="710">
        <f t="shared" si="0"/>
        <v>10924.2865363363</v>
      </c>
      <c r="L31" s="724"/>
      <c r="M31" s="1101" t="s">
        <v>1867</v>
      </c>
      <c r="N31" s="1102"/>
      <c r="O31" s="1102"/>
      <c r="P31" s="1103"/>
      <c r="Q31" s="808">
        <f>Q28/J162</f>
        <v>8275.9746487396205</v>
      </c>
    </row>
    <row r="32" spans="1:17" ht="16.5" customHeight="1">
      <c r="A32" s="709">
        <f t="shared" si="4"/>
        <v>27</v>
      </c>
      <c r="B32" s="296" t="s">
        <v>433</v>
      </c>
      <c r="C32" s="727">
        <v>42026</v>
      </c>
      <c r="D32" s="728" t="s">
        <v>434</v>
      </c>
      <c r="E32" s="812">
        <v>59</v>
      </c>
      <c r="F32" s="811">
        <v>38</v>
      </c>
      <c r="G32" s="811">
        <v>17</v>
      </c>
      <c r="H32" s="807">
        <f t="shared" si="2"/>
        <v>1.1499999999999999</v>
      </c>
      <c r="I32" s="256">
        <v>733</v>
      </c>
      <c r="J32" s="710">
        <f t="shared" si="3"/>
        <v>842.94999999999993</v>
      </c>
      <c r="K32" s="710">
        <f t="shared" si="0"/>
        <v>9517.3708460505622</v>
      </c>
      <c r="L32" s="724"/>
      <c r="M32" s="445"/>
      <c r="N32" s="733"/>
      <c r="O32" s="755"/>
      <c r="P32" s="723"/>
      <c r="Q32" s="735"/>
    </row>
    <row r="33" spans="1:17" ht="16.5" customHeight="1">
      <c r="A33" s="709">
        <f t="shared" si="4"/>
        <v>28</v>
      </c>
      <c r="B33" s="296" t="s">
        <v>436</v>
      </c>
      <c r="C33" s="727">
        <v>42026</v>
      </c>
      <c r="D33" s="728" t="s">
        <v>437</v>
      </c>
      <c r="E33" s="812">
        <v>32.5</v>
      </c>
      <c r="F33" s="811">
        <v>32.5</v>
      </c>
      <c r="G33" s="811">
        <v>29.5</v>
      </c>
      <c r="H33" s="807">
        <f t="shared" si="2"/>
        <v>0.88</v>
      </c>
      <c r="I33" s="256">
        <v>120</v>
      </c>
      <c r="J33" s="710">
        <f t="shared" si="3"/>
        <v>105.6</v>
      </c>
      <c r="K33" s="710">
        <f t="shared" si="0"/>
        <v>7282.8576908908663</v>
      </c>
      <c r="L33" s="724"/>
      <c r="M33" s="445"/>
      <c r="N33" s="733"/>
      <c r="O33" s="755"/>
      <c r="P33" s="723"/>
      <c r="Q33" s="735"/>
    </row>
    <row r="34" spans="1:17" ht="16.5" customHeight="1">
      <c r="A34" s="709">
        <f t="shared" si="4"/>
        <v>29</v>
      </c>
      <c r="B34" s="296" t="s">
        <v>439</v>
      </c>
      <c r="C34" s="727">
        <v>42026</v>
      </c>
      <c r="D34" s="728" t="s">
        <v>437</v>
      </c>
      <c r="E34" s="812">
        <v>51.5</v>
      </c>
      <c r="F34" s="811">
        <v>28.5</v>
      </c>
      <c r="G34" s="811">
        <v>7.2</v>
      </c>
      <c r="H34" s="807">
        <f t="shared" si="2"/>
        <v>0.64</v>
      </c>
      <c r="I34" s="256">
        <v>499</v>
      </c>
      <c r="J34" s="710">
        <f t="shared" si="3"/>
        <v>319.36</v>
      </c>
      <c r="K34" s="710">
        <f t="shared" si="0"/>
        <v>5296.6237751933577</v>
      </c>
      <c r="L34" s="724"/>
      <c r="M34" s="445"/>
      <c r="N34" s="733"/>
      <c r="O34" s="755"/>
      <c r="P34" s="723"/>
      <c r="Q34" s="735"/>
    </row>
    <row r="35" spans="1:17" ht="16.5" customHeight="1">
      <c r="A35" s="709">
        <f t="shared" si="4"/>
        <v>30</v>
      </c>
      <c r="B35" s="296" t="s">
        <v>440</v>
      </c>
      <c r="C35" s="727">
        <v>42026</v>
      </c>
      <c r="D35" s="728" t="s">
        <v>437</v>
      </c>
      <c r="E35" s="812">
        <v>42</v>
      </c>
      <c r="F35" s="811">
        <v>23.5</v>
      </c>
      <c r="G35" s="811">
        <v>8</v>
      </c>
      <c r="H35" s="807">
        <f t="shared" si="2"/>
        <v>0.47</v>
      </c>
      <c r="I35" s="256">
        <v>295</v>
      </c>
      <c r="J35" s="710">
        <f t="shared" si="3"/>
        <v>138.65</v>
      </c>
      <c r="K35" s="710">
        <f t="shared" si="0"/>
        <v>3889.7080849076215</v>
      </c>
      <c r="L35" s="724"/>
      <c r="M35" s="445"/>
      <c r="N35" s="733"/>
      <c r="O35" s="755"/>
      <c r="P35" s="723"/>
      <c r="Q35" s="735"/>
    </row>
    <row r="36" spans="1:17" ht="16.5" customHeight="1">
      <c r="A36" s="709">
        <f t="shared" si="4"/>
        <v>31</v>
      </c>
      <c r="B36" s="296" t="s">
        <v>441</v>
      </c>
      <c r="C36" s="727">
        <v>42026</v>
      </c>
      <c r="D36" s="728" t="s">
        <v>437</v>
      </c>
      <c r="E36" s="812">
        <v>22</v>
      </c>
      <c r="F36" s="811">
        <v>22</v>
      </c>
      <c r="G36" s="811">
        <v>29.5</v>
      </c>
      <c r="H36" s="807">
        <f t="shared" si="2"/>
        <v>0.51</v>
      </c>
      <c r="I36" s="256">
        <v>1506</v>
      </c>
      <c r="J36" s="710">
        <f t="shared" si="3"/>
        <v>768.06000000000006</v>
      </c>
      <c r="K36" s="710">
        <f t="shared" si="0"/>
        <v>4220.7470708572064</v>
      </c>
      <c r="L36" s="724"/>
      <c r="M36" s="445"/>
      <c r="N36" s="733"/>
      <c r="O36" s="755"/>
      <c r="P36" s="723"/>
      <c r="Q36" s="735"/>
    </row>
    <row r="37" spans="1:17" ht="16.5" customHeight="1">
      <c r="A37" s="709">
        <f t="shared" si="4"/>
        <v>32</v>
      </c>
      <c r="B37" s="296" t="s">
        <v>442</v>
      </c>
      <c r="C37" s="727">
        <v>42026</v>
      </c>
      <c r="D37" s="728" t="s">
        <v>443</v>
      </c>
      <c r="E37" s="812">
        <v>60</v>
      </c>
      <c r="F37" s="811">
        <v>30</v>
      </c>
      <c r="G37" s="811">
        <v>30</v>
      </c>
      <c r="H37" s="807">
        <f t="shared" si="2"/>
        <v>1.17</v>
      </c>
      <c r="I37" s="256">
        <v>504</v>
      </c>
      <c r="J37" s="710">
        <f t="shared" si="3"/>
        <v>589.67999999999995</v>
      </c>
      <c r="K37" s="710">
        <f t="shared" si="0"/>
        <v>9682.8903390253563</v>
      </c>
      <c r="L37" s="724"/>
      <c r="M37" s="445"/>
      <c r="N37" s="733"/>
      <c r="O37" s="755"/>
      <c r="P37" s="723"/>
      <c r="Q37" s="735"/>
    </row>
    <row r="38" spans="1:17" ht="16.5" customHeight="1">
      <c r="A38" s="709">
        <f t="shared" si="4"/>
        <v>33</v>
      </c>
      <c r="B38" s="296" t="s">
        <v>398</v>
      </c>
      <c r="C38" s="727">
        <v>42028</v>
      </c>
      <c r="D38" s="728" t="s">
        <v>445</v>
      </c>
      <c r="E38" s="812">
        <v>52</v>
      </c>
      <c r="F38" s="811">
        <v>24.5</v>
      </c>
      <c r="G38" s="811">
        <v>24.5</v>
      </c>
      <c r="H38" s="807">
        <f t="shared" si="2"/>
        <v>0.82</v>
      </c>
      <c r="I38" s="256">
        <v>1045</v>
      </c>
      <c r="J38" s="710">
        <f t="shared" si="3"/>
        <v>856.9</v>
      </c>
      <c r="K38" s="710">
        <f t="shared" ref="K38:K69" si="12">H38*$Q$31</f>
        <v>6786.2992119664887</v>
      </c>
      <c r="L38" s="724"/>
      <c r="M38" s="445"/>
      <c r="N38" s="733"/>
      <c r="O38" s="755"/>
      <c r="P38" s="723"/>
      <c r="Q38" s="735"/>
    </row>
    <row r="39" spans="1:17" ht="16.5" customHeight="1">
      <c r="A39" s="709">
        <f t="shared" si="4"/>
        <v>34</v>
      </c>
      <c r="B39" s="296" t="s">
        <v>446</v>
      </c>
      <c r="C39" s="727">
        <v>42028</v>
      </c>
      <c r="D39" s="728" t="s">
        <v>445</v>
      </c>
      <c r="E39" s="812">
        <v>52</v>
      </c>
      <c r="F39" s="811">
        <v>26.5</v>
      </c>
      <c r="G39" s="811">
        <v>26.5</v>
      </c>
      <c r="H39" s="807">
        <f t="shared" si="2"/>
        <v>0.91</v>
      </c>
      <c r="I39" s="256">
        <v>318</v>
      </c>
      <c r="J39" s="710">
        <f t="shared" si="3"/>
        <v>289.38</v>
      </c>
      <c r="K39" s="710">
        <f t="shared" si="12"/>
        <v>7531.1369303530546</v>
      </c>
      <c r="L39" s="724"/>
      <c r="M39" s="445"/>
      <c r="N39" s="733"/>
      <c r="O39" s="755"/>
      <c r="P39" s="723"/>
      <c r="Q39" s="735"/>
    </row>
    <row r="40" spans="1:17" ht="16.5" customHeight="1">
      <c r="A40" s="709">
        <f t="shared" si="4"/>
        <v>35</v>
      </c>
      <c r="B40" s="296" t="s">
        <v>447</v>
      </c>
      <c r="C40" s="727">
        <v>42028</v>
      </c>
      <c r="D40" s="728" t="s">
        <v>448</v>
      </c>
      <c r="E40" s="812">
        <v>38.1</v>
      </c>
      <c r="F40" s="811">
        <v>35.5</v>
      </c>
      <c r="G40" s="811">
        <v>20.3</v>
      </c>
      <c r="H40" s="807">
        <f t="shared" si="2"/>
        <v>0.89</v>
      </c>
      <c r="I40" s="256">
        <v>858</v>
      </c>
      <c r="J40" s="710">
        <f t="shared" si="3"/>
        <v>763.62</v>
      </c>
      <c r="K40" s="710">
        <f t="shared" si="12"/>
        <v>7365.6174373782624</v>
      </c>
      <c r="L40" s="724"/>
      <c r="M40" s="445"/>
      <c r="N40" s="733"/>
      <c r="O40" s="755"/>
      <c r="P40" s="723"/>
      <c r="Q40" s="735"/>
    </row>
    <row r="41" spans="1:17" ht="16.5" customHeight="1">
      <c r="A41" s="709">
        <f t="shared" si="4"/>
        <v>36</v>
      </c>
      <c r="B41" s="296" t="s">
        <v>1655</v>
      </c>
      <c r="C41" s="727">
        <v>42028</v>
      </c>
      <c r="D41" s="728" t="s">
        <v>448</v>
      </c>
      <c r="E41" s="812">
        <v>36</v>
      </c>
      <c r="F41" s="811">
        <v>20</v>
      </c>
      <c r="G41" s="811"/>
      <c r="H41" s="807">
        <f t="shared" si="2"/>
        <v>7.0000000000000007E-2</v>
      </c>
      <c r="I41" s="256">
        <v>1716</v>
      </c>
      <c r="J41" s="710">
        <f t="shared" si="3"/>
        <v>120.12</v>
      </c>
      <c r="K41" s="710">
        <f t="shared" si="12"/>
        <v>579.31822541177348</v>
      </c>
      <c r="L41" s="724"/>
      <c r="M41" s="445"/>
      <c r="N41" s="733"/>
      <c r="O41" s="755"/>
      <c r="P41" s="723"/>
      <c r="Q41" s="735"/>
    </row>
    <row r="42" spans="1:17" ht="16.5" customHeight="1">
      <c r="A42" s="709">
        <f t="shared" si="4"/>
        <v>37</v>
      </c>
      <c r="B42" s="296" t="s">
        <v>449</v>
      </c>
      <c r="C42" s="727">
        <v>42028</v>
      </c>
      <c r="D42" s="728" t="s">
        <v>448</v>
      </c>
      <c r="E42" s="812">
        <v>66</v>
      </c>
      <c r="F42" s="811">
        <v>35.5</v>
      </c>
      <c r="G42" s="811">
        <v>38.1</v>
      </c>
      <c r="H42" s="807">
        <f t="shared" si="2"/>
        <v>1.59</v>
      </c>
      <c r="I42" s="256">
        <v>3</v>
      </c>
      <c r="J42" s="710">
        <f t="shared" si="3"/>
        <v>4.7700000000000005</v>
      </c>
      <c r="K42" s="710">
        <f t="shared" si="12"/>
        <v>13158.799691495997</v>
      </c>
      <c r="L42" s="724"/>
      <c r="N42" s="705"/>
      <c r="O42" s="705"/>
      <c r="P42" s="705"/>
    </row>
    <row r="43" spans="1:17" ht="16.5" customHeight="1">
      <c r="A43" s="709">
        <f t="shared" si="4"/>
        <v>38</v>
      </c>
      <c r="B43" s="296" t="s">
        <v>1656</v>
      </c>
      <c r="C43" s="727">
        <v>42028</v>
      </c>
      <c r="D43" s="728" t="s">
        <v>448</v>
      </c>
      <c r="E43" s="812">
        <v>64</v>
      </c>
      <c r="F43" s="811">
        <v>20</v>
      </c>
      <c r="G43" s="811"/>
      <c r="H43" s="807">
        <f t="shared" si="2"/>
        <v>0.13</v>
      </c>
      <c r="I43" s="256">
        <v>6</v>
      </c>
      <c r="J43" s="710">
        <f t="shared" si="3"/>
        <v>0.78</v>
      </c>
      <c r="K43" s="710">
        <f t="shared" si="12"/>
        <v>1075.8767043361506</v>
      </c>
      <c r="L43" s="724"/>
      <c r="N43" s="705"/>
      <c r="O43" s="705"/>
      <c r="P43" s="705"/>
    </row>
    <row r="44" spans="1:17" ht="16.5" customHeight="1">
      <c r="A44" s="709">
        <f t="shared" si="4"/>
        <v>39</v>
      </c>
      <c r="B44" s="296" t="s">
        <v>450</v>
      </c>
      <c r="C44" s="727">
        <v>42028</v>
      </c>
      <c r="D44" s="728" t="s">
        <v>448</v>
      </c>
      <c r="E44" s="812">
        <v>61</v>
      </c>
      <c r="F44" s="811">
        <v>44</v>
      </c>
      <c r="G44" s="811">
        <v>35</v>
      </c>
      <c r="H44" s="807">
        <f t="shared" si="2"/>
        <v>1.76</v>
      </c>
      <c r="I44" s="256">
        <v>63</v>
      </c>
      <c r="J44" s="710">
        <f t="shared" si="3"/>
        <v>110.88</v>
      </c>
      <c r="K44" s="710">
        <f t="shared" si="12"/>
        <v>14565.715381781733</v>
      </c>
      <c r="L44" s="724"/>
      <c r="N44" s="705"/>
      <c r="O44" s="705"/>
      <c r="P44" s="705"/>
    </row>
    <row r="45" spans="1:17" ht="16.5" customHeight="1">
      <c r="A45" s="709">
        <f t="shared" si="4"/>
        <v>40</v>
      </c>
      <c r="B45" s="296" t="s">
        <v>1657</v>
      </c>
      <c r="C45" s="727">
        <v>42028</v>
      </c>
      <c r="D45" s="728" t="s">
        <v>448</v>
      </c>
      <c r="E45" s="812">
        <v>45</v>
      </c>
      <c r="F45" s="811">
        <v>25</v>
      </c>
      <c r="G45" s="811"/>
      <c r="H45" s="807">
        <f t="shared" si="2"/>
        <v>0.11</v>
      </c>
      <c r="I45" s="256">
        <v>126</v>
      </c>
      <c r="J45" s="710">
        <f t="shared" si="3"/>
        <v>13.86</v>
      </c>
      <c r="K45" s="710">
        <f t="shared" si="12"/>
        <v>910.35721136135828</v>
      </c>
      <c r="L45" s="724"/>
      <c r="N45" s="705"/>
      <c r="O45" s="705"/>
      <c r="P45" s="705"/>
    </row>
    <row r="46" spans="1:17" ht="16.5" customHeight="1">
      <c r="A46" s="709">
        <f t="shared" si="4"/>
        <v>41</v>
      </c>
      <c r="B46" s="296" t="s">
        <v>1658</v>
      </c>
      <c r="C46" s="727">
        <v>42028</v>
      </c>
      <c r="D46" s="728" t="s">
        <v>448</v>
      </c>
      <c r="E46" s="812">
        <v>60</v>
      </c>
      <c r="F46" s="811">
        <v>34</v>
      </c>
      <c r="G46" s="811"/>
      <c r="H46" s="807">
        <f t="shared" si="2"/>
        <v>0.2</v>
      </c>
      <c r="I46" s="256">
        <v>126</v>
      </c>
      <c r="J46" s="710">
        <f t="shared" si="3"/>
        <v>25.200000000000003</v>
      </c>
      <c r="K46" s="710">
        <f t="shared" si="12"/>
        <v>1655.1949297479241</v>
      </c>
      <c r="L46" s="724"/>
      <c r="N46" s="705"/>
      <c r="O46" s="705"/>
      <c r="P46" s="705"/>
    </row>
    <row r="47" spans="1:17" ht="16.5" customHeight="1">
      <c r="A47" s="709">
        <f t="shared" si="4"/>
        <v>42</v>
      </c>
      <c r="B47" s="296" t="s">
        <v>451</v>
      </c>
      <c r="C47" s="727">
        <v>42031</v>
      </c>
      <c r="D47" s="728" t="s">
        <v>452</v>
      </c>
      <c r="E47" s="812">
        <v>49.5</v>
      </c>
      <c r="F47" s="811">
        <v>38.5</v>
      </c>
      <c r="G47" s="811">
        <v>32.5</v>
      </c>
      <c r="H47" s="807">
        <f t="shared" si="2"/>
        <v>1.34</v>
      </c>
      <c r="I47" s="256">
        <v>303</v>
      </c>
      <c r="J47" s="710">
        <f t="shared" si="3"/>
        <v>406.02000000000004</v>
      </c>
      <c r="K47" s="710">
        <f t="shared" si="12"/>
        <v>11089.806029311092</v>
      </c>
      <c r="L47" s="724"/>
      <c r="N47" s="705"/>
      <c r="O47" s="705"/>
      <c r="P47" s="705"/>
    </row>
    <row r="48" spans="1:17" ht="16.5" customHeight="1">
      <c r="A48" s="709">
        <f t="shared" si="4"/>
        <v>43</v>
      </c>
      <c r="B48" s="296" t="s">
        <v>454</v>
      </c>
      <c r="C48" s="727">
        <v>42031</v>
      </c>
      <c r="D48" s="728" t="s">
        <v>455</v>
      </c>
      <c r="E48" s="812">
        <v>103</v>
      </c>
      <c r="F48" s="811">
        <v>50</v>
      </c>
      <c r="G48" s="811">
        <v>180</v>
      </c>
      <c r="H48" s="807">
        <f t="shared" si="2"/>
        <v>7.25</v>
      </c>
      <c r="I48" s="256">
        <v>380</v>
      </c>
      <c r="J48" s="710">
        <f t="shared" si="3"/>
        <v>2755</v>
      </c>
      <c r="K48" s="710">
        <f t="shared" si="12"/>
        <v>60000.81620336225</v>
      </c>
      <c r="L48" s="724"/>
      <c r="N48" s="705"/>
      <c r="O48" s="705"/>
      <c r="P48" s="705"/>
    </row>
    <row r="49" spans="1:16" ht="16.5" customHeight="1">
      <c r="A49" s="709">
        <f t="shared" si="4"/>
        <v>44</v>
      </c>
      <c r="B49" s="296" t="s">
        <v>456</v>
      </c>
      <c r="C49" s="727">
        <v>42032</v>
      </c>
      <c r="D49" s="728" t="s">
        <v>457</v>
      </c>
      <c r="E49" s="812">
        <v>56</v>
      </c>
      <c r="F49" s="811">
        <v>42</v>
      </c>
      <c r="G49" s="811">
        <v>32</v>
      </c>
      <c r="H49" s="807">
        <f t="shared" si="2"/>
        <v>1.55</v>
      </c>
      <c r="I49" s="256">
        <v>50</v>
      </c>
      <c r="J49" s="710">
        <f t="shared" si="3"/>
        <v>77.5</v>
      </c>
      <c r="K49" s="710">
        <f t="shared" si="12"/>
        <v>12827.760705546412</v>
      </c>
      <c r="L49" s="724"/>
      <c r="N49" s="705"/>
      <c r="O49" s="705"/>
      <c r="P49" s="705"/>
    </row>
    <row r="50" spans="1:16" ht="16.5" customHeight="1">
      <c r="A50" s="709">
        <f t="shared" si="4"/>
        <v>45</v>
      </c>
      <c r="B50" s="296" t="s">
        <v>1659</v>
      </c>
      <c r="C50" s="727">
        <v>42032</v>
      </c>
      <c r="D50" s="728" t="s">
        <v>457</v>
      </c>
      <c r="E50" s="812">
        <v>55</v>
      </c>
      <c r="F50" s="811">
        <v>41</v>
      </c>
      <c r="G50" s="811"/>
      <c r="H50" s="807">
        <f t="shared" si="2"/>
        <v>0.23</v>
      </c>
      <c r="I50" s="256">
        <v>100</v>
      </c>
      <c r="J50" s="710">
        <f t="shared" si="3"/>
        <v>23</v>
      </c>
      <c r="K50" s="710">
        <f t="shared" si="12"/>
        <v>1903.4741692101129</v>
      </c>
      <c r="L50" s="724"/>
      <c r="N50" s="705"/>
      <c r="O50" s="705"/>
      <c r="P50" s="705"/>
    </row>
    <row r="51" spans="1:16" ht="16.5" customHeight="1">
      <c r="A51" s="709">
        <f t="shared" si="4"/>
        <v>46</v>
      </c>
      <c r="B51" s="296" t="s">
        <v>458</v>
      </c>
      <c r="C51" s="727">
        <v>42032</v>
      </c>
      <c r="D51" s="728" t="s">
        <v>459</v>
      </c>
      <c r="E51" s="812">
        <v>76</v>
      </c>
      <c r="F51" s="811">
        <v>54</v>
      </c>
      <c r="G51" s="811">
        <v>28</v>
      </c>
      <c r="H51" s="807">
        <f t="shared" si="2"/>
        <v>2.25</v>
      </c>
      <c r="I51" s="256">
        <v>63</v>
      </c>
      <c r="J51" s="710">
        <f t="shared" si="3"/>
        <v>141.75</v>
      </c>
      <c r="K51" s="710">
        <f t="shared" si="12"/>
        <v>18620.942959664146</v>
      </c>
      <c r="L51" s="724"/>
      <c r="N51" s="705"/>
      <c r="O51" s="705"/>
      <c r="P51" s="705"/>
    </row>
    <row r="52" spans="1:16" ht="16.5" customHeight="1">
      <c r="A52" s="709">
        <f t="shared" si="4"/>
        <v>47</v>
      </c>
      <c r="B52" s="296" t="s">
        <v>1654</v>
      </c>
      <c r="C52" s="727">
        <v>42032</v>
      </c>
      <c r="D52" s="728" t="s">
        <v>459</v>
      </c>
      <c r="E52" s="812">
        <v>50</v>
      </c>
      <c r="F52" s="811">
        <v>20</v>
      </c>
      <c r="G52" s="811"/>
      <c r="H52" s="807">
        <f t="shared" si="2"/>
        <v>0.1</v>
      </c>
      <c r="I52" s="256">
        <v>126</v>
      </c>
      <c r="J52" s="710">
        <f t="shared" si="3"/>
        <v>12.600000000000001</v>
      </c>
      <c r="K52" s="710">
        <f t="shared" si="12"/>
        <v>827.59746487396205</v>
      </c>
      <c r="L52" s="724"/>
      <c r="N52" s="705"/>
      <c r="O52" s="705"/>
      <c r="P52" s="705"/>
    </row>
    <row r="53" spans="1:16" ht="16.5" customHeight="1">
      <c r="A53" s="709">
        <f t="shared" si="4"/>
        <v>48</v>
      </c>
      <c r="B53" s="296" t="s">
        <v>414</v>
      </c>
      <c r="C53" s="727">
        <v>42032</v>
      </c>
      <c r="D53" s="728" t="s">
        <v>459</v>
      </c>
      <c r="E53" s="812">
        <v>105</v>
      </c>
      <c r="F53" s="811">
        <v>55</v>
      </c>
      <c r="G53" s="811">
        <v>33</v>
      </c>
      <c r="H53" s="807">
        <f t="shared" si="2"/>
        <v>2.96</v>
      </c>
      <c r="I53" s="256">
        <v>50</v>
      </c>
      <c r="J53" s="710">
        <f t="shared" si="3"/>
        <v>148</v>
      </c>
      <c r="K53" s="710">
        <f t="shared" si="12"/>
        <v>24496.884960269275</v>
      </c>
      <c r="L53" s="724"/>
      <c r="N53" s="705"/>
      <c r="O53" s="705"/>
      <c r="P53" s="705"/>
    </row>
    <row r="54" spans="1:16" ht="16.5" customHeight="1">
      <c r="A54" s="709">
        <f t="shared" si="4"/>
        <v>49</v>
      </c>
      <c r="B54" s="296" t="s">
        <v>1660</v>
      </c>
      <c r="C54" s="727">
        <v>42032</v>
      </c>
      <c r="D54" s="728" t="s">
        <v>459</v>
      </c>
      <c r="E54" s="812">
        <v>80</v>
      </c>
      <c r="F54" s="811">
        <v>20</v>
      </c>
      <c r="G54" s="811"/>
      <c r="H54" s="807">
        <f t="shared" si="2"/>
        <v>0.16</v>
      </c>
      <c r="I54" s="256">
        <v>100</v>
      </c>
      <c r="J54" s="710">
        <f t="shared" si="3"/>
        <v>16</v>
      </c>
      <c r="K54" s="710">
        <f t="shared" si="12"/>
        <v>1324.1559437983394</v>
      </c>
      <c r="L54" s="724"/>
      <c r="N54" s="705"/>
      <c r="O54" s="705"/>
      <c r="P54" s="705"/>
    </row>
    <row r="55" spans="1:16" ht="16.5" customHeight="1">
      <c r="A55" s="709">
        <f t="shared" si="4"/>
        <v>50</v>
      </c>
      <c r="B55" s="296" t="s">
        <v>460</v>
      </c>
      <c r="C55" s="727">
        <v>42034</v>
      </c>
      <c r="D55" s="728" t="s">
        <v>461</v>
      </c>
      <c r="E55" s="812">
        <v>56</v>
      </c>
      <c r="F55" s="811">
        <v>27.5</v>
      </c>
      <c r="G55" s="811">
        <v>17.5</v>
      </c>
      <c r="H55" s="807">
        <f t="shared" si="2"/>
        <v>0.83</v>
      </c>
      <c r="I55" s="256">
        <v>207</v>
      </c>
      <c r="J55" s="710">
        <f t="shared" si="3"/>
        <v>171.81</v>
      </c>
      <c r="K55" s="710">
        <f t="shared" si="12"/>
        <v>6869.0589584538848</v>
      </c>
      <c r="L55" s="724"/>
      <c r="N55" s="705"/>
      <c r="O55" s="705"/>
      <c r="P55" s="705"/>
    </row>
    <row r="56" spans="1:16" ht="16.5" customHeight="1">
      <c r="A56" s="709">
        <f t="shared" si="4"/>
        <v>51</v>
      </c>
      <c r="B56" s="296" t="s">
        <v>538</v>
      </c>
      <c r="C56" s="727">
        <v>42034</v>
      </c>
      <c r="D56" s="728" t="s">
        <v>462</v>
      </c>
      <c r="E56" s="812">
        <v>41</v>
      </c>
      <c r="F56" s="811">
        <v>31</v>
      </c>
      <c r="G56" s="811">
        <v>25.5</v>
      </c>
      <c r="H56" s="807">
        <f t="shared" si="2"/>
        <v>0.89</v>
      </c>
      <c r="I56" s="256">
        <v>250</v>
      </c>
      <c r="J56" s="710">
        <f t="shared" si="3"/>
        <v>222.5</v>
      </c>
      <c r="K56" s="710">
        <f t="shared" si="12"/>
        <v>7365.6174373782624</v>
      </c>
      <c r="L56" s="724"/>
      <c r="N56" s="705"/>
      <c r="O56" s="705"/>
      <c r="P56" s="705"/>
    </row>
    <row r="57" spans="1:16" ht="16.5" customHeight="1">
      <c r="A57" s="709">
        <f t="shared" si="4"/>
        <v>52</v>
      </c>
      <c r="B57" s="296" t="s">
        <v>595</v>
      </c>
      <c r="C57" s="727">
        <v>42034</v>
      </c>
      <c r="D57" s="728" t="s">
        <v>462</v>
      </c>
      <c r="E57" s="812">
        <v>43</v>
      </c>
      <c r="F57" s="811">
        <v>27.5</v>
      </c>
      <c r="G57" s="811">
        <v>33</v>
      </c>
      <c r="H57" s="807">
        <f t="shared" si="2"/>
        <v>0.93</v>
      </c>
      <c r="I57" s="256">
        <v>217</v>
      </c>
      <c r="J57" s="710">
        <f t="shared" si="3"/>
        <v>201.81</v>
      </c>
      <c r="K57" s="710">
        <f t="shared" si="12"/>
        <v>7696.6564233278477</v>
      </c>
      <c r="L57" s="724"/>
      <c r="N57" s="705"/>
      <c r="O57" s="705"/>
      <c r="P57" s="705"/>
    </row>
    <row r="58" spans="1:16" ht="16.5" customHeight="1">
      <c r="A58" s="709">
        <f t="shared" si="4"/>
        <v>53</v>
      </c>
      <c r="B58" s="296" t="s">
        <v>1688</v>
      </c>
      <c r="C58" s="727">
        <v>42034</v>
      </c>
      <c r="D58" s="728" t="s">
        <v>463</v>
      </c>
      <c r="E58" s="812">
        <v>19</v>
      </c>
      <c r="F58" s="811">
        <v>83.5</v>
      </c>
      <c r="G58" s="811"/>
      <c r="H58" s="807">
        <f t="shared" si="2"/>
        <v>0.16</v>
      </c>
      <c r="I58" s="256">
        <v>400</v>
      </c>
      <c r="J58" s="710">
        <f t="shared" si="3"/>
        <v>64</v>
      </c>
      <c r="K58" s="710">
        <f t="shared" si="12"/>
        <v>1324.1559437983394</v>
      </c>
      <c r="L58" s="724"/>
      <c r="N58" s="705"/>
      <c r="O58" s="705"/>
      <c r="P58" s="705"/>
    </row>
    <row r="59" spans="1:16" ht="16.5" customHeight="1">
      <c r="A59" s="709">
        <f t="shared" si="4"/>
        <v>54</v>
      </c>
      <c r="B59" s="296" t="s">
        <v>1689</v>
      </c>
      <c r="C59" s="727">
        <v>42034</v>
      </c>
      <c r="D59" s="728" t="s">
        <v>463</v>
      </c>
      <c r="E59" s="812">
        <v>37</v>
      </c>
      <c r="F59" s="811">
        <v>46</v>
      </c>
      <c r="G59" s="811"/>
      <c r="H59" s="807">
        <f t="shared" si="2"/>
        <v>0.17</v>
      </c>
      <c r="I59" s="256">
        <v>600</v>
      </c>
      <c r="J59" s="710">
        <f t="shared" si="3"/>
        <v>102.00000000000001</v>
      </c>
      <c r="K59" s="710">
        <f t="shared" si="12"/>
        <v>1406.9156902857355</v>
      </c>
      <c r="L59" s="724"/>
      <c r="N59" s="705"/>
      <c r="O59" s="705"/>
      <c r="P59" s="705"/>
    </row>
    <row r="60" spans="1:16" ht="16.5" customHeight="1">
      <c r="A60" s="709">
        <f t="shared" si="4"/>
        <v>55</v>
      </c>
      <c r="B60" s="296" t="s">
        <v>1690</v>
      </c>
      <c r="C60" s="727">
        <v>42034</v>
      </c>
      <c r="D60" s="728" t="s">
        <v>463</v>
      </c>
      <c r="E60" s="812">
        <v>42</v>
      </c>
      <c r="F60" s="811">
        <v>57</v>
      </c>
      <c r="G60" s="811"/>
      <c r="H60" s="807">
        <f t="shared" si="2"/>
        <v>0.24</v>
      </c>
      <c r="I60" s="256">
        <v>200</v>
      </c>
      <c r="J60" s="710">
        <f t="shared" si="3"/>
        <v>48</v>
      </c>
      <c r="K60" s="710">
        <f t="shared" si="12"/>
        <v>1986.2339156975088</v>
      </c>
      <c r="L60" s="724"/>
      <c r="N60" s="705"/>
      <c r="O60" s="705"/>
      <c r="P60" s="705"/>
    </row>
    <row r="61" spans="1:16" ht="16.5" customHeight="1">
      <c r="A61" s="709">
        <f t="shared" si="4"/>
        <v>56</v>
      </c>
      <c r="B61" s="296" t="s">
        <v>466</v>
      </c>
      <c r="C61" s="727">
        <v>42037</v>
      </c>
      <c r="D61" s="728" t="s">
        <v>467</v>
      </c>
      <c r="E61" s="812">
        <v>32</v>
      </c>
      <c r="F61" s="811">
        <v>27</v>
      </c>
      <c r="G61" s="811">
        <v>33</v>
      </c>
      <c r="H61" s="807">
        <f t="shared" si="2"/>
        <v>0.77</v>
      </c>
      <c r="I61" s="256">
        <v>247</v>
      </c>
      <c r="J61" s="710">
        <f t="shared" si="3"/>
        <v>190.19</v>
      </c>
      <c r="K61" s="710">
        <f t="shared" si="12"/>
        <v>6372.5004795295081</v>
      </c>
      <c r="L61" s="724"/>
      <c r="N61" s="705"/>
      <c r="O61" s="705"/>
      <c r="P61" s="705"/>
    </row>
    <row r="62" spans="1:16" ht="16.5" customHeight="1">
      <c r="A62" s="709">
        <f t="shared" si="4"/>
        <v>57</v>
      </c>
      <c r="B62" s="296" t="s">
        <v>469</v>
      </c>
      <c r="C62" s="727">
        <v>42037</v>
      </c>
      <c r="D62" s="728" t="s">
        <v>467</v>
      </c>
      <c r="E62" s="812">
        <v>27</v>
      </c>
      <c r="F62" s="811">
        <v>16</v>
      </c>
      <c r="G62" s="811">
        <v>33</v>
      </c>
      <c r="H62" s="807">
        <f t="shared" si="2"/>
        <v>0.47</v>
      </c>
      <c r="I62" s="256">
        <v>109</v>
      </c>
      <c r="J62" s="710">
        <f t="shared" si="3"/>
        <v>51.23</v>
      </c>
      <c r="K62" s="710">
        <f t="shared" si="12"/>
        <v>3889.7080849076215</v>
      </c>
      <c r="L62" s="724"/>
      <c r="N62" s="705"/>
      <c r="O62" s="705"/>
      <c r="P62" s="705"/>
    </row>
    <row r="63" spans="1:16" ht="16.5" customHeight="1">
      <c r="A63" s="709">
        <f t="shared" si="4"/>
        <v>58</v>
      </c>
      <c r="B63" s="296" t="s">
        <v>424</v>
      </c>
      <c r="C63" s="727">
        <v>42039</v>
      </c>
      <c r="D63" s="728" t="s">
        <v>470</v>
      </c>
      <c r="E63" s="812">
        <v>46</v>
      </c>
      <c r="F63" s="811">
        <v>42</v>
      </c>
      <c r="G63" s="811">
        <v>13</v>
      </c>
      <c r="H63" s="807">
        <f t="shared" si="2"/>
        <v>1.05</v>
      </c>
      <c r="I63" s="256">
        <v>1312</v>
      </c>
      <c r="J63" s="710">
        <f t="shared" si="3"/>
        <v>1377.6000000000001</v>
      </c>
      <c r="K63" s="710">
        <f t="shared" si="12"/>
        <v>8689.7733811766011</v>
      </c>
      <c r="L63" s="724"/>
      <c r="N63" s="705"/>
      <c r="O63" s="705"/>
      <c r="P63" s="705"/>
    </row>
    <row r="64" spans="1:16" ht="16.5" customHeight="1">
      <c r="A64" s="709">
        <f t="shared" si="4"/>
        <v>59</v>
      </c>
      <c r="B64" s="296" t="s">
        <v>405</v>
      </c>
      <c r="C64" s="727">
        <v>42039</v>
      </c>
      <c r="D64" s="728" t="s">
        <v>470</v>
      </c>
      <c r="E64" s="812">
        <v>46</v>
      </c>
      <c r="F64" s="811">
        <v>42</v>
      </c>
      <c r="G64" s="811">
        <v>24</v>
      </c>
      <c r="H64" s="807">
        <f t="shared" si="2"/>
        <v>1.25</v>
      </c>
      <c r="I64" s="256">
        <v>202</v>
      </c>
      <c r="J64" s="710">
        <f t="shared" si="3"/>
        <v>252.5</v>
      </c>
      <c r="K64" s="710">
        <f t="shared" si="12"/>
        <v>10344.968310924525</v>
      </c>
      <c r="L64" s="724"/>
      <c r="N64" s="705"/>
      <c r="O64" s="705"/>
      <c r="P64" s="705"/>
    </row>
    <row r="65" spans="1:16" ht="16.5" customHeight="1">
      <c r="A65" s="709">
        <f t="shared" si="4"/>
        <v>60</v>
      </c>
      <c r="B65" s="296" t="s">
        <v>471</v>
      </c>
      <c r="C65" s="727">
        <v>42039</v>
      </c>
      <c r="D65" s="728" t="s">
        <v>470</v>
      </c>
      <c r="E65" s="812">
        <v>38</v>
      </c>
      <c r="F65" s="811">
        <v>37</v>
      </c>
      <c r="G65" s="811">
        <v>27</v>
      </c>
      <c r="H65" s="807">
        <f t="shared" si="2"/>
        <v>1.04</v>
      </c>
      <c r="I65" s="256">
        <v>22</v>
      </c>
      <c r="J65" s="710">
        <f t="shared" si="3"/>
        <v>22.880000000000003</v>
      </c>
      <c r="K65" s="710">
        <f t="shared" si="12"/>
        <v>8607.013634689205</v>
      </c>
      <c r="L65" s="724"/>
      <c r="N65" s="705"/>
      <c r="O65" s="705"/>
      <c r="P65" s="705"/>
    </row>
    <row r="66" spans="1:16" ht="16.5" customHeight="1">
      <c r="A66" s="709">
        <f t="shared" si="4"/>
        <v>61</v>
      </c>
      <c r="B66" s="296" t="s">
        <v>1140</v>
      </c>
      <c r="C66" s="727">
        <v>42040</v>
      </c>
      <c r="D66" s="728" t="s">
        <v>472</v>
      </c>
      <c r="E66" s="812">
        <v>45</v>
      </c>
      <c r="F66" s="811">
        <v>37</v>
      </c>
      <c r="G66" s="811">
        <v>27.5</v>
      </c>
      <c r="H66" s="807">
        <f t="shared" si="2"/>
        <v>1.1399999999999999</v>
      </c>
      <c r="I66" s="256">
        <v>819</v>
      </c>
      <c r="J66" s="710">
        <f t="shared" si="3"/>
        <v>933.66</v>
      </c>
      <c r="K66" s="710">
        <f t="shared" si="12"/>
        <v>9434.6110995631661</v>
      </c>
      <c r="L66" s="724"/>
      <c r="N66" s="705"/>
      <c r="O66" s="705"/>
      <c r="P66" s="705"/>
    </row>
    <row r="67" spans="1:16" ht="16.5" customHeight="1">
      <c r="A67" s="709">
        <f t="shared" si="4"/>
        <v>62</v>
      </c>
      <c r="B67" s="296" t="s">
        <v>1654</v>
      </c>
      <c r="C67" s="727">
        <v>42040</v>
      </c>
      <c r="D67" s="728" t="s">
        <v>472</v>
      </c>
      <c r="E67" s="812">
        <v>50</v>
      </c>
      <c r="F67" s="811">
        <v>20</v>
      </c>
      <c r="G67" s="811"/>
      <c r="H67" s="807">
        <f t="shared" si="2"/>
        <v>0.1</v>
      </c>
      <c r="I67" s="256">
        <v>1638</v>
      </c>
      <c r="J67" s="710">
        <f t="shared" si="3"/>
        <v>163.80000000000001</v>
      </c>
      <c r="K67" s="710">
        <f t="shared" si="12"/>
        <v>827.59746487396205</v>
      </c>
      <c r="L67" s="724"/>
      <c r="N67" s="705"/>
      <c r="O67" s="705"/>
      <c r="P67" s="705"/>
    </row>
    <row r="68" spans="1:16" ht="16.5" customHeight="1">
      <c r="A68" s="709">
        <f t="shared" si="4"/>
        <v>63</v>
      </c>
      <c r="B68" s="296" t="s">
        <v>474</v>
      </c>
      <c r="C68" s="727">
        <v>42040</v>
      </c>
      <c r="D68" s="728" t="s">
        <v>475</v>
      </c>
      <c r="E68" s="812">
        <v>51</v>
      </c>
      <c r="F68" s="811">
        <v>37</v>
      </c>
      <c r="G68" s="811">
        <v>27</v>
      </c>
      <c r="H68" s="807">
        <f t="shared" si="2"/>
        <v>1.21</v>
      </c>
      <c r="I68" s="256">
        <v>780</v>
      </c>
      <c r="J68" s="710">
        <f t="shared" si="3"/>
        <v>943.8</v>
      </c>
      <c r="K68" s="710">
        <f t="shared" si="12"/>
        <v>10013.929324974941</v>
      </c>
      <c r="L68" s="724"/>
      <c r="N68" s="705"/>
      <c r="O68" s="705"/>
      <c r="P68" s="705"/>
    </row>
    <row r="69" spans="1:16" ht="16.5" customHeight="1">
      <c r="A69" s="709">
        <f t="shared" si="4"/>
        <v>64</v>
      </c>
      <c r="B69" s="296" t="s">
        <v>476</v>
      </c>
      <c r="C69" s="727">
        <v>42041</v>
      </c>
      <c r="D69" s="728" t="s">
        <v>477</v>
      </c>
      <c r="E69" s="812">
        <v>50</v>
      </c>
      <c r="F69" s="811">
        <v>35</v>
      </c>
      <c r="G69" s="811">
        <v>35</v>
      </c>
      <c r="H69" s="807">
        <f t="shared" si="2"/>
        <v>1.28</v>
      </c>
      <c r="I69" s="256">
        <v>202</v>
      </c>
      <c r="J69" s="710">
        <f t="shared" si="3"/>
        <v>258.56</v>
      </c>
      <c r="K69" s="710">
        <f t="shared" si="12"/>
        <v>10593.247550386715</v>
      </c>
      <c r="L69" s="724"/>
      <c r="N69" s="705"/>
      <c r="O69" s="705"/>
      <c r="P69" s="705"/>
    </row>
    <row r="70" spans="1:16" ht="16.5" customHeight="1">
      <c r="A70" s="709">
        <f t="shared" si="4"/>
        <v>65</v>
      </c>
      <c r="B70" s="296" t="s">
        <v>479</v>
      </c>
      <c r="C70" s="727">
        <v>42041</v>
      </c>
      <c r="D70" s="728" t="s">
        <v>480</v>
      </c>
      <c r="E70" s="812">
        <v>40.5</v>
      </c>
      <c r="F70" s="811">
        <v>30.5</v>
      </c>
      <c r="G70" s="811">
        <v>35.5</v>
      </c>
      <c r="H70" s="807">
        <f t="shared" ref="H70:H133" si="13">IF(G70&lt;&gt;"",ROUND(((E70+F70)*2+5)*(F70+G70+3)/10000,2),ROUND(E70*F70/10000,2))</f>
        <v>1.01</v>
      </c>
      <c r="I70" s="256">
        <v>69</v>
      </c>
      <c r="J70" s="710">
        <f t="shared" ref="J70:J133" si="14">H70*I70</f>
        <v>69.69</v>
      </c>
      <c r="K70" s="710">
        <f t="shared" ref="K70:K101" si="15">H70*$Q$31</f>
        <v>8358.7343952270166</v>
      </c>
      <c r="L70" s="724"/>
      <c r="N70" s="705"/>
      <c r="O70" s="705"/>
      <c r="P70" s="705"/>
    </row>
    <row r="71" spans="1:16" ht="16.5" customHeight="1">
      <c r="A71" s="709">
        <f t="shared" si="4"/>
        <v>66</v>
      </c>
      <c r="B71" s="296" t="s">
        <v>481</v>
      </c>
      <c r="C71" s="727">
        <v>42041</v>
      </c>
      <c r="D71" s="728" t="s">
        <v>480</v>
      </c>
      <c r="E71" s="812">
        <v>40.5</v>
      </c>
      <c r="F71" s="811">
        <v>30.5</v>
      </c>
      <c r="G71" s="811">
        <v>17.7</v>
      </c>
      <c r="H71" s="807">
        <f t="shared" si="13"/>
        <v>0.75</v>
      </c>
      <c r="I71" s="256">
        <v>87</v>
      </c>
      <c r="J71" s="710">
        <f t="shared" si="14"/>
        <v>65.25</v>
      </c>
      <c r="K71" s="710">
        <f t="shared" si="15"/>
        <v>6206.9809865547159</v>
      </c>
      <c r="L71" s="724"/>
      <c r="N71" s="705"/>
      <c r="O71" s="705"/>
      <c r="P71" s="705"/>
    </row>
    <row r="72" spans="1:16" ht="16.5" customHeight="1">
      <c r="A72" s="709">
        <f t="shared" si="4"/>
        <v>67</v>
      </c>
      <c r="B72" s="296" t="s">
        <v>482</v>
      </c>
      <c r="C72" s="727">
        <v>42041</v>
      </c>
      <c r="D72" s="728" t="s">
        <v>480</v>
      </c>
      <c r="E72" s="812">
        <v>40.5</v>
      </c>
      <c r="F72" s="811">
        <v>30.5</v>
      </c>
      <c r="G72" s="811">
        <v>10</v>
      </c>
      <c r="H72" s="807">
        <f t="shared" si="13"/>
        <v>0.64</v>
      </c>
      <c r="I72" s="256">
        <v>4</v>
      </c>
      <c r="J72" s="710">
        <f t="shared" si="14"/>
        <v>2.56</v>
      </c>
      <c r="K72" s="710">
        <f t="shared" si="15"/>
        <v>5296.6237751933577</v>
      </c>
      <c r="L72" s="724"/>
      <c r="N72" s="705"/>
      <c r="O72" s="705"/>
      <c r="P72" s="705"/>
    </row>
    <row r="73" spans="1:16" ht="16.5" customHeight="1">
      <c r="A73" s="709">
        <f t="shared" si="4"/>
        <v>68</v>
      </c>
      <c r="B73" s="296" t="s">
        <v>483</v>
      </c>
      <c r="C73" s="727">
        <v>42041</v>
      </c>
      <c r="D73" s="728" t="s">
        <v>480</v>
      </c>
      <c r="E73" s="812">
        <v>42.5</v>
      </c>
      <c r="F73" s="811">
        <v>42.5</v>
      </c>
      <c r="G73" s="811">
        <v>11.5</v>
      </c>
      <c r="H73" s="807">
        <f t="shared" si="13"/>
        <v>1</v>
      </c>
      <c r="I73" s="256">
        <v>4</v>
      </c>
      <c r="J73" s="710">
        <f t="shared" si="14"/>
        <v>4</v>
      </c>
      <c r="K73" s="710">
        <f t="shared" si="15"/>
        <v>8275.9746487396205</v>
      </c>
      <c r="L73" s="724"/>
      <c r="N73" s="705"/>
      <c r="O73" s="705"/>
      <c r="P73" s="705"/>
    </row>
    <row r="74" spans="1:16" ht="16.5" customHeight="1">
      <c r="A74" s="709">
        <f t="shared" si="4"/>
        <v>69</v>
      </c>
      <c r="B74" s="296" t="s">
        <v>484</v>
      </c>
      <c r="C74" s="727">
        <v>42041</v>
      </c>
      <c r="D74" s="728" t="s">
        <v>480</v>
      </c>
      <c r="E74" s="812">
        <v>42.5</v>
      </c>
      <c r="F74" s="811">
        <v>42.5</v>
      </c>
      <c r="G74" s="811">
        <v>22.5</v>
      </c>
      <c r="H74" s="807">
        <f t="shared" si="13"/>
        <v>1.19</v>
      </c>
      <c r="I74" s="256">
        <v>13</v>
      </c>
      <c r="J74" s="710">
        <f t="shared" si="14"/>
        <v>15.469999999999999</v>
      </c>
      <c r="K74" s="710">
        <f t="shared" si="15"/>
        <v>9848.4098320001485</v>
      </c>
      <c r="L74" s="724"/>
      <c r="N74" s="705"/>
      <c r="O74" s="705"/>
      <c r="P74" s="705"/>
    </row>
    <row r="75" spans="1:16" ht="16.5" customHeight="1">
      <c r="A75" s="709">
        <f t="shared" si="4"/>
        <v>70</v>
      </c>
      <c r="B75" s="296" t="s">
        <v>485</v>
      </c>
      <c r="C75" s="727">
        <v>42041</v>
      </c>
      <c r="D75" s="728" t="s">
        <v>480</v>
      </c>
      <c r="E75" s="812">
        <v>42.5</v>
      </c>
      <c r="F75" s="811">
        <v>42.5</v>
      </c>
      <c r="G75" s="811">
        <v>32.5</v>
      </c>
      <c r="H75" s="807">
        <f t="shared" si="13"/>
        <v>1.37</v>
      </c>
      <c r="I75" s="256">
        <v>68</v>
      </c>
      <c r="J75" s="710">
        <f t="shared" si="14"/>
        <v>93.160000000000011</v>
      </c>
      <c r="K75" s="710">
        <f t="shared" si="15"/>
        <v>11338.08526877328</v>
      </c>
      <c r="L75" s="724"/>
      <c r="N75" s="705"/>
      <c r="O75" s="705"/>
      <c r="P75" s="705"/>
    </row>
    <row r="76" spans="1:16" ht="16.5" customHeight="1">
      <c r="A76" s="709">
        <f t="shared" si="4"/>
        <v>71</v>
      </c>
      <c r="B76" s="296" t="s">
        <v>1661</v>
      </c>
      <c r="C76" s="727">
        <v>42041</v>
      </c>
      <c r="D76" s="728" t="s">
        <v>480</v>
      </c>
      <c r="E76" s="812">
        <v>30</v>
      </c>
      <c r="F76" s="811">
        <v>20</v>
      </c>
      <c r="G76" s="811"/>
      <c r="H76" s="807">
        <f t="shared" si="13"/>
        <v>0.06</v>
      </c>
      <c r="I76" s="256">
        <v>490</v>
      </c>
      <c r="J76" s="710">
        <f t="shared" si="14"/>
        <v>29.4</v>
      </c>
      <c r="K76" s="710">
        <f t="shared" si="15"/>
        <v>496.5584789243772</v>
      </c>
      <c r="L76" s="724"/>
      <c r="N76" s="705"/>
      <c r="O76" s="705"/>
      <c r="P76" s="705"/>
    </row>
    <row r="77" spans="1:16" ht="16.5" customHeight="1">
      <c r="A77" s="709">
        <f t="shared" si="4"/>
        <v>72</v>
      </c>
      <c r="B77" s="296" t="s">
        <v>450</v>
      </c>
      <c r="C77" s="727">
        <v>42041</v>
      </c>
      <c r="D77" s="728" t="s">
        <v>480</v>
      </c>
      <c r="E77" s="812">
        <v>61</v>
      </c>
      <c r="F77" s="811">
        <v>44</v>
      </c>
      <c r="G77" s="811">
        <v>35</v>
      </c>
      <c r="H77" s="807">
        <f t="shared" si="13"/>
        <v>1.76</v>
      </c>
      <c r="I77" s="256">
        <v>42</v>
      </c>
      <c r="J77" s="710">
        <f t="shared" si="14"/>
        <v>73.92</v>
      </c>
      <c r="K77" s="710">
        <f t="shared" si="15"/>
        <v>14565.715381781733</v>
      </c>
      <c r="L77" s="724"/>
      <c r="N77" s="705"/>
      <c r="O77" s="705"/>
      <c r="P77" s="705"/>
    </row>
    <row r="78" spans="1:16" ht="16.5" customHeight="1">
      <c r="A78" s="709">
        <f t="shared" si="4"/>
        <v>73</v>
      </c>
      <c r="B78" s="296" t="s">
        <v>1654</v>
      </c>
      <c r="C78" s="727">
        <v>42041</v>
      </c>
      <c r="D78" s="728" t="s">
        <v>480</v>
      </c>
      <c r="E78" s="812">
        <v>50</v>
      </c>
      <c r="F78" s="811">
        <v>20</v>
      </c>
      <c r="G78" s="811"/>
      <c r="H78" s="807">
        <f t="shared" si="13"/>
        <v>0.1</v>
      </c>
      <c r="I78" s="256">
        <v>84</v>
      </c>
      <c r="J78" s="710">
        <f t="shared" si="14"/>
        <v>8.4</v>
      </c>
      <c r="K78" s="710">
        <f t="shared" si="15"/>
        <v>827.59746487396205</v>
      </c>
      <c r="L78" s="724"/>
      <c r="N78" s="705"/>
      <c r="O78" s="705"/>
      <c r="P78" s="705"/>
    </row>
    <row r="79" spans="1:16" ht="16.5" customHeight="1">
      <c r="A79" s="709">
        <f t="shared" si="4"/>
        <v>74</v>
      </c>
      <c r="B79" s="296" t="s">
        <v>413</v>
      </c>
      <c r="C79" s="727">
        <v>42042</v>
      </c>
      <c r="D79" s="728" t="s">
        <v>486</v>
      </c>
      <c r="E79" s="812">
        <v>49</v>
      </c>
      <c r="F79" s="811">
        <v>38</v>
      </c>
      <c r="G79" s="811">
        <v>12</v>
      </c>
      <c r="H79" s="807">
        <f t="shared" si="13"/>
        <v>0.95</v>
      </c>
      <c r="I79" s="256">
        <v>1025</v>
      </c>
      <c r="J79" s="710">
        <f t="shared" si="14"/>
        <v>973.75</v>
      </c>
      <c r="K79" s="710">
        <f t="shared" si="15"/>
        <v>7862.1759163026391</v>
      </c>
      <c r="L79" s="724"/>
      <c r="N79" s="705"/>
      <c r="O79" s="705"/>
      <c r="P79" s="705"/>
    </row>
    <row r="80" spans="1:16" ht="16.5" customHeight="1">
      <c r="A80" s="709">
        <f t="shared" si="4"/>
        <v>75</v>
      </c>
      <c r="B80" s="296" t="s">
        <v>487</v>
      </c>
      <c r="C80" s="727">
        <v>42044</v>
      </c>
      <c r="D80" s="728" t="s">
        <v>488</v>
      </c>
      <c r="E80" s="812">
        <v>55</v>
      </c>
      <c r="F80" s="811">
        <v>28</v>
      </c>
      <c r="G80" s="811">
        <v>23</v>
      </c>
      <c r="H80" s="807">
        <f t="shared" si="13"/>
        <v>0.92</v>
      </c>
      <c r="I80" s="256">
        <v>992</v>
      </c>
      <c r="J80" s="710">
        <f t="shared" si="14"/>
        <v>912.64</v>
      </c>
      <c r="K80" s="710">
        <f t="shared" si="15"/>
        <v>7613.8966768404516</v>
      </c>
      <c r="L80" s="724"/>
      <c r="N80" s="705"/>
      <c r="O80" s="705"/>
      <c r="P80" s="705"/>
    </row>
    <row r="81" spans="1:16" ht="16.5" customHeight="1">
      <c r="A81" s="709">
        <f t="shared" si="4"/>
        <v>76</v>
      </c>
      <c r="B81" s="296" t="s">
        <v>405</v>
      </c>
      <c r="C81" s="727">
        <v>42044</v>
      </c>
      <c r="D81" s="728" t="s">
        <v>490</v>
      </c>
      <c r="E81" s="812">
        <v>46</v>
      </c>
      <c r="F81" s="811">
        <v>42</v>
      </c>
      <c r="G81" s="811">
        <v>24</v>
      </c>
      <c r="H81" s="807">
        <f t="shared" si="13"/>
        <v>1.25</v>
      </c>
      <c r="I81" s="256">
        <v>1980</v>
      </c>
      <c r="J81" s="710">
        <f t="shared" si="14"/>
        <v>2475</v>
      </c>
      <c r="K81" s="710">
        <f t="shared" si="15"/>
        <v>10344.968310924525</v>
      </c>
      <c r="L81" s="724"/>
      <c r="N81" s="705"/>
      <c r="O81" s="705"/>
      <c r="P81" s="705"/>
    </row>
    <row r="82" spans="1:16" ht="16.5" customHeight="1">
      <c r="A82" s="709">
        <f t="shared" si="4"/>
        <v>77</v>
      </c>
      <c r="B82" s="296" t="s">
        <v>424</v>
      </c>
      <c r="C82" s="727">
        <v>42044</v>
      </c>
      <c r="D82" s="728" t="s">
        <v>490</v>
      </c>
      <c r="E82" s="812">
        <v>46</v>
      </c>
      <c r="F82" s="811">
        <v>42</v>
      </c>
      <c r="G82" s="811">
        <v>13</v>
      </c>
      <c r="H82" s="807">
        <f t="shared" si="13"/>
        <v>1.05</v>
      </c>
      <c r="I82" s="256">
        <v>200</v>
      </c>
      <c r="J82" s="710">
        <f t="shared" si="14"/>
        <v>210</v>
      </c>
      <c r="K82" s="710">
        <f t="shared" si="15"/>
        <v>8689.7733811766011</v>
      </c>
      <c r="L82" s="724"/>
      <c r="N82" s="705"/>
      <c r="O82" s="705"/>
      <c r="P82" s="705"/>
    </row>
    <row r="83" spans="1:16" ht="16.5" customHeight="1">
      <c r="A83" s="709">
        <f t="shared" si="4"/>
        <v>78</v>
      </c>
      <c r="B83" s="296" t="s">
        <v>491</v>
      </c>
      <c r="C83" s="727">
        <v>42044</v>
      </c>
      <c r="D83" s="728" t="s">
        <v>490</v>
      </c>
      <c r="E83" s="812">
        <v>47</v>
      </c>
      <c r="F83" s="811">
        <v>37</v>
      </c>
      <c r="G83" s="811">
        <v>27</v>
      </c>
      <c r="H83" s="807">
        <f t="shared" si="13"/>
        <v>1.1599999999999999</v>
      </c>
      <c r="I83" s="256">
        <v>555</v>
      </c>
      <c r="J83" s="710">
        <f t="shared" si="14"/>
        <v>643.79999999999995</v>
      </c>
      <c r="K83" s="710">
        <f t="shared" si="15"/>
        <v>9600.1305925379584</v>
      </c>
      <c r="L83" s="724"/>
      <c r="N83" s="705"/>
      <c r="O83" s="705"/>
      <c r="P83" s="705"/>
    </row>
    <row r="84" spans="1:16" ht="16.5" customHeight="1">
      <c r="A84" s="709">
        <f t="shared" si="4"/>
        <v>79</v>
      </c>
      <c r="B84" s="296" t="s">
        <v>405</v>
      </c>
      <c r="C84" s="727">
        <v>42047</v>
      </c>
      <c r="D84" s="728" t="s">
        <v>492</v>
      </c>
      <c r="E84" s="812">
        <v>46</v>
      </c>
      <c r="F84" s="811">
        <v>42</v>
      </c>
      <c r="G84" s="811">
        <v>24</v>
      </c>
      <c r="H84" s="807">
        <f t="shared" si="13"/>
        <v>1.25</v>
      </c>
      <c r="I84" s="256">
        <v>351</v>
      </c>
      <c r="J84" s="710">
        <f t="shared" si="14"/>
        <v>438.75</v>
      </c>
      <c r="K84" s="710">
        <f t="shared" si="15"/>
        <v>10344.968310924525</v>
      </c>
      <c r="L84" s="724"/>
      <c r="N84" s="705"/>
      <c r="O84" s="705"/>
      <c r="P84" s="705"/>
    </row>
    <row r="85" spans="1:16" ht="16.5" customHeight="1">
      <c r="A85" s="709">
        <f t="shared" si="4"/>
        <v>80</v>
      </c>
      <c r="B85" s="296" t="s">
        <v>1691</v>
      </c>
      <c r="C85" s="727">
        <v>42047</v>
      </c>
      <c r="D85" s="728" t="s">
        <v>493</v>
      </c>
      <c r="E85" s="812">
        <v>26.5</v>
      </c>
      <c r="F85" s="811">
        <v>21</v>
      </c>
      <c r="G85" s="811"/>
      <c r="H85" s="807">
        <f t="shared" si="13"/>
        <v>0.06</v>
      </c>
      <c r="I85" s="256">
        <v>500</v>
      </c>
      <c r="J85" s="710">
        <f t="shared" si="14"/>
        <v>30</v>
      </c>
      <c r="K85" s="710">
        <f t="shared" si="15"/>
        <v>496.5584789243772</v>
      </c>
      <c r="L85" s="724"/>
      <c r="N85" s="705"/>
      <c r="O85" s="705"/>
      <c r="P85" s="705"/>
    </row>
    <row r="86" spans="1:16" ht="16.5" customHeight="1">
      <c r="A86" s="709">
        <f t="shared" si="4"/>
        <v>81</v>
      </c>
      <c r="B86" s="296" t="s">
        <v>1692</v>
      </c>
      <c r="C86" s="727">
        <v>42047</v>
      </c>
      <c r="D86" s="728" t="s">
        <v>493</v>
      </c>
      <c r="E86" s="812">
        <v>23.8</v>
      </c>
      <c r="F86" s="811">
        <v>33.799999999999997</v>
      </c>
      <c r="G86" s="811"/>
      <c r="H86" s="807">
        <f t="shared" si="13"/>
        <v>0.08</v>
      </c>
      <c r="I86" s="256">
        <v>1000</v>
      </c>
      <c r="J86" s="710">
        <f t="shared" si="14"/>
        <v>80</v>
      </c>
      <c r="K86" s="710">
        <f t="shared" si="15"/>
        <v>662.07797189916971</v>
      </c>
      <c r="L86" s="724"/>
      <c r="N86" s="705"/>
      <c r="O86" s="705"/>
      <c r="P86" s="705"/>
    </row>
    <row r="87" spans="1:16" ht="16.5" customHeight="1">
      <c r="A87" s="709">
        <f t="shared" si="4"/>
        <v>82</v>
      </c>
      <c r="B87" s="296" t="s">
        <v>494</v>
      </c>
      <c r="C87" s="727">
        <v>42047</v>
      </c>
      <c r="D87" s="728" t="s">
        <v>495</v>
      </c>
      <c r="E87" s="812">
        <v>37.5</v>
      </c>
      <c r="F87" s="811">
        <v>25.5</v>
      </c>
      <c r="G87" s="811">
        <v>23.9</v>
      </c>
      <c r="H87" s="807">
        <f t="shared" si="13"/>
        <v>0.69</v>
      </c>
      <c r="I87" s="256">
        <v>1018</v>
      </c>
      <c r="J87" s="710">
        <f t="shared" si="14"/>
        <v>702.42</v>
      </c>
      <c r="K87" s="710">
        <f t="shared" si="15"/>
        <v>5710.4225076303373</v>
      </c>
      <c r="L87" s="724"/>
      <c r="N87" s="705"/>
      <c r="O87" s="705"/>
      <c r="P87" s="705"/>
    </row>
    <row r="88" spans="1:16" ht="16.5" customHeight="1">
      <c r="A88" s="709">
        <f t="shared" si="4"/>
        <v>83</v>
      </c>
      <c r="B88" s="296" t="s">
        <v>496</v>
      </c>
      <c r="C88" s="727">
        <v>42047</v>
      </c>
      <c r="D88" s="728" t="s">
        <v>495</v>
      </c>
      <c r="E88" s="812">
        <v>33.700000000000003</v>
      </c>
      <c r="F88" s="811">
        <v>22.7</v>
      </c>
      <c r="G88" s="811">
        <v>19.2</v>
      </c>
      <c r="H88" s="807">
        <f t="shared" si="13"/>
        <v>0.53</v>
      </c>
      <c r="I88" s="256">
        <v>317</v>
      </c>
      <c r="J88" s="710">
        <f t="shared" si="14"/>
        <v>168.01000000000002</v>
      </c>
      <c r="K88" s="710">
        <f t="shared" si="15"/>
        <v>4386.2665638319995</v>
      </c>
      <c r="L88" s="724"/>
      <c r="N88" s="705"/>
      <c r="O88" s="705"/>
      <c r="P88" s="705"/>
    </row>
    <row r="89" spans="1:16" ht="16.5" customHeight="1">
      <c r="A89" s="709">
        <f t="shared" si="4"/>
        <v>84</v>
      </c>
      <c r="B89" s="296" t="s">
        <v>497</v>
      </c>
      <c r="C89" s="727">
        <v>42047</v>
      </c>
      <c r="D89" s="728" t="s">
        <v>498</v>
      </c>
      <c r="E89" s="812">
        <v>32.5</v>
      </c>
      <c r="F89" s="811">
        <v>32.5</v>
      </c>
      <c r="G89" s="811">
        <v>16</v>
      </c>
      <c r="H89" s="807">
        <f t="shared" si="13"/>
        <v>0.7</v>
      </c>
      <c r="I89" s="256">
        <v>203</v>
      </c>
      <c r="J89" s="710">
        <f t="shared" si="14"/>
        <v>142.1</v>
      </c>
      <c r="K89" s="710">
        <f t="shared" si="15"/>
        <v>5793.1822541177344</v>
      </c>
      <c r="L89" s="724"/>
      <c r="N89" s="705"/>
      <c r="O89" s="705"/>
      <c r="P89" s="705"/>
    </row>
    <row r="90" spans="1:16" ht="16.5" customHeight="1">
      <c r="A90" s="709">
        <f t="shared" si="4"/>
        <v>85</v>
      </c>
      <c r="B90" s="296" t="s">
        <v>499</v>
      </c>
      <c r="C90" s="727">
        <v>42047</v>
      </c>
      <c r="D90" s="728" t="s">
        <v>498</v>
      </c>
      <c r="E90" s="812">
        <v>33</v>
      </c>
      <c r="F90" s="811">
        <v>33</v>
      </c>
      <c r="G90" s="811">
        <v>25</v>
      </c>
      <c r="H90" s="807">
        <f t="shared" si="13"/>
        <v>0.84</v>
      </c>
      <c r="I90" s="256">
        <v>203</v>
      </c>
      <c r="J90" s="710">
        <f t="shared" si="14"/>
        <v>170.51999999999998</v>
      </c>
      <c r="K90" s="710">
        <f t="shared" si="15"/>
        <v>6951.8187049412809</v>
      </c>
      <c r="L90" s="724"/>
      <c r="N90" s="705"/>
      <c r="O90" s="705"/>
      <c r="P90" s="705"/>
    </row>
    <row r="91" spans="1:16" ht="16.5" customHeight="1">
      <c r="A91" s="709">
        <f t="shared" si="4"/>
        <v>86</v>
      </c>
      <c r="B91" s="296" t="s">
        <v>398</v>
      </c>
      <c r="C91" s="727">
        <v>42063</v>
      </c>
      <c r="D91" s="728" t="s">
        <v>500</v>
      </c>
      <c r="E91" s="812">
        <v>52</v>
      </c>
      <c r="F91" s="811">
        <v>24.5</v>
      </c>
      <c r="G91" s="811">
        <v>24.5</v>
      </c>
      <c r="H91" s="807">
        <f t="shared" si="13"/>
        <v>0.82</v>
      </c>
      <c r="I91" s="256">
        <v>907</v>
      </c>
      <c r="J91" s="710">
        <f t="shared" si="14"/>
        <v>743.74</v>
      </c>
      <c r="K91" s="710">
        <f t="shared" si="15"/>
        <v>6786.2992119664887</v>
      </c>
      <c r="L91" s="724"/>
      <c r="N91" s="705"/>
      <c r="O91" s="705"/>
      <c r="P91" s="705"/>
    </row>
    <row r="92" spans="1:16" ht="16.5" customHeight="1">
      <c r="A92" s="709">
        <f t="shared" si="4"/>
        <v>87</v>
      </c>
      <c r="B92" s="296" t="s">
        <v>446</v>
      </c>
      <c r="C92" s="727">
        <v>42063</v>
      </c>
      <c r="D92" s="728" t="s">
        <v>500</v>
      </c>
      <c r="E92" s="812">
        <v>52</v>
      </c>
      <c r="F92" s="811">
        <v>26.5</v>
      </c>
      <c r="G92" s="811">
        <v>26.5</v>
      </c>
      <c r="H92" s="807">
        <f t="shared" si="13"/>
        <v>0.91</v>
      </c>
      <c r="I92" s="256">
        <v>300</v>
      </c>
      <c r="J92" s="710">
        <f t="shared" si="14"/>
        <v>273</v>
      </c>
      <c r="K92" s="710">
        <f t="shared" si="15"/>
        <v>7531.1369303530546</v>
      </c>
      <c r="L92" s="724"/>
      <c r="N92" s="705"/>
      <c r="O92" s="705"/>
      <c r="P92" s="705"/>
    </row>
    <row r="93" spans="1:16" ht="16.5" customHeight="1">
      <c r="A93" s="709">
        <f t="shared" si="4"/>
        <v>88</v>
      </c>
      <c r="B93" s="296" t="s">
        <v>401</v>
      </c>
      <c r="C93" s="727">
        <v>42063</v>
      </c>
      <c r="D93" s="728" t="s">
        <v>500</v>
      </c>
      <c r="E93" s="812">
        <v>52</v>
      </c>
      <c r="F93" s="811">
        <v>32</v>
      </c>
      <c r="G93" s="811">
        <v>21</v>
      </c>
      <c r="H93" s="807">
        <f t="shared" si="13"/>
        <v>0.97</v>
      </c>
      <c r="I93" s="256">
        <v>317</v>
      </c>
      <c r="J93" s="710">
        <f t="shared" si="14"/>
        <v>307.49</v>
      </c>
      <c r="K93" s="710">
        <f t="shared" si="15"/>
        <v>8027.6954092774313</v>
      </c>
      <c r="L93" s="724"/>
      <c r="N93" s="705"/>
      <c r="O93" s="705"/>
      <c r="P93" s="705"/>
    </row>
    <row r="94" spans="1:16" ht="16.5" customHeight="1">
      <c r="A94" s="709">
        <f t="shared" si="4"/>
        <v>89</v>
      </c>
      <c r="B94" s="296" t="s">
        <v>501</v>
      </c>
      <c r="C94" s="727">
        <v>42063</v>
      </c>
      <c r="D94" s="728" t="s">
        <v>500</v>
      </c>
      <c r="E94" s="812">
        <v>55</v>
      </c>
      <c r="F94" s="811">
        <v>45</v>
      </c>
      <c r="G94" s="811">
        <v>29</v>
      </c>
      <c r="H94" s="807">
        <f t="shared" si="13"/>
        <v>1.58</v>
      </c>
      <c r="I94" s="256">
        <v>314</v>
      </c>
      <c r="J94" s="710">
        <f t="shared" si="14"/>
        <v>496.12</v>
      </c>
      <c r="K94" s="710">
        <f t="shared" si="15"/>
        <v>13076.039945008601</v>
      </c>
      <c r="L94" s="724"/>
      <c r="N94" s="705"/>
      <c r="O94" s="705"/>
      <c r="P94" s="705"/>
    </row>
    <row r="95" spans="1:16" ht="16.5" customHeight="1">
      <c r="A95" s="709">
        <f t="shared" si="4"/>
        <v>90</v>
      </c>
      <c r="B95" s="296" t="s">
        <v>413</v>
      </c>
      <c r="C95" s="727">
        <v>42066</v>
      </c>
      <c r="D95" s="728" t="s">
        <v>502</v>
      </c>
      <c r="E95" s="812">
        <v>49</v>
      </c>
      <c r="F95" s="811">
        <v>38</v>
      </c>
      <c r="G95" s="811">
        <v>12</v>
      </c>
      <c r="H95" s="807">
        <f t="shared" si="13"/>
        <v>0.95</v>
      </c>
      <c r="I95" s="256">
        <v>618</v>
      </c>
      <c r="J95" s="710">
        <f t="shared" si="14"/>
        <v>587.1</v>
      </c>
      <c r="K95" s="710">
        <f t="shared" si="15"/>
        <v>7862.1759163026391</v>
      </c>
      <c r="L95" s="724"/>
      <c r="N95" s="705"/>
      <c r="O95" s="705"/>
      <c r="P95" s="705"/>
    </row>
    <row r="96" spans="1:16" ht="16.5" customHeight="1">
      <c r="A96" s="709">
        <f t="shared" si="4"/>
        <v>91</v>
      </c>
      <c r="B96" s="296" t="s">
        <v>503</v>
      </c>
      <c r="C96" s="727">
        <v>42066</v>
      </c>
      <c r="D96" s="728" t="s">
        <v>504</v>
      </c>
      <c r="E96" s="812">
        <v>66.5</v>
      </c>
      <c r="F96" s="811">
        <v>44</v>
      </c>
      <c r="G96" s="811">
        <v>25</v>
      </c>
      <c r="H96" s="807">
        <f t="shared" si="13"/>
        <v>1.63</v>
      </c>
      <c r="I96" s="256">
        <v>380</v>
      </c>
      <c r="J96" s="710">
        <f t="shared" si="14"/>
        <v>619.4</v>
      </c>
      <c r="K96" s="710">
        <f t="shared" si="15"/>
        <v>13489.838677445581</v>
      </c>
      <c r="L96" s="724"/>
      <c r="N96" s="705"/>
      <c r="O96" s="705"/>
      <c r="P96" s="705"/>
    </row>
    <row r="97" spans="1:16" ht="16.5" customHeight="1">
      <c r="A97" s="709">
        <f t="shared" si="4"/>
        <v>92</v>
      </c>
      <c r="B97" s="296" t="s">
        <v>505</v>
      </c>
      <c r="C97" s="727">
        <v>42066</v>
      </c>
      <c r="D97" s="728" t="s">
        <v>506</v>
      </c>
      <c r="E97" s="812">
        <v>55</v>
      </c>
      <c r="F97" s="811">
        <v>55</v>
      </c>
      <c r="G97" s="811">
        <v>75</v>
      </c>
      <c r="H97" s="807">
        <f t="shared" si="13"/>
        <v>2.99</v>
      </c>
      <c r="I97" s="256">
        <v>200</v>
      </c>
      <c r="J97" s="710">
        <f t="shared" si="14"/>
        <v>598</v>
      </c>
      <c r="K97" s="710">
        <f t="shared" si="15"/>
        <v>24745.164199731465</v>
      </c>
      <c r="L97" s="724"/>
      <c r="N97" s="705"/>
      <c r="O97" s="705"/>
      <c r="P97" s="705"/>
    </row>
    <row r="98" spans="1:16" ht="16.5" customHeight="1">
      <c r="A98" s="709">
        <f t="shared" ref="A98:A149" si="16">IF(B98&lt;&gt;"",A97+1,"")</f>
        <v>93</v>
      </c>
      <c r="B98" s="296" t="s">
        <v>508</v>
      </c>
      <c r="C98" s="727">
        <v>42066</v>
      </c>
      <c r="D98" s="728" t="s">
        <v>509</v>
      </c>
      <c r="E98" s="812">
        <v>29.5</v>
      </c>
      <c r="F98" s="811">
        <v>24</v>
      </c>
      <c r="G98" s="811">
        <v>29</v>
      </c>
      <c r="H98" s="807">
        <f t="shared" si="13"/>
        <v>0.63</v>
      </c>
      <c r="I98" s="256">
        <v>617</v>
      </c>
      <c r="J98" s="710">
        <f t="shared" si="14"/>
        <v>388.71</v>
      </c>
      <c r="K98" s="710">
        <f t="shared" si="15"/>
        <v>5213.8640287059607</v>
      </c>
      <c r="L98" s="724"/>
      <c r="N98" s="705"/>
      <c r="O98" s="705"/>
      <c r="P98" s="705"/>
    </row>
    <row r="99" spans="1:16" ht="16.5" customHeight="1">
      <c r="A99" s="709">
        <f t="shared" si="16"/>
        <v>94</v>
      </c>
      <c r="B99" s="296" t="s">
        <v>510</v>
      </c>
      <c r="C99" s="727">
        <v>42066</v>
      </c>
      <c r="D99" s="728" t="s">
        <v>511</v>
      </c>
      <c r="E99" s="812">
        <v>55.8</v>
      </c>
      <c r="F99" s="811">
        <v>35.5</v>
      </c>
      <c r="G99" s="811">
        <v>20.3</v>
      </c>
      <c r="H99" s="807">
        <f t="shared" si="13"/>
        <v>1.1000000000000001</v>
      </c>
      <c r="I99" s="256">
        <v>24</v>
      </c>
      <c r="J99" s="710">
        <f t="shared" si="14"/>
        <v>26.400000000000002</v>
      </c>
      <c r="K99" s="710">
        <f t="shared" si="15"/>
        <v>9103.5721136135835</v>
      </c>
      <c r="L99" s="724"/>
      <c r="N99" s="705"/>
      <c r="O99" s="705"/>
      <c r="P99" s="705"/>
    </row>
    <row r="100" spans="1:16" ht="16.5" customHeight="1">
      <c r="A100" s="709">
        <f t="shared" si="16"/>
        <v>95</v>
      </c>
      <c r="B100" s="296" t="s">
        <v>512</v>
      </c>
      <c r="C100" s="727">
        <v>42066</v>
      </c>
      <c r="D100" s="728" t="s">
        <v>511</v>
      </c>
      <c r="E100" s="812">
        <v>55.8</v>
      </c>
      <c r="F100" s="811">
        <v>35.5</v>
      </c>
      <c r="G100" s="811">
        <v>21.5</v>
      </c>
      <c r="H100" s="807">
        <f t="shared" si="13"/>
        <v>1.1299999999999999</v>
      </c>
      <c r="I100" s="256">
        <v>30</v>
      </c>
      <c r="J100" s="710">
        <f t="shared" si="14"/>
        <v>33.9</v>
      </c>
      <c r="K100" s="710">
        <f t="shared" si="15"/>
        <v>9351.85135307577</v>
      </c>
      <c r="L100" s="724"/>
      <c r="N100" s="705"/>
      <c r="O100" s="705"/>
      <c r="P100" s="705"/>
    </row>
    <row r="101" spans="1:16" ht="16.5" customHeight="1">
      <c r="A101" s="709">
        <f t="shared" si="16"/>
        <v>96</v>
      </c>
      <c r="B101" s="296" t="s">
        <v>513</v>
      </c>
      <c r="C101" s="727">
        <v>42066</v>
      </c>
      <c r="D101" s="728" t="s">
        <v>511</v>
      </c>
      <c r="E101" s="812">
        <v>55.8</v>
      </c>
      <c r="F101" s="811">
        <v>35.5</v>
      </c>
      <c r="G101" s="811">
        <v>22.8</v>
      </c>
      <c r="H101" s="807">
        <f t="shared" si="13"/>
        <v>1.1499999999999999</v>
      </c>
      <c r="I101" s="256">
        <v>53</v>
      </c>
      <c r="J101" s="710">
        <f t="shared" si="14"/>
        <v>60.949999999999996</v>
      </c>
      <c r="K101" s="710">
        <f t="shared" si="15"/>
        <v>9517.3708460505622</v>
      </c>
      <c r="L101" s="724"/>
      <c r="N101" s="705"/>
      <c r="O101" s="705"/>
      <c r="P101" s="705"/>
    </row>
    <row r="102" spans="1:16" ht="16.5" customHeight="1">
      <c r="A102" s="709">
        <f t="shared" si="16"/>
        <v>97</v>
      </c>
      <c r="B102" s="296" t="s">
        <v>514</v>
      </c>
      <c r="C102" s="727">
        <v>42066</v>
      </c>
      <c r="D102" s="728" t="s">
        <v>511</v>
      </c>
      <c r="E102" s="812">
        <v>55.8</v>
      </c>
      <c r="F102" s="811">
        <v>35.5</v>
      </c>
      <c r="G102" s="811">
        <v>12.7</v>
      </c>
      <c r="H102" s="807">
        <f t="shared" si="13"/>
        <v>0.96</v>
      </c>
      <c r="I102" s="256">
        <v>1</v>
      </c>
      <c r="J102" s="710">
        <f t="shared" si="14"/>
        <v>0.96</v>
      </c>
      <c r="K102" s="710">
        <f t="shared" ref="K102:K133" si="17">H102*$Q$31</f>
        <v>7944.9356627900352</v>
      </c>
      <c r="L102" s="724"/>
      <c r="N102" s="705"/>
      <c r="O102" s="705"/>
      <c r="P102" s="705"/>
    </row>
    <row r="103" spans="1:16" ht="16.5" customHeight="1">
      <c r="A103" s="709">
        <f t="shared" si="16"/>
        <v>98</v>
      </c>
      <c r="B103" s="296" t="s">
        <v>1140</v>
      </c>
      <c r="C103" s="727">
        <v>42069</v>
      </c>
      <c r="D103" s="728" t="s">
        <v>515</v>
      </c>
      <c r="E103" s="812">
        <v>45</v>
      </c>
      <c r="F103" s="811">
        <v>37</v>
      </c>
      <c r="G103" s="811">
        <v>27.5</v>
      </c>
      <c r="H103" s="807">
        <f t="shared" si="13"/>
        <v>1.1399999999999999</v>
      </c>
      <c r="I103" s="256">
        <v>100</v>
      </c>
      <c r="J103" s="710">
        <f t="shared" si="14"/>
        <v>113.99999999999999</v>
      </c>
      <c r="K103" s="710">
        <f t="shared" si="17"/>
        <v>9434.6110995631661</v>
      </c>
      <c r="L103" s="724"/>
      <c r="N103" s="705"/>
      <c r="O103" s="705"/>
      <c r="P103" s="705"/>
    </row>
    <row r="104" spans="1:16" ht="16.5" customHeight="1">
      <c r="A104" s="709">
        <f t="shared" si="16"/>
        <v>99</v>
      </c>
      <c r="B104" s="296" t="s">
        <v>1654</v>
      </c>
      <c r="C104" s="727">
        <v>42069</v>
      </c>
      <c r="D104" s="728" t="s">
        <v>515</v>
      </c>
      <c r="E104" s="812">
        <v>50</v>
      </c>
      <c r="F104" s="811">
        <v>20</v>
      </c>
      <c r="G104" s="811"/>
      <c r="H104" s="807">
        <f t="shared" si="13"/>
        <v>0.1</v>
      </c>
      <c r="I104" s="256">
        <v>200</v>
      </c>
      <c r="J104" s="710">
        <f t="shared" si="14"/>
        <v>20</v>
      </c>
      <c r="K104" s="710">
        <f t="shared" si="17"/>
        <v>827.59746487396205</v>
      </c>
      <c r="L104" s="724"/>
      <c r="N104" s="705"/>
      <c r="O104" s="705"/>
      <c r="P104" s="705"/>
    </row>
    <row r="105" spans="1:16" ht="16.5" customHeight="1">
      <c r="A105" s="709">
        <f t="shared" si="16"/>
        <v>100</v>
      </c>
      <c r="B105" s="296" t="s">
        <v>516</v>
      </c>
      <c r="C105" s="727">
        <v>42070</v>
      </c>
      <c r="D105" s="728" t="s">
        <v>517</v>
      </c>
      <c r="E105" s="812">
        <v>45</v>
      </c>
      <c r="F105" s="811">
        <v>35</v>
      </c>
      <c r="G105" s="811">
        <v>20</v>
      </c>
      <c r="H105" s="807">
        <f t="shared" si="13"/>
        <v>0.96</v>
      </c>
      <c r="I105" s="256">
        <v>800</v>
      </c>
      <c r="J105" s="710">
        <f t="shared" si="14"/>
        <v>768</v>
      </c>
      <c r="K105" s="710">
        <f t="shared" si="17"/>
        <v>7944.9356627900352</v>
      </c>
      <c r="L105" s="724"/>
      <c r="N105" s="705"/>
      <c r="O105" s="705"/>
      <c r="P105" s="705"/>
    </row>
    <row r="106" spans="1:16" ht="16.5" customHeight="1">
      <c r="A106" s="709">
        <f t="shared" si="16"/>
        <v>101</v>
      </c>
      <c r="B106" s="296" t="s">
        <v>518</v>
      </c>
      <c r="C106" s="727">
        <v>42070</v>
      </c>
      <c r="D106" s="728" t="s">
        <v>517</v>
      </c>
      <c r="E106" s="812">
        <v>45</v>
      </c>
      <c r="F106" s="811">
        <v>35</v>
      </c>
      <c r="G106" s="811">
        <v>25</v>
      </c>
      <c r="H106" s="807">
        <f t="shared" si="13"/>
        <v>1.04</v>
      </c>
      <c r="I106" s="256">
        <v>815</v>
      </c>
      <c r="J106" s="710">
        <f t="shared" si="14"/>
        <v>847.6</v>
      </c>
      <c r="K106" s="710">
        <f t="shared" si="17"/>
        <v>8607.013634689205</v>
      </c>
      <c r="L106" s="724"/>
      <c r="N106" s="705"/>
      <c r="O106" s="705"/>
      <c r="P106" s="705"/>
    </row>
    <row r="107" spans="1:16" ht="16.5" customHeight="1">
      <c r="A107" s="709">
        <f t="shared" si="16"/>
        <v>102</v>
      </c>
      <c r="B107" s="296" t="s">
        <v>519</v>
      </c>
      <c r="C107" s="727">
        <v>42070</v>
      </c>
      <c r="D107" s="728" t="s">
        <v>517</v>
      </c>
      <c r="E107" s="812">
        <v>45</v>
      </c>
      <c r="F107" s="811">
        <v>35</v>
      </c>
      <c r="G107" s="811">
        <v>30</v>
      </c>
      <c r="H107" s="807">
        <f t="shared" si="13"/>
        <v>1.1200000000000001</v>
      </c>
      <c r="I107" s="256">
        <v>303</v>
      </c>
      <c r="J107" s="710">
        <f t="shared" si="14"/>
        <v>339.36</v>
      </c>
      <c r="K107" s="710">
        <f t="shared" si="17"/>
        <v>9269.0916065883757</v>
      </c>
      <c r="L107" s="724"/>
      <c r="N107" s="705"/>
      <c r="O107" s="705"/>
      <c r="P107" s="705"/>
    </row>
    <row r="108" spans="1:16" ht="16.5" customHeight="1">
      <c r="A108" s="709">
        <f t="shared" si="16"/>
        <v>103</v>
      </c>
      <c r="B108" s="296" t="s">
        <v>1661</v>
      </c>
      <c r="C108" s="727">
        <v>42070</v>
      </c>
      <c r="D108" s="728" t="s">
        <v>517</v>
      </c>
      <c r="E108" s="812">
        <v>30</v>
      </c>
      <c r="F108" s="811">
        <v>20</v>
      </c>
      <c r="G108" s="811"/>
      <c r="H108" s="807">
        <f t="shared" si="13"/>
        <v>0.06</v>
      </c>
      <c r="I108" s="256">
        <v>1900</v>
      </c>
      <c r="J108" s="710">
        <f t="shared" si="14"/>
        <v>114</v>
      </c>
      <c r="K108" s="710">
        <f t="shared" si="17"/>
        <v>496.5584789243772</v>
      </c>
      <c r="L108" s="724"/>
      <c r="N108" s="705"/>
      <c r="O108" s="705"/>
      <c r="P108" s="705"/>
    </row>
    <row r="109" spans="1:16" ht="16.5" customHeight="1">
      <c r="A109" s="709">
        <f t="shared" si="16"/>
        <v>104</v>
      </c>
      <c r="B109" s="296" t="s">
        <v>413</v>
      </c>
      <c r="C109" s="727">
        <v>42073</v>
      </c>
      <c r="D109" s="728" t="s">
        <v>520</v>
      </c>
      <c r="E109" s="812">
        <v>49</v>
      </c>
      <c r="F109" s="811">
        <v>38</v>
      </c>
      <c r="G109" s="811">
        <v>12</v>
      </c>
      <c r="H109" s="807">
        <f t="shared" si="13"/>
        <v>0.95</v>
      </c>
      <c r="I109" s="256">
        <v>569</v>
      </c>
      <c r="J109" s="710">
        <f t="shared" si="14"/>
        <v>540.54999999999995</v>
      </c>
      <c r="K109" s="710">
        <f t="shared" si="17"/>
        <v>7862.1759163026391</v>
      </c>
      <c r="L109" s="724"/>
      <c r="N109" s="705"/>
      <c r="O109" s="705"/>
      <c r="P109" s="705"/>
    </row>
    <row r="110" spans="1:16" ht="16.5" customHeight="1">
      <c r="A110" s="709">
        <f t="shared" si="16"/>
        <v>105</v>
      </c>
      <c r="B110" s="296" t="s">
        <v>439</v>
      </c>
      <c r="C110" s="727">
        <v>42075</v>
      </c>
      <c r="D110" s="728" t="s">
        <v>521</v>
      </c>
      <c r="E110" s="812">
        <v>51.5</v>
      </c>
      <c r="F110" s="811">
        <v>28.5</v>
      </c>
      <c r="G110" s="811">
        <v>7.2</v>
      </c>
      <c r="H110" s="807">
        <f t="shared" si="13"/>
        <v>0.64</v>
      </c>
      <c r="I110" s="256">
        <v>900</v>
      </c>
      <c r="J110" s="710">
        <f t="shared" si="14"/>
        <v>576</v>
      </c>
      <c r="K110" s="710">
        <f t="shared" si="17"/>
        <v>5296.6237751933577</v>
      </c>
      <c r="L110" s="724"/>
      <c r="N110" s="705"/>
      <c r="O110" s="705"/>
      <c r="P110" s="705"/>
    </row>
    <row r="111" spans="1:16" ht="16.5" customHeight="1">
      <c r="A111" s="709">
        <f t="shared" si="16"/>
        <v>106</v>
      </c>
      <c r="B111" s="296" t="s">
        <v>522</v>
      </c>
      <c r="C111" s="727">
        <v>42075</v>
      </c>
      <c r="D111" s="728" t="s">
        <v>521</v>
      </c>
      <c r="E111" s="812">
        <v>32.5</v>
      </c>
      <c r="F111" s="811">
        <v>30.5</v>
      </c>
      <c r="G111" s="811">
        <v>7.5</v>
      </c>
      <c r="H111" s="807">
        <f t="shared" si="13"/>
        <v>0.54</v>
      </c>
      <c r="I111" s="256">
        <v>118</v>
      </c>
      <c r="J111" s="710">
        <f t="shared" si="14"/>
        <v>63.720000000000006</v>
      </c>
      <c r="K111" s="710">
        <f t="shared" si="17"/>
        <v>4469.0263103193956</v>
      </c>
      <c r="L111" s="724"/>
      <c r="N111" s="705"/>
      <c r="O111" s="705"/>
      <c r="P111" s="705"/>
    </row>
    <row r="112" spans="1:16" ht="16.5" customHeight="1">
      <c r="A112" s="709">
        <f t="shared" si="16"/>
        <v>107</v>
      </c>
      <c r="B112" s="296" t="s">
        <v>523</v>
      </c>
      <c r="C112" s="727">
        <v>42077</v>
      </c>
      <c r="D112" s="728" t="s">
        <v>524</v>
      </c>
      <c r="E112" s="812">
        <v>47</v>
      </c>
      <c r="F112" s="811">
        <v>42</v>
      </c>
      <c r="G112" s="811">
        <v>29</v>
      </c>
      <c r="H112" s="807">
        <f t="shared" si="13"/>
        <v>1.35</v>
      </c>
      <c r="I112" s="256">
        <v>55</v>
      </c>
      <c r="J112" s="710">
        <f t="shared" si="14"/>
        <v>74.25</v>
      </c>
      <c r="K112" s="710">
        <f t="shared" si="17"/>
        <v>11172.565775798488</v>
      </c>
      <c r="L112" s="724"/>
      <c r="N112" s="705"/>
      <c r="O112" s="705"/>
      <c r="P112" s="705"/>
    </row>
    <row r="113" spans="1:16" ht="16.5" customHeight="1">
      <c r="A113" s="709">
        <f t="shared" si="16"/>
        <v>108</v>
      </c>
      <c r="B113" s="296" t="s">
        <v>525</v>
      </c>
      <c r="C113" s="727">
        <v>42077</v>
      </c>
      <c r="D113" s="728" t="s">
        <v>524</v>
      </c>
      <c r="E113" s="812">
        <v>51</v>
      </c>
      <c r="F113" s="811">
        <v>42</v>
      </c>
      <c r="G113" s="811">
        <v>13.5</v>
      </c>
      <c r="H113" s="807">
        <f t="shared" si="13"/>
        <v>1.1200000000000001</v>
      </c>
      <c r="I113" s="256">
        <v>110</v>
      </c>
      <c r="J113" s="710">
        <f t="shared" si="14"/>
        <v>123.20000000000002</v>
      </c>
      <c r="K113" s="710">
        <f t="shared" si="17"/>
        <v>9269.0916065883757</v>
      </c>
      <c r="L113" s="724"/>
      <c r="N113" s="705"/>
      <c r="O113" s="705"/>
      <c r="P113" s="705"/>
    </row>
    <row r="114" spans="1:16" ht="16.5" customHeight="1">
      <c r="A114" s="709">
        <f t="shared" si="16"/>
        <v>109</v>
      </c>
      <c r="B114" s="296" t="s">
        <v>526</v>
      </c>
      <c r="C114" s="727">
        <v>42077</v>
      </c>
      <c r="D114" s="728" t="s">
        <v>524</v>
      </c>
      <c r="E114" s="812">
        <v>38</v>
      </c>
      <c r="F114" s="811">
        <v>37</v>
      </c>
      <c r="G114" s="811">
        <v>25</v>
      </c>
      <c r="H114" s="807">
        <f t="shared" si="13"/>
        <v>1.01</v>
      </c>
      <c r="I114" s="256">
        <v>232</v>
      </c>
      <c r="J114" s="710">
        <f t="shared" si="14"/>
        <v>234.32</v>
      </c>
      <c r="K114" s="710">
        <f t="shared" si="17"/>
        <v>8358.7343952270166</v>
      </c>
      <c r="L114" s="724"/>
      <c r="N114" s="705"/>
      <c r="O114" s="705"/>
      <c r="P114" s="705"/>
    </row>
    <row r="115" spans="1:16" ht="16.5" customHeight="1">
      <c r="A115" s="709">
        <f t="shared" si="16"/>
        <v>110</v>
      </c>
      <c r="B115" s="296" t="s">
        <v>405</v>
      </c>
      <c r="C115" s="727">
        <v>42077</v>
      </c>
      <c r="D115" s="728" t="s">
        <v>524</v>
      </c>
      <c r="E115" s="812">
        <v>46</v>
      </c>
      <c r="F115" s="811">
        <v>42</v>
      </c>
      <c r="G115" s="811">
        <v>24</v>
      </c>
      <c r="H115" s="807">
        <f t="shared" si="13"/>
        <v>1.25</v>
      </c>
      <c r="I115" s="256">
        <v>406</v>
      </c>
      <c r="J115" s="710">
        <f t="shared" si="14"/>
        <v>507.5</v>
      </c>
      <c r="K115" s="710">
        <f t="shared" si="17"/>
        <v>10344.968310924525</v>
      </c>
      <c r="L115" s="724"/>
      <c r="N115" s="705"/>
      <c r="O115" s="705"/>
      <c r="P115" s="705"/>
    </row>
    <row r="116" spans="1:16" ht="16.5" customHeight="1">
      <c r="A116" s="709">
        <f t="shared" si="16"/>
        <v>111</v>
      </c>
      <c r="B116" s="296" t="s">
        <v>1693</v>
      </c>
      <c r="C116" s="727">
        <v>42077</v>
      </c>
      <c r="D116" s="728" t="s">
        <v>527</v>
      </c>
      <c r="E116" s="812">
        <v>100</v>
      </c>
      <c r="F116" s="811">
        <v>170</v>
      </c>
      <c r="G116" s="811"/>
      <c r="H116" s="807">
        <f t="shared" si="13"/>
        <v>1.7</v>
      </c>
      <c r="I116" s="256">
        <v>165</v>
      </c>
      <c r="J116" s="710">
        <f t="shared" si="14"/>
        <v>280.5</v>
      </c>
      <c r="K116" s="710">
        <f t="shared" si="17"/>
        <v>14069.156902857354</v>
      </c>
      <c r="L116" s="724"/>
      <c r="N116" s="705"/>
      <c r="O116" s="705"/>
      <c r="P116" s="705"/>
    </row>
    <row r="117" spans="1:16" ht="16.5" customHeight="1">
      <c r="A117" s="709">
        <f t="shared" si="16"/>
        <v>112</v>
      </c>
      <c r="B117" s="296" t="s">
        <v>1694</v>
      </c>
      <c r="C117" s="727">
        <v>42077</v>
      </c>
      <c r="D117" s="728" t="s">
        <v>527</v>
      </c>
      <c r="E117" s="812">
        <v>135</v>
      </c>
      <c r="F117" s="811">
        <v>156</v>
      </c>
      <c r="G117" s="811"/>
      <c r="H117" s="807">
        <f t="shared" si="13"/>
        <v>2.11</v>
      </c>
      <c r="I117" s="256">
        <v>250</v>
      </c>
      <c r="J117" s="710">
        <f t="shared" si="14"/>
        <v>527.5</v>
      </c>
      <c r="K117" s="710">
        <f t="shared" si="17"/>
        <v>17462.306508840597</v>
      </c>
      <c r="L117" s="724"/>
      <c r="N117" s="705"/>
      <c r="O117" s="705"/>
      <c r="P117" s="705"/>
    </row>
    <row r="118" spans="1:16" ht="16.5" customHeight="1">
      <c r="A118" s="709">
        <f t="shared" si="16"/>
        <v>113</v>
      </c>
      <c r="B118" s="296" t="s">
        <v>1695</v>
      </c>
      <c r="C118" s="727">
        <v>42077</v>
      </c>
      <c r="D118" s="728" t="s">
        <v>527</v>
      </c>
      <c r="E118" s="812">
        <v>105</v>
      </c>
      <c r="F118" s="811">
        <v>172</v>
      </c>
      <c r="G118" s="811"/>
      <c r="H118" s="807">
        <f t="shared" si="13"/>
        <v>1.81</v>
      </c>
      <c r="I118" s="256">
        <v>20</v>
      </c>
      <c r="J118" s="710">
        <f t="shared" si="14"/>
        <v>36.200000000000003</v>
      </c>
      <c r="K118" s="710">
        <f t="shared" si="17"/>
        <v>14979.514114218713</v>
      </c>
      <c r="L118" s="724"/>
      <c r="N118" s="705"/>
      <c r="O118" s="705"/>
      <c r="P118" s="705"/>
    </row>
    <row r="119" spans="1:16" ht="16.5" customHeight="1">
      <c r="A119" s="709">
        <f t="shared" si="16"/>
        <v>114</v>
      </c>
      <c r="B119" s="296" t="s">
        <v>1696</v>
      </c>
      <c r="C119" s="727">
        <v>42077</v>
      </c>
      <c r="D119" s="728" t="s">
        <v>527</v>
      </c>
      <c r="E119" s="812">
        <v>110</v>
      </c>
      <c r="F119" s="811">
        <v>160</v>
      </c>
      <c r="G119" s="811"/>
      <c r="H119" s="807">
        <f t="shared" si="13"/>
        <v>1.76</v>
      </c>
      <c r="I119" s="256">
        <v>20</v>
      </c>
      <c r="J119" s="710">
        <f t="shared" si="14"/>
        <v>35.200000000000003</v>
      </c>
      <c r="K119" s="710">
        <f t="shared" si="17"/>
        <v>14565.715381781733</v>
      </c>
      <c r="L119" s="724"/>
      <c r="N119" s="705"/>
      <c r="O119" s="705"/>
      <c r="P119" s="705"/>
    </row>
    <row r="120" spans="1:16" ht="16.5" customHeight="1">
      <c r="A120" s="709">
        <f t="shared" si="16"/>
        <v>115</v>
      </c>
      <c r="B120" s="296" t="s">
        <v>529</v>
      </c>
      <c r="C120" s="727">
        <v>42079</v>
      </c>
      <c r="D120" s="728" t="s">
        <v>530</v>
      </c>
      <c r="E120" s="812">
        <v>40.6</v>
      </c>
      <c r="F120" s="811">
        <v>27.9</v>
      </c>
      <c r="G120" s="811">
        <v>10</v>
      </c>
      <c r="H120" s="807">
        <f t="shared" si="13"/>
        <v>0.57999999999999996</v>
      </c>
      <c r="I120" s="256">
        <v>236</v>
      </c>
      <c r="J120" s="710">
        <f t="shared" si="14"/>
        <v>136.88</v>
      </c>
      <c r="K120" s="710">
        <f t="shared" si="17"/>
        <v>4800.0652962689792</v>
      </c>
      <c r="L120" s="724"/>
      <c r="N120" s="705"/>
      <c r="O120" s="705"/>
      <c r="P120" s="705"/>
    </row>
    <row r="121" spans="1:16" ht="16.5" customHeight="1">
      <c r="A121" s="709">
        <f t="shared" si="16"/>
        <v>116</v>
      </c>
      <c r="B121" s="296" t="s">
        <v>531</v>
      </c>
      <c r="C121" s="727">
        <v>42079</v>
      </c>
      <c r="D121" s="728" t="s">
        <v>530</v>
      </c>
      <c r="E121" s="812">
        <v>50.8</v>
      </c>
      <c r="F121" s="811">
        <v>43.1</v>
      </c>
      <c r="G121" s="811">
        <v>22.8</v>
      </c>
      <c r="H121" s="807">
        <f t="shared" si="13"/>
        <v>1.33</v>
      </c>
      <c r="I121" s="256">
        <v>8</v>
      </c>
      <c r="J121" s="710">
        <f t="shared" si="14"/>
        <v>10.64</v>
      </c>
      <c r="K121" s="710">
        <f t="shared" si="17"/>
        <v>11007.046282823696</v>
      </c>
      <c r="L121" s="724"/>
      <c r="N121" s="705"/>
      <c r="O121" s="705"/>
      <c r="P121" s="705"/>
    </row>
    <row r="122" spans="1:16" ht="16.5" customHeight="1">
      <c r="A122" s="709">
        <f t="shared" si="16"/>
        <v>117</v>
      </c>
      <c r="B122" s="296" t="s">
        <v>532</v>
      </c>
      <c r="C122" s="727">
        <v>42079</v>
      </c>
      <c r="D122" s="728" t="s">
        <v>530</v>
      </c>
      <c r="E122" s="812">
        <v>50.8</v>
      </c>
      <c r="F122" s="811">
        <v>43.1</v>
      </c>
      <c r="G122" s="811">
        <v>30.5</v>
      </c>
      <c r="H122" s="807">
        <f t="shared" si="13"/>
        <v>1.48</v>
      </c>
      <c r="I122" s="256">
        <v>21</v>
      </c>
      <c r="J122" s="710">
        <f t="shared" si="14"/>
        <v>31.08</v>
      </c>
      <c r="K122" s="710">
        <f t="shared" si="17"/>
        <v>12248.442480134638</v>
      </c>
      <c r="L122" s="724"/>
      <c r="N122" s="705"/>
      <c r="O122" s="705"/>
      <c r="P122" s="705"/>
    </row>
    <row r="123" spans="1:16" ht="16.5" customHeight="1">
      <c r="A123" s="709">
        <f t="shared" si="16"/>
        <v>118</v>
      </c>
      <c r="B123" s="296" t="s">
        <v>533</v>
      </c>
      <c r="C123" s="727">
        <v>42079</v>
      </c>
      <c r="D123" s="728" t="s">
        <v>530</v>
      </c>
      <c r="E123" s="812">
        <v>40.6</v>
      </c>
      <c r="F123" s="811">
        <v>27.9</v>
      </c>
      <c r="G123" s="811">
        <v>20.3</v>
      </c>
      <c r="H123" s="807">
        <f t="shared" si="13"/>
        <v>0.73</v>
      </c>
      <c r="I123" s="256">
        <v>10</v>
      </c>
      <c r="J123" s="710">
        <f t="shared" si="14"/>
        <v>7.3</v>
      </c>
      <c r="K123" s="710">
        <f t="shared" si="17"/>
        <v>6041.4614935799227</v>
      </c>
      <c r="L123" s="724"/>
      <c r="N123" s="705"/>
      <c r="O123" s="705"/>
      <c r="P123" s="705"/>
    </row>
    <row r="124" spans="1:16" ht="16.5" customHeight="1">
      <c r="A124" s="709">
        <f t="shared" si="16"/>
        <v>119</v>
      </c>
      <c r="B124" s="296" t="s">
        <v>534</v>
      </c>
      <c r="C124" s="727">
        <v>42079</v>
      </c>
      <c r="D124" s="728" t="s">
        <v>530</v>
      </c>
      <c r="E124" s="812">
        <v>50.8</v>
      </c>
      <c r="F124" s="811">
        <v>43.1</v>
      </c>
      <c r="G124" s="811">
        <v>20.3</v>
      </c>
      <c r="H124" s="807">
        <f t="shared" si="13"/>
        <v>1.28</v>
      </c>
      <c r="I124" s="256">
        <v>28</v>
      </c>
      <c r="J124" s="710">
        <f t="shared" si="14"/>
        <v>35.840000000000003</v>
      </c>
      <c r="K124" s="710">
        <f t="shared" si="17"/>
        <v>10593.247550386715</v>
      </c>
      <c r="L124" s="724"/>
      <c r="N124" s="705"/>
      <c r="O124" s="705"/>
      <c r="P124" s="705"/>
    </row>
    <row r="125" spans="1:16" ht="16.5" customHeight="1">
      <c r="A125" s="709">
        <f t="shared" si="16"/>
        <v>120</v>
      </c>
      <c r="B125" s="296" t="s">
        <v>1662</v>
      </c>
      <c r="C125" s="727">
        <v>42079</v>
      </c>
      <c r="D125" s="728" t="s">
        <v>530</v>
      </c>
      <c r="E125" s="812">
        <v>25</v>
      </c>
      <c r="F125" s="811">
        <v>14</v>
      </c>
      <c r="G125" s="811"/>
      <c r="H125" s="807">
        <f t="shared" si="13"/>
        <v>0.04</v>
      </c>
      <c r="I125" s="256">
        <v>500</v>
      </c>
      <c r="J125" s="710">
        <f t="shared" si="14"/>
        <v>20</v>
      </c>
      <c r="K125" s="710">
        <f t="shared" si="17"/>
        <v>331.03898594958486</v>
      </c>
      <c r="L125" s="724"/>
      <c r="N125" s="705"/>
      <c r="O125" s="705"/>
      <c r="P125" s="705"/>
    </row>
    <row r="126" spans="1:16" ht="16.5" customHeight="1">
      <c r="A126" s="709">
        <f t="shared" si="16"/>
        <v>121</v>
      </c>
      <c r="B126" s="296" t="s">
        <v>398</v>
      </c>
      <c r="C126" s="727">
        <v>42080</v>
      </c>
      <c r="D126" s="728" t="s">
        <v>535</v>
      </c>
      <c r="E126" s="812">
        <v>52</v>
      </c>
      <c r="F126" s="811">
        <v>24.5</v>
      </c>
      <c r="G126" s="811">
        <v>24.5</v>
      </c>
      <c r="H126" s="807">
        <f t="shared" si="13"/>
        <v>0.82</v>
      </c>
      <c r="I126" s="256">
        <v>903</v>
      </c>
      <c r="J126" s="710">
        <f t="shared" si="14"/>
        <v>740.45999999999992</v>
      </c>
      <c r="K126" s="710">
        <f t="shared" si="17"/>
        <v>6786.2992119664887</v>
      </c>
      <c r="L126" s="724"/>
      <c r="N126" s="705"/>
      <c r="O126" s="705"/>
      <c r="P126" s="705"/>
    </row>
    <row r="127" spans="1:16" ht="16.5" customHeight="1">
      <c r="A127" s="709">
        <f t="shared" si="16"/>
        <v>122</v>
      </c>
      <c r="B127" s="296" t="s">
        <v>446</v>
      </c>
      <c r="C127" s="727">
        <v>42080</v>
      </c>
      <c r="D127" s="728" t="s">
        <v>535</v>
      </c>
      <c r="E127" s="812">
        <v>52</v>
      </c>
      <c r="F127" s="811">
        <v>26.5</v>
      </c>
      <c r="G127" s="811">
        <v>26.5</v>
      </c>
      <c r="H127" s="807">
        <f t="shared" si="13"/>
        <v>0.91</v>
      </c>
      <c r="I127" s="256">
        <v>289</v>
      </c>
      <c r="J127" s="710">
        <f t="shared" si="14"/>
        <v>262.99</v>
      </c>
      <c r="K127" s="710">
        <f t="shared" si="17"/>
        <v>7531.1369303530546</v>
      </c>
      <c r="L127" s="724"/>
      <c r="N127" s="705"/>
      <c r="O127" s="705"/>
      <c r="P127" s="705"/>
    </row>
    <row r="128" spans="1:16" ht="16.5" customHeight="1">
      <c r="A128" s="709">
        <f t="shared" si="16"/>
        <v>123</v>
      </c>
      <c r="B128" s="296" t="s">
        <v>536</v>
      </c>
      <c r="C128" s="727">
        <v>42080</v>
      </c>
      <c r="D128" s="728" t="s">
        <v>535</v>
      </c>
      <c r="E128" s="812">
        <v>61</v>
      </c>
      <c r="F128" s="811">
        <v>51</v>
      </c>
      <c r="G128" s="811">
        <v>30</v>
      </c>
      <c r="H128" s="807">
        <f t="shared" si="13"/>
        <v>1.92</v>
      </c>
      <c r="I128" s="256">
        <v>300</v>
      </c>
      <c r="J128" s="710">
        <f t="shared" si="14"/>
        <v>576</v>
      </c>
      <c r="K128" s="710">
        <f t="shared" si="17"/>
        <v>15889.87132558007</v>
      </c>
      <c r="L128" s="724"/>
      <c r="N128" s="705"/>
      <c r="O128" s="705"/>
      <c r="P128" s="705"/>
    </row>
    <row r="129" spans="1:16" ht="16.5" customHeight="1">
      <c r="A129" s="709">
        <f t="shared" si="16"/>
        <v>124</v>
      </c>
      <c r="B129" s="296" t="s">
        <v>501</v>
      </c>
      <c r="C129" s="727">
        <v>42080</v>
      </c>
      <c r="D129" s="728" t="s">
        <v>535</v>
      </c>
      <c r="E129" s="812">
        <v>55</v>
      </c>
      <c r="F129" s="811">
        <v>45</v>
      </c>
      <c r="G129" s="811">
        <v>29</v>
      </c>
      <c r="H129" s="807">
        <f t="shared" si="13"/>
        <v>1.58</v>
      </c>
      <c r="I129" s="256">
        <v>300</v>
      </c>
      <c r="J129" s="710">
        <f t="shared" si="14"/>
        <v>474</v>
      </c>
      <c r="K129" s="710">
        <f t="shared" si="17"/>
        <v>13076.039945008601</v>
      </c>
      <c r="L129" s="724"/>
      <c r="N129" s="705"/>
      <c r="O129" s="705"/>
      <c r="P129" s="705"/>
    </row>
    <row r="130" spans="1:16" ht="16.5" customHeight="1">
      <c r="A130" s="709">
        <f t="shared" si="16"/>
        <v>125</v>
      </c>
      <c r="B130" s="296" t="s">
        <v>451</v>
      </c>
      <c r="C130" s="727">
        <v>42080</v>
      </c>
      <c r="D130" s="728" t="s">
        <v>537</v>
      </c>
      <c r="E130" s="812">
        <v>49.5</v>
      </c>
      <c r="F130" s="811">
        <v>38.5</v>
      </c>
      <c r="G130" s="811">
        <v>32.5</v>
      </c>
      <c r="H130" s="807">
        <f t="shared" si="13"/>
        <v>1.34</v>
      </c>
      <c r="I130" s="256">
        <v>604</v>
      </c>
      <c r="J130" s="710">
        <f t="shared" si="14"/>
        <v>809.36</v>
      </c>
      <c r="K130" s="710">
        <f t="shared" si="17"/>
        <v>11089.806029311092</v>
      </c>
      <c r="L130" s="724"/>
      <c r="N130" s="705"/>
      <c r="O130" s="705"/>
      <c r="P130" s="705"/>
    </row>
    <row r="131" spans="1:16" ht="16.5" customHeight="1">
      <c r="A131" s="709">
        <f t="shared" si="16"/>
        <v>126</v>
      </c>
      <c r="B131" s="296" t="s">
        <v>538</v>
      </c>
      <c r="C131" s="727">
        <v>42080</v>
      </c>
      <c r="D131" s="728" t="s">
        <v>537</v>
      </c>
      <c r="E131" s="812">
        <v>41</v>
      </c>
      <c r="F131" s="811">
        <v>31</v>
      </c>
      <c r="G131" s="811">
        <v>25.5</v>
      </c>
      <c r="H131" s="807">
        <f t="shared" si="13"/>
        <v>0.89</v>
      </c>
      <c r="I131" s="256">
        <v>206</v>
      </c>
      <c r="J131" s="710">
        <f t="shared" si="14"/>
        <v>183.34</v>
      </c>
      <c r="K131" s="710">
        <f t="shared" si="17"/>
        <v>7365.6174373782624</v>
      </c>
      <c r="L131" s="724"/>
      <c r="N131" s="705"/>
      <c r="O131" s="705"/>
      <c r="P131" s="705"/>
    </row>
    <row r="132" spans="1:16" ht="16.5" customHeight="1">
      <c r="A132" s="709">
        <f t="shared" si="16"/>
        <v>127</v>
      </c>
      <c r="B132" s="296" t="s">
        <v>539</v>
      </c>
      <c r="C132" s="727">
        <v>42080</v>
      </c>
      <c r="D132" s="728" t="s">
        <v>537</v>
      </c>
      <c r="E132" s="812">
        <v>39.5</v>
      </c>
      <c r="F132" s="811">
        <v>32.5</v>
      </c>
      <c r="G132" s="811">
        <v>27.7</v>
      </c>
      <c r="H132" s="807">
        <f t="shared" si="13"/>
        <v>0.94</v>
      </c>
      <c r="I132" s="256">
        <v>205</v>
      </c>
      <c r="J132" s="710">
        <f t="shared" si="14"/>
        <v>192.7</v>
      </c>
      <c r="K132" s="710">
        <f t="shared" si="17"/>
        <v>7779.4161698152429</v>
      </c>
      <c r="L132" s="724"/>
      <c r="N132" s="705"/>
      <c r="O132" s="705"/>
      <c r="P132" s="705"/>
    </row>
    <row r="133" spans="1:16" ht="16.5" customHeight="1">
      <c r="A133" s="709">
        <f t="shared" si="16"/>
        <v>128</v>
      </c>
      <c r="B133" s="296" t="s">
        <v>540</v>
      </c>
      <c r="C133" s="727">
        <v>42080</v>
      </c>
      <c r="D133" s="728" t="s">
        <v>537</v>
      </c>
      <c r="E133" s="812">
        <v>42</v>
      </c>
      <c r="F133" s="811">
        <v>26</v>
      </c>
      <c r="G133" s="811">
        <v>33</v>
      </c>
      <c r="H133" s="807">
        <f t="shared" si="13"/>
        <v>0.87</v>
      </c>
      <c r="I133" s="256">
        <v>306</v>
      </c>
      <c r="J133" s="710">
        <f t="shared" si="14"/>
        <v>266.21999999999997</v>
      </c>
      <c r="K133" s="710">
        <f t="shared" si="17"/>
        <v>7200.0979444034701</v>
      </c>
      <c r="L133" s="724"/>
      <c r="N133" s="705"/>
      <c r="O133" s="705"/>
      <c r="P133" s="705"/>
    </row>
    <row r="134" spans="1:16" ht="16.5" customHeight="1">
      <c r="A134" s="709">
        <f t="shared" si="16"/>
        <v>129</v>
      </c>
      <c r="B134" s="296" t="s">
        <v>413</v>
      </c>
      <c r="C134" s="727">
        <v>42082</v>
      </c>
      <c r="D134" s="728" t="s">
        <v>541</v>
      </c>
      <c r="E134" s="812">
        <v>49</v>
      </c>
      <c r="F134" s="811">
        <v>38</v>
      </c>
      <c r="G134" s="811">
        <v>12</v>
      </c>
      <c r="H134" s="807">
        <f t="shared" ref="H134:H160" si="18">IF(G134&lt;&gt;"",ROUND(((E134+F134)*2+5)*(F134+G134+3)/10000,2),ROUND(E134*F134/10000,2))</f>
        <v>0.95</v>
      </c>
      <c r="I134" s="256">
        <v>490</v>
      </c>
      <c r="J134" s="710">
        <f t="shared" ref="J134:J160" si="19">H134*I134</f>
        <v>465.5</v>
      </c>
      <c r="K134" s="710">
        <f t="shared" ref="K134:K160" si="20">H134*$Q$31</f>
        <v>7862.1759163026391</v>
      </c>
      <c r="L134" s="724"/>
      <c r="N134" s="705"/>
      <c r="O134" s="705"/>
      <c r="P134" s="705"/>
    </row>
    <row r="135" spans="1:16" ht="16.5" customHeight="1">
      <c r="A135" s="709">
        <f t="shared" si="16"/>
        <v>130</v>
      </c>
      <c r="B135" s="296" t="s">
        <v>542</v>
      </c>
      <c r="C135" s="727">
        <v>42082</v>
      </c>
      <c r="D135" s="728" t="s">
        <v>541</v>
      </c>
      <c r="E135" s="812">
        <v>48</v>
      </c>
      <c r="F135" s="811">
        <v>37.5</v>
      </c>
      <c r="G135" s="811">
        <v>14</v>
      </c>
      <c r="H135" s="807">
        <f t="shared" si="18"/>
        <v>0.96</v>
      </c>
      <c r="I135" s="256">
        <v>215</v>
      </c>
      <c r="J135" s="710">
        <f t="shared" si="19"/>
        <v>206.4</v>
      </c>
      <c r="K135" s="710">
        <f t="shared" si="20"/>
        <v>7944.9356627900352</v>
      </c>
      <c r="L135" s="724"/>
      <c r="N135" s="705"/>
      <c r="O135" s="705"/>
      <c r="P135" s="705"/>
    </row>
    <row r="136" spans="1:16" ht="16.5" customHeight="1">
      <c r="A136" s="709">
        <f t="shared" si="16"/>
        <v>131</v>
      </c>
      <c r="B136" s="296" t="s">
        <v>543</v>
      </c>
      <c r="C136" s="727">
        <v>42082</v>
      </c>
      <c r="D136" s="728" t="s">
        <v>544</v>
      </c>
      <c r="E136" s="812">
        <v>31</v>
      </c>
      <c r="F136" s="811">
        <v>29</v>
      </c>
      <c r="G136" s="811">
        <v>24</v>
      </c>
      <c r="H136" s="807">
        <f t="shared" si="18"/>
        <v>0.7</v>
      </c>
      <c r="I136" s="256">
        <v>200</v>
      </c>
      <c r="J136" s="710">
        <f t="shared" si="19"/>
        <v>140</v>
      </c>
      <c r="K136" s="710">
        <f t="shared" si="20"/>
        <v>5793.1822541177344</v>
      </c>
      <c r="L136" s="724"/>
      <c r="N136" s="705"/>
      <c r="O136" s="705"/>
      <c r="P136" s="705"/>
    </row>
    <row r="137" spans="1:16" ht="16.5" customHeight="1">
      <c r="A137" s="709">
        <f t="shared" si="16"/>
        <v>132</v>
      </c>
      <c r="B137" s="296" t="s">
        <v>430</v>
      </c>
      <c r="C137" s="727">
        <v>42082</v>
      </c>
      <c r="D137" s="728" t="s">
        <v>544</v>
      </c>
      <c r="E137" s="812">
        <v>25</v>
      </c>
      <c r="F137" s="811">
        <v>32</v>
      </c>
      <c r="G137" s="811">
        <v>29</v>
      </c>
      <c r="H137" s="807">
        <f t="shared" si="18"/>
        <v>0.76</v>
      </c>
      <c r="I137" s="256">
        <v>205</v>
      </c>
      <c r="J137" s="710">
        <f t="shared" si="19"/>
        <v>155.80000000000001</v>
      </c>
      <c r="K137" s="710">
        <f t="shared" si="20"/>
        <v>6289.740733042112</v>
      </c>
      <c r="L137" s="724"/>
      <c r="N137" s="705"/>
      <c r="O137" s="705"/>
      <c r="P137" s="705"/>
    </row>
    <row r="138" spans="1:16" ht="16.5" customHeight="1">
      <c r="A138" s="709">
        <f t="shared" si="16"/>
        <v>133</v>
      </c>
      <c r="B138" s="296" t="s">
        <v>546</v>
      </c>
      <c r="C138" s="727">
        <v>42082</v>
      </c>
      <c r="D138" s="728" t="s">
        <v>544</v>
      </c>
      <c r="E138" s="812">
        <v>32</v>
      </c>
      <c r="F138" s="811">
        <v>26</v>
      </c>
      <c r="G138" s="811">
        <v>26.5</v>
      </c>
      <c r="H138" s="807">
        <f t="shared" si="18"/>
        <v>0.67</v>
      </c>
      <c r="I138" s="256">
        <v>208</v>
      </c>
      <c r="J138" s="710">
        <f t="shared" si="19"/>
        <v>139.36000000000001</v>
      </c>
      <c r="K138" s="710">
        <f t="shared" si="20"/>
        <v>5544.903014655546</v>
      </c>
      <c r="L138" s="724"/>
      <c r="N138" s="705"/>
      <c r="O138" s="705"/>
      <c r="P138" s="705"/>
    </row>
    <row r="139" spans="1:16" ht="16.5" customHeight="1">
      <c r="A139" s="709">
        <f t="shared" si="16"/>
        <v>134</v>
      </c>
      <c r="B139" s="296" t="s">
        <v>547</v>
      </c>
      <c r="C139" s="727">
        <v>42088</v>
      </c>
      <c r="D139" s="728" t="s">
        <v>548</v>
      </c>
      <c r="E139" s="812">
        <v>15</v>
      </c>
      <c r="F139" s="811">
        <v>10</v>
      </c>
      <c r="G139" s="811">
        <v>16</v>
      </c>
      <c r="H139" s="807">
        <f t="shared" si="18"/>
        <v>0.16</v>
      </c>
      <c r="I139" s="256">
        <v>500</v>
      </c>
      <c r="J139" s="710">
        <f t="shared" si="19"/>
        <v>80</v>
      </c>
      <c r="K139" s="710">
        <f t="shared" si="20"/>
        <v>1324.1559437983394</v>
      </c>
      <c r="L139" s="724"/>
      <c r="N139" s="705"/>
      <c r="O139" s="705"/>
      <c r="P139" s="705"/>
    </row>
    <row r="140" spans="1:16" ht="16.5" customHeight="1">
      <c r="A140" s="709">
        <f t="shared" si="16"/>
        <v>135</v>
      </c>
      <c r="B140" s="296" t="s">
        <v>550</v>
      </c>
      <c r="C140" s="727">
        <v>42088</v>
      </c>
      <c r="D140" s="728" t="s">
        <v>548</v>
      </c>
      <c r="E140" s="812">
        <v>58</v>
      </c>
      <c r="F140" s="811">
        <v>35</v>
      </c>
      <c r="G140" s="811">
        <v>47</v>
      </c>
      <c r="H140" s="807">
        <f t="shared" si="18"/>
        <v>1.62</v>
      </c>
      <c r="I140" s="256">
        <v>50</v>
      </c>
      <c r="J140" s="710">
        <f t="shared" si="19"/>
        <v>81</v>
      </c>
      <c r="K140" s="710">
        <f t="shared" si="20"/>
        <v>13407.078930958187</v>
      </c>
      <c r="L140" s="724"/>
      <c r="N140" s="705"/>
      <c r="O140" s="705"/>
      <c r="P140" s="705"/>
    </row>
    <row r="141" spans="1:16" ht="16.5" customHeight="1">
      <c r="A141" s="709">
        <f t="shared" si="16"/>
        <v>136</v>
      </c>
      <c r="B141" s="296" t="s">
        <v>551</v>
      </c>
      <c r="C141" s="727">
        <v>42088</v>
      </c>
      <c r="D141" s="728" t="s">
        <v>548</v>
      </c>
      <c r="E141" s="812">
        <v>60</v>
      </c>
      <c r="F141" s="811">
        <v>30</v>
      </c>
      <c r="G141" s="811">
        <v>46</v>
      </c>
      <c r="H141" s="807">
        <f t="shared" si="18"/>
        <v>1.46</v>
      </c>
      <c r="I141" s="256">
        <v>12</v>
      </c>
      <c r="J141" s="710">
        <f t="shared" si="19"/>
        <v>17.52</v>
      </c>
      <c r="K141" s="710">
        <f t="shared" si="20"/>
        <v>12082.922987159845</v>
      </c>
      <c r="L141" s="724"/>
      <c r="N141" s="705"/>
      <c r="O141" s="705"/>
      <c r="P141" s="705"/>
    </row>
    <row r="142" spans="1:16" ht="16.5" customHeight="1">
      <c r="A142" s="709">
        <f t="shared" si="16"/>
        <v>137</v>
      </c>
      <c r="B142" s="296" t="s">
        <v>494</v>
      </c>
      <c r="C142" s="727">
        <v>42088</v>
      </c>
      <c r="D142" s="728" t="s">
        <v>552</v>
      </c>
      <c r="E142" s="812">
        <v>37.5</v>
      </c>
      <c r="F142" s="811">
        <v>25.3</v>
      </c>
      <c r="G142" s="811">
        <v>23.9</v>
      </c>
      <c r="H142" s="807">
        <f t="shared" si="18"/>
        <v>0.68</v>
      </c>
      <c r="I142" s="256">
        <v>1490</v>
      </c>
      <c r="J142" s="710">
        <f t="shared" si="19"/>
        <v>1013.2</v>
      </c>
      <c r="K142" s="710">
        <f t="shared" si="20"/>
        <v>5627.6627611429421</v>
      </c>
      <c r="L142" s="724"/>
      <c r="N142" s="705"/>
      <c r="O142" s="705"/>
      <c r="P142" s="705"/>
    </row>
    <row r="143" spans="1:16" ht="16.5" customHeight="1">
      <c r="A143" s="709">
        <f t="shared" si="16"/>
        <v>138</v>
      </c>
      <c r="B143" s="296" t="s">
        <v>553</v>
      </c>
      <c r="C143" s="727">
        <v>42088</v>
      </c>
      <c r="D143" s="728" t="s">
        <v>554</v>
      </c>
      <c r="E143" s="812">
        <v>64</v>
      </c>
      <c r="F143" s="811">
        <v>33</v>
      </c>
      <c r="G143" s="811">
        <v>42</v>
      </c>
      <c r="H143" s="807">
        <f t="shared" si="18"/>
        <v>1.55</v>
      </c>
      <c r="I143" s="256">
        <v>100</v>
      </c>
      <c r="J143" s="710">
        <f t="shared" si="19"/>
        <v>155</v>
      </c>
      <c r="K143" s="710">
        <f t="shared" si="20"/>
        <v>12827.760705546412</v>
      </c>
      <c r="L143" s="724"/>
      <c r="N143" s="705"/>
      <c r="O143" s="705"/>
      <c r="P143" s="705"/>
    </row>
    <row r="144" spans="1:16" ht="16.5" customHeight="1">
      <c r="A144" s="709">
        <f t="shared" si="16"/>
        <v>139</v>
      </c>
      <c r="B144" s="296" t="s">
        <v>474</v>
      </c>
      <c r="C144" s="727">
        <v>42088</v>
      </c>
      <c r="D144" s="728" t="s">
        <v>556</v>
      </c>
      <c r="E144" s="812">
        <v>51</v>
      </c>
      <c r="F144" s="811">
        <v>37</v>
      </c>
      <c r="G144" s="811">
        <v>27</v>
      </c>
      <c r="H144" s="807">
        <f t="shared" si="18"/>
        <v>1.21</v>
      </c>
      <c r="I144" s="256">
        <v>30</v>
      </c>
      <c r="J144" s="710">
        <f t="shared" si="19"/>
        <v>36.299999999999997</v>
      </c>
      <c r="K144" s="710">
        <f t="shared" si="20"/>
        <v>10013.929324974941</v>
      </c>
      <c r="L144" s="724"/>
      <c r="N144" s="705"/>
      <c r="O144" s="705"/>
      <c r="P144" s="705"/>
    </row>
    <row r="145" spans="1:17" ht="16.5" customHeight="1">
      <c r="A145" s="709">
        <f t="shared" si="16"/>
        <v>140</v>
      </c>
      <c r="B145" s="296" t="s">
        <v>557</v>
      </c>
      <c r="C145" s="727">
        <v>42088</v>
      </c>
      <c r="D145" s="728" t="s">
        <v>556</v>
      </c>
      <c r="E145" s="812">
        <v>62</v>
      </c>
      <c r="F145" s="811">
        <v>51</v>
      </c>
      <c r="G145" s="811">
        <v>25</v>
      </c>
      <c r="H145" s="807">
        <f t="shared" si="18"/>
        <v>1.82</v>
      </c>
      <c r="I145" s="256">
        <v>347</v>
      </c>
      <c r="J145" s="710">
        <f t="shared" si="19"/>
        <v>631.54000000000008</v>
      </c>
      <c r="K145" s="710">
        <f t="shared" si="20"/>
        <v>15062.273860706109</v>
      </c>
      <c r="L145" s="724"/>
      <c r="N145" s="705"/>
      <c r="O145" s="705"/>
      <c r="P145" s="705"/>
    </row>
    <row r="146" spans="1:17" ht="16.5" customHeight="1">
      <c r="A146" s="709">
        <f t="shared" si="16"/>
        <v>141</v>
      </c>
      <c r="B146" s="296" t="s">
        <v>560</v>
      </c>
      <c r="C146" s="727">
        <v>42090</v>
      </c>
      <c r="D146" s="728" t="s">
        <v>561</v>
      </c>
      <c r="E146" s="812">
        <v>42</v>
      </c>
      <c r="F146" s="811">
        <v>25</v>
      </c>
      <c r="G146" s="811">
        <v>17</v>
      </c>
      <c r="H146" s="807">
        <f t="shared" si="18"/>
        <v>0.63</v>
      </c>
      <c r="I146" s="256">
        <v>24</v>
      </c>
      <c r="J146" s="710">
        <f t="shared" si="19"/>
        <v>15.120000000000001</v>
      </c>
      <c r="K146" s="710">
        <f t="shared" si="20"/>
        <v>5213.8640287059607</v>
      </c>
      <c r="L146" s="724"/>
      <c r="N146" s="705"/>
      <c r="O146" s="705"/>
      <c r="P146" s="705"/>
    </row>
    <row r="147" spans="1:17" ht="16.5" customHeight="1">
      <c r="A147" s="709">
        <f t="shared" si="16"/>
        <v>142</v>
      </c>
      <c r="B147" s="296" t="s">
        <v>1697</v>
      </c>
      <c r="C147" s="727">
        <v>42090</v>
      </c>
      <c r="D147" s="728" t="s">
        <v>562</v>
      </c>
      <c r="E147" s="812">
        <v>100</v>
      </c>
      <c r="F147" s="811">
        <v>123</v>
      </c>
      <c r="G147" s="811"/>
      <c r="H147" s="807">
        <f t="shared" si="18"/>
        <v>1.23</v>
      </c>
      <c r="I147" s="256">
        <v>1900</v>
      </c>
      <c r="J147" s="710">
        <f t="shared" si="19"/>
        <v>2337</v>
      </c>
      <c r="K147" s="710">
        <f t="shared" si="20"/>
        <v>10179.448817949733</v>
      </c>
      <c r="L147" s="724"/>
      <c r="N147" s="705"/>
      <c r="O147" s="705"/>
      <c r="P147" s="705"/>
    </row>
    <row r="148" spans="1:17" ht="16.5" customHeight="1">
      <c r="A148" s="709">
        <f t="shared" si="16"/>
        <v>143</v>
      </c>
      <c r="B148" s="296" t="s">
        <v>494</v>
      </c>
      <c r="C148" s="727">
        <v>42091</v>
      </c>
      <c r="D148" s="728" t="s">
        <v>558</v>
      </c>
      <c r="E148" s="812">
        <v>37.5</v>
      </c>
      <c r="F148" s="811">
        <v>25.3</v>
      </c>
      <c r="G148" s="811">
        <v>23.9</v>
      </c>
      <c r="H148" s="807">
        <f t="shared" si="18"/>
        <v>0.68</v>
      </c>
      <c r="I148" s="256">
        <v>504</v>
      </c>
      <c r="J148" s="710">
        <f t="shared" si="19"/>
        <v>342.72</v>
      </c>
      <c r="K148" s="710">
        <f t="shared" si="20"/>
        <v>5627.6627611429421</v>
      </c>
      <c r="L148" s="724"/>
      <c r="N148" s="705"/>
      <c r="O148" s="705"/>
      <c r="P148" s="705"/>
    </row>
    <row r="149" spans="1:17" ht="16.5" customHeight="1">
      <c r="A149" s="709">
        <f t="shared" si="16"/>
        <v>144</v>
      </c>
      <c r="B149" s="296" t="s">
        <v>454</v>
      </c>
      <c r="C149" s="727">
        <v>42091</v>
      </c>
      <c r="D149" s="728" t="s">
        <v>559</v>
      </c>
      <c r="E149" s="812">
        <v>103</v>
      </c>
      <c r="F149" s="811">
        <v>50</v>
      </c>
      <c r="G149" s="811">
        <v>180</v>
      </c>
      <c r="H149" s="807">
        <f t="shared" si="18"/>
        <v>7.25</v>
      </c>
      <c r="I149" s="256">
        <v>350</v>
      </c>
      <c r="J149" s="710">
        <f t="shared" si="19"/>
        <v>2537.5</v>
      </c>
      <c r="K149" s="710">
        <f t="shared" si="20"/>
        <v>60000.81620336225</v>
      </c>
      <c r="L149" s="724"/>
      <c r="N149" s="705"/>
      <c r="O149" s="705"/>
      <c r="P149" s="705"/>
    </row>
    <row r="150" spans="1:17" ht="16.5" customHeight="1">
      <c r="A150" s="709">
        <f t="shared" ref="A150:A152" si="21">IF(B150&lt;&gt;"",A149+1,"")</f>
        <v>145</v>
      </c>
      <c r="B150" s="296" t="s">
        <v>1140</v>
      </c>
      <c r="C150" s="727">
        <v>42094</v>
      </c>
      <c r="D150" s="728" t="s">
        <v>564</v>
      </c>
      <c r="E150" s="812">
        <v>45</v>
      </c>
      <c r="F150" s="811">
        <v>37.5</v>
      </c>
      <c r="G150" s="811">
        <v>27.5</v>
      </c>
      <c r="H150" s="807">
        <f t="shared" si="18"/>
        <v>1.1599999999999999</v>
      </c>
      <c r="I150" s="256">
        <v>50</v>
      </c>
      <c r="J150" s="710">
        <f t="shared" si="19"/>
        <v>57.999999999999993</v>
      </c>
      <c r="K150" s="710">
        <f t="shared" si="20"/>
        <v>9600.1305925379584</v>
      </c>
      <c r="L150" s="724"/>
      <c r="N150" s="705"/>
      <c r="O150" s="705"/>
      <c r="P150" s="705"/>
    </row>
    <row r="151" spans="1:17" ht="16.5" customHeight="1">
      <c r="A151" s="709">
        <f t="shared" si="21"/>
        <v>146</v>
      </c>
      <c r="B151" s="296" t="s">
        <v>1140</v>
      </c>
      <c r="C151" s="727">
        <v>42094</v>
      </c>
      <c r="D151" s="728" t="s">
        <v>564</v>
      </c>
      <c r="E151" s="812">
        <v>45</v>
      </c>
      <c r="F151" s="811">
        <v>37.5</v>
      </c>
      <c r="G151" s="811">
        <v>27.5</v>
      </c>
      <c r="H151" s="807">
        <f t="shared" si="18"/>
        <v>1.1599999999999999</v>
      </c>
      <c r="I151" s="256">
        <v>773</v>
      </c>
      <c r="J151" s="710">
        <f t="shared" si="19"/>
        <v>896.68</v>
      </c>
      <c r="K151" s="710">
        <f t="shared" si="20"/>
        <v>9600.1305925379584</v>
      </c>
      <c r="L151" s="724"/>
      <c r="N151" s="705"/>
      <c r="O151" s="705"/>
      <c r="P151" s="705"/>
    </row>
    <row r="152" spans="1:17" ht="16.5" customHeight="1">
      <c r="A152" s="709">
        <f t="shared" si="21"/>
        <v>147</v>
      </c>
      <c r="B152" s="296" t="s">
        <v>1654</v>
      </c>
      <c r="C152" s="727">
        <v>42094</v>
      </c>
      <c r="D152" s="728" t="s">
        <v>564</v>
      </c>
      <c r="E152" s="812">
        <v>50</v>
      </c>
      <c r="F152" s="811">
        <v>20</v>
      </c>
      <c r="G152" s="811"/>
      <c r="H152" s="807">
        <f t="shared" si="18"/>
        <v>0.1</v>
      </c>
      <c r="I152" s="256">
        <v>1646</v>
      </c>
      <c r="J152" s="710">
        <f t="shared" si="19"/>
        <v>164.60000000000002</v>
      </c>
      <c r="K152" s="710">
        <f t="shared" si="20"/>
        <v>827.59746487396205</v>
      </c>
      <c r="L152" s="724"/>
      <c r="N152" s="705"/>
      <c r="O152" s="705"/>
      <c r="P152" s="705"/>
    </row>
    <row r="153" spans="1:17" ht="16.5" customHeight="1">
      <c r="A153" s="709">
        <f t="shared" ref="A153:A160" si="22">IF(B153&lt;&gt;"",A152+1,"")</f>
        <v>148</v>
      </c>
      <c r="B153" s="296" t="s">
        <v>454</v>
      </c>
      <c r="C153" s="727">
        <v>42094</v>
      </c>
      <c r="D153" s="728" t="s">
        <v>565</v>
      </c>
      <c r="E153" s="812">
        <v>103</v>
      </c>
      <c r="F153" s="811">
        <v>50</v>
      </c>
      <c r="G153" s="811">
        <v>180</v>
      </c>
      <c r="H153" s="807">
        <f t="shared" si="18"/>
        <v>7.25</v>
      </c>
      <c r="I153" s="256">
        <v>102</v>
      </c>
      <c r="J153" s="710">
        <f t="shared" si="19"/>
        <v>739.5</v>
      </c>
      <c r="K153" s="710">
        <f t="shared" si="20"/>
        <v>60000.81620336225</v>
      </c>
      <c r="L153" s="724"/>
      <c r="N153" s="705"/>
      <c r="O153" s="705"/>
      <c r="P153" s="705"/>
    </row>
    <row r="154" spans="1:17" ht="16.5" customHeight="1">
      <c r="A154" s="709">
        <f t="shared" si="22"/>
        <v>149</v>
      </c>
      <c r="B154" s="296" t="s">
        <v>566</v>
      </c>
      <c r="C154" s="727">
        <v>42094</v>
      </c>
      <c r="D154" s="728" t="s">
        <v>565</v>
      </c>
      <c r="E154" s="812">
        <v>65</v>
      </c>
      <c r="F154" s="811">
        <v>47</v>
      </c>
      <c r="G154" s="811">
        <v>132</v>
      </c>
      <c r="H154" s="807">
        <f t="shared" si="18"/>
        <v>4.17</v>
      </c>
      <c r="I154" s="256">
        <v>25</v>
      </c>
      <c r="J154" s="710">
        <f t="shared" si="19"/>
        <v>104.25</v>
      </c>
      <c r="K154" s="710">
        <f t="shared" si="20"/>
        <v>34510.814285244218</v>
      </c>
      <c r="L154" s="724"/>
      <c r="N154" s="705"/>
      <c r="O154" s="705"/>
      <c r="P154" s="705"/>
    </row>
    <row r="155" spans="1:17" ht="16.5" customHeight="1">
      <c r="A155" s="709">
        <f t="shared" si="22"/>
        <v>150</v>
      </c>
      <c r="B155" s="296" t="s">
        <v>567</v>
      </c>
      <c r="C155" s="727">
        <v>42094</v>
      </c>
      <c r="D155" s="728" t="s">
        <v>565</v>
      </c>
      <c r="E155" s="812">
        <v>76</v>
      </c>
      <c r="F155" s="811">
        <v>54</v>
      </c>
      <c r="G155" s="811">
        <v>136</v>
      </c>
      <c r="H155" s="807">
        <f t="shared" si="18"/>
        <v>5.1100000000000003</v>
      </c>
      <c r="I155" s="256">
        <v>11</v>
      </c>
      <c r="J155" s="710">
        <f t="shared" si="19"/>
        <v>56.21</v>
      </c>
      <c r="K155" s="710">
        <f t="shared" si="20"/>
        <v>42290.230455059464</v>
      </c>
      <c r="L155" s="724"/>
      <c r="N155" s="705"/>
      <c r="O155" s="705"/>
      <c r="P155" s="705"/>
    </row>
    <row r="156" spans="1:17" ht="16.5" customHeight="1">
      <c r="A156" s="709">
        <f t="shared" si="22"/>
        <v>151</v>
      </c>
      <c r="B156" s="296" t="s">
        <v>568</v>
      </c>
      <c r="C156" s="727">
        <v>42094</v>
      </c>
      <c r="D156" s="728" t="s">
        <v>565</v>
      </c>
      <c r="E156" s="812">
        <v>77</v>
      </c>
      <c r="F156" s="811">
        <v>38</v>
      </c>
      <c r="G156" s="811">
        <v>136</v>
      </c>
      <c r="H156" s="807">
        <f t="shared" si="18"/>
        <v>4.16</v>
      </c>
      <c r="I156" s="256">
        <v>13</v>
      </c>
      <c r="J156" s="710">
        <f t="shared" si="19"/>
        <v>54.08</v>
      </c>
      <c r="K156" s="710">
        <f t="shared" si="20"/>
        <v>34428.05453875682</v>
      </c>
      <c r="L156" s="724"/>
      <c r="N156" s="705"/>
      <c r="O156" s="705"/>
      <c r="P156" s="705"/>
    </row>
    <row r="157" spans="1:17" ht="16.5" customHeight="1">
      <c r="A157" s="709">
        <f t="shared" si="22"/>
        <v>152</v>
      </c>
      <c r="B157" s="296" t="s">
        <v>569</v>
      </c>
      <c r="C157" s="727">
        <v>42094</v>
      </c>
      <c r="D157" s="728" t="s">
        <v>565</v>
      </c>
      <c r="E157" s="812">
        <v>89</v>
      </c>
      <c r="F157" s="811">
        <v>65</v>
      </c>
      <c r="G157" s="811">
        <v>190</v>
      </c>
      <c r="H157" s="807">
        <f t="shared" si="18"/>
        <v>8.08</v>
      </c>
      <c r="I157" s="256">
        <v>19</v>
      </c>
      <c r="J157" s="710">
        <f t="shared" si="19"/>
        <v>153.52000000000001</v>
      </c>
      <c r="K157" s="710">
        <f t="shared" si="20"/>
        <v>66869.875161816133</v>
      </c>
      <c r="L157" s="724"/>
      <c r="N157" s="705"/>
      <c r="O157" s="705"/>
      <c r="P157" s="705"/>
    </row>
    <row r="158" spans="1:17" ht="16.5" customHeight="1">
      <c r="A158" s="709">
        <f t="shared" si="22"/>
        <v>153</v>
      </c>
      <c r="B158" s="296" t="s">
        <v>570</v>
      </c>
      <c r="C158" s="727">
        <v>42094</v>
      </c>
      <c r="D158" s="728" t="s">
        <v>565</v>
      </c>
      <c r="E158" s="812">
        <v>125</v>
      </c>
      <c r="F158" s="811">
        <v>54</v>
      </c>
      <c r="G158" s="811">
        <v>180</v>
      </c>
      <c r="H158" s="807">
        <f t="shared" si="18"/>
        <v>8.6</v>
      </c>
      <c r="I158" s="256">
        <v>60</v>
      </c>
      <c r="J158" s="710">
        <f t="shared" si="19"/>
        <v>516</v>
      </c>
      <c r="K158" s="710">
        <f t="shared" si="20"/>
        <v>71173.381979160738</v>
      </c>
      <c r="L158" s="724"/>
      <c r="M158" s="706"/>
      <c r="N158" s="705"/>
      <c r="O158" s="705"/>
      <c r="P158" s="706"/>
      <c r="Q158" s="706"/>
    </row>
    <row r="159" spans="1:17" ht="16.5" customHeight="1">
      <c r="A159" s="709">
        <f t="shared" si="22"/>
        <v>154</v>
      </c>
      <c r="B159" s="296" t="s">
        <v>571</v>
      </c>
      <c r="C159" s="727">
        <v>42094</v>
      </c>
      <c r="D159" s="728" t="s">
        <v>572</v>
      </c>
      <c r="E159" s="812">
        <v>61</v>
      </c>
      <c r="F159" s="811">
        <v>51</v>
      </c>
      <c r="G159" s="811">
        <v>25</v>
      </c>
      <c r="H159" s="807">
        <f t="shared" si="18"/>
        <v>1.81</v>
      </c>
      <c r="I159" s="256">
        <v>55</v>
      </c>
      <c r="J159" s="710">
        <f t="shared" si="19"/>
        <v>99.55</v>
      </c>
      <c r="K159" s="710">
        <f t="shared" si="20"/>
        <v>14979.514114218713</v>
      </c>
      <c r="L159" s="724"/>
      <c r="M159" s="706"/>
      <c r="N159" s="705"/>
      <c r="O159" s="705"/>
      <c r="P159" s="706"/>
      <c r="Q159" s="706"/>
    </row>
    <row r="160" spans="1:17" ht="16.5" customHeight="1">
      <c r="A160" s="709">
        <f t="shared" si="22"/>
        <v>155</v>
      </c>
      <c r="B160" s="296" t="s">
        <v>1697</v>
      </c>
      <c r="C160" s="727">
        <v>42094</v>
      </c>
      <c r="D160" s="728" t="s">
        <v>573</v>
      </c>
      <c r="E160" s="812">
        <v>100</v>
      </c>
      <c r="F160" s="811">
        <v>123</v>
      </c>
      <c r="G160" s="811"/>
      <c r="H160" s="807">
        <f t="shared" si="18"/>
        <v>1.23</v>
      </c>
      <c r="I160" s="256">
        <v>1950</v>
      </c>
      <c r="J160" s="710">
        <f t="shared" si="19"/>
        <v>2398.5</v>
      </c>
      <c r="K160" s="710">
        <f t="shared" si="20"/>
        <v>10179.448817949733</v>
      </c>
      <c r="L160" s="724"/>
      <c r="M160" s="706"/>
      <c r="N160" s="705"/>
      <c r="O160" s="705"/>
      <c r="P160" s="706"/>
      <c r="Q160" s="706"/>
    </row>
    <row r="161" spans="1:17" s="730" customFormat="1" ht="16.5" customHeight="1">
      <c r="A161" s="709"/>
      <c r="B161" s="296"/>
      <c r="C161" s="800"/>
      <c r="D161" s="729"/>
      <c r="E161" s="812"/>
      <c r="F161" s="811"/>
      <c r="G161" s="811"/>
      <c r="H161" s="710"/>
      <c r="I161" s="256"/>
      <c r="J161" s="710"/>
      <c r="K161" s="710"/>
      <c r="L161" s="656"/>
      <c r="M161" s="705"/>
      <c r="N161" s="705"/>
      <c r="O161" s="705"/>
      <c r="P161" s="705"/>
      <c r="Q161" s="705"/>
    </row>
    <row r="162" spans="1:17" s="706" customFormat="1" ht="16.5" customHeight="1">
      <c r="A162" s="711"/>
      <c r="B162" s="712" t="s">
        <v>243</v>
      </c>
      <c r="C162" s="731"/>
      <c r="D162" s="732"/>
      <c r="E162" s="805"/>
      <c r="F162" s="805"/>
      <c r="G162" s="805"/>
      <c r="H162" s="808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0"/>
      <c r="M162" s="705"/>
      <c r="N162" s="705"/>
      <c r="O162" s="705"/>
      <c r="P162" s="705"/>
      <c r="Q162" s="887"/>
    </row>
    <row r="163" spans="1:17" s="706" customFormat="1">
      <c r="A163" s="713"/>
      <c r="B163" s="714"/>
      <c r="C163" s="733"/>
      <c r="D163" s="734"/>
      <c r="E163" s="809"/>
      <c r="F163" s="809"/>
      <c r="G163" s="809"/>
      <c r="H163" s="707"/>
      <c r="I163" s="707"/>
      <c r="J163" s="707"/>
      <c r="K163" s="707"/>
      <c r="L163" s="720"/>
      <c r="M163" s="705"/>
      <c r="N163" s="705"/>
      <c r="O163" s="705"/>
      <c r="P163" s="705"/>
      <c r="Q163" s="887"/>
    </row>
    <row r="164" spans="1:17">
      <c r="C164" s="733"/>
      <c r="D164" s="734"/>
      <c r="E164" s="813"/>
      <c r="F164" s="813"/>
      <c r="G164" s="814"/>
      <c r="H164" s="716"/>
      <c r="I164" s="707"/>
      <c r="J164" s="707"/>
      <c r="N164" s="705"/>
      <c r="O164" s="705"/>
      <c r="P164" s="705"/>
      <c r="Q164" s="887"/>
    </row>
    <row r="165" spans="1:17" ht="18" hidden="1" customHeight="1">
      <c r="A165" s="563" t="str">
        <f>TH!$A$1</f>
        <v>Đơn vị: CÔNG TY TNHH SX TM KIM DUNG PHÁT</v>
      </c>
      <c r="B165" s="706"/>
      <c r="C165" s="733"/>
      <c r="D165" s="734"/>
      <c r="H165" s="292"/>
      <c r="I165" s="591"/>
      <c r="J165" s="591"/>
      <c r="K165" s="292"/>
      <c r="L165" s="720"/>
      <c r="N165" s="705"/>
      <c r="O165" s="705"/>
      <c r="P165" s="705"/>
      <c r="Q165" s="887"/>
    </row>
    <row r="166" spans="1:17" ht="18.75" customHeight="1">
      <c r="A166" s="707" t="s">
        <v>1849</v>
      </c>
      <c r="B166" s="707"/>
      <c r="C166" s="733"/>
      <c r="D166" s="734"/>
      <c r="E166" s="809"/>
      <c r="F166" s="809"/>
      <c r="G166" s="809"/>
      <c r="H166" s="707"/>
      <c r="I166" s="707"/>
      <c r="J166" s="707"/>
      <c r="K166" s="707"/>
      <c r="L166" s="720"/>
      <c r="N166" s="705"/>
      <c r="O166" s="705"/>
      <c r="P166" s="705"/>
      <c r="Q166" s="887"/>
    </row>
    <row r="167" spans="1:17" ht="18.75" customHeight="1">
      <c r="A167" s="707"/>
      <c r="B167" s="708"/>
      <c r="C167" s="733"/>
      <c r="D167" s="734"/>
      <c r="E167" s="806"/>
      <c r="F167" s="806"/>
      <c r="G167" s="806"/>
      <c r="H167" s="708"/>
      <c r="I167" s="721"/>
      <c r="J167" s="721"/>
      <c r="K167" s="708"/>
      <c r="L167" s="720"/>
      <c r="N167" s="705"/>
      <c r="O167" s="705"/>
      <c r="P167" s="705"/>
    </row>
    <row r="168" spans="1:17" s="442" customFormat="1" ht="21" customHeight="1">
      <c r="A168" s="1097" t="s">
        <v>35</v>
      </c>
      <c r="B168" s="1097" t="s">
        <v>239</v>
      </c>
      <c r="C168" s="1097" t="s">
        <v>1858</v>
      </c>
      <c r="D168" s="1097" t="s">
        <v>1859</v>
      </c>
      <c r="E168" s="1098" t="s">
        <v>1860</v>
      </c>
      <c r="F168" s="1099"/>
      <c r="G168" s="1099"/>
      <c r="H168" s="1100"/>
      <c r="I168" s="1097" t="s">
        <v>240</v>
      </c>
      <c r="J168" s="1104" t="s">
        <v>1870</v>
      </c>
      <c r="K168" s="1097" t="s">
        <v>1864</v>
      </c>
      <c r="L168" s="441"/>
      <c r="M168" s="1097" t="s">
        <v>239</v>
      </c>
      <c r="N168" s="1097" t="s">
        <v>1865</v>
      </c>
      <c r="O168" s="1097" t="s">
        <v>198</v>
      </c>
      <c r="P168" s="1097" t="s">
        <v>241</v>
      </c>
      <c r="Q168" s="1097" t="s">
        <v>242</v>
      </c>
    </row>
    <row r="169" spans="1:17" s="442" customFormat="1" ht="21" customHeight="1">
      <c r="A169" s="1097"/>
      <c r="B169" s="1097"/>
      <c r="C169" s="1097"/>
      <c r="D169" s="1097"/>
      <c r="E169" s="753" t="s">
        <v>1861</v>
      </c>
      <c r="F169" s="753" t="s">
        <v>1862</v>
      </c>
      <c r="G169" s="753" t="s">
        <v>1863</v>
      </c>
      <c r="H169" s="440" t="s">
        <v>1868</v>
      </c>
      <c r="I169" s="1097"/>
      <c r="J169" s="1105"/>
      <c r="K169" s="1097"/>
      <c r="L169" s="441"/>
      <c r="M169" s="1097"/>
      <c r="N169" s="1097"/>
      <c r="O169" s="1097"/>
      <c r="P169" s="1097"/>
      <c r="Q169" s="1097"/>
    </row>
    <row r="170" spans="1:17" ht="16.5" customHeight="1">
      <c r="A170" s="758">
        <f>IF(B170&lt;&gt;"",ROW()-169,"")</f>
        <v>1</v>
      </c>
      <c r="B170" s="801" t="s">
        <v>575</v>
      </c>
      <c r="C170" s="725">
        <v>42100</v>
      </c>
      <c r="D170" s="726" t="s">
        <v>576</v>
      </c>
      <c r="E170" s="815">
        <v>43.1</v>
      </c>
      <c r="F170" s="816">
        <v>31.7</v>
      </c>
      <c r="G170" s="816">
        <v>12.7</v>
      </c>
      <c r="H170" s="807">
        <f t="shared" ref="H170:H233" si="23">IF(G170&lt;&gt;"",ROUND(((E170+F170)*2+5)*(F170+G170+3)/10000,2),ROUND(E170*F170/10000,2))</f>
        <v>0.73</v>
      </c>
      <c r="I170" s="741">
        <v>194</v>
      </c>
      <c r="J170" s="710">
        <f t="shared" ref="J170" si="24">H170*I170</f>
        <v>141.62</v>
      </c>
      <c r="K170" s="710">
        <f t="shared" ref="K170:K233" si="25">H170*$Q$211</f>
        <v>5696.3231366206455</v>
      </c>
      <c r="L170" s="656"/>
      <c r="M170" s="443" t="s">
        <v>1937</v>
      </c>
      <c r="N170" s="725">
        <v>42095</v>
      </c>
      <c r="O170" s="754">
        <v>30663</v>
      </c>
      <c r="P170" s="745">
        <v>7800</v>
      </c>
      <c r="Q170" s="8">
        <f t="shared" ref="Q170:Q192" si="26">ROUND(O170*P170,0)</f>
        <v>239171400</v>
      </c>
    </row>
    <row r="171" spans="1:17" ht="16.5" customHeight="1">
      <c r="A171" s="742">
        <f>IF(B171&lt;&gt;"",ROW()-169,"")</f>
        <v>2</v>
      </c>
      <c r="B171" s="296" t="s">
        <v>577</v>
      </c>
      <c r="C171" s="725">
        <v>42100</v>
      </c>
      <c r="D171" s="726" t="s">
        <v>576</v>
      </c>
      <c r="E171" s="815">
        <v>44.1</v>
      </c>
      <c r="F171" s="816">
        <v>31.7</v>
      </c>
      <c r="G171" s="816">
        <v>20.3</v>
      </c>
      <c r="H171" s="807">
        <f t="shared" si="23"/>
        <v>0.86</v>
      </c>
      <c r="I171" s="256">
        <v>8</v>
      </c>
      <c r="J171" s="710">
        <f t="shared" ref="J171:J234" si="27">H171*I171</f>
        <v>6.88</v>
      </c>
      <c r="K171" s="710">
        <f t="shared" si="25"/>
        <v>6710.7368458818564</v>
      </c>
      <c r="L171" s="656"/>
      <c r="M171" s="443" t="s">
        <v>1937</v>
      </c>
      <c r="N171" s="725">
        <v>42114</v>
      </c>
      <c r="O171" s="754">
        <v>4500</v>
      </c>
      <c r="P171" s="745">
        <v>8500</v>
      </c>
      <c r="Q171" s="8">
        <f t="shared" ref="Q171" si="28">ROUND(O171*P171,0)</f>
        <v>38250000</v>
      </c>
    </row>
    <row r="172" spans="1:17" ht="16.5" customHeight="1">
      <c r="A172" s="742">
        <f t="shared" ref="A172:A235" si="29">IF(B172&lt;&gt;"",ROW()-169,"")</f>
        <v>3</v>
      </c>
      <c r="B172" s="296" t="s">
        <v>578</v>
      </c>
      <c r="C172" s="725">
        <v>42100</v>
      </c>
      <c r="D172" s="726" t="s">
        <v>576</v>
      </c>
      <c r="E172" s="815">
        <v>45.1</v>
      </c>
      <c r="F172" s="816">
        <v>31.7</v>
      </c>
      <c r="G172" s="816">
        <v>27.9</v>
      </c>
      <c r="H172" s="807">
        <f t="shared" si="23"/>
        <v>0.99</v>
      </c>
      <c r="I172" s="256">
        <v>10</v>
      </c>
      <c r="J172" s="710">
        <f t="shared" si="27"/>
        <v>9.9</v>
      </c>
      <c r="K172" s="710">
        <f t="shared" si="25"/>
        <v>7725.1505551430673</v>
      </c>
      <c r="L172" s="656"/>
      <c r="M172" s="443" t="s">
        <v>1937</v>
      </c>
      <c r="N172" s="725">
        <v>42114</v>
      </c>
      <c r="O172" s="754">
        <v>1320</v>
      </c>
      <c r="P172" s="745">
        <v>9000</v>
      </c>
      <c r="Q172" s="8">
        <f t="shared" si="26"/>
        <v>11880000</v>
      </c>
    </row>
    <row r="173" spans="1:17" ht="16.5" customHeight="1">
      <c r="A173" s="742">
        <f t="shared" si="29"/>
        <v>4</v>
      </c>
      <c r="B173" s="296" t="s">
        <v>579</v>
      </c>
      <c r="C173" s="725">
        <v>42100</v>
      </c>
      <c r="D173" s="726" t="s">
        <v>576</v>
      </c>
      <c r="E173" s="815">
        <v>66</v>
      </c>
      <c r="F173" s="816">
        <v>43.1</v>
      </c>
      <c r="G173" s="816">
        <v>22.8</v>
      </c>
      <c r="H173" s="807">
        <f t="shared" si="23"/>
        <v>1.54</v>
      </c>
      <c r="I173" s="256">
        <v>12</v>
      </c>
      <c r="J173" s="710">
        <f t="shared" si="27"/>
        <v>18.48</v>
      </c>
      <c r="K173" s="710">
        <f t="shared" si="25"/>
        <v>12016.900863555884</v>
      </c>
      <c r="L173" s="656"/>
      <c r="M173" s="443" t="s">
        <v>1937</v>
      </c>
      <c r="N173" s="725">
        <v>42119</v>
      </c>
      <c r="O173" s="754">
        <v>7683</v>
      </c>
      <c r="P173" s="745">
        <v>9200</v>
      </c>
      <c r="Q173" s="8">
        <f t="shared" si="26"/>
        <v>70683600</v>
      </c>
    </row>
    <row r="174" spans="1:17" ht="16.5" customHeight="1">
      <c r="A174" s="742">
        <f t="shared" si="29"/>
        <v>5</v>
      </c>
      <c r="B174" s="296" t="s">
        <v>580</v>
      </c>
      <c r="C174" s="725">
        <v>42100</v>
      </c>
      <c r="D174" s="726" t="s">
        <v>576</v>
      </c>
      <c r="E174" s="815">
        <v>66</v>
      </c>
      <c r="F174" s="816">
        <v>43.1</v>
      </c>
      <c r="G174" s="816">
        <v>35.5</v>
      </c>
      <c r="H174" s="807">
        <f t="shared" si="23"/>
        <v>1.82</v>
      </c>
      <c r="I174" s="256">
        <v>29</v>
      </c>
      <c r="J174" s="710">
        <f t="shared" si="27"/>
        <v>52.78</v>
      </c>
      <c r="K174" s="710">
        <f t="shared" si="25"/>
        <v>14201.791929656953</v>
      </c>
      <c r="L174" s="656"/>
      <c r="M174" s="191" t="s">
        <v>1936</v>
      </c>
      <c r="N174" s="725">
        <v>42123</v>
      </c>
      <c r="O174" s="754">
        <v>8746</v>
      </c>
      <c r="P174" s="745">
        <v>9600</v>
      </c>
      <c r="Q174" s="8">
        <f t="shared" si="26"/>
        <v>83961600</v>
      </c>
    </row>
    <row r="175" spans="1:17" ht="16.5" customHeight="1">
      <c r="A175" s="742">
        <f t="shared" si="29"/>
        <v>6</v>
      </c>
      <c r="B175" s="296" t="s">
        <v>581</v>
      </c>
      <c r="C175" s="725">
        <v>42100</v>
      </c>
      <c r="D175" s="726" t="s">
        <v>576</v>
      </c>
      <c r="E175" s="815">
        <v>66</v>
      </c>
      <c r="F175" s="816">
        <v>43.1</v>
      </c>
      <c r="G175" s="816">
        <v>27.9</v>
      </c>
      <c r="H175" s="807">
        <f t="shared" si="23"/>
        <v>1.65</v>
      </c>
      <c r="I175" s="256">
        <v>12</v>
      </c>
      <c r="J175" s="710">
        <f t="shared" si="27"/>
        <v>19.799999999999997</v>
      </c>
      <c r="K175" s="710">
        <f t="shared" si="25"/>
        <v>12875.250925238446</v>
      </c>
      <c r="L175" s="656"/>
      <c r="M175" s="296" t="s">
        <v>1378</v>
      </c>
      <c r="N175" s="190">
        <v>42127</v>
      </c>
      <c r="O175" s="754">
        <v>1980</v>
      </c>
      <c r="P175" s="745">
        <v>9100</v>
      </c>
      <c r="Q175" s="8">
        <f t="shared" si="26"/>
        <v>18018000</v>
      </c>
    </row>
    <row r="176" spans="1:17" ht="16.5" customHeight="1">
      <c r="A176" s="742">
        <f t="shared" si="29"/>
        <v>7</v>
      </c>
      <c r="B176" s="296" t="s">
        <v>1663</v>
      </c>
      <c r="C176" s="725">
        <v>42100</v>
      </c>
      <c r="D176" s="726" t="s">
        <v>576</v>
      </c>
      <c r="E176" s="815">
        <v>20</v>
      </c>
      <c r="F176" s="816">
        <v>20</v>
      </c>
      <c r="G176" s="816"/>
      <c r="H176" s="807">
        <f t="shared" si="23"/>
        <v>0.04</v>
      </c>
      <c r="I176" s="256">
        <v>424</v>
      </c>
      <c r="J176" s="710">
        <f t="shared" si="27"/>
        <v>16.96</v>
      </c>
      <c r="K176" s="710">
        <f t="shared" si="25"/>
        <v>312.12729515729569</v>
      </c>
      <c r="L176" s="656"/>
      <c r="M176" s="296" t="s">
        <v>1380</v>
      </c>
      <c r="N176" s="190">
        <v>42134</v>
      </c>
      <c r="O176" s="754">
        <v>2200</v>
      </c>
      <c r="P176" s="745">
        <v>8000</v>
      </c>
      <c r="Q176" s="8">
        <f t="shared" si="26"/>
        <v>17600000</v>
      </c>
    </row>
    <row r="177" spans="1:17" ht="16.5" customHeight="1">
      <c r="A177" s="742">
        <f t="shared" si="29"/>
        <v>8</v>
      </c>
      <c r="B177" s="296" t="s">
        <v>1664</v>
      </c>
      <c r="C177" s="725">
        <v>42100</v>
      </c>
      <c r="D177" s="726" t="s">
        <v>576</v>
      </c>
      <c r="E177" s="815">
        <v>40</v>
      </c>
      <c r="F177" s="816">
        <v>20</v>
      </c>
      <c r="G177" s="816"/>
      <c r="H177" s="807">
        <f t="shared" si="23"/>
        <v>0.08</v>
      </c>
      <c r="I177" s="256">
        <v>106</v>
      </c>
      <c r="J177" s="710">
        <f t="shared" si="27"/>
        <v>8.48</v>
      </c>
      <c r="K177" s="710">
        <f t="shared" si="25"/>
        <v>624.25459031459138</v>
      </c>
      <c r="L177" s="656"/>
      <c r="M177" s="296" t="s">
        <v>1359</v>
      </c>
      <c r="N177" s="190">
        <v>42141</v>
      </c>
      <c r="O177" s="754">
        <v>5000</v>
      </c>
      <c r="P177" s="745">
        <v>7800</v>
      </c>
      <c r="Q177" s="8">
        <f t="shared" si="26"/>
        <v>39000000</v>
      </c>
    </row>
    <row r="178" spans="1:17" ht="16.5" customHeight="1">
      <c r="A178" s="742">
        <f t="shared" si="29"/>
        <v>9</v>
      </c>
      <c r="B178" s="296" t="s">
        <v>413</v>
      </c>
      <c r="C178" s="725">
        <v>42100</v>
      </c>
      <c r="D178" s="726" t="s">
        <v>582</v>
      </c>
      <c r="E178" s="815">
        <v>49</v>
      </c>
      <c r="F178" s="816">
        <v>38</v>
      </c>
      <c r="G178" s="816">
        <v>12</v>
      </c>
      <c r="H178" s="807">
        <f t="shared" si="23"/>
        <v>0.95</v>
      </c>
      <c r="I178" s="256">
        <v>300</v>
      </c>
      <c r="J178" s="710">
        <f t="shared" si="27"/>
        <v>285</v>
      </c>
      <c r="K178" s="710">
        <f t="shared" si="25"/>
        <v>7413.0232599857718</v>
      </c>
      <c r="L178" s="656"/>
      <c r="M178" s="296" t="s">
        <v>1360</v>
      </c>
      <c r="N178" s="190">
        <v>42141</v>
      </c>
      <c r="O178" s="754">
        <v>6400</v>
      </c>
      <c r="P178" s="745">
        <v>7800</v>
      </c>
      <c r="Q178" s="8">
        <f t="shared" si="26"/>
        <v>49920000</v>
      </c>
    </row>
    <row r="179" spans="1:17" ht="16.5" customHeight="1">
      <c r="A179" s="742">
        <f t="shared" si="29"/>
        <v>10</v>
      </c>
      <c r="B179" s="296" t="s">
        <v>413</v>
      </c>
      <c r="C179" s="725">
        <v>42100</v>
      </c>
      <c r="D179" s="726" t="s">
        <v>582</v>
      </c>
      <c r="E179" s="815">
        <v>49</v>
      </c>
      <c r="F179" s="816">
        <v>38</v>
      </c>
      <c r="G179" s="816">
        <v>12</v>
      </c>
      <c r="H179" s="807">
        <f t="shared" si="23"/>
        <v>0.95</v>
      </c>
      <c r="I179" s="256">
        <v>302</v>
      </c>
      <c r="J179" s="710">
        <f t="shared" si="27"/>
        <v>286.89999999999998</v>
      </c>
      <c r="K179" s="710">
        <f t="shared" si="25"/>
        <v>7413.0232599857718</v>
      </c>
      <c r="L179" s="656"/>
      <c r="M179" s="296" t="s">
        <v>1361</v>
      </c>
      <c r="N179" s="190">
        <v>42141</v>
      </c>
      <c r="O179" s="754">
        <v>4200</v>
      </c>
      <c r="P179" s="745">
        <v>10500</v>
      </c>
      <c r="Q179" s="8">
        <f t="shared" si="26"/>
        <v>44100000</v>
      </c>
    </row>
    <row r="180" spans="1:17" ht="16.5" customHeight="1">
      <c r="A180" s="742">
        <f t="shared" si="29"/>
        <v>11</v>
      </c>
      <c r="B180" s="296" t="s">
        <v>519</v>
      </c>
      <c r="C180" s="725">
        <v>42100</v>
      </c>
      <c r="D180" s="726" t="s">
        <v>583</v>
      </c>
      <c r="E180" s="815">
        <v>45</v>
      </c>
      <c r="F180" s="756">
        <v>35</v>
      </c>
      <c r="G180" s="756">
        <v>30</v>
      </c>
      <c r="H180" s="807">
        <f t="shared" si="23"/>
        <v>1.1200000000000001</v>
      </c>
      <c r="I180" s="256">
        <v>103</v>
      </c>
      <c r="J180" s="710">
        <f t="shared" si="27"/>
        <v>115.36000000000001</v>
      </c>
      <c r="K180" s="710">
        <f t="shared" si="25"/>
        <v>8739.56426440428</v>
      </c>
      <c r="L180" s="656"/>
      <c r="M180" s="296" t="s">
        <v>1362</v>
      </c>
      <c r="N180" s="190">
        <v>42141</v>
      </c>
      <c r="O180" s="754">
        <v>2152</v>
      </c>
      <c r="P180" s="745">
        <v>9100</v>
      </c>
      <c r="Q180" s="8">
        <f t="shared" si="26"/>
        <v>19583200</v>
      </c>
    </row>
    <row r="181" spans="1:17" ht="16.5" customHeight="1">
      <c r="A181" s="742">
        <f t="shared" si="29"/>
        <v>12</v>
      </c>
      <c r="B181" s="296" t="s">
        <v>518</v>
      </c>
      <c r="C181" s="725">
        <v>42100</v>
      </c>
      <c r="D181" s="726" t="s">
        <v>583</v>
      </c>
      <c r="E181" s="815">
        <v>45</v>
      </c>
      <c r="F181" s="756">
        <v>35</v>
      </c>
      <c r="G181" s="816">
        <v>25</v>
      </c>
      <c r="H181" s="807">
        <f t="shared" si="23"/>
        <v>1.04</v>
      </c>
      <c r="I181" s="256">
        <v>206</v>
      </c>
      <c r="J181" s="710">
        <f t="shared" si="27"/>
        <v>214.24</v>
      </c>
      <c r="K181" s="710">
        <f t="shared" si="25"/>
        <v>8115.3096740896872</v>
      </c>
      <c r="L181" s="656"/>
      <c r="M181" s="296" t="s">
        <v>1363</v>
      </c>
      <c r="N181" s="190">
        <v>42141</v>
      </c>
      <c r="O181" s="754">
        <v>3230</v>
      </c>
      <c r="P181" s="745">
        <v>9100</v>
      </c>
      <c r="Q181" s="8">
        <f t="shared" si="26"/>
        <v>29393000</v>
      </c>
    </row>
    <row r="182" spans="1:17" ht="16.5" customHeight="1">
      <c r="A182" s="742">
        <f t="shared" si="29"/>
        <v>13</v>
      </c>
      <c r="B182" s="296" t="s">
        <v>516</v>
      </c>
      <c r="C182" s="725">
        <v>42100</v>
      </c>
      <c r="D182" s="726" t="s">
        <v>583</v>
      </c>
      <c r="E182" s="815">
        <v>45</v>
      </c>
      <c r="F182" s="756">
        <v>35</v>
      </c>
      <c r="G182" s="816">
        <v>20</v>
      </c>
      <c r="H182" s="807">
        <f t="shared" si="23"/>
        <v>0.96</v>
      </c>
      <c r="I182" s="256">
        <v>102</v>
      </c>
      <c r="J182" s="710">
        <f t="shared" si="27"/>
        <v>97.92</v>
      </c>
      <c r="K182" s="710">
        <f t="shared" si="25"/>
        <v>7491.0550837750961</v>
      </c>
      <c r="L182" s="656"/>
      <c r="M182" s="296" t="s">
        <v>1357</v>
      </c>
      <c r="N182" s="763">
        <v>42145</v>
      </c>
      <c r="O182" s="754">
        <v>1928</v>
      </c>
      <c r="P182" s="745">
        <v>7300</v>
      </c>
      <c r="Q182" s="8">
        <f t="shared" si="26"/>
        <v>14074400</v>
      </c>
    </row>
    <row r="183" spans="1:17" ht="16.5" customHeight="1">
      <c r="A183" s="742">
        <f t="shared" si="29"/>
        <v>14</v>
      </c>
      <c r="B183" s="296" t="s">
        <v>1661</v>
      </c>
      <c r="C183" s="725">
        <v>42100</v>
      </c>
      <c r="D183" s="726" t="s">
        <v>583</v>
      </c>
      <c r="E183" s="815">
        <v>30</v>
      </c>
      <c r="F183" s="816">
        <v>20</v>
      </c>
      <c r="G183" s="816"/>
      <c r="H183" s="807">
        <f t="shared" si="23"/>
        <v>0.06</v>
      </c>
      <c r="I183" s="256">
        <v>800</v>
      </c>
      <c r="J183" s="710">
        <f t="shared" si="27"/>
        <v>48</v>
      </c>
      <c r="K183" s="710">
        <f t="shared" si="25"/>
        <v>468.19094273594351</v>
      </c>
      <c r="L183" s="656"/>
      <c r="M183" s="296" t="s">
        <v>1357</v>
      </c>
      <c r="N183" s="763">
        <v>42149</v>
      </c>
      <c r="O183" s="754">
        <v>2096</v>
      </c>
      <c r="P183" s="745">
        <v>7300</v>
      </c>
      <c r="Q183" s="8">
        <f t="shared" si="26"/>
        <v>15300800</v>
      </c>
    </row>
    <row r="184" spans="1:17" ht="16.5" customHeight="1">
      <c r="A184" s="742">
        <f t="shared" si="29"/>
        <v>15</v>
      </c>
      <c r="B184" s="296" t="s">
        <v>1698</v>
      </c>
      <c r="C184" s="725">
        <v>42101</v>
      </c>
      <c r="D184" s="726" t="s">
        <v>591</v>
      </c>
      <c r="E184" s="815">
        <v>150</v>
      </c>
      <c r="F184" s="815">
        <v>128</v>
      </c>
      <c r="G184" s="816"/>
      <c r="H184" s="807">
        <f t="shared" si="23"/>
        <v>1.92</v>
      </c>
      <c r="I184" s="256">
        <v>170</v>
      </c>
      <c r="J184" s="710">
        <f t="shared" si="27"/>
        <v>326.39999999999998</v>
      </c>
      <c r="K184" s="710">
        <f t="shared" si="25"/>
        <v>14982.110167550192</v>
      </c>
      <c r="L184" s="656"/>
      <c r="M184" s="444" t="s">
        <v>1357</v>
      </c>
      <c r="N184" s="725">
        <v>42151</v>
      </c>
      <c r="O184" s="754">
        <v>2096</v>
      </c>
      <c r="P184" s="745">
        <v>7300</v>
      </c>
      <c r="Q184" s="8">
        <f t="shared" si="26"/>
        <v>15300800</v>
      </c>
    </row>
    <row r="185" spans="1:17" ht="16.5" customHeight="1">
      <c r="A185" s="742">
        <f t="shared" si="29"/>
        <v>16</v>
      </c>
      <c r="B185" s="296" t="s">
        <v>1699</v>
      </c>
      <c r="C185" s="725">
        <v>42101</v>
      </c>
      <c r="D185" s="726" t="s">
        <v>591</v>
      </c>
      <c r="E185" s="815">
        <v>100</v>
      </c>
      <c r="F185" s="816">
        <v>172</v>
      </c>
      <c r="G185" s="756"/>
      <c r="H185" s="807">
        <f t="shared" si="23"/>
        <v>1.72</v>
      </c>
      <c r="I185" s="256">
        <v>570</v>
      </c>
      <c r="J185" s="710">
        <f t="shared" si="27"/>
        <v>980.4</v>
      </c>
      <c r="K185" s="710">
        <f t="shared" si="25"/>
        <v>13421.473691763713</v>
      </c>
      <c r="L185" s="656"/>
      <c r="M185" s="191" t="s">
        <v>1398</v>
      </c>
      <c r="N185" s="190">
        <v>42156</v>
      </c>
      <c r="O185" s="754">
        <v>1850</v>
      </c>
      <c r="P185" s="745">
        <v>9100</v>
      </c>
      <c r="Q185" s="8">
        <f t="shared" si="26"/>
        <v>16835000</v>
      </c>
    </row>
    <row r="186" spans="1:17" ht="16.5" customHeight="1">
      <c r="A186" s="742">
        <f t="shared" si="29"/>
        <v>17</v>
      </c>
      <c r="B186" s="296" t="s">
        <v>1700</v>
      </c>
      <c r="C186" s="725">
        <v>42101</v>
      </c>
      <c r="D186" s="726" t="s">
        <v>591</v>
      </c>
      <c r="E186" s="815">
        <v>85</v>
      </c>
      <c r="F186" s="816">
        <v>210</v>
      </c>
      <c r="G186" s="816"/>
      <c r="H186" s="807">
        <f t="shared" si="23"/>
        <v>1.79</v>
      </c>
      <c r="I186" s="256">
        <v>25</v>
      </c>
      <c r="J186" s="710">
        <f t="shared" si="27"/>
        <v>44.75</v>
      </c>
      <c r="K186" s="710">
        <f t="shared" si="25"/>
        <v>13967.696458288981</v>
      </c>
      <c r="L186" s="656"/>
      <c r="M186" s="191" t="s">
        <v>1402</v>
      </c>
      <c r="N186" s="190">
        <v>42160</v>
      </c>
      <c r="O186" s="754">
        <v>1808</v>
      </c>
      <c r="P186" s="745">
        <v>9000</v>
      </c>
      <c r="Q186" s="8">
        <f t="shared" si="26"/>
        <v>16272000</v>
      </c>
    </row>
    <row r="187" spans="1:17" ht="16.5" customHeight="1">
      <c r="A187" s="742">
        <f t="shared" si="29"/>
        <v>18</v>
      </c>
      <c r="B187" s="296" t="s">
        <v>1701</v>
      </c>
      <c r="C187" s="725">
        <v>42101</v>
      </c>
      <c r="D187" s="726" t="s">
        <v>591</v>
      </c>
      <c r="E187" s="815">
        <v>90</v>
      </c>
      <c r="F187" s="816">
        <v>186</v>
      </c>
      <c r="G187" s="816"/>
      <c r="H187" s="807">
        <f t="shared" si="23"/>
        <v>1.67</v>
      </c>
      <c r="I187" s="256">
        <v>330</v>
      </c>
      <c r="J187" s="710">
        <f t="shared" si="27"/>
        <v>551.1</v>
      </c>
      <c r="K187" s="710">
        <f t="shared" si="25"/>
        <v>13031.314572817093</v>
      </c>
      <c r="L187" s="656"/>
      <c r="M187" s="296" t="s">
        <v>1357</v>
      </c>
      <c r="N187" s="727">
        <v>42165</v>
      </c>
      <c r="O187" s="754">
        <v>2450</v>
      </c>
      <c r="P187" s="745">
        <v>7300</v>
      </c>
      <c r="Q187" s="8">
        <f t="shared" si="26"/>
        <v>17885000</v>
      </c>
    </row>
    <row r="188" spans="1:17" ht="16.5" customHeight="1">
      <c r="A188" s="742">
        <f t="shared" si="29"/>
        <v>19</v>
      </c>
      <c r="B188" s="296" t="s">
        <v>1702</v>
      </c>
      <c r="C188" s="725">
        <v>42101</v>
      </c>
      <c r="D188" s="726" t="s">
        <v>591</v>
      </c>
      <c r="E188" s="815">
        <v>110</v>
      </c>
      <c r="F188" s="816">
        <v>113</v>
      </c>
      <c r="G188" s="816"/>
      <c r="H188" s="807">
        <f t="shared" si="23"/>
        <v>1.24</v>
      </c>
      <c r="I188" s="256">
        <v>500</v>
      </c>
      <c r="J188" s="710">
        <f t="shared" si="27"/>
        <v>620</v>
      </c>
      <c r="K188" s="710">
        <f t="shared" si="25"/>
        <v>9675.9461498761648</v>
      </c>
      <c r="L188" s="656"/>
      <c r="M188" s="191" t="s">
        <v>1357</v>
      </c>
      <c r="N188" s="190">
        <v>42168</v>
      </c>
      <c r="O188" s="754">
        <v>2490</v>
      </c>
      <c r="P188" s="745">
        <v>7300</v>
      </c>
      <c r="Q188" s="8">
        <f t="shared" si="26"/>
        <v>18177000</v>
      </c>
    </row>
    <row r="189" spans="1:17" ht="16.5" customHeight="1">
      <c r="A189" s="742">
        <f t="shared" si="29"/>
        <v>20</v>
      </c>
      <c r="B189" s="296" t="s">
        <v>491</v>
      </c>
      <c r="C189" s="725">
        <v>42101</v>
      </c>
      <c r="D189" s="726" t="s">
        <v>584</v>
      </c>
      <c r="E189" s="815">
        <v>47</v>
      </c>
      <c r="F189" s="816">
        <v>37</v>
      </c>
      <c r="G189" s="816">
        <v>27</v>
      </c>
      <c r="H189" s="807">
        <f t="shared" si="23"/>
        <v>1.1599999999999999</v>
      </c>
      <c r="I189" s="256">
        <v>820</v>
      </c>
      <c r="J189" s="710">
        <f t="shared" si="27"/>
        <v>951.19999999999993</v>
      </c>
      <c r="K189" s="710">
        <f t="shared" si="25"/>
        <v>9051.6915595615737</v>
      </c>
      <c r="L189" s="656"/>
      <c r="M189" s="296" t="s">
        <v>1357</v>
      </c>
      <c r="N189" s="727">
        <v>42170</v>
      </c>
      <c r="O189" s="754">
        <v>2360</v>
      </c>
      <c r="P189" s="745">
        <v>7300</v>
      </c>
      <c r="Q189" s="8">
        <f t="shared" si="26"/>
        <v>17228000</v>
      </c>
    </row>
    <row r="190" spans="1:17" ht="16.5" customHeight="1">
      <c r="A190" s="742">
        <f t="shared" si="29"/>
        <v>21</v>
      </c>
      <c r="B190" s="296" t="s">
        <v>585</v>
      </c>
      <c r="C190" s="725">
        <v>42101</v>
      </c>
      <c r="D190" s="726" t="s">
        <v>584</v>
      </c>
      <c r="E190" s="815">
        <v>62</v>
      </c>
      <c r="F190" s="816">
        <v>42</v>
      </c>
      <c r="G190" s="816">
        <v>20</v>
      </c>
      <c r="H190" s="807">
        <f t="shared" si="23"/>
        <v>1.38</v>
      </c>
      <c r="I190" s="256">
        <v>505</v>
      </c>
      <c r="J190" s="710">
        <f t="shared" si="27"/>
        <v>696.9</v>
      </c>
      <c r="K190" s="710">
        <f t="shared" si="25"/>
        <v>10768.3916829267</v>
      </c>
      <c r="L190" s="656"/>
      <c r="M190" s="296" t="s">
        <v>1402</v>
      </c>
      <c r="N190" s="727">
        <v>42172</v>
      </c>
      <c r="O190" s="754">
        <v>1322</v>
      </c>
      <c r="P190" s="745">
        <v>9000</v>
      </c>
      <c r="Q190" s="8">
        <f t="shared" si="26"/>
        <v>11898000</v>
      </c>
    </row>
    <row r="191" spans="1:17" ht="16.5" customHeight="1">
      <c r="A191" s="742">
        <f t="shared" si="29"/>
        <v>22</v>
      </c>
      <c r="B191" s="296" t="s">
        <v>586</v>
      </c>
      <c r="C191" s="725">
        <v>42101</v>
      </c>
      <c r="D191" s="726" t="s">
        <v>584</v>
      </c>
      <c r="E191" s="815">
        <v>47</v>
      </c>
      <c r="F191" s="816">
        <v>41</v>
      </c>
      <c r="G191" s="816">
        <v>27</v>
      </c>
      <c r="H191" s="807">
        <f t="shared" si="23"/>
        <v>1.29</v>
      </c>
      <c r="I191" s="256">
        <v>270</v>
      </c>
      <c r="J191" s="710">
        <f t="shared" si="27"/>
        <v>348.3</v>
      </c>
      <c r="K191" s="710">
        <f t="shared" si="25"/>
        <v>10066.105268822785</v>
      </c>
      <c r="L191" s="656"/>
      <c r="M191" s="296" t="s">
        <v>1402</v>
      </c>
      <c r="N191" s="727">
        <v>42177</v>
      </c>
      <c r="O191" s="754">
        <v>860</v>
      </c>
      <c r="P191" s="745">
        <v>9000</v>
      </c>
      <c r="Q191" s="8">
        <f t="shared" si="26"/>
        <v>7740000</v>
      </c>
    </row>
    <row r="192" spans="1:17" ht="16.5" customHeight="1">
      <c r="A192" s="742">
        <f t="shared" si="29"/>
        <v>23</v>
      </c>
      <c r="B192" s="296" t="s">
        <v>587</v>
      </c>
      <c r="C192" s="725">
        <v>42101</v>
      </c>
      <c r="D192" s="726" t="s">
        <v>584</v>
      </c>
      <c r="E192" s="815">
        <v>38</v>
      </c>
      <c r="F192" s="816">
        <v>28</v>
      </c>
      <c r="G192" s="816">
        <v>27</v>
      </c>
      <c r="H192" s="807">
        <f t="shared" si="23"/>
        <v>0.79</v>
      </c>
      <c r="I192" s="256">
        <v>150</v>
      </c>
      <c r="J192" s="710">
        <f t="shared" si="27"/>
        <v>118.5</v>
      </c>
      <c r="K192" s="710">
        <f t="shared" si="25"/>
        <v>6164.5140793565897</v>
      </c>
      <c r="L192" s="656"/>
      <c r="M192" s="296" t="s">
        <v>1398</v>
      </c>
      <c r="N192" s="727">
        <v>42177</v>
      </c>
      <c r="O192" s="754">
        <v>573</v>
      </c>
      <c r="P192" s="745">
        <v>9100</v>
      </c>
      <c r="Q192" s="8">
        <f t="shared" si="26"/>
        <v>5214300</v>
      </c>
    </row>
    <row r="193" spans="1:17" ht="16.5" customHeight="1">
      <c r="A193" s="742">
        <f t="shared" si="29"/>
        <v>24</v>
      </c>
      <c r="B193" s="296" t="s">
        <v>588</v>
      </c>
      <c r="C193" s="725">
        <v>42101</v>
      </c>
      <c r="D193" s="726" t="s">
        <v>584</v>
      </c>
      <c r="E193" s="815">
        <v>37</v>
      </c>
      <c r="F193" s="815">
        <v>37</v>
      </c>
      <c r="G193" s="816">
        <v>25</v>
      </c>
      <c r="H193" s="807">
        <f t="shared" si="23"/>
        <v>0.99</v>
      </c>
      <c r="I193" s="256">
        <v>990</v>
      </c>
      <c r="J193" s="710">
        <f t="shared" si="27"/>
        <v>980.1</v>
      </c>
      <c r="K193" s="710">
        <f t="shared" si="25"/>
        <v>7725.1505551430673</v>
      </c>
      <c r="L193" s="656"/>
      <c r="M193" s="444"/>
      <c r="N193" s="725"/>
      <c r="O193" s="754"/>
      <c r="P193" s="745"/>
      <c r="Q193" s="8"/>
    </row>
    <row r="194" spans="1:17" ht="16.5" customHeight="1">
      <c r="A194" s="742">
        <f t="shared" si="29"/>
        <v>25</v>
      </c>
      <c r="B194" s="296" t="s">
        <v>589</v>
      </c>
      <c r="C194" s="725">
        <v>42101</v>
      </c>
      <c r="D194" s="726" t="s">
        <v>584</v>
      </c>
      <c r="E194" s="815">
        <v>42</v>
      </c>
      <c r="F194" s="816">
        <v>40</v>
      </c>
      <c r="G194" s="816">
        <v>24</v>
      </c>
      <c r="H194" s="807">
        <f t="shared" si="23"/>
        <v>1.1299999999999999</v>
      </c>
      <c r="I194" s="256">
        <v>620</v>
      </c>
      <c r="J194" s="710">
        <f t="shared" si="27"/>
        <v>700.59999999999991</v>
      </c>
      <c r="K194" s="710">
        <f t="shared" si="25"/>
        <v>8817.5960881936026</v>
      </c>
      <c r="L194" s="656"/>
      <c r="M194" s="803" t="s">
        <v>1852</v>
      </c>
      <c r="N194" s="804"/>
      <c r="O194" s="805"/>
      <c r="P194" s="530"/>
      <c r="Q194" s="530">
        <f>SUM(Q170:Q193)</f>
        <v>817486100</v>
      </c>
    </row>
    <row r="195" spans="1:17" ht="16.5" customHeight="1">
      <c r="A195" s="742">
        <f t="shared" si="29"/>
        <v>26</v>
      </c>
      <c r="B195" s="296" t="s">
        <v>590</v>
      </c>
      <c r="C195" s="725">
        <v>42101</v>
      </c>
      <c r="D195" s="726" t="s">
        <v>584</v>
      </c>
      <c r="E195" s="815">
        <v>47</v>
      </c>
      <c r="F195" s="816">
        <v>42</v>
      </c>
      <c r="G195" s="816">
        <v>25</v>
      </c>
      <c r="H195" s="807">
        <f t="shared" si="23"/>
        <v>1.28</v>
      </c>
      <c r="I195" s="256">
        <v>105</v>
      </c>
      <c r="J195" s="710">
        <f t="shared" si="27"/>
        <v>134.4</v>
      </c>
      <c r="K195" s="710">
        <f t="shared" si="25"/>
        <v>9988.0734450334621</v>
      </c>
      <c r="L195" s="656"/>
      <c r="M195" s="444" t="s">
        <v>337</v>
      </c>
      <c r="N195" s="725">
        <v>42104</v>
      </c>
      <c r="O195" s="754">
        <v>24</v>
      </c>
      <c r="P195" s="745">
        <v>43000</v>
      </c>
      <c r="Q195" s="8">
        <f t="shared" ref="Q195:Q199" si="30">ROUND(O195*P195,0)</f>
        <v>1032000</v>
      </c>
    </row>
    <row r="196" spans="1:17" ht="16.5" customHeight="1">
      <c r="A196" s="742">
        <f t="shared" si="29"/>
        <v>27</v>
      </c>
      <c r="B196" s="296" t="s">
        <v>1703</v>
      </c>
      <c r="C196" s="725">
        <v>42102</v>
      </c>
      <c r="D196" s="726" t="s">
        <v>592</v>
      </c>
      <c r="E196" s="815">
        <v>95</v>
      </c>
      <c r="F196" s="816">
        <v>75</v>
      </c>
      <c r="G196" s="816"/>
      <c r="H196" s="807">
        <f t="shared" si="23"/>
        <v>0.71</v>
      </c>
      <c r="I196" s="256">
        <v>124</v>
      </c>
      <c r="J196" s="710">
        <f t="shared" si="27"/>
        <v>88.039999999999992</v>
      </c>
      <c r="K196" s="710">
        <f t="shared" si="25"/>
        <v>5540.2594890419978</v>
      </c>
      <c r="L196" s="656"/>
      <c r="M196" s="444" t="s">
        <v>337</v>
      </c>
      <c r="N196" s="725">
        <v>42154</v>
      </c>
      <c r="O196" s="754">
        <v>24</v>
      </c>
      <c r="P196" s="745">
        <v>44000</v>
      </c>
      <c r="Q196" s="8">
        <f t="shared" ref="Q196:Q197" si="31">ROUND(O196*P196,0)</f>
        <v>1056000</v>
      </c>
    </row>
    <row r="197" spans="1:17" ht="16.5" customHeight="1">
      <c r="A197" s="742">
        <f t="shared" si="29"/>
        <v>28</v>
      </c>
      <c r="B197" s="296" t="s">
        <v>741</v>
      </c>
      <c r="C197" s="725">
        <v>42102</v>
      </c>
      <c r="D197" s="726" t="s">
        <v>592</v>
      </c>
      <c r="E197" s="815">
        <v>85</v>
      </c>
      <c r="F197" s="816">
        <v>116</v>
      </c>
      <c r="G197" s="816"/>
      <c r="H197" s="807">
        <f t="shared" si="23"/>
        <v>0.99</v>
      </c>
      <c r="I197" s="256">
        <v>100</v>
      </c>
      <c r="J197" s="710">
        <f t="shared" si="27"/>
        <v>99</v>
      </c>
      <c r="K197" s="710">
        <f t="shared" si="25"/>
        <v>7725.1505551430673</v>
      </c>
      <c r="L197" s="656"/>
      <c r="M197" s="188" t="s">
        <v>1871</v>
      </c>
      <c r="N197" s="725">
        <v>42095</v>
      </c>
      <c r="O197" s="745">
        <v>1000</v>
      </c>
      <c r="P197" s="745">
        <v>9800</v>
      </c>
      <c r="Q197" s="8">
        <f t="shared" si="31"/>
        <v>9800000</v>
      </c>
    </row>
    <row r="198" spans="1:17" ht="16.5" customHeight="1">
      <c r="A198" s="742">
        <f t="shared" si="29"/>
        <v>29</v>
      </c>
      <c r="B198" s="296" t="s">
        <v>692</v>
      </c>
      <c r="C198" s="725">
        <v>42102</v>
      </c>
      <c r="D198" s="726" t="s">
        <v>592</v>
      </c>
      <c r="E198" s="815">
        <v>105</v>
      </c>
      <c r="F198" s="816">
        <v>170</v>
      </c>
      <c r="G198" s="816"/>
      <c r="H198" s="807">
        <f t="shared" si="23"/>
        <v>1.79</v>
      </c>
      <c r="I198" s="256">
        <v>25</v>
      </c>
      <c r="J198" s="710">
        <f t="shared" si="27"/>
        <v>44.75</v>
      </c>
      <c r="K198" s="710">
        <f t="shared" si="25"/>
        <v>13967.696458288981</v>
      </c>
      <c r="L198" s="656"/>
      <c r="M198" s="296" t="s">
        <v>2017</v>
      </c>
      <c r="N198" s="725">
        <v>42095</v>
      </c>
      <c r="O198" s="745">
        <v>1000</v>
      </c>
      <c r="P198" s="745">
        <v>11000</v>
      </c>
      <c r="Q198" s="8">
        <f t="shared" si="30"/>
        <v>11000000</v>
      </c>
    </row>
    <row r="199" spans="1:17" ht="16.5" customHeight="1">
      <c r="A199" s="742">
        <f t="shared" si="29"/>
        <v>30</v>
      </c>
      <c r="B199" s="296" t="s">
        <v>1704</v>
      </c>
      <c r="C199" s="725">
        <v>42102</v>
      </c>
      <c r="D199" s="726" t="s">
        <v>592</v>
      </c>
      <c r="E199" s="815">
        <v>105</v>
      </c>
      <c r="F199" s="816">
        <v>158</v>
      </c>
      <c r="G199" s="816"/>
      <c r="H199" s="807">
        <f t="shared" si="23"/>
        <v>1.66</v>
      </c>
      <c r="I199" s="256">
        <v>25</v>
      </c>
      <c r="J199" s="710">
        <f t="shared" si="27"/>
        <v>41.5</v>
      </c>
      <c r="K199" s="710">
        <f t="shared" si="25"/>
        <v>12953.282749027769</v>
      </c>
      <c r="L199" s="656"/>
      <c r="M199" s="444" t="s">
        <v>356</v>
      </c>
      <c r="N199" s="725">
        <v>42095</v>
      </c>
      <c r="O199" s="754">
        <v>100</v>
      </c>
      <c r="P199" s="745">
        <v>21000</v>
      </c>
      <c r="Q199" s="8">
        <f t="shared" si="30"/>
        <v>2100000</v>
      </c>
    </row>
    <row r="200" spans="1:17" ht="16.5" customHeight="1">
      <c r="A200" s="742">
        <f t="shared" si="29"/>
        <v>31</v>
      </c>
      <c r="B200" s="296" t="s">
        <v>1705</v>
      </c>
      <c r="C200" s="725">
        <v>42102</v>
      </c>
      <c r="D200" s="726" t="s">
        <v>592</v>
      </c>
      <c r="E200" s="815">
        <v>85</v>
      </c>
      <c r="F200" s="816">
        <v>107</v>
      </c>
      <c r="G200" s="816"/>
      <c r="H200" s="807">
        <f t="shared" si="23"/>
        <v>0.91</v>
      </c>
      <c r="I200" s="256">
        <v>100</v>
      </c>
      <c r="J200" s="710">
        <f t="shared" si="27"/>
        <v>91</v>
      </c>
      <c r="K200" s="710">
        <f t="shared" si="25"/>
        <v>7100.8959648284763</v>
      </c>
      <c r="L200" s="656"/>
      <c r="M200" s="444"/>
      <c r="N200" s="725"/>
      <c r="O200" s="754"/>
      <c r="P200" s="745"/>
      <c r="Q200" s="8"/>
    </row>
    <row r="201" spans="1:17" ht="16.5" customHeight="1">
      <c r="A201" s="742">
        <f t="shared" si="29"/>
        <v>32</v>
      </c>
      <c r="B201" s="296" t="s">
        <v>1698</v>
      </c>
      <c r="C201" s="725">
        <v>42102</v>
      </c>
      <c r="D201" s="726" t="s">
        <v>592</v>
      </c>
      <c r="E201" s="815">
        <v>150</v>
      </c>
      <c r="F201" s="756">
        <v>128</v>
      </c>
      <c r="G201" s="756"/>
      <c r="H201" s="807">
        <f t="shared" si="23"/>
        <v>1.92</v>
      </c>
      <c r="I201" s="256">
        <v>553</v>
      </c>
      <c r="J201" s="710">
        <f t="shared" si="27"/>
        <v>1061.76</v>
      </c>
      <c r="K201" s="710">
        <f t="shared" si="25"/>
        <v>14982.110167550192</v>
      </c>
      <c r="L201" s="656"/>
      <c r="M201" s="803" t="s">
        <v>1853</v>
      </c>
      <c r="N201" s="804"/>
      <c r="O201" s="805"/>
      <c r="P201" s="530"/>
      <c r="Q201" s="530">
        <f>SUM(Q195:Q200)</f>
        <v>24988000</v>
      </c>
    </row>
    <row r="202" spans="1:17" ht="16.5" customHeight="1">
      <c r="A202" s="742">
        <f t="shared" si="29"/>
        <v>33</v>
      </c>
      <c r="B202" s="296" t="s">
        <v>1843</v>
      </c>
      <c r="C202" s="725">
        <v>42104</v>
      </c>
      <c r="D202" s="726" t="s">
        <v>593</v>
      </c>
      <c r="E202" s="815">
        <v>85</v>
      </c>
      <c r="F202" s="816">
        <v>111</v>
      </c>
      <c r="G202" s="816"/>
      <c r="H202" s="807">
        <f t="shared" si="23"/>
        <v>0.94</v>
      </c>
      <c r="I202" s="256">
        <v>200</v>
      </c>
      <c r="J202" s="710">
        <f t="shared" si="27"/>
        <v>188</v>
      </c>
      <c r="K202" s="710">
        <f t="shared" si="25"/>
        <v>7334.9914361964475</v>
      </c>
      <c r="L202" s="656"/>
      <c r="M202" s="444" t="s">
        <v>1854</v>
      </c>
      <c r="N202" s="725"/>
      <c r="O202" s="754"/>
      <c r="P202" s="745"/>
      <c r="Q202" s="8">
        <f>Q194</f>
        <v>817486100</v>
      </c>
    </row>
    <row r="203" spans="1:17" ht="16.5" customHeight="1">
      <c r="A203" s="742">
        <f t="shared" si="29"/>
        <v>34</v>
      </c>
      <c r="B203" s="296" t="s">
        <v>1786</v>
      </c>
      <c r="C203" s="725">
        <v>42104</v>
      </c>
      <c r="D203" s="726" t="s">
        <v>593</v>
      </c>
      <c r="E203" s="815">
        <v>145</v>
      </c>
      <c r="F203" s="816">
        <v>184</v>
      </c>
      <c r="G203" s="816"/>
      <c r="H203" s="807">
        <f t="shared" si="23"/>
        <v>2.67</v>
      </c>
      <c r="I203" s="256">
        <v>50</v>
      </c>
      <c r="J203" s="710">
        <f t="shared" si="27"/>
        <v>133.5</v>
      </c>
      <c r="K203" s="710">
        <f t="shared" si="25"/>
        <v>20834.496951749486</v>
      </c>
      <c r="L203" s="656"/>
      <c r="M203" s="444" t="s">
        <v>1855</v>
      </c>
      <c r="N203" s="725"/>
      <c r="O203" s="754"/>
      <c r="P203" s="745"/>
      <c r="Q203" s="8">
        <f>Q201</f>
        <v>24988000</v>
      </c>
    </row>
    <row r="204" spans="1:17" ht="16.5" customHeight="1">
      <c r="A204" s="742">
        <f t="shared" si="29"/>
        <v>35</v>
      </c>
      <c r="B204" s="296" t="s">
        <v>1844</v>
      </c>
      <c r="C204" s="725">
        <v>42104</v>
      </c>
      <c r="D204" s="726" t="s">
        <v>593</v>
      </c>
      <c r="E204" s="815">
        <v>130</v>
      </c>
      <c r="F204" s="756">
        <v>192</v>
      </c>
      <c r="G204" s="756"/>
      <c r="H204" s="807">
        <f t="shared" si="23"/>
        <v>2.5</v>
      </c>
      <c r="I204" s="256">
        <v>53</v>
      </c>
      <c r="J204" s="710">
        <f t="shared" si="27"/>
        <v>132.5</v>
      </c>
      <c r="K204" s="710">
        <f t="shared" si="25"/>
        <v>19507.955947330978</v>
      </c>
      <c r="L204" s="656"/>
      <c r="M204" s="444" t="s">
        <v>1857</v>
      </c>
      <c r="N204" s="725"/>
      <c r="O204" s="754"/>
      <c r="P204" s="745"/>
      <c r="Q204" s="8">
        <v>6470000</v>
      </c>
    </row>
    <row r="205" spans="1:17" ht="16.5" customHeight="1">
      <c r="A205" s="742">
        <f t="shared" si="29"/>
        <v>36</v>
      </c>
      <c r="B205" s="296" t="s">
        <v>1715</v>
      </c>
      <c r="C205" s="725">
        <v>42104</v>
      </c>
      <c r="D205" s="726" t="s">
        <v>593</v>
      </c>
      <c r="E205" s="815">
        <v>80</v>
      </c>
      <c r="F205" s="756">
        <v>186</v>
      </c>
      <c r="G205" s="756"/>
      <c r="H205" s="807">
        <f t="shared" si="23"/>
        <v>1.49</v>
      </c>
      <c r="I205" s="256">
        <v>200</v>
      </c>
      <c r="J205" s="710">
        <f t="shared" si="27"/>
        <v>298</v>
      </c>
      <c r="K205" s="710">
        <f t="shared" si="25"/>
        <v>11626.741744609264</v>
      </c>
      <c r="L205" s="656"/>
      <c r="M205" s="444" t="s">
        <v>1856</v>
      </c>
      <c r="N205" s="725"/>
      <c r="O205" s="754"/>
      <c r="P205" s="745"/>
      <c r="Q205" s="8">
        <v>30750000</v>
      </c>
    </row>
    <row r="206" spans="1:17" ht="16.5" customHeight="1">
      <c r="A206" s="742">
        <f t="shared" si="29"/>
        <v>37</v>
      </c>
      <c r="B206" s="296" t="s">
        <v>1845</v>
      </c>
      <c r="C206" s="725">
        <v>42104</v>
      </c>
      <c r="D206" s="726" t="s">
        <v>593</v>
      </c>
      <c r="E206" s="815">
        <v>105</v>
      </c>
      <c r="F206" s="756">
        <v>93</v>
      </c>
      <c r="G206" s="756"/>
      <c r="H206" s="807">
        <f t="shared" si="23"/>
        <v>0.98</v>
      </c>
      <c r="I206" s="256">
        <v>500</v>
      </c>
      <c r="J206" s="710">
        <f t="shared" si="27"/>
        <v>490</v>
      </c>
      <c r="K206" s="710">
        <f t="shared" si="25"/>
        <v>7647.1187313537439</v>
      </c>
      <c r="L206" s="656"/>
      <c r="M206" s="444" t="s">
        <v>1869</v>
      </c>
      <c r="N206" s="725"/>
      <c r="O206" s="754"/>
      <c r="P206" s="745"/>
      <c r="Q206" s="8">
        <v>103380000</v>
      </c>
    </row>
    <row r="207" spans="1:17" ht="16.5" customHeight="1">
      <c r="A207" s="742">
        <f t="shared" si="29"/>
        <v>38</v>
      </c>
      <c r="B207" s="296" t="s">
        <v>1846</v>
      </c>
      <c r="C207" s="725">
        <v>42104</v>
      </c>
      <c r="D207" s="726" t="s">
        <v>593</v>
      </c>
      <c r="E207" s="815">
        <v>110</v>
      </c>
      <c r="F207" s="816">
        <v>94</v>
      </c>
      <c r="G207" s="816"/>
      <c r="H207" s="807">
        <f t="shared" si="23"/>
        <v>1.03</v>
      </c>
      <c r="I207" s="256">
        <v>38</v>
      </c>
      <c r="J207" s="710">
        <f t="shared" si="27"/>
        <v>39.14</v>
      </c>
      <c r="K207" s="710">
        <f t="shared" si="25"/>
        <v>8037.2778503003638</v>
      </c>
      <c r="L207" s="656"/>
      <c r="M207" s="444"/>
      <c r="N207" s="725"/>
      <c r="O207" s="754"/>
      <c r="P207" s="745"/>
      <c r="Q207" s="8"/>
    </row>
    <row r="208" spans="1:17" ht="16.5" customHeight="1">
      <c r="A208" s="742">
        <f t="shared" si="29"/>
        <v>39</v>
      </c>
      <c r="B208" s="296" t="s">
        <v>538</v>
      </c>
      <c r="C208" s="725">
        <v>42104</v>
      </c>
      <c r="D208" s="726" t="s">
        <v>594</v>
      </c>
      <c r="E208" s="815">
        <v>41</v>
      </c>
      <c r="F208" s="816">
        <v>31</v>
      </c>
      <c r="G208" s="816">
        <v>25.5</v>
      </c>
      <c r="H208" s="807">
        <f t="shared" si="23"/>
        <v>0.89</v>
      </c>
      <c r="I208" s="256">
        <v>203</v>
      </c>
      <c r="J208" s="710">
        <f t="shared" si="27"/>
        <v>180.67000000000002</v>
      </c>
      <c r="K208" s="710">
        <f t="shared" si="25"/>
        <v>6944.8323172498285</v>
      </c>
      <c r="L208" s="656"/>
      <c r="M208" s="803" t="s">
        <v>1866</v>
      </c>
      <c r="N208" s="804"/>
      <c r="O208" s="805"/>
      <c r="P208" s="530"/>
      <c r="Q208" s="530">
        <f>SUM(Q202:Q207)</f>
        <v>983074100</v>
      </c>
    </row>
    <row r="209" spans="1:17" ht="16.5" customHeight="1">
      <c r="A209" s="742">
        <f t="shared" si="29"/>
        <v>40</v>
      </c>
      <c r="B209" s="296" t="s">
        <v>539</v>
      </c>
      <c r="C209" s="725">
        <v>42104</v>
      </c>
      <c r="D209" s="726" t="s">
        <v>594</v>
      </c>
      <c r="E209" s="815">
        <v>39.5</v>
      </c>
      <c r="F209" s="816">
        <v>32.299999999999997</v>
      </c>
      <c r="G209" s="816">
        <v>27.7</v>
      </c>
      <c r="H209" s="807">
        <f t="shared" si="23"/>
        <v>0.94</v>
      </c>
      <c r="I209" s="256">
        <v>208</v>
      </c>
      <c r="J209" s="710">
        <f t="shared" si="27"/>
        <v>195.51999999999998</v>
      </c>
      <c r="K209" s="710">
        <f t="shared" si="25"/>
        <v>7334.9914361964475</v>
      </c>
      <c r="L209" s="656"/>
      <c r="M209" s="445"/>
      <c r="N209" s="733"/>
      <c r="O209" s="755"/>
      <c r="P209" s="723"/>
      <c r="Q209" s="735"/>
    </row>
    <row r="210" spans="1:17" ht="16.5" customHeight="1">
      <c r="A210" s="742">
        <f t="shared" si="29"/>
        <v>41</v>
      </c>
      <c r="B210" s="296" t="s">
        <v>595</v>
      </c>
      <c r="C210" s="725">
        <v>42104</v>
      </c>
      <c r="D210" s="726" t="s">
        <v>594</v>
      </c>
      <c r="E210" s="815">
        <v>43</v>
      </c>
      <c r="F210" s="816">
        <v>27.5</v>
      </c>
      <c r="G210" s="816">
        <v>33</v>
      </c>
      <c r="H210" s="807">
        <f t="shared" si="23"/>
        <v>0.93</v>
      </c>
      <c r="I210" s="256">
        <v>203</v>
      </c>
      <c r="J210" s="710">
        <f t="shared" si="27"/>
        <v>188.79000000000002</v>
      </c>
      <c r="K210" s="710">
        <f t="shared" si="25"/>
        <v>7256.959612407125</v>
      </c>
      <c r="L210" s="656"/>
      <c r="M210" s="445"/>
      <c r="N210" s="733"/>
      <c r="O210" s="755"/>
      <c r="P210" s="723"/>
      <c r="Q210" s="735"/>
    </row>
    <row r="211" spans="1:17" ht="16.5" customHeight="1">
      <c r="A211" s="742">
        <f t="shared" si="29"/>
        <v>42</v>
      </c>
      <c r="B211" s="296" t="s">
        <v>596</v>
      </c>
      <c r="C211" s="725">
        <v>42107</v>
      </c>
      <c r="D211" s="726" t="s">
        <v>597</v>
      </c>
      <c r="E211" s="815">
        <v>58</v>
      </c>
      <c r="F211" s="816">
        <v>43</v>
      </c>
      <c r="G211" s="816">
        <v>31</v>
      </c>
      <c r="H211" s="807">
        <f t="shared" si="23"/>
        <v>1.59</v>
      </c>
      <c r="I211" s="256">
        <v>100</v>
      </c>
      <c r="J211" s="710">
        <f t="shared" si="27"/>
        <v>159</v>
      </c>
      <c r="K211" s="710">
        <f t="shared" si="25"/>
        <v>12407.059982502504</v>
      </c>
      <c r="L211" s="656"/>
      <c r="M211" s="1101" t="s">
        <v>1867</v>
      </c>
      <c r="N211" s="1102"/>
      <c r="O211" s="1102"/>
      <c r="P211" s="1103"/>
      <c r="Q211" s="808">
        <f>Q208/J544</f>
        <v>7803.1823789323917</v>
      </c>
    </row>
    <row r="212" spans="1:17" ht="16.5" customHeight="1">
      <c r="A212" s="742">
        <f t="shared" si="29"/>
        <v>43</v>
      </c>
      <c r="B212" s="296" t="s">
        <v>1706</v>
      </c>
      <c r="C212" s="725">
        <v>42107</v>
      </c>
      <c r="D212" s="726" t="s">
        <v>597</v>
      </c>
      <c r="E212" s="815">
        <v>57</v>
      </c>
      <c r="F212" s="816">
        <v>42</v>
      </c>
      <c r="G212" s="816"/>
      <c r="H212" s="807">
        <f t="shared" si="23"/>
        <v>0.24</v>
      </c>
      <c r="I212" s="256">
        <v>200</v>
      </c>
      <c r="J212" s="710">
        <f t="shared" si="27"/>
        <v>48</v>
      </c>
      <c r="K212" s="710">
        <f t="shared" si="25"/>
        <v>1872.763770943774</v>
      </c>
      <c r="L212" s="656"/>
      <c r="N212" s="705"/>
      <c r="O212" s="705"/>
      <c r="P212" s="705"/>
    </row>
    <row r="213" spans="1:17" ht="16.5" customHeight="1">
      <c r="A213" s="742">
        <f t="shared" si="29"/>
        <v>44</v>
      </c>
      <c r="B213" s="296" t="s">
        <v>598</v>
      </c>
      <c r="C213" s="725">
        <v>42110</v>
      </c>
      <c r="D213" s="726" t="s">
        <v>599</v>
      </c>
      <c r="E213" s="815">
        <v>39</v>
      </c>
      <c r="F213" s="816">
        <v>31</v>
      </c>
      <c r="G213" s="816">
        <v>27</v>
      </c>
      <c r="H213" s="807">
        <f t="shared" si="23"/>
        <v>0.88</v>
      </c>
      <c r="I213" s="256">
        <v>315</v>
      </c>
      <c r="J213" s="710">
        <f t="shared" si="27"/>
        <v>277.2</v>
      </c>
      <c r="K213" s="710">
        <f t="shared" si="25"/>
        <v>6866.8004934605051</v>
      </c>
      <c r="L213" s="656"/>
      <c r="N213" s="705"/>
      <c r="O213" s="705"/>
      <c r="P213" s="705"/>
    </row>
    <row r="214" spans="1:17" ht="16.5" customHeight="1">
      <c r="A214" s="742">
        <f t="shared" si="29"/>
        <v>45</v>
      </c>
      <c r="B214" s="296" t="s">
        <v>600</v>
      </c>
      <c r="C214" s="725">
        <v>42110</v>
      </c>
      <c r="D214" s="726" t="s">
        <v>599</v>
      </c>
      <c r="E214" s="815">
        <v>47</v>
      </c>
      <c r="F214" s="816">
        <v>42</v>
      </c>
      <c r="G214" s="816">
        <v>24.5</v>
      </c>
      <c r="H214" s="807">
        <f t="shared" si="23"/>
        <v>1.27</v>
      </c>
      <c r="I214" s="256">
        <v>160</v>
      </c>
      <c r="J214" s="710">
        <f t="shared" si="27"/>
        <v>203.2</v>
      </c>
      <c r="K214" s="710">
        <f t="shared" si="25"/>
        <v>9910.0416212441378</v>
      </c>
      <c r="L214" s="656"/>
      <c r="N214" s="705"/>
      <c r="O214" s="705"/>
      <c r="P214" s="705"/>
      <c r="Q214" s="292">
        <v>1027697700</v>
      </c>
    </row>
    <row r="215" spans="1:17" ht="16.5" customHeight="1">
      <c r="A215" s="742">
        <f t="shared" si="29"/>
        <v>46</v>
      </c>
      <c r="B215" s="296" t="s">
        <v>601</v>
      </c>
      <c r="C215" s="725">
        <v>42110</v>
      </c>
      <c r="D215" s="726" t="s">
        <v>599</v>
      </c>
      <c r="E215" s="815">
        <v>28</v>
      </c>
      <c r="F215" s="816">
        <v>28</v>
      </c>
      <c r="G215" s="816">
        <v>40</v>
      </c>
      <c r="H215" s="807">
        <f t="shared" si="23"/>
        <v>0.83</v>
      </c>
      <c r="I215" s="256">
        <v>105</v>
      </c>
      <c r="J215" s="710">
        <f t="shared" si="27"/>
        <v>87.149999999999991</v>
      </c>
      <c r="K215" s="710">
        <f t="shared" si="25"/>
        <v>6476.6413745138843</v>
      </c>
      <c r="L215" s="656"/>
      <c r="N215" s="705"/>
      <c r="O215" s="705"/>
      <c r="P215" s="705"/>
    </row>
    <row r="216" spans="1:17" ht="16.5" customHeight="1">
      <c r="A216" s="742">
        <f t="shared" si="29"/>
        <v>47</v>
      </c>
      <c r="B216" s="296" t="s">
        <v>590</v>
      </c>
      <c r="C216" s="725">
        <v>42110</v>
      </c>
      <c r="D216" s="726" t="s">
        <v>599</v>
      </c>
      <c r="E216" s="815">
        <v>47</v>
      </c>
      <c r="F216" s="816">
        <v>42</v>
      </c>
      <c r="G216" s="816">
        <v>25</v>
      </c>
      <c r="H216" s="807">
        <f t="shared" si="23"/>
        <v>1.28</v>
      </c>
      <c r="I216" s="256">
        <v>55</v>
      </c>
      <c r="J216" s="710">
        <f t="shared" si="27"/>
        <v>70.400000000000006</v>
      </c>
      <c r="K216" s="710">
        <f t="shared" si="25"/>
        <v>9988.0734450334621</v>
      </c>
      <c r="L216" s="656"/>
      <c r="N216" s="705"/>
      <c r="O216" s="705"/>
      <c r="P216" s="705"/>
    </row>
    <row r="217" spans="1:17" ht="16.5" customHeight="1">
      <c r="A217" s="742">
        <f t="shared" si="29"/>
        <v>48</v>
      </c>
      <c r="B217" s="296" t="s">
        <v>602</v>
      </c>
      <c r="C217" s="725">
        <v>42110</v>
      </c>
      <c r="D217" s="726" t="s">
        <v>599</v>
      </c>
      <c r="E217" s="815">
        <v>46</v>
      </c>
      <c r="F217" s="816">
        <v>42</v>
      </c>
      <c r="G217" s="816">
        <v>24.5</v>
      </c>
      <c r="H217" s="807">
        <f t="shared" si="23"/>
        <v>1.26</v>
      </c>
      <c r="I217" s="256">
        <v>904</v>
      </c>
      <c r="J217" s="710">
        <f t="shared" si="27"/>
        <v>1139.04</v>
      </c>
      <c r="K217" s="710">
        <f t="shared" si="25"/>
        <v>9832.0097974548135</v>
      </c>
      <c r="L217" s="656"/>
      <c r="N217" s="705"/>
      <c r="O217" s="705"/>
      <c r="P217" s="705"/>
    </row>
    <row r="218" spans="1:17" ht="16.5" customHeight="1">
      <c r="A218" s="742">
        <f t="shared" si="29"/>
        <v>49</v>
      </c>
      <c r="B218" s="296" t="s">
        <v>451</v>
      </c>
      <c r="C218" s="725">
        <v>42110</v>
      </c>
      <c r="D218" s="726" t="s">
        <v>603</v>
      </c>
      <c r="E218" s="815">
        <v>49.5</v>
      </c>
      <c r="F218" s="816">
        <v>38.5</v>
      </c>
      <c r="G218" s="816">
        <v>32.5</v>
      </c>
      <c r="H218" s="807">
        <f t="shared" si="23"/>
        <v>1.34</v>
      </c>
      <c r="I218" s="256">
        <v>302</v>
      </c>
      <c r="J218" s="710">
        <f t="shared" si="27"/>
        <v>404.68</v>
      </c>
      <c r="K218" s="710">
        <f t="shared" si="25"/>
        <v>10456.264387769406</v>
      </c>
      <c r="L218" s="656"/>
      <c r="N218" s="705"/>
      <c r="O218" s="705"/>
      <c r="P218" s="705"/>
    </row>
    <row r="219" spans="1:17" ht="16.5" customHeight="1">
      <c r="A219" s="742">
        <f t="shared" si="29"/>
        <v>50</v>
      </c>
      <c r="B219" s="296" t="s">
        <v>398</v>
      </c>
      <c r="C219" s="725">
        <v>42111</v>
      </c>
      <c r="D219" s="726" t="s">
        <v>607</v>
      </c>
      <c r="E219" s="815">
        <v>52</v>
      </c>
      <c r="F219" s="816">
        <v>24.5</v>
      </c>
      <c r="G219" s="816">
        <v>24.5</v>
      </c>
      <c r="H219" s="807">
        <f>IF(G219&lt;&gt;"",ROUND(((E219+F219)*2+5)*(F219+G219+3)/10000,2),ROUND(E219*F219/10000,2))</f>
        <v>0.82</v>
      </c>
      <c r="I219" s="256">
        <v>900</v>
      </c>
      <c r="J219" s="710">
        <f t="shared" si="27"/>
        <v>738</v>
      </c>
      <c r="K219" s="710">
        <f t="shared" si="25"/>
        <v>6398.6095507245609</v>
      </c>
      <c r="L219" s="656"/>
      <c r="N219" s="705"/>
      <c r="O219" s="705"/>
      <c r="P219" s="705"/>
    </row>
    <row r="220" spans="1:17" ht="16.5" customHeight="1">
      <c r="A220" s="742">
        <f t="shared" si="29"/>
        <v>51</v>
      </c>
      <c r="B220" s="296" t="s">
        <v>446</v>
      </c>
      <c r="C220" s="725">
        <v>42111</v>
      </c>
      <c r="D220" s="726" t="s">
        <v>607</v>
      </c>
      <c r="E220" s="815">
        <v>52</v>
      </c>
      <c r="F220" s="816">
        <v>26.5</v>
      </c>
      <c r="G220" s="816">
        <v>26.5</v>
      </c>
      <c r="H220" s="807">
        <f t="shared" si="23"/>
        <v>0.91</v>
      </c>
      <c r="I220" s="256">
        <v>315</v>
      </c>
      <c r="J220" s="710">
        <f t="shared" si="27"/>
        <v>286.65000000000003</v>
      </c>
      <c r="K220" s="710">
        <f t="shared" si="25"/>
        <v>7100.8959648284763</v>
      </c>
      <c r="L220" s="656"/>
      <c r="N220" s="705"/>
      <c r="O220" s="705"/>
      <c r="P220" s="705"/>
    </row>
    <row r="221" spans="1:17" ht="16.5" customHeight="1">
      <c r="A221" s="742">
        <f t="shared" si="29"/>
        <v>52</v>
      </c>
      <c r="B221" s="296" t="s">
        <v>608</v>
      </c>
      <c r="C221" s="725">
        <v>42111</v>
      </c>
      <c r="D221" s="726" t="s">
        <v>607</v>
      </c>
      <c r="E221" s="815">
        <v>22.5</v>
      </c>
      <c r="F221" s="816">
        <v>22.5</v>
      </c>
      <c r="G221" s="816">
        <v>52</v>
      </c>
      <c r="H221" s="807">
        <f t="shared" si="23"/>
        <v>0.74</v>
      </c>
      <c r="I221" s="256">
        <v>305</v>
      </c>
      <c r="J221" s="710">
        <f t="shared" si="27"/>
        <v>225.7</v>
      </c>
      <c r="K221" s="710">
        <f t="shared" si="25"/>
        <v>5774.3549604099699</v>
      </c>
      <c r="L221" s="656"/>
      <c r="N221" s="705"/>
      <c r="O221" s="705"/>
      <c r="P221" s="705"/>
    </row>
    <row r="222" spans="1:17" ht="16.5" customHeight="1">
      <c r="A222" s="742">
        <f t="shared" si="29"/>
        <v>53</v>
      </c>
      <c r="B222" s="296" t="s">
        <v>501</v>
      </c>
      <c r="C222" s="725">
        <v>42111</v>
      </c>
      <c r="D222" s="726" t="s">
        <v>607</v>
      </c>
      <c r="E222" s="815">
        <v>55</v>
      </c>
      <c r="F222" s="816">
        <v>45</v>
      </c>
      <c r="G222" s="816">
        <v>29</v>
      </c>
      <c r="H222" s="807">
        <f t="shared" si="23"/>
        <v>1.58</v>
      </c>
      <c r="I222" s="256">
        <v>315</v>
      </c>
      <c r="J222" s="710">
        <f t="shared" si="27"/>
        <v>497.70000000000005</v>
      </c>
      <c r="K222" s="710">
        <f t="shared" si="25"/>
        <v>12329.028158713179</v>
      </c>
      <c r="L222" s="656"/>
      <c r="N222" s="705"/>
      <c r="O222" s="705"/>
      <c r="P222" s="705"/>
    </row>
    <row r="223" spans="1:17" ht="16.5" customHeight="1">
      <c r="A223" s="742">
        <f t="shared" si="29"/>
        <v>54</v>
      </c>
      <c r="B223" s="296" t="s">
        <v>604</v>
      </c>
      <c r="C223" s="725">
        <v>42111</v>
      </c>
      <c r="D223" s="726" t="s">
        <v>605</v>
      </c>
      <c r="E223" s="815">
        <v>48.5</v>
      </c>
      <c r="F223" s="816">
        <v>23</v>
      </c>
      <c r="G223" s="816">
        <v>35.5</v>
      </c>
      <c r="H223" s="807">
        <f t="shared" si="23"/>
        <v>0.91</v>
      </c>
      <c r="I223" s="256">
        <v>722</v>
      </c>
      <c r="J223" s="710">
        <f t="shared" si="27"/>
        <v>657.02</v>
      </c>
      <c r="K223" s="710">
        <f t="shared" si="25"/>
        <v>7100.8959648284763</v>
      </c>
      <c r="L223" s="656"/>
      <c r="N223" s="705"/>
      <c r="O223" s="705"/>
      <c r="P223" s="705"/>
    </row>
    <row r="224" spans="1:17" ht="16.5" customHeight="1">
      <c r="A224" s="742">
        <f t="shared" si="29"/>
        <v>55</v>
      </c>
      <c r="B224" s="296" t="s">
        <v>609</v>
      </c>
      <c r="C224" s="725">
        <v>42112</v>
      </c>
      <c r="D224" s="726" t="s">
        <v>610</v>
      </c>
      <c r="E224" s="815">
        <v>37.799999999999997</v>
      </c>
      <c r="F224" s="816">
        <v>25.3</v>
      </c>
      <c r="G224" s="816">
        <v>23.9</v>
      </c>
      <c r="H224" s="807">
        <f t="shared" si="23"/>
        <v>0.68</v>
      </c>
      <c r="I224" s="256">
        <v>485</v>
      </c>
      <c r="J224" s="710">
        <f t="shared" si="27"/>
        <v>329.8</v>
      </c>
      <c r="K224" s="710">
        <f t="shared" si="25"/>
        <v>5306.1640176740266</v>
      </c>
      <c r="L224" s="656"/>
      <c r="N224" s="705"/>
      <c r="O224" s="705"/>
      <c r="P224" s="705"/>
    </row>
    <row r="225" spans="1:16" ht="16.5" customHeight="1">
      <c r="A225" s="742">
        <f t="shared" si="29"/>
        <v>56</v>
      </c>
      <c r="B225" s="296" t="s">
        <v>609</v>
      </c>
      <c r="C225" s="725">
        <v>42112</v>
      </c>
      <c r="D225" s="726" t="s">
        <v>610</v>
      </c>
      <c r="E225" s="815">
        <v>37.799999999999997</v>
      </c>
      <c r="F225" s="816">
        <v>25.3</v>
      </c>
      <c r="G225" s="816">
        <v>23.9</v>
      </c>
      <c r="H225" s="807">
        <f t="shared" si="23"/>
        <v>0.68</v>
      </c>
      <c r="I225" s="256">
        <v>1002</v>
      </c>
      <c r="J225" s="710">
        <f t="shared" si="27"/>
        <v>681.36</v>
      </c>
      <c r="K225" s="710">
        <f t="shared" si="25"/>
        <v>5306.1640176740266</v>
      </c>
      <c r="L225" s="656"/>
      <c r="N225" s="705"/>
      <c r="O225" s="705"/>
      <c r="P225" s="705"/>
    </row>
    <row r="226" spans="1:16" ht="16.5" customHeight="1">
      <c r="A226" s="742">
        <f t="shared" si="29"/>
        <v>57</v>
      </c>
      <c r="B226" s="296" t="s">
        <v>611</v>
      </c>
      <c r="C226" s="725">
        <v>42115</v>
      </c>
      <c r="D226" s="726" t="s">
        <v>612</v>
      </c>
      <c r="E226" s="815">
        <v>36</v>
      </c>
      <c r="F226" s="816">
        <v>24</v>
      </c>
      <c r="G226" s="816">
        <v>26.5</v>
      </c>
      <c r="H226" s="807">
        <f t="shared" si="23"/>
        <v>0.67</v>
      </c>
      <c r="I226" s="256">
        <v>61</v>
      </c>
      <c r="J226" s="710">
        <f t="shared" si="27"/>
        <v>40.870000000000005</v>
      </c>
      <c r="K226" s="710">
        <f t="shared" si="25"/>
        <v>5228.1321938847032</v>
      </c>
      <c r="L226" s="656"/>
      <c r="N226" s="705"/>
      <c r="O226" s="705"/>
      <c r="P226" s="705"/>
    </row>
    <row r="227" spans="1:16" ht="16.5" customHeight="1">
      <c r="A227" s="742">
        <f t="shared" si="29"/>
        <v>58</v>
      </c>
      <c r="B227" s="296" t="s">
        <v>518</v>
      </c>
      <c r="C227" s="725">
        <v>42117</v>
      </c>
      <c r="D227" s="726" t="s">
        <v>613</v>
      </c>
      <c r="E227" s="815">
        <v>45</v>
      </c>
      <c r="F227" s="816">
        <v>35</v>
      </c>
      <c r="G227" s="816">
        <v>25</v>
      </c>
      <c r="H227" s="807">
        <f t="shared" si="23"/>
        <v>1.04</v>
      </c>
      <c r="I227" s="256">
        <v>210</v>
      </c>
      <c r="J227" s="710">
        <f t="shared" si="27"/>
        <v>218.4</v>
      </c>
      <c r="K227" s="710">
        <f t="shared" si="25"/>
        <v>8115.3096740896872</v>
      </c>
      <c r="L227" s="656"/>
      <c r="N227" s="705"/>
      <c r="O227" s="705"/>
      <c r="P227" s="705"/>
    </row>
    <row r="228" spans="1:16" ht="16.5" customHeight="1">
      <c r="A228" s="742">
        <f t="shared" si="29"/>
        <v>59</v>
      </c>
      <c r="B228" s="296" t="s">
        <v>614</v>
      </c>
      <c r="C228" s="725">
        <v>42118</v>
      </c>
      <c r="D228" s="726" t="s">
        <v>615</v>
      </c>
      <c r="E228" s="815">
        <v>36.5</v>
      </c>
      <c r="F228" s="816">
        <v>20.5</v>
      </c>
      <c r="G228" s="816">
        <v>32</v>
      </c>
      <c r="H228" s="807">
        <f t="shared" si="23"/>
        <v>0.66</v>
      </c>
      <c r="I228" s="256">
        <v>312</v>
      </c>
      <c r="J228" s="710">
        <f t="shared" si="27"/>
        <v>205.92000000000002</v>
      </c>
      <c r="K228" s="710">
        <f t="shared" si="25"/>
        <v>5150.1003700953788</v>
      </c>
      <c r="L228" s="656"/>
      <c r="N228" s="705"/>
      <c r="O228" s="705"/>
      <c r="P228" s="705"/>
    </row>
    <row r="229" spans="1:16" ht="16.5" customHeight="1">
      <c r="A229" s="742">
        <f t="shared" si="29"/>
        <v>60</v>
      </c>
      <c r="B229" s="296" t="s">
        <v>616</v>
      </c>
      <c r="C229" s="725">
        <v>42118</v>
      </c>
      <c r="D229" s="726" t="s">
        <v>615</v>
      </c>
      <c r="E229" s="815">
        <v>37.5</v>
      </c>
      <c r="F229" s="816">
        <v>22.8</v>
      </c>
      <c r="G229" s="816">
        <v>27</v>
      </c>
      <c r="H229" s="807">
        <f t="shared" si="23"/>
        <v>0.66</v>
      </c>
      <c r="I229" s="256">
        <v>312</v>
      </c>
      <c r="J229" s="710">
        <f t="shared" si="27"/>
        <v>205.92000000000002</v>
      </c>
      <c r="K229" s="710">
        <f t="shared" si="25"/>
        <v>5150.1003700953788</v>
      </c>
      <c r="L229" s="656"/>
      <c r="N229" s="705"/>
      <c r="O229" s="705"/>
      <c r="P229" s="705"/>
    </row>
    <row r="230" spans="1:16" ht="16.5" customHeight="1">
      <c r="A230" s="742">
        <f t="shared" si="29"/>
        <v>61</v>
      </c>
      <c r="B230" s="296" t="s">
        <v>616</v>
      </c>
      <c r="C230" s="725">
        <v>42118</v>
      </c>
      <c r="D230" s="726" t="s">
        <v>615</v>
      </c>
      <c r="E230" s="815">
        <v>37.5</v>
      </c>
      <c r="F230" s="816">
        <v>22.8</v>
      </c>
      <c r="G230" s="816">
        <v>27</v>
      </c>
      <c r="H230" s="807">
        <f t="shared" si="23"/>
        <v>0.66</v>
      </c>
      <c r="I230" s="256">
        <v>200</v>
      </c>
      <c r="J230" s="710">
        <f t="shared" si="27"/>
        <v>132</v>
      </c>
      <c r="K230" s="710">
        <f t="shared" si="25"/>
        <v>5150.1003700953788</v>
      </c>
      <c r="L230" s="656"/>
      <c r="N230" s="705"/>
      <c r="O230" s="705"/>
      <c r="P230" s="705"/>
    </row>
    <row r="231" spans="1:16" ht="16.5" customHeight="1">
      <c r="A231" s="742">
        <f t="shared" si="29"/>
        <v>62</v>
      </c>
      <c r="B231" s="296" t="s">
        <v>403</v>
      </c>
      <c r="C231" s="725">
        <v>42118</v>
      </c>
      <c r="D231" s="726" t="s">
        <v>615</v>
      </c>
      <c r="E231" s="815">
        <v>43</v>
      </c>
      <c r="F231" s="816">
        <v>31</v>
      </c>
      <c r="G231" s="816">
        <v>25</v>
      </c>
      <c r="H231" s="807">
        <f t="shared" si="23"/>
        <v>0.9</v>
      </c>
      <c r="I231" s="256">
        <v>1012</v>
      </c>
      <c r="J231" s="710">
        <f t="shared" si="27"/>
        <v>910.80000000000007</v>
      </c>
      <c r="K231" s="710">
        <f t="shared" si="25"/>
        <v>7022.8641410391529</v>
      </c>
      <c r="L231" s="656"/>
      <c r="N231" s="705"/>
      <c r="O231" s="705"/>
      <c r="P231" s="705"/>
    </row>
    <row r="232" spans="1:16" ht="16.5" customHeight="1">
      <c r="A232" s="742">
        <f t="shared" si="29"/>
        <v>63</v>
      </c>
      <c r="B232" s="296" t="s">
        <v>906</v>
      </c>
      <c r="C232" s="725">
        <v>42118</v>
      </c>
      <c r="D232" s="726" t="s">
        <v>615</v>
      </c>
      <c r="E232" s="815">
        <v>43.5</v>
      </c>
      <c r="F232" s="816">
        <v>31</v>
      </c>
      <c r="G232" s="816">
        <v>24.8</v>
      </c>
      <c r="H232" s="807">
        <f t="shared" si="23"/>
        <v>0.91</v>
      </c>
      <c r="I232" s="256">
        <v>303</v>
      </c>
      <c r="J232" s="710">
        <f t="shared" si="27"/>
        <v>275.73</v>
      </c>
      <c r="K232" s="710">
        <f t="shared" si="25"/>
        <v>7100.8959648284763</v>
      </c>
      <c r="L232" s="656"/>
      <c r="N232" s="705"/>
      <c r="O232" s="705"/>
      <c r="P232" s="705"/>
    </row>
    <row r="233" spans="1:16" ht="16.5" customHeight="1">
      <c r="A233" s="742">
        <f t="shared" si="29"/>
        <v>64</v>
      </c>
      <c r="B233" s="296" t="s">
        <v>617</v>
      </c>
      <c r="C233" s="725">
        <v>42118</v>
      </c>
      <c r="D233" s="726" t="s">
        <v>618</v>
      </c>
      <c r="E233" s="815">
        <v>36</v>
      </c>
      <c r="F233" s="816">
        <v>30</v>
      </c>
      <c r="G233" s="816">
        <v>25</v>
      </c>
      <c r="H233" s="807">
        <f t="shared" si="23"/>
        <v>0.79</v>
      </c>
      <c r="I233" s="256">
        <v>303</v>
      </c>
      <c r="J233" s="710">
        <f t="shared" si="27"/>
        <v>239.37</v>
      </c>
      <c r="K233" s="710">
        <f t="shared" si="25"/>
        <v>6164.5140793565897</v>
      </c>
      <c r="L233" s="656"/>
      <c r="N233" s="705"/>
      <c r="O233" s="705"/>
      <c r="P233" s="705"/>
    </row>
    <row r="234" spans="1:16" ht="16.5" customHeight="1">
      <c r="A234" s="742">
        <f t="shared" si="29"/>
        <v>65</v>
      </c>
      <c r="B234" s="296" t="s">
        <v>1665</v>
      </c>
      <c r="C234" s="725">
        <v>42118</v>
      </c>
      <c r="D234" s="726" t="s">
        <v>618</v>
      </c>
      <c r="E234" s="815">
        <v>35</v>
      </c>
      <c r="F234" s="816">
        <v>28</v>
      </c>
      <c r="G234" s="816"/>
      <c r="H234" s="807">
        <f t="shared" ref="H234:H297" si="32">IF(G234&lt;&gt;"",ROUND(((E234+F234)*2+5)*(F234+G234+3)/10000,2),ROUND(E234*F234/10000,2))</f>
        <v>0.1</v>
      </c>
      <c r="I234" s="256">
        <v>606</v>
      </c>
      <c r="J234" s="710">
        <f t="shared" si="27"/>
        <v>60.6</v>
      </c>
      <c r="K234" s="710">
        <f t="shared" ref="K234:K297" si="33">H234*$Q$211</f>
        <v>780.31823789323926</v>
      </c>
      <c r="L234" s="656"/>
      <c r="N234" s="705"/>
      <c r="O234" s="705"/>
      <c r="P234" s="705"/>
    </row>
    <row r="235" spans="1:16" ht="16.5" customHeight="1">
      <c r="A235" s="742">
        <f t="shared" si="29"/>
        <v>66</v>
      </c>
      <c r="B235" s="296" t="s">
        <v>587</v>
      </c>
      <c r="C235" s="725">
        <v>42118</v>
      </c>
      <c r="D235" s="726" t="s">
        <v>619</v>
      </c>
      <c r="E235" s="815">
        <v>38</v>
      </c>
      <c r="F235" s="816">
        <v>28</v>
      </c>
      <c r="G235" s="816">
        <v>27</v>
      </c>
      <c r="H235" s="807">
        <f t="shared" si="32"/>
        <v>0.79</v>
      </c>
      <c r="I235" s="256">
        <v>150</v>
      </c>
      <c r="J235" s="710">
        <f t="shared" ref="J235:J298" si="34">H235*I235</f>
        <v>118.5</v>
      </c>
      <c r="K235" s="710">
        <f t="shared" si="33"/>
        <v>6164.5140793565897</v>
      </c>
      <c r="L235" s="656"/>
      <c r="N235" s="705"/>
      <c r="O235" s="705"/>
      <c r="P235" s="705"/>
    </row>
    <row r="236" spans="1:16" ht="16.5" customHeight="1">
      <c r="A236" s="742">
        <f t="shared" ref="A236:A299" si="35">IF(B236&lt;&gt;"",ROW()-169,"")</f>
        <v>67</v>
      </c>
      <c r="B236" s="296" t="s">
        <v>602</v>
      </c>
      <c r="C236" s="725">
        <v>42118</v>
      </c>
      <c r="D236" s="726" t="s">
        <v>619</v>
      </c>
      <c r="E236" s="815">
        <v>46</v>
      </c>
      <c r="F236" s="816">
        <v>42</v>
      </c>
      <c r="G236" s="816">
        <v>24.5</v>
      </c>
      <c r="H236" s="807">
        <f t="shared" si="32"/>
        <v>1.26</v>
      </c>
      <c r="I236" s="256">
        <v>1364</v>
      </c>
      <c r="J236" s="710">
        <f t="shared" si="34"/>
        <v>1718.64</v>
      </c>
      <c r="K236" s="710">
        <f t="shared" si="33"/>
        <v>9832.0097974548135</v>
      </c>
      <c r="L236" s="656"/>
      <c r="N236" s="705"/>
      <c r="O236" s="705"/>
      <c r="P236" s="705"/>
    </row>
    <row r="237" spans="1:16" ht="16.5" customHeight="1">
      <c r="A237" s="742">
        <f t="shared" si="35"/>
        <v>68</v>
      </c>
      <c r="B237" s="296" t="s">
        <v>1707</v>
      </c>
      <c r="C237" s="725">
        <v>42119</v>
      </c>
      <c r="D237" s="726" t="s">
        <v>620</v>
      </c>
      <c r="E237" s="815">
        <v>110</v>
      </c>
      <c r="F237" s="816">
        <v>182</v>
      </c>
      <c r="G237" s="816"/>
      <c r="H237" s="807">
        <f t="shared" si="32"/>
        <v>2</v>
      </c>
      <c r="I237" s="256">
        <v>50</v>
      </c>
      <c r="J237" s="710">
        <f t="shared" si="34"/>
        <v>100</v>
      </c>
      <c r="K237" s="710">
        <f t="shared" si="33"/>
        <v>15606.364757864783</v>
      </c>
      <c r="L237" s="656"/>
      <c r="N237" s="705"/>
      <c r="O237" s="705"/>
      <c r="P237" s="705"/>
    </row>
    <row r="238" spans="1:16" ht="16.5" customHeight="1">
      <c r="A238" s="742">
        <f t="shared" si="35"/>
        <v>69</v>
      </c>
      <c r="B238" s="296" t="s">
        <v>1708</v>
      </c>
      <c r="C238" s="725">
        <v>42119</v>
      </c>
      <c r="D238" s="726" t="s">
        <v>620</v>
      </c>
      <c r="E238" s="815">
        <v>100</v>
      </c>
      <c r="F238" s="816">
        <v>174</v>
      </c>
      <c r="G238" s="816"/>
      <c r="H238" s="807">
        <f t="shared" si="32"/>
        <v>1.74</v>
      </c>
      <c r="I238" s="256">
        <v>200</v>
      </c>
      <c r="J238" s="710">
        <f t="shared" si="34"/>
        <v>348</v>
      </c>
      <c r="K238" s="710">
        <f t="shared" si="33"/>
        <v>13577.537339342362</v>
      </c>
      <c r="L238" s="656"/>
      <c r="N238" s="705"/>
      <c r="O238" s="705"/>
      <c r="P238" s="705"/>
    </row>
    <row r="239" spans="1:16" ht="16.5" customHeight="1">
      <c r="A239" s="742">
        <f t="shared" si="35"/>
        <v>70</v>
      </c>
      <c r="B239" s="296" t="s">
        <v>1709</v>
      </c>
      <c r="C239" s="725">
        <v>42119</v>
      </c>
      <c r="D239" s="726" t="s">
        <v>620</v>
      </c>
      <c r="E239" s="815">
        <v>125</v>
      </c>
      <c r="F239" s="816">
        <v>67</v>
      </c>
      <c r="G239" s="816"/>
      <c r="H239" s="807">
        <f t="shared" si="32"/>
        <v>0.84</v>
      </c>
      <c r="I239" s="256">
        <v>333</v>
      </c>
      <c r="J239" s="710">
        <f t="shared" si="34"/>
        <v>279.71999999999997</v>
      </c>
      <c r="K239" s="710">
        <f t="shared" si="33"/>
        <v>6554.6731983032087</v>
      </c>
      <c r="L239" s="656"/>
      <c r="N239" s="705"/>
      <c r="O239" s="705"/>
      <c r="P239" s="705"/>
    </row>
    <row r="240" spans="1:16" ht="16.5" customHeight="1">
      <c r="A240" s="742">
        <f t="shared" si="35"/>
        <v>71</v>
      </c>
      <c r="B240" s="296" t="s">
        <v>1710</v>
      </c>
      <c r="C240" s="725">
        <v>42119</v>
      </c>
      <c r="D240" s="726" t="s">
        <v>620</v>
      </c>
      <c r="E240" s="815">
        <v>140</v>
      </c>
      <c r="F240" s="816">
        <v>149</v>
      </c>
      <c r="G240" s="816"/>
      <c r="H240" s="807">
        <f t="shared" si="32"/>
        <v>2.09</v>
      </c>
      <c r="I240" s="256">
        <v>55</v>
      </c>
      <c r="J240" s="710">
        <f t="shared" si="34"/>
        <v>114.94999999999999</v>
      </c>
      <c r="K240" s="710">
        <f t="shared" si="33"/>
        <v>16308.651171968697</v>
      </c>
      <c r="L240" s="656"/>
      <c r="N240" s="705"/>
      <c r="O240" s="705"/>
      <c r="P240" s="705"/>
    </row>
    <row r="241" spans="1:16" ht="16.5" customHeight="1">
      <c r="A241" s="742">
        <f t="shared" si="35"/>
        <v>72</v>
      </c>
      <c r="B241" s="296" t="s">
        <v>1711</v>
      </c>
      <c r="C241" s="725">
        <v>42119</v>
      </c>
      <c r="D241" s="726" t="s">
        <v>620</v>
      </c>
      <c r="E241" s="815">
        <v>130</v>
      </c>
      <c r="F241" s="816">
        <v>82</v>
      </c>
      <c r="G241" s="816"/>
      <c r="H241" s="807">
        <f t="shared" si="32"/>
        <v>1.07</v>
      </c>
      <c r="I241" s="256">
        <v>600</v>
      </c>
      <c r="J241" s="710">
        <f t="shared" si="34"/>
        <v>642</v>
      </c>
      <c r="K241" s="710">
        <f t="shared" si="33"/>
        <v>8349.4051454576602</v>
      </c>
      <c r="L241" s="656"/>
      <c r="N241" s="705"/>
      <c r="O241" s="705"/>
      <c r="P241" s="705"/>
    </row>
    <row r="242" spans="1:16" ht="16.5" customHeight="1">
      <c r="A242" s="742">
        <f t="shared" si="35"/>
        <v>73</v>
      </c>
      <c r="B242" s="296" t="s">
        <v>727</v>
      </c>
      <c r="C242" s="725">
        <v>42119</v>
      </c>
      <c r="D242" s="726" t="s">
        <v>620</v>
      </c>
      <c r="E242" s="815">
        <v>120</v>
      </c>
      <c r="F242" s="816">
        <v>82</v>
      </c>
      <c r="G242" s="816"/>
      <c r="H242" s="807">
        <f t="shared" si="32"/>
        <v>0.98</v>
      </c>
      <c r="I242" s="256">
        <v>600</v>
      </c>
      <c r="J242" s="710">
        <f t="shared" si="34"/>
        <v>588</v>
      </c>
      <c r="K242" s="710">
        <f t="shared" si="33"/>
        <v>7647.1187313537439</v>
      </c>
      <c r="L242" s="656"/>
      <c r="N242" s="705"/>
      <c r="O242" s="705"/>
      <c r="P242" s="705"/>
    </row>
    <row r="243" spans="1:16" ht="16.5" customHeight="1">
      <c r="A243" s="742">
        <f t="shared" si="35"/>
        <v>74</v>
      </c>
      <c r="B243" s="296" t="s">
        <v>494</v>
      </c>
      <c r="C243" s="725">
        <v>42119</v>
      </c>
      <c r="D243" s="726" t="s">
        <v>621</v>
      </c>
      <c r="E243" s="815">
        <v>37.5</v>
      </c>
      <c r="F243" s="816">
        <v>25.3</v>
      </c>
      <c r="G243" s="816">
        <v>23.9</v>
      </c>
      <c r="H243" s="807">
        <f t="shared" si="32"/>
        <v>0.68</v>
      </c>
      <c r="I243" s="256">
        <v>420</v>
      </c>
      <c r="J243" s="710">
        <f t="shared" si="34"/>
        <v>285.60000000000002</v>
      </c>
      <c r="K243" s="710">
        <f t="shared" si="33"/>
        <v>5306.1640176740266</v>
      </c>
      <c r="L243" s="656"/>
      <c r="N243" s="705"/>
      <c r="O243" s="705"/>
      <c r="P243" s="705"/>
    </row>
    <row r="244" spans="1:16" ht="16.5" customHeight="1">
      <c r="A244" s="742">
        <f t="shared" si="35"/>
        <v>75</v>
      </c>
      <c r="B244" s="296" t="s">
        <v>413</v>
      </c>
      <c r="C244" s="725">
        <v>42123</v>
      </c>
      <c r="D244" s="726" t="s">
        <v>622</v>
      </c>
      <c r="E244" s="815">
        <v>49</v>
      </c>
      <c r="F244" s="816">
        <v>38</v>
      </c>
      <c r="G244" s="816">
        <v>12</v>
      </c>
      <c r="H244" s="807">
        <f t="shared" si="32"/>
        <v>0.95</v>
      </c>
      <c r="I244" s="256">
        <v>410</v>
      </c>
      <c r="J244" s="710">
        <f t="shared" si="34"/>
        <v>389.5</v>
      </c>
      <c r="K244" s="710">
        <f t="shared" si="33"/>
        <v>7413.0232599857718</v>
      </c>
      <c r="L244" s="656"/>
      <c r="N244" s="705"/>
      <c r="O244" s="705"/>
      <c r="P244" s="705"/>
    </row>
    <row r="245" spans="1:16" ht="16.5" customHeight="1">
      <c r="A245" s="742">
        <f t="shared" si="35"/>
        <v>76</v>
      </c>
      <c r="B245" s="296" t="s">
        <v>1712</v>
      </c>
      <c r="C245" s="725">
        <v>42123</v>
      </c>
      <c r="D245" s="726" t="s">
        <v>623</v>
      </c>
      <c r="E245" s="815">
        <v>85</v>
      </c>
      <c r="F245" s="816">
        <v>164</v>
      </c>
      <c r="G245" s="816"/>
      <c r="H245" s="807">
        <f t="shared" si="32"/>
        <v>1.39</v>
      </c>
      <c r="I245" s="256">
        <v>50</v>
      </c>
      <c r="J245" s="710">
        <f t="shared" si="34"/>
        <v>69.5</v>
      </c>
      <c r="K245" s="710">
        <f t="shared" si="33"/>
        <v>10846.423506716024</v>
      </c>
      <c r="L245" s="656"/>
      <c r="N245" s="705"/>
      <c r="O245" s="705"/>
      <c r="P245" s="705"/>
    </row>
    <row r="246" spans="1:16" ht="16.5" customHeight="1">
      <c r="A246" s="742">
        <f t="shared" si="35"/>
        <v>77</v>
      </c>
      <c r="B246" s="296" t="s">
        <v>1713</v>
      </c>
      <c r="C246" s="725">
        <v>42123</v>
      </c>
      <c r="D246" s="726" t="s">
        <v>623</v>
      </c>
      <c r="E246" s="815">
        <v>80</v>
      </c>
      <c r="F246" s="816">
        <v>181</v>
      </c>
      <c r="G246" s="816"/>
      <c r="H246" s="807">
        <f t="shared" si="32"/>
        <v>1.45</v>
      </c>
      <c r="I246" s="256">
        <v>125</v>
      </c>
      <c r="J246" s="710">
        <f t="shared" si="34"/>
        <v>181.25</v>
      </c>
      <c r="K246" s="710">
        <f t="shared" si="33"/>
        <v>11314.614449451967</v>
      </c>
      <c r="L246" s="656"/>
      <c r="N246" s="705"/>
      <c r="O246" s="705"/>
      <c r="P246" s="705"/>
    </row>
    <row r="247" spans="1:16" ht="16.5" customHeight="1">
      <c r="A247" s="742">
        <f t="shared" si="35"/>
        <v>78</v>
      </c>
      <c r="B247" s="296" t="s">
        <v>1713</v>
      </c>
      <c r="C247" s="725">
        <v>42123</v>
      </c>
      <c r="D247" s="726" t="s">
        <v>623</v>
      </c>
      <c r="E247" s="815">
        <v>80</v>
      </c>
      <c r="F247" s="816">
        <v>181</v>
      </c>
      <c r="G247" s="816"/>
      <c r="H247" s="807">
        <f t="shared" si="32"/>
        <v>1.45</v>
      </c>
      <c r="I247" s="256">
        <v>150</v>
      </c>
      <c r="J247" s="710">
        <f t="shared" si="34"/>
        <v>217.5</v>
      </c>
      <c r="K247" s="710">
        <f t="shared" si="33"/>
        <v>11314.614449451967</v>
      </c>
      <c r="L247" s="656"/>
      <c r="N247" s="705"/>
      <c r="O247" s="705"/>
      <c r="P247" s="705"/>
    </row>
    <row r="248" spans="1:16" ht="16.5" customHeight="1">
      <c r="A248" s="742">
        <f t="shared" si="35"/>
        <v>79</v>
      </c>
      <c r="B248" s="296" t="s">
        <v>1714</v>
      </c>
      <c r="C248" s="725">
        <v>42123</v>
      </c>
      <c r="D248" s="726" t="s">
        <v>623</v>
      </c>
      <c r="E248" s="815">
        <v>80</v>
      </c>
      <c r="F248" s="816">
        <v>185</v>
      </c>
      <c r="G248" s="816"/>
      <c r="H248" s="807">
        <f t="shared" si="32"/>
        <v>1.48</v>
      </c>
      <c r="I248" s="256">
        <v>50</v>
      </c>
      <c r="J248" s="710">
        <f t="shared" si="34"/>
        <v>74</v>
      </c>
      <c r="K248" s="710">
        <f t="shared" si="33"/>
        <v>11548.70992081994</v>
      </c>
      <c r="L248" s="656"/>
      <c r="N248" s="705"/>
      <c r="O248" s="705"/>
      <c r="P248" s="705"/>
    </row>
    <row r="249" spans="1:16" ht="16.5" customHeight="1">
      <c r="A249" s="742">
        <f t="shared" si="35"/>
        <v>80</v>
      </c>
      <c r="B249" s="296" t="s">
        <v>1715</v>
      </c>
      <c r="C249" s="725">
        <v>42123</v>
      </c>
      <c r="D249" s="726" t="s">
        <v>623</v>
      </c>
      <c r="E249" s="815">
        <v>80</v>
      </c>
      <c r="F249" s="816">
        <v>186</v>
      </c>
      <c r="G249" s="816"/>
      <c r="H249" s="807">
        <f t="shared" si="32"/>
        <v>1.49</v>
      </c>
      <c r="I249" s="256">
        <v>100</v>
      </c>
      <c r="J249" s="710">
        <f t="shared" si="34"/>
        <v>149</v>
      </c>
      <c r="K249" s="710">
        <f t="shared" si="33"/>
        <v>11626.741744609264</v>
      </c>
      <c r="L249" s="656"/>
      <c r="N249" s="705"/>
      <c r="O249" s="705"/>
      <c r="P249" s="705"/>
    </row>
    <row r="250" spans="1:16" ht="16.5" customHeight="1">
      <c r="A250" s="742">
        <f t="shared" si="35"/>
        <v>81</v>
      </c>
      <c r="B250" s="296" t="s">
        <v>624</v>
      </c>
      <c r="C250" s="725">
        <v>42123</v>
      </c>
      <c r="D250" s="726" t="s">
        <v>625</v>
      </c>
      <c r="E250" s="815">
        <v>142</v>
      </c>
      <c r="F250" s="816">
        <v>72</v>
      </c>
      <c r="G250" s="816">
        <v>58</v>
      </c>
      <c r="H250" s="807">
        <f t="shared" si="32"/>
        <v>5.76</v>
      </c>
      <c r="I250" s="256">
        <v>50</v>
      </c>
      <c r="J250" s="710">
        <f t="shared" si="34"/>
        <v>288</v>
      </c>
      <c r="K250" s="710">
        <f t="shared" si="33"/>
        <v>44946.330502650577</v>
      </c>
      <c r="L250" s="656"/>
      <c r="N250" s="705"/>
      <c r="O250" s="705"/>
      <c r="P250" s="705"/>
    </row>
    <row r="251" spans="1:16" ht="16.5" customHeight="1">
      <c r="A251" s="742">
        <f t="shared" si="35"/>
        <v>82</v>
      </c>
      <c r="B251" s="296" t="s">
        <v>626</v>
      </c>
      <c r="C251" s="725">
        <v>42123</v>
      </c>
      <c r="D251" s="726" t="s">
        <v>625</v>
      </c>
      <c r="E251" s="815">
        <v>75</v>
      </c>
      <c r="F251" s="816">
        <v>49</v>
      </c>
      <c r="G251" s="816">
        <v>148</v>
      </c>
      <c r="H251" s="807">
        <f t="shared" si="32"/>
        <v>5.0599999999999996</v>
      </c>
      <c r="I251" s="256">
        <v>26</v>
      </c>
      <c r="J251" s="710">
        <f t="shared" si="34"/>
        <v>131.56</v>
      </c>
      <c r="K251" s="710">
        <f t="shared" si="33"/>
        <v>39484.102837397899</v>
      </c>
      <c r="L251" s="656"/>
      <c r="N251" s="705"/>
      <c r="O251" s="705"/>
      <c r="P251" s="705"/>
    </row>
    <row r="252" spans="1:16" ht="16.5" customHeight="1">
      <c r="A252" s="742">
        <f t="shared" si="35"/>
        <v>83</v>
      </c>
      <c r="B252" s="296" t="s">
        <v>627</v>
      </c>
      <c r="C252" s="725">
        <v>42123</v>
      </c>
      <c r="D252" s="726" t="s">
        <v>625</v>
      </c>
      <c r="E252" s="815">
        <v>64</v>
      </c>
      <c r="F252" s="816">
        <v>46</v>
      </c>
      <c r="G252" s="816">
        <v>13.4</v>
      </c>
      <c r="H252" s="807">
        <f t="shared" si="32"/>
        <v>1.4</v>
      </c>
      <c r="I252" s="256">
        <v>28</v>
      </c>
      <c r="J252" s="710">
        <f t="shared" si="34"/>
        <v>39.199999999999996</v>
      </c>
      <c r="K252" s="710">
        <f t="shared" si="33"/>
        <v>10924.455330505347</v>
      </c>
      <c r="L252" s="656"/>
      <c r="N252" s="705"/>
      <c r="O252" s="705"/>
      <c r="P252" s="705"/>
    </row>
    <row r="253" spans="1:16" ht="16.5" customHeight="1">
      <c r="A253" s="742">
        <f t="shared" si="35"/>
        <v>84</v>
      </c>
      <c r="B253" s="296" t="s">
        <v>628</v>
      </c>
      <c r="C253" s="725">
        <v>42123</v>
      </c>
      <c r="D253" s="726" t="s">
        <v>625</v>
      </c>
      <c r="E253" s="815">
        <v>102</v>
      </c>
      <c r="F253" s="816">
        <v>54</v>
      </c>
      <c r="G253" s="816">
        <v>178</v>
      </c>
      <c r="H253" s="807">
        <f t="shared" si="32"/>
        <v>7.45</v>
      </c>
      <c r="I253" s="256">
        <v>52</v>
      </c>
      <c r="J253" s="710">
        <f t="shared" si="34"/>
        <v>387.40000000000003</v>
      </c>
      <c r="K253" s="710">
        <f t="shared" si="33"/>
        <v>58133.708723046322</v>
      </c>
      <c r="L253" s="656"/>
      <c r="N253" s="705"/>
      <c r="O253" s="705"/>
      <c r="P253" s="705"/>
    </row>
    <row r="254" spans="1:16" ht="16.5" customHeight="1">
      <c r="A254" s="742">
        <f t="shared" si="35"/>
        <v>85</v>
      </c>
      <c r="B254" s="296" t="s">
        <v>628</v>
      </c>
      <c r="C254" s="725">
        <v>42123</v>
      </c>
      <c r="D254" s="726" t="s">
        <v>625</v>
      </c>
      <c r="E254" s="815">
        <v>102</v>
      </c>
      <c r="F254" s="816">
        <v>54</v>
      </c>
      <c r="G254" s="816">
        <v>178</v>
      </c>
      <c r="H254" s="807">
        <f t="shared" si="32"/>
        <v>7.45</v>
      </c>
      <c r="I254" s="256">
        <v>7</v>
      </c>
      <c r="J254" s="710">
        <f t="shared" si="34"/>
        <v>52.15</v>
      </c>
      <c r="K254" s="710">
        <f t="shared" si="33"/>
        <v>58133.708723046322</v>
      </c>
      <c r="L254" s="656"/>
      <c r="N254" s="705"/>
      <c r="O254" s="705"/>
      <c r="P254" s="705"/>
    </row>
    <row r="255" spans="1:16" ht="16.5" customHeight="1">
      <c r="A255" s="742">
        <f t="shared" si="35"/>
        <v>86</v>
      </c>
      <c r="B255" s="296" t="s">
        <v>1716</v>
      </c>
      <c r="C255" s="725">
        <v>42124</v>
      </c>
      <c r="D255" s="726" t="s">
        <v>629</v>
      </c>
      <c r="E255" s="815">
        <v>85</v>
      </c>
      <c r="F255" s="816">
        <v>165</v>
      </c>
      <c r="G255" s="816"/>
      <c r="H255" s="807">
        <f t="shared" si="32"/>
        <v>1.4</v>
      </c>
      <c r="I255" s="256">
        <v>130</v>
      </c>
      <c r="J255" s="710">
        <f t="shared" si="34"/>
        <v>182</v>
      </c>
      <c r="K255" s="710">
        <f t="shared" si="33"/>
        <v>10924.455330505347</v>
      </c>
      <c r="L255" s="656"/>
      <c r="N255" s="705"/>
      <c r="O255" s="705"/>
      <c r="P255" s="705"/>
    </row>
    <row r="256" spans="1:16" ht="16.5" customHeight="1">
      <c r="A256" s="742">
        <f t="shared" si="35"/>
        <v>87</v>
      </c>
      <c r="B256" s="296" t="s">
        <v>1717</v>
      </c>
      <c r="C256" s="725">
        <v>42124</v>
      </c>
      <c r="D256" s="726" t="s">
        <v>629</v>
      </c>
      <c r="E256" s="815">
        <v>85</v>
      </c>
      <c r="F256" s="816">
        <v>123</v>
      </c>
      <c r="G256" s="816"/>
      <c r="H256" s="807">
        <f t="shared" si="32"/>
        <v>1.05</v>
      </c>
      <c r="I256" s="256">
        <v>70</v>
      </c>
      <c r="J256" s="710">
        <f t="shared" si="34"/>
        <v>73.5</v>
      </c>
      <c r="K256" s="710">
        <f t="shared" si="33"/>
        <v>8193.3414978790115</v>
      </c>
      <c r="L256" s="656"/>
      <c r="N256" s="705"/>
      <c r="O256" s="705"/>
      <c r="P256" s="705"/>
    </row>
    <row r="257" spans="1:16" ht="16.5" customHeight="1">
      <c r="A257" s="742">
        <f t="shared" si="35"/>
        <v>88</v>
      </c>
      <c r="B257" s="296" t="s">
        <v>1718</v>
      </c>
      <c r="C257" s="725">
        <v>42124</v>
      </c>
      <c r="D257" s="726" t="s">
        <v>629</v>
      </c>
      <c r="E257" s="815">
        <v>75</v>
      </c>
      <c r="F257" s="816">
        <v>180</v>
      </c>
      <c r="G257" s="816"/>
      <c r="H257" s="807">
        <f t="shared" si="32"/>
        <v>1.35</v>
      </c>
      <c r="I257" s="256">
        <v>120</v>
      </c>
      <c r="J257" s="710">
        <f t="shared" si="34"/>
        <v>162</v>
      </c>
      <c r="K257" s="710">
        <f t="shared" si="33"/>
        <v>10534.296211558729</v>
      </c>
      <c r="L257" s="656"/>
      <c r="N257" s="705"/>
      <c r="O257" s="705"/>
      <c r="P257" s="705"/>
    </row>
    <row r="258" spans="1:16" ht="16.5" customHeight="1">
      <c r="A258" s="742">
        <f t="shared" si="35"/>
        <v>89</v>
      </c>
      <c r="B258" s="296" t="s">
        <v>1719</v>
      </c>
      <c r="C258" s="725">
        <v>42124</v>
      </c>
      <c r="D258" s="726" t="s">
        <v>629</v>
      </c>
      <c r="E258" s="815">
        <v>75</v>
      </c>
      <c r="F258" s="816">
        <v>170</v>
      </c>
      <c r="G258" s="816"/>
      <c r="H258" s="807">
        <f t="shared" si="32"/>
        <v>1.28</v>
      </c>
      <c r="I258" s="256">
        <v>110</v>
      </c>
      <c r="J258" s="710">
        <f t="shared" si="34"/>
        <v>140.80000000000001</v>
      </c>
      <c r="K258" s="710">
        <f t="shared" si="33"/>
        <v>9988.0734450334621</v>
      </c>
      <c r="L258" s="656"/>
      <c r="N258" s="705"/>
      <c r="O258" s="705"/>
      <c r="P258" s="705"/>
    </row>
    <row r="259" spans="1:16" ht="16.5" customHeight="1">
      <c r="A259" s="742">
        <f t="shared" si="35"/>
        <v>90</v>
      </c>
      <c r="B259" s="296" t="s">
        <v>1720</v>
      </c>
      <c r="C259" s="725">
        <v>42124</v>
      </c>
      <c r="D259" s="726" t="s">
        <v>629</v>
      </c>
      <c r="E259" s="815">
        <v>75</v>
      </c>
      <c r="F259" s="816">
        <v>121</v>
      </c>
      <c r="G259" s="816"/>
      <c r="H259" s="807">
        <f t="shared" si="32"/>
        <v>0.91</v>
      </c>
      <c r="I259" s="256">
        <v>110</v>
      </c>
      <c r="J259" s="710">
        <f t="shared" si="34"/>
        <v>100.10000000000001</v>
      </c>
      <c r="K259" s="710">
        <f t="shared" si="33"/>
        <v>7100.8959648284763</v>
      </c>
      <c r="L259" s="656"/>
      <c r="N259" s="705"/>
      <c r="O259" s="705"/>
      <c r="P259" s="705"/>
    </row>
    <row r="260" spans="1:16" ht="16.5" customHeight="1">
      <c r="A260" s="742">
        <f t="shared" si="35"/>
        <v>91</v>
      </c>
      <c r="B260" s="296" t="s">
        <v>1721</v>
      </c>
      <c r="C260" s="725">
        <v>42124</v>
      </c>
      <c r="D260" s="726" t="s">
        <v>629</v>
      </c>
      <c r="E260" s="815">
        <v>70</v>
      </c>
      <c r="F260" s="816">
        <v>122</v>
      </c>
      <c r="G260" s="816"/>
      <c r="H260" s="807">
        <f t="shared" si="32"/>
        <v>0.85</v>
      </c>
      <c r="I260" s="256">
        <v>2000</v>
      </c>
      <c r="J260" s="710">
        <f t="shared" si="34"/>
        <v>1700</v>
      </c>
      <c r="K260" s="710">
        <f t="shared" si="33"/>
        <v>6632.705022092533</v>
      </c>
      <c r="L260" s="656"/>
      <c r="N260" s="705"/>
      <c r="O260" s="705"/>
      <c r="P260" s="705"/>
    </row>
    <row r="261" spans="1:16" ht="16.5" customHeight="1">
      <c r="A261" s="742">
        <f t="shared" si="35"/>
        <v>92</v>
      </c>
      <c r="B261" s="296" t="s">
        <v>616</v>
      </c>
      <c r="C261" s="725">
        <v>42124</v>
      </c>
      <c r="D261" s="726" t="s">
        <v>630</v>
      </c>
      <c r="E261" s="815">
        <v>37.5</v>
      </c>
      <c r="F261" s="756">
        <v>22.8</v>
      </c>
      <c r="G261" s="756">
        <v>27</v>
      </c>
      <c r="H261" s="807">
        <f t="shared" si="32"/>
        <v>0.66</v>
      </c>
      <c r="I261" s="256">
        <v>398</v>
      </c>
      <c r="J261" s="710">
        <f t="shared" si="34"/>
        <v>262.68</v>
      </c>
      <c r="K261" s="710">
        <f t="shared" si="33"/>
        <v>5150.1003700953788</v>
      </c>
      <c r="L261" s="656"/>
      <c r="N261" s="705"/>
      <c r="O261" s="705"/>
      <c r="P261" s="705"/>
    </row>
    <row r="262" spans="1:16" ht="16.5" customHeight="1">
      <c r="A262" s="742">
        <f t="shared" si="35"/>
        <v>93</v>
      </c>
      <c r="B262" s="296" t="s">
        <v>631</v>
      </c>
      <c r="C262" s="725">
        <v>42124</v>
      </c>
      <c r="D262" s="726" t="s">
        <v>632</v>
      </c>
      <c r="E262" s="815">
        <v>51.5</v>
      </c>
      <c r="F262" s="816">
        <v>29</v>
      </c>
      <c r="G262" s="816">
        <v>19.5</v>
      </c>
      <c r="H262" s="807">
        <f t="shared" si="32"/>
        <v>0.85</v>
      </c>
      <c r="I262" s="256">
        <v>300</v>
      </c>
      <c r="J262" s="710">
        <f t="shared" si="34"/>
        <v>255</v>
      </c>
      <c r="K262" s="710">
        <f t="shared" si="33"/>
        <v>6632.705022092533</v>
      </c>
      <c r="L262" s="656"/>
      <c r="N262" s="705"/>
      <c r="O262" s="705"/>
      <c r="P262" s="705"/>
    </row>
    <row r="263" spans="1:16" ht="16.5" customHeight="1">
      <c r="A263" s="742">
        <f t="shared" si="35"/>
        <v>94</v>
      </c>
      <c r="B263" s="296" t="s">
        <v>634</v>
      </c>
      <c r="C263" s="725">
        <v>42124</v>
      </c>
      <c r="D263" s="726" t="s">
        <v>632</v>
      </c>
      <c r="E263" s="815">
        <v>49</v>
      </c>
      <c r="F263" s="816">
        <v>32.5</v>
      </c>
      <c r="G263" s="816">
        <v>31</v>
      </c>
      <c r="H263" s="807">
        <f t="shared" si="32"/>
        <v>1.1200000000000001</v>
      </c>
      <c r="I263" s="256">
        <v>108</v>
      </c>
      <c r="J263" s="710">
        <f t="shared" si="34"/>
        <v>120.96000000000001</v>
      </c>
      <c r="K263" s="710">
        <f t="shared" si="33"/>
        <v>8739.56426440428</v>
      </c>
      <c r="L263" s="656"/>
      <c r="N263" s="705"/>
      <c r="O263" s="705"/>
      <c r="P263" s="705"/>
    </row>
    <row r="264" spans="1:16" ht="16.5" customHeight="1">
      <c r="A264" s="742">
        <f t="shared" si="35"/>
        <v>95</v>
      </c>
      <c r="B264" s="296" t="s">
        <v>635</v>
      </c>
      <c r="C264" s="725">
        <v>42124</v>
      </c>
      <c r="D264" s="726" t="s">
        <v>632</v>
      </c>
      <c r="E264" s="815">
        <v>51.5</v>
      </c>
      <c r="F264" s="816">
        <v>22.5</v>
      </c>
      <c r="G264" s="816">
        <v>22.5</v>
      </c>
      <c r="H264" s="807">
        <f t="shared" si="32"/>
        <v>0.73</v>
      </c>
      <c r="I264" s="256">
        <v>407</v>
      </c>
      <c r="J264" s="710">
        <f t="shared" si="34"/>
        <v>297.11</v>
      </c>
      <c r="K264" s="710">
        <f t="shared" si="33"/>
        <v>5696.3231366206455</v>
      </c>
      <c r="L264" s="656"/>
      <c r="N264" s="705"/>
      <c r="O264" s="705"/>
      <c r="P264" s="705"/>
    </row>
    <row r="265" spans="1:16" ht="16.5" customHeight="1">
      <c r="A265" s="742">
        <f t="shared" si="35"/>
        <v>96</v>
      </c>
      <c r="B265" s="296" t="s">
        <v>636</v>
      </c>
      <c r="C265" s="725">
        <v>42124</v>
      </c>
      <c r="D265" s="726" t="s">
        <v>632</v>
      </c>
      <c r="E265" s="815">
        <v>49</v>
      </c>
      <c r="F265" s="816">
        <v>32.5</v>
      </c>
      <c r="G265" s="816">
        <v>21.5</v>
      </c>
      <c r="H265" s="807">
        <f t="shared" si="32"/>
        <v>0.96</v>
      </c>
      <c r="I265" s="256">
        <v>303</v>
      </c>
      <c r="J265" s="710">
        <f t="shared" si="34"/>
        <v>290.88</v>
      </c>
      <c r="K265" s="710">
        <f t="shared" si="33"/>
        <v>7491.0550837750961</v>
      </c>
      <c r="L265" s="656"/>
      <c r="N265" s="705"/>
      <c r="O265" s="705"/>
      <c r="P265" s="705"/>
    </row>
    <row r="266" spans="1:16" ht="16.5" customHeight="1">
      <c r="A266" s="742">
        <f t="shared" si="35"/>
        <v>97</v>
      </c>
      <c r="B266" s="296" t="s">
        <v>635</v>
      </c>
      <c r="C266" s="725">
        <v>42124</v>
      </c>
      <c r="D266" s="726" t="s">
        <v>632</v>
      </c>
      <c r="E266" s="815">
        <v>51.5</v>
      </c>
      <c r="F266" s="816">
        <v>22.5</v>
      </c>
      <c r="G266" s="816">
        <v>22.5</v>
      </c>
      <c r="H266" s="807">
        <f t="shared" si="32"/>
        <v>0.73</v>
      </c>
      <c r="I266" s="256">
        <v>521</v>
      </c>
      <c r="J266" s="710">
        <f t="shared" si="34"/>
        <v>380.33</v>
      </c>
      <c r="K266" s="710">
        <f t="shared" si="33"/>
        <v>5696.3231366206455</v>
      </c>
      <c r="L266" s="656"/>
      <c r="N266" s="705"/>
      <c r="O266" s="705"/>
      <c r="P266" s="705"/>
    </row>
    <row r="267" spans="1:16" ht="16.5" customHeight="1">
      <c r="A267" s="742">
        <f t="shared" si="35"/>
        <v>98</v>
      </c>
      <c r="B267" s="296" t="s">
        <v>637</v>
      </c>
      <c r="C267" s="725">
        <v>42124</v>
      </c>
      <c r="D267" s="726" t="s">
        <v>632</v>
      </c>
      <c r="E267" s="815">
        <v>46.5</v>
      </c>
      <c r="F267" s="816">
        <v>31</v>
      </c>
      <c r="G267" s="816">
        <v>29.5</v>
      </c>
      <c r="H267" s="807">
        <f t="shared" si="32"/>
        <v>1.02</v>
      </c>
      <c r="I267" s="256">
        <v>304</v>
      </c>
      <c r="J267" s="710">
        <f t="shared" si="34"/>
        <v>310.08</v>
      </c>
      <c r="K267" s="710">
        <f t="shared" si="33"/>
        <v>7959.2460265110394</v>
      </c>
      <c r="L267" s="656"/>
      <c r="N267" s="705"/>
      <c r="O267" s="705"/>
      <c r="P267" s="705"/>
    </row>
    <row r="268" spans="1:16" ht="16.5" customHeight="1">
      <c r="A268" s="742">
        <f t="shared" si="35"/>
        <v>99</v>
      </c>
      <c r="B268" s="296" t="s">
        <v>638</v>
      </c>
      <c r="C268" s="725">
        <v>42124</v>
      </c>
      <c r="D268" s="726" t="s">
        <v>632</v>
      </c>
      <c r="E268" s="815">
        <v>51.5</v>
      </c>
      <c r="F268" s="816">
        <v>29</v>
      </c>
      <c r="G268" s="816">
        <v>20.2</v>
      </c>
      <c r="H268" s="807">
        <f t="shared" si="32"/>
        <v>0.87</v>
      </c>
      <c r="I268" s="256">
        <v>307</v>
      </c>
      <c r="J268" s="710">
        <f t="shared" si="34"/>
        <v>267.08999999999997</v>
      </c>
      <c r="K268" s="710">
        <f t="shared" si="33"/>
        <v>6788.7686696711808</v>
      </c>
      <c r="L268" s="656"/>
      <c r="N268" s="705"/>
      <c r="O268" s="705"/>
      <c r="P268" s="705"/>
    </row>
    <row r="269" spans="1:16" ht="16.5" customHeight="1">
      <c r="A269" s="742">
        <f t="shared" si="35"/>
        <v>100</v>
      </c>
      <c r="B269" s="296" t="s">
        <v>1702</v>
      </c>
      <c r="C269" s="725">
        <v>42127</v>
      </c>
      <c r="D269" s="726" t="s">
        <v>639</v>
      </c>
      <c r="E269" s="815">
        <v>110</v>
      </c>
      <c r="F269" s="816">
        <v>113</v>
      </c>
      <c r="G269" s="816"/>
      <c r="H269" s="807">
        <f t="shared" si="32"/>
        <v>1.24</v>
      </c>
      <c r="I269" s="256">
        <v>2000</v>
      </c>
      <c r="J269" s="710">
        <f t="shared" si="34"/>
        <v>2480</v>
      </c>
      <c r="K269" s="710">
        <f t="shared" si="33"/>
        <v>9675.9461498761648</v>
      </c>
      <c r="L269" s="656"/>
      <c r="N269" s="705"/>
      <c r="O269" s="705"/>
      <c r="P269" s="705"/>
    </row>
    <row r="270" spans="1:16" ht="16.5" customHeight="1">
      <c r="A270" s="742">
        <f t="shared" si="35"/>
        <v>101</v>
      </c>
      <c r="B270" s="296" t="s">
        <v>1702</v>
      </c>
      <c r="C270" s="725">
        <v>42127</v>
      </c>
      <c r="D270" s="726" t="s">
        <v>639</v>
      </c>
      <c r="E270" s="815">
        <v>110</v>
      </c>
      <c r="F270" s="816">
        <v>113</v>
      </c>
      <c r="G270" s="816"/>
      <c r="H270" s="807">
        <f t="shared" si="32"/>
        <v>1.24</v>
      </c>
      <c r="I270" s="256">
        <v>300</v>
      </c>
      <c r="J270" s="710">
        <f t="shared" si="34"/>
        <v>372</v>
      </c>
      <c r="K270" s="710">
        <f t="shared" si="33"/>
        <v>9675.9461498761648</v>
      </c>
      <c r="L270" s="656"/>
      <c r="N270" s="705"/>
      <c r="O270" s="705"/>
      <c r="P270" s="705"/>
    </row>
    <row r="271" spans="1:16" ht="16.5" customHeight="1">
      <c r="A271" s="742">
        <f t="shared" si="35"/>
        <v>102</v>
      </c>
      <c r="B271" s="296" t="s">
        <v>518</v>
      </c>
      <c r="C271" s="725">
        <v>42133</v>
      </c>
      <c r="D271" s="726" t="s">
        <v>640</v>
      </c>
      <c r="E271" s="815">
        <v>45</v>
      </c>
      <c r="F271" s="816">
        <v>35</v>
      </c>
      <c r="G271" s="816">
        <v>25</v>
      </c>
      <c r="H271" s="807">
        <f t="shared" si="32"/>
        <v>1.04</v>
      </c>
      <c r="I271" s="256">
        <v>1063</v>
      </c>
      <c r="J271" s="710">
        <f t="shared" si="34"/>
        <v>1105.52</v>
      </c>
      <c r="K271" s="710">
        <f t="shared" si="33"/>
        <v>8115.3096740896872</v>
      </c>
      <c r="L271" s="656"/>
      <c r="N271" s="705"/>
      <c r="O271" s="705"/>
      <c r="P271" s="705"/>
    </row>
    <row r="272" spans="1:16" ht="16.5" customHeight="1">
      <c r="A272" s="742">
        <f t="shared" si="35"/>
        <v>103</v>
      </c>
      <c r="B272" s="296" t="s">
        <v>516</v>
      </c>
      <c r="C272" s="725">
        <v>42133</v>
      </c>
      <c r="D272" s="726" t="s">
        <v>640</v>
      </c>
      <c r="E272" s="815">
        <v>45</v>
      </c>
      <c r="F272" s="816">
        <v>35</v>
      </c>
      <c r="G272" s="816">
        <v>20</v>
      </c>
      <c r="H272" s="807">
        <f t="shared" si="32"/>
        <v>0.96</v>
      </c>
      <c r="I272" s="256">
        <v>406</v>
      </c>
      <c r="J272" s="710">
        <f t="shared" si="34"/>
        <v>389.76</v>
      </c>
      <c r="K272" s="710">
        <f t="shared" si="33"/>
        <v>7491.0550837750961</v>
      </c>
      <c r="L272" s="656"/>
      <c r="N272" s="705"/>
      <c r="O272" s="705"/>
      <c r="P272" s="705"/>
    </row>
    <row r="273" spans="1:16" ht="16.5" customHeight="1">
      <c r="A273" s="742">
        <f t="shared" si="35"/>
        <v>104</v>
      </c>
      <c r="B273" s="296" t="s">
        <v>413</v>
      </c>
      <c r="C273" s="725">
        <v>42133</v>
      </c>
      <c r="D273" s="726" t="s">
        <v>641</v>
      </c>
      <c r="E273" s="815">
        <v>49</v>
      </c>
      <c r="F273" s="816">
        <v>38</v>
      </c>
      <c r="G273" s="816">
        <v>12</v>
      </c>
      <c r="H273" s="807">
        <f t="shared" si="32"/>
        <v>0.95</v>
      </c>
      <c r="I273" s="256">
        <v>298</v>
      </c>
      <c r="J273" s="710">
        <f t="shared" si="34"/>
        <v>283.09999999999997</v>
      </c>
      <c r="K273" s="710">
        <f t="shared" si="33"/>
        <v>7413.0232599857718</v>
      </c>
      <c r="L273" s="656"/>
      <c r="N273" s="705"/>
      <c r="O273" s="705"/>
      <c r="P273" s="705"/>
    </row>
    <row r="274" spans="1:16" ht="16.5" customHeight="1">
      <c r="A274" s="742">
        <f t="shared" si="35"/>
        <v>105</v>
      </c>
      <c r="B274" s="296" t="s">
        <v>519</v>
      </c>
      <c r="C274" s="725">
        <v>42136</v>
      </c>
      <c r="D274" s="726" t="s">
        <v>642</v>
      </c>
      <c r="E274" s="815">
        <v>45</v>
      </c>
      <c r="F274" s="816">
        <v>35</v>
      </c>
      <c r="G274" s="816">
        <v>30</v>
      </c>
      <c r="H274" s="807">
        <f t="shared" si="32"/>
        <v>1.1200000000000001</v>
      </c>
      <c r="I274" s="256">
        <v>1161</v>
      </c>
      <c r="J274" s="710">
        <f t="shared" si="34"/>
        <v>1300.3200000000002</v>
      </c>
      <c r="K274" s="710">
        <f t="shared" si="33"/>
        <v>8739.56426440428</v>
      </c>
      <c r="L274" s="656"/>
      <c r="N274" s="705"/>
      <c r="O274" s="705"/>
      <c r="P274" s="705"/>
    </row>
    <row r="275" spans="1:16" ht="16.5" customHeight="1">
      <c r="A275" s="742">
        <f t="shared" si="35"/>
        <v>106</v>
      </c>
      <c r="B275" s="296" t="s">
        <v>1661</v>
      </c>
      <c r="C275" s="725">
        <v>42136</v>
      </c>
      <c r="D275" s="726" t="s">
        <v>642</v>
      </c>
      <c r="E275" s="815">
        <v>30</v>
      </c>
      <c r="F275" s="816">
        <v>20</v>
      </c>
      <c r="G275" s="816"/>
      <c r="H275" s="807">
        <f t="shared" si="32"/>
        <v>0.06</v>
      </c>
      <c r="I275" s="256">
        <v>2330</v>
      </c>
      <c r="J275" s="710">
        <f t="shared" si="34"/>
        <v>139.79999999999998</v>
      </c>
      <c r="K275" s="710">
        <f t="shared" si="33"/>
        <v>468.19094273594351</v>
      </c>
      <c r="L275" s="656"/>
      <c r="N275" s="705"/>
      <c r="O275" s="705"/>
      <c r="P275" s="705"/>
    </row>
    <row r="276" spans="1:16" ht="16.5" customHeight="1">
      <c r="A276" s="742">
        <f t="shared" si="35"/>
        <v>107</v>
      </c>
      <c r="B276" s="296" t="s">
        <v>643</v>
      </c>
      <c r="C276" s="725">
        <v>42137</v>
      </c>
      <c r="D276" s="726" t="s">
        <v>644</v>
      </c>
      <c r="E276" s="815">
        <v>45</v>
      </c>
      <c r="F276" s="816">
        <v>30</v>
      </c>
      <c r="G276" s="816">
        <v>31</v>
      </c>
      <c r="H276" s="807">
        <f t="shared" si="32"/>
        <v>0.99</v>
      </c>
      <c r="I276" s="256">
        <v>200</v>
      </c>
      <c r="J276" s="710">
        <f t="shared" si="34"/>
        <v>198</v>
      </c>
      <c r="K276" s="710">
        <f t="shared" si="33"/>
        <v>7725.1505551430673</v>
      </c>
      <c r="L276" s="656"/>
      <c r="N276" s="705"/>
      <c r="O276" s="705"/>
      <c r="P276" s="705"/>
    </row>
    <row r="277" spans="1:16" ht="16.5" customHeight="1">
      <c r="A277" s="742">
        <f t="shared" si="35"/>
        <v>108</v>
      </c>
      <c r="B277" s="296" t="s">
        <v>646</v>
      </c>
      <c r="C277" s="725">
        <v>42139</v>
      </c>
      <c r="D277" s="726" t="s">
        <v>647</v>
      </c>
      <c r="E277" s="815">
        <v>41</v>
      </c>
      <c r="F277" s="756">
        <v>36.5</v>
      </c>
      <c r="G277" s="756">
        <v>15</v>
      </c>
      <c r="H277" s="807">
        <f t="shared" si="32"/>
        <v>0.87</v>
      </c>
      <c r="I277" s="256">
        <v>157</v>
      </c>
      <c r="J277" s="710">
        <f t="shared" si="34"/>
        <v>136.59</v>
      </c>
      <c r="K277" s="710">
        <f t="shared" si="33"/>
        <v>6788.7686696711808</v>
      </c>
      <c r="L277" s="656"/>
      <c r="N277" s="705"/>
      <c r="O277" s="705"/>
      <c r="P277" s="705"/>
    </row>
    <row r="278" spans="1:16" ht="16.5" customHeight="1">
      <c r="A278" s="742">
        <f t="shared" si="35"/>
        <v>109</v>
      </c>
      <c r="B278" s="296" t="s">
        <v>1666</v>
      </c>
      <c r="C278" s="725">
        <v>42139</v>
      </c>
      <c r="D278" s="726" t="s">
        <v>647</v>
      </c>
      <c r="E278" s="815">
        <v>39</v>
      </c>
      <c r="F278" s="816">
        <v>34.5</v>
      </c>
      <c r="G278" s="816"/>
      <c r="H278" s="807">
        <f t="shared" si="32"/>
        <v>0.13</v>
      </c>
      <c r="I278" s="256">
        <v>314</v>
      </c>
      <c r="J278" s="710">
        <f t="shared" si="34"/>
        <v>40.82</v>
      </c>
      <c r="K278" s="710">
        <f t="shared" si="33"/>
        <v>1014.4137092612109</v>
      </c>
      <c r="L278" s="656"/>
      <c r="N278" s="705"/>
      <c r="O278" s="705"/>
      <c r="P278" s="705"/>
    </row>
    <row r="279" spans="1:16" ht="16.5" customHeight="1">
      <c r="A279" s="742">
        <f t="shared" si="35"/>
        <v>110</v>
      </c>
      <c r="B279" s="296" t="s">
        <v>648</v>
      </c>
      <c r="C279" s="725">
        <v>42144</v>
      </c>
      <c r="D279" s="726" t="s">
        <v>649</v>
      </c>
      <c r="E279" s="815">
        <v>54</v>
      </c>
      <c r="F279" s="816">
        <v>40</v>
      </c>
      <c r="G279" s="816">
        <v>38</v>
      </c>
      <c r="H279" s="807">
        <f t="shared" si="32"/>
        <v>1.56</v>
      </c>
      <c r="I279" s="256">
        <v>52</v>
      </c>
      <c r="J279" s="710">
        <f t="shared" si="34"/>
        <v>81.12</v>
      </c>
      <c r="K279" s="710">
        <f t="shared" si="33"/>
        <v>12172.964511134531</v>
      </c>
      <c r="L279" s="656"/>
      <c r="N279" s="705"/>
      <c r="O279" s="705"/>
      <c r="P279" s="705"/>
    </row>
    <row r="280" spans="1:16" ht="16.5" customHeight="1">
      <c r="A280" s="742">
        <f t="shared" si="35"/>
        <v>111</v>
      </c>
      <c r="B280" s="296" t="s">
        <v>650</v>
      </c>
      <c r="C280" s="725">
        <v>42144</v>
      </c>
      <c r="D280" s="726" t="s">
        <v>649</v>
      </c>
      <c r="E280" s="815">
        <v>46</v>
      </c>
      <c r="F280" s="756">
        <v>42</v>
      </c>
      <c r="G280" s="756">
        <v>30</v>
      </c>
      <c r="H280" s="807">
        <f t="shared" si="32"/>
        <v>1.36</v>
      </c>
      <c r="I280" s="256">
        <v>260</v>
      </c>
      <c r="J280" s="710">
        <f t="shared" si="34"/>
        <v>353.6</v>
      </c>
      <c r="K280" s="710">
        <f t="shared" si="33"/>
        <v>10612.328035348053</v>
      </c>
      <c r="L280" s="656"/>
      <c r="N280" s="705"/>
      <c r="O280" s="705"/>
      <c r="P280" s="705"/>
    </row>
    <row r="281" spans="1:16" ht="16.5" customHeight="1">
      <c r="A281" s="742">
        <f t="shared" si="35"/>
        <v>112</v>
      </c>
      <c r="B281" s="296" t="s">
        <v>602</v>
      </c>
      <c r="C281" s="725">
        <v>42144</v>
      </c>
      <c r="D281" s="726" t="s">
        <v>649</v>
      </c>
      <c r="E281" s="815">
        <v>46</v>
      </c>
      <c r="F281" s="756">
        <v>42</v>
      </c>
      <c r="G281" s="756">
        <v>24.5</v>
      </c>
      <c r="H281" s="807">
        <f t="shared" si="32"/>
        <v>1.26</v>
      </c>
      <c r="I281" s="256">
        <v>924</v>
      </c>
      <c r="J281" s="710">
        <f t="shared" si="34"/>
        <v>1164.24</v>
      </c>
      <c r="K281" s="710">
        <f t="shared" si="33"/>
        <v>9832.0097974548135</v>
      </c>
      <c r="L281" s="656"/>
      <c r="N281" s="705"/>
      <c r="O281" s="705"/>
      <c r="P281" s="705"/>
    </row>
    <row r="282" spans="1:16" ht="16.5" customHeight="1">
      <c r="A282" s="742">
        <f t="shared" si="35"/>
        <v>113</v>
      </c>
      <c r="B282" s="296" t="s">
        <v>1140</v>
      </c>
      <c r="C282" s="725">
        <v>42144</v>
      </c>
      <c r="D282" s="726" t="s">
        <v>651</v>
      </c>
      <c r="E282" s="815">
        <v>45</v>
      </c>
      <c r="F282" s="756">
        <v>37</v>
      </c>
      <c r="G282" s="756">
        <v>27.5</v>
      </c>
      <c r="H282" s="807">
        <f t="shared" si="32"/>
        <v>1.1399999999999999</v>
      </c>
      <c r="I282" s="256">
        <v>50</v>
      </c>
      <c r="J282" s="710">
        <f t="shared" si="34"/>
        <v>56.999999999999993</v>
      </c>
      <c r="K282" s="710">
        <f t="shared" si="33"/>
        <v>8895.6279119829251</v>
      </c>
      <c r="L282" s="656"/>
      <c r="N282" s="705"/>
      <c r="O282" s="705"/>
      <c r="P282" s="705"/>
    </row>
    <row r="283" spans="1:16" ht="16.5" customHeight="1">
      <c r="A283" s="742">
        <f t="shared" si="35"/>
        <v>114</v>
      </c>
      <c r="B283" s="296" t="s">
        <v>1140</v>
      </c>
      <c r="C283" s="725">
        <v>42144</v>
      </c>
      <c r="D283" s="726" t="s">
        <v>651</v>
      </c>
      <c r="E283" s="815">
        <v>45</v>
      </c>
      <c r="F283" s="816">
        <v>37</v>
      </c>
      <c r="G283" s="756">
        <v>27.5</v>
      </c>
      <c r="H283" s="807">
        <f t="shared" si="32"/>
        <v>1.1399999999999999</v>
      </c>
      <c r="I283" s="256">
        <v>669</v>
      </c>
      <c r="J283" s="710">
        <f t="shared" si="34"/>
        <v>762.66</v>
      </c>
      <c r="K283" s="710">
        <f t="shared" si="33"/>
        <v>8895.6279119829251</v>
      </c>
      <c r="L283" s="656"/>
      <c r="N283" s="705"/>
      <c r="O283" s="705"/>
      <c r="P283" s="705"/>
    </row>
    <row r="284" spans="1:16" ht="16.5" customHeight="1">
      <c r="A284" s="742">
        <f t="shared" si="35"/>
        <v>115</v>
      </c>
      <c r="B284" s="296" t="s">
        <v>1654</v>
      </c>
      <c r="C284" s="725">
        <v>42144</v>
      </c>
      <c r="D284" s="726" t="s">
        <v>651</v>
      </c>
      <c r="E284" s="815">
        <v>50</v>
      </c>
      <c r="F284" s="816">
        <v>20</v>
      </c>
      <c r="G284" s="816"/>
      <c r="H284" s="807">
        <f t="shared" si="32"/>
        <v>0.1</v>
      </c>
      <c r="I284" s="256">
        <v>1438</v>
      </c>
      <c r="J284" s="710">
        <f t="shared" si="34"/>
        <v>143.80000000000001</v>
      </c>
      <c r="K284" s="710">
        <f t="shared" si="33"/>
        <v>780.31823789323926</v>
      </c>
      <c r="L284" s="656"/>
      <c r="N284" s="705"/>
      <c r="O284" s="705"/>
      <c r="P284" s="705"/>
    </row>
    <row r="285" spans="1:16" ht="16.5" customHeight="1">
      <c r="A285" s="742">
        <f t="shared" si="35"/>
        <v>116</v>
      </c>
      <c r="B285" s="296" t="s">
        <v>494</v>
      </c>
      <c r="C285" s="725">
        <v>42144</v>
      </c>
      <c r="D285" s="726" t="s">
        <v>652</v>
      </c>
      <c r="E285" s="815">
        <v>37.5</v>
      </c>
      <c r="F285" s="816">
        <v>25.3</v>
      </c>
      <c r="G285" s="816">
        <v>23.9</v>
      </c>
      <c r="H285" s="807">
        <f t="shared" si="32"/>
        <v>0.68</v>
      </c>
      <c r="I285" s="256">
        <v>432</v>
      </c>
      <c r="J285" s="710">
        <f t="shared" si="34"/>
        <v>293.76000000000005</v>
      </c>
      <c r="K285" s="710">
        <f t="shared" si="33"/>
        <v>5306.1640176740266</v>
      </c>
      <c r="L285" s="656"/>
      <c r="N285" s="705"/>
      <c r="O285" s="705"/>
      <c r="P285" s="705"/>
    </row>
    <row r="286" spans="1:16" ht="16.5" customHeight="1">
      <c r="A286" s="742">
        <f t="shared" si="35"/>
        <v>117</v>
      </c>
      <c r="B286" s="296" t="s">
        <v>653</v>
      </c>
      <c r="C286" s="725">
        <v>42144</v>
      </c>
      <c r="D286" s="726" t="s">
        <v>656</v>
      </c>
      <c r="E286" s="815">
        <v>38.1</v>
      </c>
      <c r="F286" s="816">
        <v>35.5</v>
      </c>
      <c r="G286" s="816">
        <v>17.7</v>
      </c>
      <c r="H286" s="807">
        <f t="shared" si="32"/>
        <v>0.86</v>
      </c>
      <c r="I286" s="256">
        <v>3024</v>
      </c>
      <c r="J286" s="710">
        <f t="shared" si="34"/>
        <v>2600.64</v>
      </c>
      <c r="K286" s="710">
        <f t="shared" si="33"/>
        <v>6710.7368458818564</v>
      </c>
      <c r="L286" s="656"/>
      <c r="N286" s="705"/>
      <c r="O286" s="705"/>
      <c r="P286" s="705"/>
    </row>
    <row r="287" spans="1:16" ht="16.5" customHeight="1">
      <c r="A287" s="742">
        <f t="shared" si="35"/>
        <v>118</v>
      </c>
      <c r="B287" s="296" t="s">
        <v>654</v>
      </c>
      <c r="C287" s="725">
        <v>42144</v>
      </c>
      <c r="D287" s="726" t="s">
        <v>656</v>
      </c>
      <c r="E287" s="815">
        <v>66</v>
      </c>
      <c r="F287" s="816">
        <v>38.1</v>
      </c>
      <c r="G287" s="816">
        <v>33</v>
      </c>
      <c r="H287" s="807">
        <f t="shared" si="32"/>
        <v>1.58</v>
      </c>
      <c r="I287" s="256">
        <v>161</v>
      </c>
      <c r="J287" s="710">
        <f t="shared" si="34"/>
        <v>254.38000000000002</v>
      </c>
      <c r="K287" s="710">
        <f t="shared" si="33"/>
        <v>12329.028158713179</v>
      </c>
      <c r="L287" s="656"/>
      <c r="N287" s="705"/>
      <c r="O287" s="705"/>
      <c r="P287" s="705"/>
    </row>
    <row r="288" spans="1:16" ht="16.5" customHeight="1">
      <c r="A288" s="742">
        <f t="shared" si="35"/>
        <v>119</v>
      </c>
      <c r="B288" s="296" t="s">
        <v>655</v>
      </c>
      <c r="C288" s="725">
        <v>42144</v>
      </c>
      <c r="D288" s="726" t="s">
        <v>656</v>
      </c>
      <c r="E288" s="815">
        <v>66</v>
      </c>
      <c r="F288" s="816">
        <v>38.1</v>
      </c>
      <c r="G288" s="816">
        <v>25.4</v>
      </c>
      <c r="H288" s="807">
        <f t="shared" si="32"/>
        <v>1.42</v>
      </c>
      <c r="I288" s="256">
        <v>21</v>
      </c>
      <c r="J288" s="710">
        <f t="shared" si="34"/>
        <v>29.82</v>
      </c>
      <c r="K288" s="710">
        <f t="shared" si="33"/>
        <v>11080.518978083996</v>
      </c>
      <c r="L288" s="656"/>
      <c r="N288" s="705"/>
      <c r="O288" s="705"/>
      <c r="P288" s="705"/>
    </row>
    <row r="289" spans="1:16" ht="16.5" customHeight="1">
      <c r="A289" s="742">
        <f t="shared" si="35"/>
        <v>120</v>
      </c>
      <c r="B289" s="296" t="s">
        <v>1663</v>
      </c>
      <c r="C289" s="725">
        <v>42144</v>
      </c>
      <c r="D289" s="726" t="s">
        <v>656</v>
      </c>
      <c r="E289" s="815">
        <v>20</v>
      </c>
      <c r="F289" s="816">
        <v>20</v>
      </c>
      <c r="G289" s="816"/>
      <c r="H289" s="807">
        <f t="shared" si="32"/>
        <v>0.04</v>
      </c>
      <c r="I289" s="256">
        <v>6048</v>
      </c>
      <c r="J289" s="710">
        <f t="shared" si="34"/>
        <v>241.92000000000002</v>
      </c>
      <c r="K289" s="710">
        <f t="shared" si="33"/>
        <v>312.12729515729569</v>
      </c>
      <c r="L289" s="656"/>
      <c r="N289" s="705"/>
      <c r="O289" s="705"/>
      <c r="P289" s="705"/>
    </row>
    <row r="290" spans="1:16" ht="16.5" customHeight="1">
      <c r="A290" s="742">
        <f t="shared" si="35"/>
        <v>121</v>
      </c>
      <c r="B290" s="296" t="s">
        <v>1664</v>
      </c>
      <c r="C290" s="725">
        <v>42144</v>
      </c>
      <c r="D290" s="726" t="s">
        <v>656</v>
      </c>
      <c r="E290" s="815">
        <v>40</v>
      </c>
      <c r="F290" s="816">
        <v>20</v>
      </c>
      <c r="G290" s="816"/>
      <c r="H290" s="807">
        <f t="shared" si="32"/>
        <v>0.08</v>
      </c>
      <c r="I290" s="256">
        <v>364</v>
      </c>
      <c r="J290" s="710">
        <f t="shared" si="34"/>
        <v>29.12</v>
      </c>
      <c r="K290" s="710">
        <f t="shared" si="33"/>
        <v>624.25459031459138</v>
      </c>
      <c r="L290" s="656"/>
      <c r="N290" s="705"/>
      <c r="O290" s="705"/>
      <c r="P290" s="705"/>
    </row>
    <row r="291" spans="1:16" ht="16.5" customHeight="1">
      <c r="A291" s="742">
        <f t="shared" si="35"/>
        <v>122</v>
      </c>
      <c r="B291" s="296" t="s">
        <v>1722</v>
      </c>
      <c r="C291" s="725">
        <v>42144</v>
      </c>
      <c r="D291" s="726" t="s">
        <v>657</v>
      </c>
      <c r="E291" s="815">
        <v>90</v>
      </c>
      <c r="F291" s="816">
        <v>192</v>
      </c>
      <c r="G291" s="816"/>
      <c r="H291" s="807">
        <f t="shared" si="32"/>
        <v>1.73</v>
      </c>
      <c r="I291" s="256">
        <v>250</v>
      </c>
      <c r="J291" s="710">
        <f t="shared" si="34"/>
        <v>432.5</v>
      </c>
      <c r="K291" s="710">
        <f t="shared" si="33"/>
        <v>13499.505515553037</v>
      </c>
      <c r="L291" s="656"/>
      <c r="N291" s="705"/>
      <c r="O291" s="705"/>
      <c r="P291" s="705"/>
    </row>
    <row r="292" spans="1:16" ht="16.5" customHeight="1">
      <c r="A292" s="742">
        <f t="shared" si="35"/>
        <v>123</v>
      </c>
      <c r="B292" s="296" t="s">
        <v>1723</v>
      </c>
      <c r="C292" s="725">
        <v>42144</v>
      </c>
      <c r="D292" s="726" t="s">
        <v>657</v>
      </c>
      <c r="E292" s="815">
        <v>80</v>
      </c>
      <c r="F292" s="816">
        <v>175</v>
      </c>
      <c r="G292" s="816"/>
      <c r="H292" s="807">
        <f t="shared" si="32"/>
        <v>1.4</v>
      </c>
      <c r="I292" s="256">
        <v>75</v>
      </c>
      <c r="J292" s="710">
        <f t="shared" si="34"/>
        <v>105</v>
      </c>
      <c r="K292" s="710">
        <f t="shared" si="33"/>
        <v>10924.455330505347</v>
      </c>
      <c r="L292" s="656"/>
      <c r="N292" s="705"/>
      <c r="O292" s="705"/>
      <c r="P292" s="705"/>
    </row>
    <row r="293" spans="1:16" ht="16.5" customHeight="1">
      <c r="A293" s="742">
        <f t="shared" si="35"/>
        <v>124</v>
      </c>
      <c r="B293" s="296" t="s">
        <v>1724</v>
      </c>
      <c r="C293" s="725">
        <v>42144</v>
      </c>
      <c r="D293" s="726" t="s">
        <v>657</v>
      </c>
      <c r="E293" s="815">
        <v>100</v>
      </c>
      <c r="F293" s="816">
        <v>210</v>
      </c>
      <c r="G293" s="816"/>
      <c r="H293" s="807">
        <f t="shared" si="32"/>
        <v>2.1</v>
      </c>
      <c r="I293" s="256">
        <v>166</v>
      </c>
      <c r="J293" s="710">
        <f t="shared" si="34"/>
        <v>348.6</v>
      </c>
      <c r="K293" s="710">
        <f t="shared" si="33"/>
        <v>16386.682995758023</v>
      </c>
      <c r="L293" s="656"/>
      <c r="N293" s="705"/>
      <c r="O293" s="705"/>
      <c r="P293" s="705"/>
    </row>
    <row r="294" spans="1:16" ht="16.5" customHeight="1">
      <c r="A294" s="742">
        <f t="shared" si="35"/>
        <v>125</v>
      </c>
      <c r="B294" s="296" t="s">
        <v>1725</v>
      </c>
      <c r="C294" s="725">
        <v>42144</v>
      </c>
      <c r="D294" s="726" t="s">
        <v>657</v>
      </c>
      <c r="E294" s="815">
        <v>110</v>
      </c>
      <c r="F294" s="816">
        <v>147</v>
      </c>
      <c r="G294" s="816"/>
      <c r="H294" s="807">
        <f t="shared" si="32"/>
        <v>1.62</v>
      </c>
      <c r="I294" s="256">
        <v>140</v>
      </c>
      <c r="J294" s="710">
        <f t="shared" si="34"/>
        <v>226.8</v>
      </c>
      <c r="K294" s="710">
        <f t="shared" si="33"/>
        <v>12641.155453870475</v>
      </c>
      <c r="L294" s="656"/>
      <c r="N294" s="705"/>
      <c r="O294" s="705"/>
      <c r="P294" s="705"/>
    </row>
    <row r="295" spans="1:16" ht="16.5" customHeight="1">
      <c r="A295" s="742">
        <f t="shared" si="35"/>
        <v>126</v>
      </c>
      <c r="B295" s="296" t="s">
        <v>1726</v>
      </c>
      <c r="C295" s="725">
        <v>42144</v>
      </c>
      <c r="D295" s="726" t="s">
        <v>657</v>
      </c>
      <c r="E295" s="815">
        <v>100</v>
      </c>
      <c r="F295" s="816">
        <v>199</v>
      </c>
      <c r="G295" s="816"/>
      <c r="H295" s="807">
        <f t="shared" si="32"/>
        <v>1.99</v>
      </c>
      <c r="I295" s="256">
        <v>250</v>
      </c>
      <c r="J295" s="710">
        <f t="shared" si="34"/>
        <v>497.5</v>
      </c>
      <c r="K295" s="710">
        <f t="shared" si="33"/>
        <v>15528.332934075459</v>
      </c>
      <c r="L295" s="656"/>
      <c r="N295" s="705"/>
      <c r="O295" s="705"/>
      <c r="P295" s="705"/>
    </row>
    <row r="296" spans="1:16" ht="16.5" customHeight="1">
      <c r="A296" s="742">
        <f t="shared" si="35"/>
        <v>127</v>
      </c>
      <c r="B296" s="296" t="s">
        <v>1727</v>
      </c>
      <c r="C296" s="725">
        <v>42144</v>
      </c>
      <c r="D296" s="726" t="s">
        <v>657</v>
      </c>
      <c r="E296" s="815">
        <v>120</v>
      </c>
      <c r="F296" s="816">
        <v>156</v>
      </c>
      <c r="G296" s="816"/>
      <c r="H296" s="807">
        <f t="shared" si="32"/>
        <v>1.87</v>
      </c>
      <c r="I296" s="256">
        <v>25</v>
      </c>
      <c r="J296" s="710">
        <f t="shared" si="34"/>
        <v>46.75</v>
      </c>
      <c r="K296" s="710">
        <f t="shared" si="33"/>
        <v>14591.951048603572</v>
      </c>
      <c r="L296" s="656"/>
      <c r="N296" s="705"/>
      <c r="O296" s="705"/>
      <c r="P296" s="705"/>
    </row>
    <row r="297" spans="1:16" ht="16.5" customHeight="1">
      <c r="A297" s="742">
        <f t="shared" si="35"/>
        <v>128</v>
      </c>
      <c r="B297" s="296" t="s">
        <v>1728</v>
      </c>
      <c r="C297" s="725">
        <v>42144</v>
      </c>
      <c r="D297" s="726" t="s">
        <v>657</v>
      </c>
      <c r="E297" s="815">
        <v>110</v>
      </c>
      <c r="F297" s="816">
        <v>156</v>
      </c>
      <c r="G297" s="816"/>
      <c r="H297" s="807">
        <f t="shared" si="32"/>
        <v>1.72</v>
      </c>
      <c r="I297" s="256">
        <v>25</v>
      </c>
      <c r="J297" s="710">
        <f t="shared" si="34"/>
        <v>43</v>
      </c>
      <c r="K297" s="710">
        <f t="shared" si="33"/>
        <v>13421.473691763713</v>
      </c>
      <c r="L297" s="656"/>
      <c r="N297" s="705"/>
      <c r="O297" s="705"/>
      <c r="P297" s="705"/>
    </row>
    <row r="298" spans="1:16" ht="16.5" customHeight="1">
      <c r="A298" s="742">
        <f t="shared" si="35"/>
        <v>129</v>
      </c>
      <c r="B298" s="296" t="s">
        <v>1729</v>
      </c>
      <c r="C298" s="725">
        <v>42144</v>
      </c>
      <c r="D298" s="726" t="s">
        <v>657</v>
      </c>
      <c r="E298" s="815">
        <v>90</v>
      </c>
      <c r="F298" s="816">
        <v>210</v>
      </c>
      <c r="G298" s="816"/>
      <c r="H298" s="807">
        <f t="shared" ref="H298:H361" si="36">IF(G298&lt;&gt;"",ROUND(((E298+F298)*2+5)*(F298+G298+3)/10000,2),ROUND(E298*F298/10000,2))</f>
        <v>1.89</v>
      </c>
      <c r="I298" s="256">
        <v>40</v>
      </c>
      <c r="J298" s="710">
        <f t="shared" si="34"/>
        <v>75.599999999999994</v>
      </c>
      <c r="K298" s="710">
        <f t="shared" ref="K298:K361" si="37">H298*$Q$211</f>
        <v>14748.014696182219</v>
      </c>
      <c r="L298" s="656"/>
      <c r="N298" s="705"/>
      <c r="O298" s="705"/>
      <c r="P298" s="705"/>
    </row>
    <row r="299" spans="1:16" ht="16.5" customHeight="1">
      <c r="A299" s="742">
        <f t="shared" si="35"/>
        <v>130</v>
      </c>
      <c r="B299" s="296" t="s">
        <v>1730</v>
      </c>
      <c r="C299" s="725">
        <v>42144</v>
      </c>
      <c r="D299" s="726" t="s">
        <v>657</v>
      </c>
      <c r="E299" s="815">
        <v>90</v>
      </c>
      <c r="F299" s="816">
        <v>185</v>
      </c>
      <c r="G299" s="816"/>
      <c r="H299" s="807">
        <f t="shared" si="36"/>
        <v>1.67</v>
      </c>
      <c r="I299" s="256">
        <v>40</v>
      </c>
      <c r="J299" s="710">
        <f t="shared" ref="J299:J362" si="38">H299*I299</f>
        <v>66.8</v>
      </c>
      <c r="K299" s="710">
        <f t="shared" si="37"/>
        <v>13031.314572817093</v>
      </c>
      <c r="L299" s="656"/>
      <c r="N299" s="705"/>
      <c r="O299" s="705"/>
      <c r="P299" s="705"/>
    </row>
    <row r="300" spans="1:16" ht="16.5" customHeight="1">
      <c r="A300" s="742">
        <f t="shared" ref="A300:A363" si="39">IF(B300&lt;&gt;"",ROW()-169,"")</f>
        <v>131</v>
      </c>
      <c r="B300" s="296" t="s">
        <v>1725</v>
      </c>
      <c r="C300" s="725">
        <v>42144</v>
      </c>
      <c r="D300" s="726" t="s">
        <v>657</v>
      </c>
      <c r="E300" s="815">
        <v>110</v>
      </c>
      <c r="F300" s="816">
        <v>147</v>
      </c>
      <c r="G300" s="816"/>
      <c r="H300" s="807">
        <f t="shared" si="36"/>
        <v>1.62</v>
      </c>
      <c r="I300" s="256">
        <v>140</v>
      </c>
      <c r="J300" s="710">
        <f t="shared" si="38"/>
        <v>226.8</v>
      </c>
      <c r="K300" s="710">
        <f t="shared" si="37"/>
        <v>12641.155453870475</v>
      </c>
      <c r="L300" s="656"/>
      <c r="N300" s="705"/>
      <c r="O300" s="705"/>
      <c r="P300" s="705"/>
    </row>
    <row r="301" spans="1:16" ht="16.5" customHeight="1">
      <c r="A301" s="742">
        <f t="shared" si="39"/>
        <v>132</v>
      </c>
      <c r="B301" s="296" t="s">
        <v>585</v>
      </c>
      <c r="C301" s="725">
        <v>42144</v>
      </c>
      <c r="D301" s="726" t="s">
        <v>664</v>
      </c>
      <c r="E301" s="815">
        <v>62</v>
      </c>
      <c r="F301" s="816">
        <v>42</v>
      </c>
      <c r="G301" s="816">
        <v>20</v>
      </c>
      <c r="H301" s="807">
        <f t="shared" si="36"/>
        <v>1.38</v>
      </c>
      <c r="I301" s="256">
        <v>102</v>
      </c>
      <c r="J301" s="710">
        <f t="shared" si="38"/>
        <v>140.76</v>
      </c>
      <c r="K301" s="710">
        <f t="shared" si="37"/>
        <v>10768.3916829267</v>
      </c>
      <c r="L301" s="656"/>
      <c r="N301" s="705"/>
      <c r="O301" s="705"/>
      <c r="P301" s="705"/>
    </row>
    <row r="302" spans="1:16" ht="16.5" customHeight="1">
      <c r="A302" s="742">
        <f t="shared" si="39"/>
        <v>133</v>
      </c>
      <c r="B302" s="296" t="s">
        <v>600</v>
      </c>
      <c r="C302" s="725">
        <v>42144</v>
      </c>
      <c r="D302" s="726" t="s">
        <v>664</v>
      </c>
      <c r="E302" s="815">
        <v>47</v>
      </c>
      <c r="F302" s="816">
        <v>42</v>
      </c>
      <c r="G302" s="816">
        <v>24.5</v>
      </c>
      <c r="H302" s="807">
        <f t="shared" si="36"/>
        <v>1.27</v>
      </c>
      <c r="I302" s="256">
        <v>106</v>
      </c>
      <c r="J302" s="710">
        <f t="shared" si="38"/>
        <v>134.62</v>
      </c>
      <c r="K302" s="710">
        <f t="shared" si="37"/>
        <v>9910.0416212441378</v>
      </c>
      <c r="L302" s="656"/>
      <c r="N302" s="705"/>
      <c r="O302" s="705"/>
      <c r="P302" s="705"/>
    </row>
    <row r="303" spans="1:16" ht="16.5" customHeight="1">
      <c r="A303" s="742">
        <f t="shared" si="39"/>
        <v>134</v>
      </c>
      <c r="B303" s="296" t="s">
        <v>658</v>
      </c>
      <c r="C303" s="725">
        <v>42144</v>
      </c>
      <c r="D303" s="726" t="s">
        <v>664</v>
      </c>
      <c r="E303" s="815">
        <v>37</v>
      </c>
      <c r="F303" s="815">
        <v>37</v>
      </c>
      <c r="G303" s="816">
        <v>24.5</v>
      </c>
      <c r="H303" s="807">
        <f t="shared" si="36"/>
        <v>0.99</v>
      </c>
      <c r="I303" s="256">
        <v>90</v>
      </c>
      <c r="J303" s="710">
        <f t="shared" si="38"/>
        <v>89.1</v>
      </c>
      <c r="K303" s="710">
        <f t="shared" si="37"/>
        <v>7725.1505551430673</v>
      </c>
      <c r="L303" s="656"/>
      <c r="N303" s="705"/>
      <c r="O303" s="705"/>
      <c r="P303" s="705"/>
    </row>
    <row r="304" spans="1:16" ht="16.5" customHeight="1">
      <c r="A304" s="742">
        <f t="shared" si="39"/>
        <v>135</v>
      </c>
      <c r="B304" s="296" t="s">
        <v>659</v>
      </c>
      <c r="C304" s="725">
        <v>42144</v>
      </c>
      <c r="D304" s="726" t="s">
        <v>664</v>
      </c>
      <c r="E304" s="815">
        <v>45</v>
      </c>
      <c r="F304" s="816">
        <v>39</v>
      </c>
      <c r="G304" s="816">
        <v>24.5</v>
      </c>
      <c r="H304" s="807">
        <f t="shared" si="36"/>
        <v>1.1499999999999999</v>
      </c>
      <c r="I304" s="256">
        <v>660</v>
      </c>
      <c r="J304" s="710">
        <f t="shared" si="38"/>
        <v>758.99999999999989</v>
      </c>
      <c r="K304" s="710">
        <f t="shared" si="37"/>
        <v>8973.6597357722494</v>
      </c>
      <c r="L304" s="656"/>
      <c r="N304" s="705"/>
      <c r="O304" s="705"/>
      <c r="P304" s="705"/>
    </row>
    <row r="305" spans="1:16" ht="16.5" customHeight="1">
      <c r="A305" s="742">
        <f t="shared" si="39"/>
        <v>136</v>
      </c>
      <c r="B305" s="296" t="s">
        <v>660</v>
      </c>
      <c r="C305" s="725">
        <v>42144</v>
      </c>
      <c r="D305" s="726" t="s">
        <v>664</v>
      </c>
      <c r="E305" s="815">
        <v>73</v>
      </c>
      <c r="F305" s="816">
        <v>27</v>
      </c>
      <c r="G305" s="816">
        <v>30</v>
      </c>
      <c r="H305" s="807">
        <f t="shared" si="36"/>
        <v>1.23</v>
      </c>
      <c r="I305" s="256">
        <v>55</v>
      </c>
      <c r="J305" s="710">
        <f t="shared" si="38"/>
        <v>67.650000000000006</v>
      </c>
      <c r="K305" s="710">
        <f t="shared" si="37"/>
        <v>9597.9143260868423</v>
      </c>
      <c r="L305" s="656"/>
      <c r="N305" s="705"/>
      <c r="O305" s="705"/>
      <c r="P305" s="705"/>
    </row>
    <row r="306" spans="1:16" ht="16.5" customHeight="1">
      <c r="A306" s="742">
        <f t="shared" si="39"/>
        <v>137</v>
      </c>
      <c r="B306" s="296" t="s">
        <v>661</v>
      </c>
      <c r="C306" s="725">
        <v>42144</v>
      </c>
      <c r="D306" s="726" t="s">
        <v>664</v>
      </c>
      <c r="E306" s="815">
        <v>57</v>
      </c>
      <c r="F306" s="816">
        <v>37</v>
      </c>
      <c r="G306" s="816">
        <v>16</v>
      </c>
      <c r="H306" s="807">
        <f t="shared" si="36"/>
        <v>1.08</v>
      </c>
      <c r="I306" s="256">
        <v>21</v>
      </c>
      <c r="J306" s="710">
        <f t="shared" si="38"/>
        <v>22.68</v>
      </c>
      <c r="K306" s="710">
        <f t="shared" si="37"/>
        <v>8427.4369692469827</v>
      </c>
      <c r="L306" s="656"/>
      <c r="N306" s="705"/>
      <c r="O306" s="705"/>
      <c r="P306" s="705"/>
    </row>
    <row r="307" spans="1:16" ht="16.5" customHeight="1">
      <c r="A307" s="742">
        <f t="shared" si="39"/>
        <v>138</v>
      </c>
      <c r="B307" s="296" t="s">
        <v>432</v>
      </c>
      <c r="C307" s="725">
        <v>42144</v>
      </c>
      <c r="D307" s="726" t="s">
        <v>664</v>
      </c>
      <c r="E307" s="815">
        <v>47</v>
      </c>
      <c r="F307" s="816">
        <v>42</v>
      </c>
      <c r="G307" s="816">
        <v>27</v>
      </c>
      <c r="H307" s="807">
        <f t="shared" si="36"/>
        <v>1.32</v>
      </c>
      <c r="I307" s="256">
        <v>63</v>
      </c>
      <c r="J307" s="710">
        <f t="shared" si="38"/>
        <v>83.160000000000011</v>
      </c>
      <c r="K307" s="710">
        <f t="shared" si="37"/>
        <v>10300.200740190758</v>
      </c>
      <c r="L307" s="656"/>
      <c r="N307" s="705"/>
      <c r="O307" s="705"/>
      <c r="P307" s="705"/>
    </row>
    <row r="308" spans="1:16" ht="16.5" customHeight="1">
      <c r="A308" s="742">
        <f t="shared" si="39"/>
        <v>139</v>
      </c>
      <c r="B308" s="296" t="s">
        <v>662</v>
      </c>
      <c r="C308" s="725">
        <v>42144</v>
      </c>
      <c r="D308" s="726" t="s">
        <v>664</v>
      </c>
      <c r="E308" s="815">
        <v>41</v>
      </c>
      <c r="F308" s="816">
        <v>37</v>
      </c>
      <c r="G308" s="816">
        <v>37</v>
      </c>
      <c r="H308" s="807">
        <f t="shared" si="36"/>
        <v>1.24</v>
      </c>
      <c r="I308" s="256">
        <v>11</v>
      </c>
      <c r="J308" s="710">
        <f t="shared" si="38"/>
        <v>13.64</v>
      </c>
      <c r="K308" s="710">
        <f t="shared" si="37"/>
        <v>9675.9461498761648</v>
      </c>
      <c r="L308" s="656"/>
      <c r="N308" s="705"/>
      <c r="O308" s="705"/>
      <c r="P308" s="705"/>
    </row>
    <row r="309" spans="1:16" ht="16.5" customHeight="1">
      <c r="A309" s="742">
        <f t="shared" si="39"/>
        <v>140</v>
      </c>
      <c r="B309" s="296" t="s">
        <v>663</v>
      </c>
      <c r="C309" s="725">
        <v>42144</v>
      </c>
      <c r="D309" s="726" t="s">
        <v>664</v>
      </c>
      <c r="E309" s="815">
        <v>42</v>
      </c>
      <c r="F309" s="816">
        <v>37</v>
      </c>
      <c r="G309" s="816">
        <v>40</v>
      </c>
      <c r="H309" s="807">
        <f t="shared" si="36"/>
        <v>1.3</v>
      </c>
      <c r="I309" s="256">
        <v>11</v>
      </c>
      <c r="J309" s="710">
        <f t="shared" si="38"/>
        <v>14.3</v>
      </c>
      <c r="K309" s="710">
        <f t="shared" si="37"/>
        <v>10144.137092612109</v>
      </c>
      <c r="L309" s="656"/>
      <c r="N309" s="705"/>
      <c r="O309" s="705"/>
      <c r="P309" s="705"/>
    </row>
    <row r="310" spans="1:16" ht="16.5" customHeight="1">
      <c r="A310" s="742">
        <f t="shared" si="39"/>
        <v>141</v>
      </c>
      <c r="B310" s="296" t="s">
        <v>602</v>
      </c>
      <c r="C310" s="725">
        <v>42144</v>
      </c>
      <c r="D310" s="726" t="s">
        <v>664</v>
      </c>
      <c r="E310" s="815">
        <v>46</v>
      </c>
      <c r="F310" s="816">
        <v>42</v>
      </c>
      <c r="G310" s="816">
        <v>24.5</v>
      </c>
      <c r="H310" s="807">
        <f t="shared" si="36"/>
        <v>1.26</v>
      </c>
      <c r="I310" s="256">
        <v>202</v>
      </c>
      <c r="J310" s="710">
        <f t="shared" si="38"/>
        <v>254.52</v>
      </c>
      <c r="K310" s="710">
        <f t="shared" si="37"/>
        <v>9832.0097974548135</v>
      </c>
      <c r="L310" s="656"/>
      <c r="N310" s="705"/>
      <c r="O310" s="705"/>
      <c r="P310" s="705"/>
    </row>
    <row r="311" spans="1:16" ht="16.5" customHeight="1">
      <c r="A311" s="742">
        <f t="shared" si="39"/>
        <v>142</v>
      </c>
      <c r="B311" s="296" t="s">
        <v>665</v>
      </c>
      <c r="C311" s="725">
        <v>42146</v>
      </c>
      <c r="D311" s="726" t="s">
        <v>666</v>
      </c>
      <c r="E311" s="815">
        <v>100</v>
      </c>
      <c r="F311" s="816">
        <v>133</v>
      </c>
      <c r="G311" s="816"/>
      <c r="H311" s="807">
        <f t="shared" si="36"/>
        <v>1.33</v>
      </c>
      <c r="I311" s="256">
        <v>1235</v>
      </c>
      <c r="J311" s="710">
        <f t="shared" si="38"/>
        <v>1642.5500000000002</v>
      </c>
      <c r="K311" s="710">
        <f t="shared" si="37"/>
        <v>10378.232563980082</v>
      </c>
      <c r="L311" s="656"/>
      <c r="N311" s="705"/>
      <c r="O311" s="705"/>
      <c r="P311" s="705"/>
    </row>
    <row r="312" spans="1:16" ht="16.5" customHeight="1">
      <c r="A312" s="742">
        <f t="shared" si="39"/>
        <v>143</v>
      </c>
      <c r="B312" s="296" t="s">
        <v>667</v>
      </c>
      <c r="C312" s="725">
        <v>42146</v>
      </c>
      <c r="D312" s="726" t="s">
        <v>666</v>
      </c>
      <c r="E312" s="815">
        <v>80</v>
      </c>
      <c r="F312" s="816">
        <v>186</v>
      </c>
      <c r="G312" s="816"/>
      <c r="H312" s="807">
        <f t="shared" si="36"/>
        <v>1.49</v>
      </c>
      <c r="I312" s="256">
        <v>200</v>
      </c>
      <c r="J312" s="710">
        <f t="shared" si="38"/>
        <v>298</v>
      </c>
      <c r="K312" s="710">
        <f t="shared" si="37"/>
        <v>11626.741744609264</v>
      </c>
      <c r="L312" s="656"/>
      <c r="N312" s="705"/>
      <c r="O312" s="705"/>
      <c r="P312" s="705"/>
    </row>
    <row r="313" spans="1:16" ht="16.5" customHeight="1">
      <c r="A313" s="742">
        <f t="shared" si="39"/>
        <v>144</v>
      </c>
      <c r="B313" s="296" t="s">
        <v>668</v>
      </c>
      <c r="C313" s="725">
        <v>42146</v>
      </c>
      <c r="D313" s="726" t="s">
        <v>666</v>
      </c>
      <c r="E313" s="815">
        <v>115</v>
      </c>
      <c r="F313" s="816">
        <v>194</v>
      </c>
      <c r="G313" s="816"/>
      <c r="H313" s="807">
        <f t="shared" si="36"/>
        <v>2.23</v>
      </c>
      <c r="I313" s="256">
        <v>65</v>
      </c>
      <c r="J313" s="710">
        <f t="shared" si="38"/>
        <v>144.94999999999999</v>
      </c>
      <c r="K313" s="710">
        <f t="shared" si="37"/>
        <v>17401.096705019234</v>
      </c>
      <c r="L313" s="656"/>
      <c r="N313" s="705"/>
      <c r="O313" s="705"/>
      <c r="P313" s="705"/>
    </row>
    <row r="314" spans="1:16" ht="16.5" customHeight="1">
      <c r="A314" s="742">
        <f t="shared" si="39"/>
        <v>145</v>
      </c>
      <c r="B314" s="296" t="s">
        <v>669</v>
      </c>
      <c r="C314" s="725">
        <v>42146</v>
      </c>
      <c r="D314" s="726" t="s">
        <v>666</v>
      </c>
      <c r="E314" s="815">
        <v>90</v>
      </c>
      <c r="F314" s="816">
        <v>84</v>
      </c>
      <c r="G314" s="816"/>
      <c r="H314" s="807">
        <f t="shared" si="36"/>
        <v>0.76</v>
      </c>
      <c r="I314" s="256">
        <v>35</v>
      </c>
      <c r="J314" s="710">
        <f t="shared" si="38"/>
        <v>26.6</v>
      </c>
      <c r="K314" s="710">
        <f t="shared" si="37"/>
        <v>5930.4186079886176</v>
      </c>
      <c r="L314" s="656"/>
      <c r="N314" s="705"/>
      <c r="O314" s="705"/>
      <c r="P314" s="705"/>
    </row>
    <row r="315" spans="1:16" ht="16.5" customHeight="1">
      <c r="A315" s="742">
        <f t="shared" si="39"/>
        <v>146</v>
      </c>
      <c r="B315" s="296" t="s">
        <v>670</v>
      </c>
      <c r="C315" s="725">
        <v>42146</v>
      </c>
      <c r="D315" s="726" t="s">
        <v>666</v>
      </c>
      <c r="E315" s="815">
        <v>90</v>
      </c>
      <c r="F315" s="816">
        <v>63</v>
      </c>
      <c r="G315" s="816"/>
      <c r="H315" s="807">
        <f t="shared" si="36"/>
        <v>0.56999999999999995</v>
      </c>
      <c r="I315" s="256">
        <v>73</v>
      </c>
      <c r="J315" s="710">
        <f t="shared" si="38"/>
        <v>41.61</v>
      </c>
      <c r="K315" s="710">
        <f t="shared" si="37"/>
        <v>4447.8139559914625</v>
      </c>
      <c r="L315" s="656"/>
      <c r="N315" s="705"/>
      <c r="O315" s="705"/>
      <c r="P315" s="705"/>
    </row>
    <row r="316" spans="1:16" ht="16.5" customHeight="1">
      <c r="A316" s="742">
        <f t="shared" si="39"/>
        <v>147</v>
      </c>
      <c r="B316" s="296" t="s">
        <v>671</v>
      </c>
      <c r="C316" s="725">
        <v>42146</v>
      </c>
      <c r="D316" s="726" t="s">
        <v>666</v>
      </c>
      <c r="E316" s="815">
        <v>90</v>
      </c>
      <c r="F316" s="816">
        <v>81</v>
      </c>
      <c r="G316" s="816"/>
      <c r="H316" s="807">
        <f t="shared" si="36"/>
        <v>0.73</v>
      </c>
      <c r="I316" s="256">
        <v>63</v>
      </c>
      <c r="J316" s="710">
        <f t="shared" si="38"/>
        <v>45.99</v>
      </c>
      <c r="K316" s="710">
        <f t="shared" si="37"/>
        <v>5696.3231366206455</v>
      </c>
      <c r="L316" s="656"/>
      <c r="N316" s="705"/>
      <c r="O316" s="705"/>
      <c r="P316" s="705"/>
    </row>
    <row r="317" spans="1:16" ht="16.5" customHeight="1">
      <c r="A317" s="742">
        <f t="shared" si="39"/>
        <v>148</v>
      </c>
      <c r="B317" s="296" t="s">
        <v>672</v>
      </c>
      <c r="C317" s="725">
        <v>42146</v>
      </c>
      <c r="D317" s="726" t="s">
        <v>666</v>
      </c>
      <c r="E317" s="815">
        <v>85</v>
      </c>
      <c r="F317" s="816">
        <v>177</v>
      </c>
      <c r="G317" s="816"/>
      <c r="H317" s="807">
        <f t="shared" si="36"/>
        <v>1.5</v>
      </c>
      <c r="I317" s="256">
        <v>70</v>
      </c>
      <c r="J317" s="710">
        <f t="shared" si="38"/>
        <v>105</v>
      </c>
      <c r="K317" s="710">
        <f t="shared" si="37"/>
        <v>11704.773568398588</v>
      </c>
      <c r="L317" s="656"/>
      <c r="N317" s="705"/>
      <c r="O317" s="705"/>
      <c r="P317" s="705"/>
    </row>
    <row r="318" spans="1:16" ht="16.5" customHeight="1">
      <c r="A318" s="742">
        <f t="shared" si="39"/>
        <v>149</v>
      </c>
      <c r="B318" s="296" t="s">
        <v>673</v>
      </c>
      <c r="C318" s="725">
        <v>42146</v>
      </c>
      <c r="D318" s="726" t="s">
        <v>666</v>
      </c>
      <c r="E318" s="815">
        <v>80</v>
      </c>
      <c r="F318" s="816">
        <v>182</v>
      </c>
      <c r="G318" s="816"/>
      <c r="H318" s="807">
        <f t="shared" si="36"/>
        <v>1.46</v>
      </c>
      <c r="I318" s="256">
        <v>50</v>
      </c>
      <c r="J318" s="710">
        <f t="shared" si="38"/>
        <v>73</v>
      </c>
      <c r="K318" s="710">
        <f t="shared" si="37"/>
        <v>11392.646273241291</v>
      </c>
      <c r="L318" s="656"/>
      <c r="N318" s="705"/>
      <c r="O318" s="705"/>
      <c r="P318" s="705"/>
    </row>
    <row r="319" spans="1:16" ht="16.5" customHeight="1">
      <c r="A319" s="742">
        <f t="shared" si="39"/>
        <v>150</v>
      </c>
      <c r="B319" s="296" t="s">
        <v>674</v>
      </c>
      <c r="C319" s="725">
        <v>42146</v>
      </c>
      <c r="D319" s="726" t="s">
        <v>666</v>
      </c>
      <c r="E319" s="815">
        <v>85</v>
      </c>
      <c r="F319" s="816">
        <v>107</v>
      </c>
      <c r="G319" s="816"/>
      <c r="H319" s="807">
        <f t="shared" si="36"/>
        <v>0.91</v>
      </c>
      <c r="I319" s="256">
        <v>100</v>
      </c>
      <c r="J319" s="710">
        <f t="shared" si="38"/>
        <v>91</v>
      </c>
      <c r="K319" s="710">
        <f t="shared" si="37"/>
        <v>7100.8959648284763</v>
      </c>
      <c r="L319" s="656"/>
      <c r="N319" s="705"/>
      <c r="O319" s="705"/>
      <c r="P319" s="705"/>
    </row>
    <row r="320" spans="1:16" ht="16.5" customHeight="1">
      <c r="A320" s="742">
        <f t="shared" si="39"/>
        <v>151</v>
      </c>
      <c r="B320" s="296" t="s">
        <v>675</v>
      </c>
      <c r="C320" s="725">
        <v>42146</v>
      </c>
      <c r="D320" s="726" t="s">
        <v>666</v>
      </c>
      <c r="E320" s="815">
        <v>110</v>
      </c>
      <c r="F320" s="816">
        <v>194</v>
      </c>
      <c r="G320" s="816"/>
      <c r="H320" s="807">
        <f t="shared" si="36"/>
        <v>2.13</v>
      </c>
      <c r="I320" s="256">
        <v>25</v>
      </c>
      <c r="J320" s="710">
        <f t="shared" si="38"/>
        <v>53.25</v>
      </c>
      <c r="K320" s="710">
        <f t="shared" si="37"/>
        <v>16620.778467125994</v>
      </c>
      <c r="L320" s="656"/>
      <c r="N320" s="705"/>
      <c r="O320" s="705"/>
      <c r="P320" s="705"/>
    </row>
    <row r="321" spans="1:16" ht="16.5" customHeight="1">
      <c r="A321" s="742">
        <f t="shared" si="39"/>
        <v>152</v>
      </c>
      <c r="B321" s="296" t="s">
        <v>398</v>
      </c>
      <c r="C321" s="725">
        <v>42146</v>
      </c>
      <c r="D321" s="726" t="s">
        <v>677</v>
      </c>
      <c r="E321" s="815">
        <v>52</v>
      </c>
      <c r="F321" s="816">
        <v>24.5</v>
      </c>
      <c r="G321" s="816">
        <v>24.5</v>
      </c>
      <c r="H321" s="807">
        <f t="shared" si="36"/>
        <v>0.82</v>
      </c>
      <c r="I321" s="256">
        <v>1220</v>
      </c>
      <c r="J321" s="710">
        <f t="shared" si="38"/>
        <v>1000.4</v>
      </c>
      <c r="K321" s="710">
        <f t="shared" si="37"/>
        <v>6398.6095507245609</v>
      </c>
      <c r="L321" s="656"/>
      <c r="N321" s="705"/>
      <c r="O321" s="705"/>
      <c r="P321" s="705"/>
    </row>
    <row r="322" spans="1:16" ht="16.5" customHeight="1">
      <c r="A322" s="742">
        <f t="shared" si="39"/>
        <v>153</v>
      </c>
      <c r="B322" s="296" t="s">
        <v>446</v>
      </c>
      <c r="C322" s="725">
        <v>42146</v>
      </c>
      <c r="D322" s="726" t="s">
        <v>677</v>
      </c>
      <c r="E322" s="815">
        <v>52</v>
      </c>
      <c r="F322" s="816">
        <v>26.5</v>
      </c>
      <c r="G322" s="816">
        <v>26.5</v>
      </c>
      <c r="H322" s="807">
        <f t="shared" si="36"/>
        <v>0.91</v>
      </c>
      <c r="I322" s="256">
        <v>611</v>
      </c>
      <c r="J322" s="710">
        <f t="shared" si="38"/>
        <v>556.01</v>
      </c>
      <c r="K322" s="710">
        <f t="shared" si="37"/>
        <v>7100.8959648284763</v>
      </c>
      <c r="L322" s="656"/>
      <c r="N322" s="705"/>
      <c r="O322" s="705"/>
      <c r="P322" s="705"/>
    </row>
    <row r="323" spans="1:16" ht="16.5" customHeight="1">
      <c r="A323" s="742">
        <f t="shared" si="39"/>
        <v>154</v>
      </c>
      <c r="B323" s="296" t="s">
        <v>401</v>
      </c>
      <c r="C323" s="725">
        <v>42146</v>
      </c>
      <c r="D323" s="726" t="s">
        <v>677</v>
      </c>
      <c r="E323" s="815">
        <v>52</v>
      </c>
      <c r="F323" s="816">
        <v>32</v>
      </c>
      <c r="G323" s="816">
        <v>21</v>
      </c>
      <c r="H323" s="807">
        <f t="shared" si="36"/>
        <v>0.97</v>
      </c>
      <c r="I323" s="256">
        <v>302</v>
      </c>
      <c r="J323" s="710">
        <f t="shared" si="38"/>
        <v>292.94</v>
      </c>
      <c r="K323" s="710">
        <f t="shared" si="37"/>
        <v>7569.0869075644196</v>
      </c>
      <c r="L323" s="656"/>
      <c r="N323" s="705"/>
      <c r="O323" s="705"/>
      <c r="P323" s="705"/>
    </row>
    <row r="324" spans="1:16" ht="16.5" customHeight="1">
      <c r="A324" s="742">
        <f t="shared" si="39"/>
        <v>155</v>
      </c>
      <c r="B324" s="296" t="s">
        <v>501</v>
      </c>
      <c r="C324" s="725">
        <v>42146</v>
      </c>
      <c r="D324" s="726" t="s">
        <v>677</v>
      </c>
      <c r="E324" s="815">
        <v>55</v>
      </c>
      <c r="F324" s="816">
        <v>45</v>
      </c>
      <c r="G324" s="816">
        <v>29</v>
      </c>
      <c r="H324" s="807">
        <f t="shared" si="36"/>
        <v>1.58</v>
      </c>
      <c r="I324" s="256">
        <v>303</v>
      </c>
      <c r="J324" s="710">
        <f t="shared" si="38"/>
        <v>478.74</v>
      </c>
      <c r="K324" s="710">
        <f t="shared" si="37"/>
        <v>12329.028158713179</v>
      </c>
      <c r="L324" s="656"/>
      <c r="N324" s="705"/>
      <c r="O324" s="705"/>
      <c r="P324" s="705"/>
    </row>
    <row r="325" spans="1:16" ht="16.5" customHeight="1">
      <c r="A325" s="742">
        <f t="shared" si="39"/>
        <v>156</v>
      </c>
      <c r="B325" s="296" t="s">
        <v>678</v>
      </c>
      <c r="C325" s="725">
        <v>42147</v>
      </c>
      <c r="D325" s="726" t="s">
        <v>679</v>
      </c>
      <c r="E325" s="815">
        <v>45</v>
      </c>
      <c r="F325" s="816">
        <v>24.5</v>
      </c>
      <c r="G325" s="816">
        <v>7.2</v>
      </c>
      <c r="H325" s="807">
        <f t="shared" si="36"/>
        <v>0.5</v>
      </c>
      <c r="I325" s="256">
        <v>109</v>
      </c>
      <c r="J325" s="710">
        <f t="shared" si="38"/>
        <v>54.5</v>
      </c>
      <c r="K325" s="710">
        <f t="shared" si="37"/>
        <v>3901.5911894661958</v>
      </c>
      <c r="L325" s="656"/>
      <c r="N325" s="705"/>
      <c r="O325" s="705"/>
      <c r="P325" s="705"/>
    </row>
    <row r="326" spans="1:16" ht="16.5" customHeight="1">
      <c r="A326" s="742">
        <f t="shared" si="39"/>
        <v>157</v>
      </c>
      <c r="B326" s="296" t="s">
        <v>439</v>
      </c>
      <c r="C326" s="725">
        <v>42147</v>
      </c>
      <c r="D326" s="726" t="s">
        <v>679</v>
      </c>
      <c r="E326" s="815">
        <v>51.5</v>
      </c>
      <c r="F326" s="816">
        <v>28.5</v>
      </c>
      <c r="G326" s="816">
        <v>7.2</v>
      </c>
      <c r="H326" s="807">
        <f t="shared" si="36"/>
        <v>0.64</v>
      </c>
      <c r="I326" s="256">
        <v>219</v>
      </c>
      <c r="J326" s="710">
        <f t="shared" si="38"/>
        <v>140.16</v>
      </c>
      <c r="K326" s="710">
        <f t="shared" si="37"/>
        <v>4994.0367225167311</v>
      </c>
      <c r="L326" s="656"/>
      <c r="N326" s="705"/>
      <c r="O326" s="705"/>
      <c r="P326" s="705"/>
    </row>
    <row r="327" spans="1:16" ht="16.5" customHeight="1">
      <c r="A327" s="742">
        <f t="shared" si="39"/>
        <v>158</v>
      </c>
      <c r="B327" s="296" t="s">
        <v>441</v>
      </c>
      <c r="C327" s="725">
        <v>42147</v>
      </c>
      <c r="D327" s="726" t="s">
        <v>679</v>
      </c>
      <c r="E327" s="815">
        <v>22</v>
      </c>
      <c r="F327" s="816">
        <v>22</v>
      </c>
      <c r="G327" s="816">
        <v>29.5</v>
      </c>
      <c r="H327" s="807">
        <f t="shared" si="36"/>
        <v>0.51</v>
      </c>
      <c r="I327" s="256">
        <v>494</v>
      </c>
      <c r="J327" s="710">
        <f t="shared" si="38"/>
        <v>251.94</v>
      </c>
      <c r="K327" s="710">
        <f t="shared" si="37"/>
        <v>3979.6230132555197</v>
      </c>
      <c r="L327" s="656"/>
      <c r="N327" s="705"/>
      <c r="O327" s="705"/>
      <c r="P327" s="705"/>
    </row>
    <row r="328" spans="1:16" ht="16.5" customHeight="1">
      <c r="A328" s="742">
        <f t="shared" si="39"/>
        <v>159</v>
      </c>
      <c r="B328" s="296" t="s">
        <v>680</v>
      </c>
      <c r="C328" s="725">
        <v>42147</v>
      </c>
      <c r="D328" s="726" t="s">
        <v>679</v>
      </c>
      <c r="E328" s="815">
        <v>25.5</v>
      </c>
      <c r="F328" s="816">
        <v>25</v>
      </c>
      <c r="G328" s="816">
        <v>29.5</v>
      </c>
      <c r="H328" s="807">
        <f t="shared" si="36"/>
        <v>0.61</v>
      </c>
      <c r="I328" s="256">
        <v>303</v>
      </c>
      <c r="J328" s="710">
        <f t="shared" si="38"/>
        <v>184.82999999999998</v>
      </c>
      <c r="K328" s="710">
        <f t="shared" si="37"/>
        <v>4759.941251148759</v>
      </c>
      <c r="L328" s="656"/>
      <c r="N328" s="705"/>
      <c r="O328" s="705"/>
      <c r="P328" s="705"/>
    </row>
    <row r="329" spans="1:16" ht="16.5" customHeight="1">
      <c r="A329" s="742">
        <f t="shared" si="39"/>
        <v>160</v>
      </c>
      <c r="B329" s="296" t="s">
        <v>436</v>
      </c>
      <c r="C329" s="725">
        <v>42147</v>
      </c>
      <c r="D329" s="726" t="s">
        <v>679</v>
      </c>
      <c r="E329" s="815">
        <v>32.5</v>
      </c>
      <c r="F329" s="816">
        <v>32.5</v>
      </c>
      <c r="G329" s="816">
        <v>29.5</v>
      </c>
      <c r="H329" s="807">
        <f t="shared" si="36"/>
        <v>0.88</v>
      </c>
      <c r="I329" s="256">
        <v>156</v>
      </c>
      <c r="J329" s="710">
        <f t="shared" si="38"/>
        <v>137.28</v>
      </c>
      <c r="K329" s="710">
        <f t="shared" si="37"/>
        <v>6866.8004934605051</v>
      </c>
      <c r="L329" s="656"/>
      <c r="N329" s="705"/>
      <c r="O329" s="705"/>
      <c r="P329" s="705"/>
    </row>
    <row r="330" spans="1:16" ht="16.5" customHeight="1">
      <c r="A330" s="742">
        <f t="shared" si="39"/>
        <v>161</v>
      </c>
      <c r="B330" s="296" t="s">
        <v>413</v>
      </c>
      <c r="C330" s="725">
        <v>42147</v>
      </c>
      <c r="D330" s="726" t="s">
        <v>681</v>
      </c>
      <c r="E330" s="815">
        <v>49</v>
      </c>
      <c r="F330" s="816">
        <v>38</v>
      </c>
      <c r="G330" s="816">
        <v>12</v>
      </c>
      <c r="H330" s="807">
        <f t="shared" si="36"/>
        <v>0.95</v>
      </c>
      <c r="I330" s="256">
        <v>512</v>
      </c>
      <c r="J330" s="710">
        <f t="shared" si="38"/>
        <v>486.4</v>
      </c>
      <c r="K330" s="710">
        <f t="shared" si="37"/>
        <v>7413.0232599857718</v>
      </c>
      <c r="L330" s="656"/>
      <c r="N330" s="705"/>
      <c r="O330" s="705"/>
      <c r="P330" s="705"/>
    </row>
    <row r="331" spans="1:16" ht="16.5" customHeight="1">
      <c r="A331" s="742">
        <f t="shared" si="39"/>
        <v>162</v>
      </c>
      <c r="B331" s="296" t="s">
        <v>682</v>
      </c>
      <c r="C331" s="725">
        <v>42149</v>
      </c>
      <c r="D331" s="726" t="s">
        <v>683</v>
      </c>
      <c r="E331" s="815">
        <v>33.700000000000003</v>
      </c>
      <c r="F331" s="816">
        <v>22.7</v>
      </c>
      <c r="G331" s="816">
        <v>19.3</v>
      </c>
      <c r="H331" s="807">
        <f t="shared" si="36"/>
        <v>0.53</v>
      </c>
      <c r="I331" s="256">
        <v>371</v>
      </c>
      <c r="J331" s="710">
        <f t="shared" si="38"/>
        <v>196.63000000000002</v>
      </c>
      <c r="K331" s="710">
        <f t="shared" si="37"/>
        <v>4135.6866608341679</v>
      </c>
      <c r="L331" s="656"/>
      <c r="N331" s="705"/>
      <c r="O331" s="705"/>
      <c r="P331" s="705"/>
    </row>
    <row r="332" spans="1:16" ht="16.5" customHeight="1">
      <c r="A332" s="742">
        <f t="shared" si="39"/>
        <v>163</v>
      </c>
      <c r="B332" s="296" t="s">
        <v>516</v>
      </c>
      <c r="C332" s="725">
        <v>42150</v>
      </c>
      <c r="D332" s="726" t="s">
        <v>684</v>
      </c>
      <c r="E332" s="815">
        <v>45</v>
      </c>
      <c r="F332" s="816">
        <v>35</v>
      </c>
      <c r="G332" s="816">
        <v>20</v>
      </c>
      <c r="H332" s="807">
        <f t="shared" si="36"/>
        <v>0.96</v>
      </c>
      <c r="I332" s="256">
        <v>750</v>
      </c>
      <c r="J332" s="710">
        <f t="shared" si="38"/>
        <v>720</v>
      </c>
      <c r="K332" s="710">
        <f t="shared" si="37"/>
        <v>7491.0550837750961</v>
      </c>
      <c r="L332" s="656"/>
      <c r="N332" s="705"/>
      <c r="O332" s="705"/>
      <c r="P332" s="705"/>
    </row>
    <row r="333" spans="1:16" ht="16.5" customHeight="1">
      <c r="A333" s="742">
        <f t="shared" si="39"/>
        <v>164</v>
      </c>
      <c r="B333" s="296" t="s">
        <v>685</v>
      </c>
      <c r="C333" s="725">
        <v>42151</v>
      </c>
      <c r="D333" s="726" t="s">
        <v>686</v>
      </c>
      <c r="E333" s="815">
        <v>140</v>
      </c>
      <c r="F333" s="816">
        <v>104</v>
      </c>
      <c r="G333" s="816"/>
      <c r="H333" s="807">
        <f t="shared" si="36"/>
        <v>1.46</v>
      </c>
      <c r="I333" s="256">
        <v>300</v>
      </c>
      <c r="J333" s="710">
        <f t="shared" si="38"/>
        <v>438</v>
      </c>
      <c r="K333" s="710">
        <f t="shared" si="37"/>
        <v>11392.646273241291</v>
      </c>
      <c r="L333" s="656"/>
      <c r="N333" s="705"/>
      <c r="O333" s="705"/>
      <c r="P333" s="705"/>
    </row>
    <row r="334" spans="1:16" ht="16.5" customHeight="1">
      <c r="A334" s="742">
        <f t="shared" si="39"/>
        <v>165</v>
      </c>
      <c r="B334" s="296" t="s">
        <v>687</v>
      </c>
      <c r="C334" s="725">
        <v>42151</v>
      </c>
      <c r="D334" s="726" t="s">
        <v>686</v>
      </c>
      <c r="E334" s="815">
        <v>95</v>
      </c>
      <c r="F334" s="816">
        <v>138</v>
      </c>
      <c r="G334" s="816"/>
      <c r="H334" s="807">
        <f t="shared" si="36"/>
        <v>1.31</v>
      </c>
      <c r="I334" s="256">
        <v>440</v>
      </c>
      <c r="J334" s="710">
        <f t="shared" si="38"/>
        <v>576.4</v>
      </c>
      <c r="K334" s="710">
        <f t="shared" si="37"/>
        <v>10222.168916401433</v>
      </c>
      <c r="L334" s="656"/>
      <c r="N334" s="705"/>
      <c r="O334" s="705"/>
      <c r="P334" s="705"/>
    </row>
    <row r="335" spans="1:16" ht="16.5" customHeight="1">
      <c r="A335" s="742">
        <f t="shared" si="39"/>
        <v>166</v>
      </c>
      <c r="B335" s="296" t="s">
        <v>688</v>
      </c>
      <c r="C335" s="725">
        <v>42151</v>
      </c>
      <c r="D335" s="726" t="s">
        <v>686</v>
      </c>
      <c r="E335" s="815">
        <v>130</v>
      </c>
      <c r="F335" s="816">
        <v>113</v>
      </c>
      <c r="G335" s="816"/>
      <c r="H335" s="807">
        <f t="shared" si="36"/>
        <v>1.47</v>
      </c>
      <c r="I335" s="256">
        <v>200</v>
      </c>
      <c r="J335" s="710">
        <f t="shared" si="38"/>
        <v>294</v>
      </c>
      <c r="K335" s="710">
        <f t="shared" si="37"/>
        <v>11470.678097030615</v>
      </c>
      <c r="L335" s="656"/>
      <c r="N335" s="705"/>
      <c r="O335" s="705"/>
      <c r="P335" s="705"/>
    </row>
    <row r="336" spans="1:16" ht="16.5" customHeight="1">
      <c r="A336" s="742">
        <f t="shared" si="39"/>
        <v>167</v>
      </c>
      <c r="B336" s="296" t="s">
        <v>689</v>
      </c>
      <c r="C336" s="725">
        <v>42151</v>
      </c>
      <c r="D336" s="726" t="s">
        <v>686</v>
      </c>
      <c r="E336" s="815">
        <v>100</v>
      </c>
      <c r="F336" s="816">
        <v>130</v>
      </c>
      <c r="G336" s="816"/>
      <c r="H336" s="807">
        <f t="shared" si="36"/>
        <v>1.3</v>
      </c>
      <c r="I336" s="256">
        <v>25</v>
      </c>
      <c r="J336" s="710">
        <f t="shared" si="38"/>
        <v>32.5</v>
      </c>
      <c r="K336" s="710">
        <f t="shared" si="37"/>
        <v>10144.137092612109</v>
      </c>
      <c r="L336" s="656"/>
      <c r="N336" s="705"/>
      <c r="O336" s="705"/>
      <c r="P336" s="705"/>
    </row>
    <row r="337" spans="1:16" ht="16.5" customHeight="1">
      <c r="A337" s="742">
        <f t="shared" si="39"/>
        <v>168</v>
      </c>
      <c r="B337" s="296" t="s">
        <v>690</v>
      </c>
      <c r="C337" s="725">
        <v>42151</v>
      </c>
      <c r="D337" s="726" t="s">
        <v>686</v>
      </c>
      <c r="E337" s="815">
        <v>130</v>
      </c>
      <c r="F337" s="756">
        <v>154</v>
      </c>
      <c r="G337" s="756"/>
      <c r="H337" s="807">
        <f t="shared" si="36"/>
        <v>2</v>
      </c>
      <c r="I337" s="256">
        <v>25</v>
      </c>
      <c r="J337" s="710">
        <f t="shared" si="38"/>
        <v>50</v>
      </c>
      <c r="K337" s="710">
        <f t="shared" si="37"/>
        <v>15606.364757864783</v>
      </c>
      <c r="L337" s="656"/>
      <c r="N337" s="705"/>
      <c r="O337" s="705"/>
      <c r="P337" s="705"/>
    </row>
    <row r="338" spans="1:16" ht="16.5" customHeight="1">
      <c r="A338" s="742">
        <f t="shared" si="39"/>
        <v>169</v>
      </c>
      <c r="B338" s="296" t="s">
        <v>691</v>
      </c>
      <c r="C338" s="725">
        <v>42151</v>
      </c>
      <c r="D338" s="726" t="s">
        <v>686</v>
      </c>
      <c r="E338" s="815">
        <v>130</v>
      </c>
      <c r="F338" s="816">
        <v>146</v>
      </c>
      <c r="G338" s="816"/>
      <c r="H338" s="807">
        <f t="shared" si="36"/>
        <v>1.9</v>
      </c>
      <c r="I338" s="256">
        <v>20</v>
      </c>
      <c r="J338" s="710">
        <f t="shared" si="38"/>
        <v>38</v>
      </c>
      <c r="K338" s="710">
        <f t="shared" si="37"/>
        <v>14826.046519971544</v>
      </c>
      <c r="L338" s="656"/>
      <c r="N338" s="705"/>
      <c r="O338" s="705"/>
      <c r="P338" s="705"/>
    </row>
    <row r="339" spans="1:16" ht="16.5" customHeight="1">
      <c r="A339" s="742">
        <f t="shared" si="39"/>
        <v>170</v>
      </c>
      <c r="B339" s="296" t="s">
        <v>692</v>
      </c>
      <c r="C339" s="725">
        <v>42151</v>
      </c>
      <c r="D339" s="726" t="s">
        <v>686</v>
      </c>
      <c r="E339" s="815">
        <v>105</v>
      </c>
      <c r="F339" s="816">
        <v>170</v>
      </c>
      <c r="G339" s="816"/>
      <c r="H339" s="807">
        <f t="shared" si="36"/>
        <v>1.79</v>
      </c>
      <c r="I339" s="256">
        <v>50</v>
      </c>
      <c r="J339" s="710">
        <f t="shared" si="38"/>
        <v>89.5</v>
      </c>
      <c r="K339" s="710">
        <f t="shared" si="37"/>
        <v>13967.696458288981</v>
      </c>
      <c r="L339" s="656"/>
      <c r="N339" s="705"/>
      <c r="O339" s="705"/>
      <c r="P339" s="705"/>
    </row>
    <row r="340" spans="1:16" ht="16.5" customHeight="1">
      <c r="A340" s="742">
        <f t="shared" si="39"/>
        <v>171</v>
      </c>
      <c r="B340" s="296" t="s">
        <v>693</v>
      </c>
      <c r="C340" s="725">
        <v>42151</v>
      </c>
      <c r="D340" s="726" t="s">
        <v>686</v>
      </c>
      <c r="E340" s="815">
        <v>105</v>
      </c>
      <c r="F340" s="816">
        <v>144</v>
      </c>
      <c r="G340" s="816"/>
      <c r="H340" s="807">
        <f t="shared" si="36"/>
        <v>1.51</v>
      </c>
      <c r="I340" s="256">
        <v>25</v>
      </c>
      <c r="J340" s="710">
        <f t="shared" si="38"/>
        <v>37.75</v>
      </c>
      <c r="K340" s="710">
        <f t="shared" si="37"/>
        <v>11782.805392187911</v>
      </c>
      <c r="L340" s="656"/>
      <c r="N340" s="705"/>
      <c r="O340" s="705"/>
      <c r="P340" s="705"/>
    </row>
    <row r="341" spans="1:16" ht="16.5" customHeight="1">
      <c r="A341" s="742">
        <f t="shared" si="39"/>
        <v>172</v>
      </c>
      <c r="B341" s="296" t="s">
        <v>694</v>
      </c>
      <c r="C341" s="725">
        <v>42151</v>
      </c>
      <c r="D341" s="726" t="s">
        <v>686</v>
      </c>
      <c r="E341" s="815">
        <v>105</v>
      </c>
      <c r="F341" s="816">
        <v>140</v>
      </c>
      <c r="G341" s="816"/>
      <c r="H341" s="807">
        <f t="shared" si="36"/>
        <v>1.47</v>
      </c>
      <c r="I341" s="256">
        <v>25</v>
      </c>
      <c r="J341" s="710">
        <f t="shared" si="38"/>
        <v>36.75</v>
      </c>
      <c r="K341" s="710">
        <f t="shared" si="37"/>
        <v>11470.678097030615</v>
      </c>
      <c r="L341" s="656"/>
      <c r="N341" s="705"/>
      <c r="O341" s="705"/>
      <c r="P341" s="705"/>
    </row>
    <row r="342" spans="1:16" ht="16.5" customHeight="1">
      <c r="A342" s="742">
        <f t="shared" si="39"/>
        <v>173</v>
      </c>
      <c r="B342" s="296" t="s">
        <v>695</v>
      </c>
      <c r="C342" s="725">
        <v>42151</v>
      </c>
      <c r="D342" s="726" t="s">
        <v>686</v>
      </c>
      <c r="E342" s="815">
        <v>105</v>
      </c>
      <c r="F342" s="816">
        <v>168</v>
      </c>
      <c r="G342" s="816"/>
      <c r="H342" s="807">
        <f t="shared" si="36"/>
        <v>1.76</v>
      </c>
      <c r="I342" s="256">
        <v>40</v>
      </c>
      <c r="J342" s="710">
        <f t="shared" si="38"/>
        <v>70.400000000000006</v>
      </c>
      <c r="K342" s="710">
        <f t="shared" si="37"/>
        <v>13733.60098692101</v>
      </c>
      <c r="L342" s="656"/>
      <c r="N342" s="705"/>
      <c r="O342" s="705"/>
      <c r="P342" s="705"/>
    </row>
    <row r="343" spans="1:16" ht="16.5" customHeight="1">
      <c r="A343" s="742">
        <f t="shared" si="39"/>
        <v>174</v>
      </c>
      <c r="B343" s="296" t="s">
        <v>696</v>
      </c>
      <c r="C343" s="725">
        <v>42151</v>
      </c>
      <c r="D343" s="726" t="s">
        <v>697</v>
      </c>
      <c r="E343" s="815">
        <v>140</v>
      </c>
      <c r="F343" s="816">
        <v>122</v>
      </c>
      <c r="G343" s="816"/>
      <c r="H343" s="807">
        <f t="shared" si="36"/>
        <v>1.71</v>
      </c>
      <c r="I343" s="256">
        <v>1112</v>
      </c>
      <c r="J343" s="710">
        <f t="shared" si="38"/>
        <v>1901.52</v>
      </c>
      <c r="K343" s="710">
        <f t="shared" si="37"/>
        <v>13343.44186797439</v>
      </c>
      <c r="L343" s="656"/>
      <c r="N343" s="705"/>
      <c r="O343" s="705"/>
      <c r="P343" s="705"/>
    </row>
    <row r="344" spans="1:16" ht="16.5" customHeight="1">
      <c r="A344" s="742">
        <f t="shared" si="39"/>
        <v>175</v>
      </c>
      <c r="B344" s="296" t="s">
        <v>698</v>
      </c>
      <c r="C344" s="725">
        <v>42151</v>
      </c>
      <c r="D344" s="726" t="s">
        <v>699</v>
      </c>
      <c r="E344" s="815">
        <v>48</v>
      </c>
      <c r="F344" s="816">
        <v>32</v>
      </c>
      <c r="G344" s="816">
        <v>28.5</v>
      </c>
      <c r="H344" s="807">
        <f t="shared" si="36"/>
        <v>1.05</v>
      </c>
      <c r="I344" s="256">
        <v>331</v>
      </c>
      <c r="J344" s="710">
        <f t="shared" si="38"/>
        <v>347.55</v>
      </c>
      <c r="K344" s="710">
        <f t="shared" si="37"/>
        <v>8193.3414978790115</v>
      </c>
      <c r="L344" s="656"/>
      <c r="N344" s="705"/>
      <c r="O344" s="705"/>
      <c r="P344" s="705"/>
    </row>
    <row r="345" spans="1:16" ht="16.5" customHeight="1">
      <c r="A345" s="742">
        <f t="shared" si="39"/>
        <v>176</v>
      </c>
      <c r="B345" s="296" t="s">
        <v>700</v>
      </c>
      <c r="C345" s="725">
        <v>42151</v>
      </c>
      <c r="D345" s="726" t="s">
        <v>699</v>
      </c>
      <c r="E345" s="815">
        <v>52</v>
      </c>
      <c r="F345" s="816">
        <v>31.5</v>
      </c>
      <c r="G345" s="816">
        <v>21.5</v>
      </c>
      <c r="H345" s="807">
        <f t="shared" si="36"/>
        <v>0.96</v>
      </c>
      <c r="I345" s="256">
        <v>308</v>
      </c>
      <c r="J345" s="710">
        <f t="shared" si="38"/>
        <v>295.68</v>
      </c>
      <c r="K345" s="710">
        <f t="shared" si="37"/>
        <v>7491.0550837750961</v>
      </c>
      <c r="L345" s="656"/>
      <c r="N345" s="705"/>
      <c r="O345" s="705"/>
      <c r="P345" s="705"/>
    </row>
    <row r="346" spans="1:16" ht="16.5" customHeight="1">
      <c r="A346" s="742">
        <f t="shared" si="39"/>
        <v>177</v>
      </c>
      <c r="B346" s="296" t="s">
        <v>701</v>
      </c>
      <c r="C346" s="725">
        <v>42151</v>
      </c>
      <c r="D346" s="726" t="s">
        <v>699</v>
      </c>
      <c r="E346" s="815">
        <v>49</v>
      </c>
      <c r="F346" s="816">
        <v>32</v>
      </c>
      <c r="G346" s="816">
        <v>21.5</v>
      </c>
      <c r="H346" s="807">
        <f t="shared" si="36"/>
        <v>0.94</v>
      </c>
      <c r="I346" s="256">
        <v>312</v>
      </c>
      <c r="J346" s="710">
        <f t="shared" si="38"/>
        <v>293.27999999999997</v>
      </c>
      <c r="K346" s="710">
        <f t="shared" si="37"/>
        <v>7334.9914361964475</v>
      </c>
      <c r="L346" s="656"/>
      <c r="N346" s="705"/>
      <c r="O346" s="705"/>
      <c r="P346" s="705"/>
    </row>
    <row r="347" spans="1:16" ht="16.5" customHeight="1">
      <c r="A347" s="742">
        <f t="shared" si="39"/>
        <v>178</v>
      </c>
      <c r="B347" s="296" t="s">
        <v>702</v>
      </c>
      <c r="C347" s="725">
        <v>42151</v>
      </c>
      <c r="D347" s="726" t="s">
        <v>699</v>
      </c>
      <c r="E347" s="815">
        <v>52</v>
      </c>
      <c r="F347" s="816">
        <v>38.799999999999997</v>
      </c>
      <c r="G347" s="816">
        <v>28.8</v>
      </c>
      <c r="H347" s="807">
        <f t="shared" si="36"/>
        <v>1.32</v>
      </c>
      <c r="I347" s="256">
        <v>313</v>
      </c>
      <c r="J347" s="710">
        <f t="shared" si="38"/>
        <v>413.16</v>
      </c>
      <c r="K347" s="710">
        <f t="shared" si="37"/>
        <v>10300.200740190758</v>
      </c>
      <c r="L347" s="656"/>
      <c r="N347" s="705"/>
      <c r="O347" s="705"/>
      <c r="P347" s="705"/>
    </row>
    <row r="348" spans="1:16" ht="16.5" customHeight="1">
      <c r="A348" s="742">
        <f t="shared" si="39"/>
        <v>179</v>
      </c>
      <c r="B348" s="296" t="s">
        <v>703</v>
      </c>
      <c r="C348" s="725">
        <v>42151</v>
      </c>
      <c r="D348" s="726" t="s">
        <v>699</v>
      </c>
      <c r="E348" s="815">
        <v>52</v>
      </c>
      <c r="F348" s="816">
        <v>23</v>
      </c>
      <c r="G348" s="816">
        <v>22.8</v>
      </c>
      <c r="H348" s="807">
        <f t="shared" si="36"/>
        <v>0.76</v>
      </c>
      <c r="I348" s="256">
        <v>507</v>
      </c>
      <c r="J348" s="710">
        <f t="shared" si="38"/>
        <v>385.32</v>
      </c>
      <c r="K348" s="710">
        <f t="shared" si="37"/>
        <v>5930.4186079886176</v>
      </c>
      <c r="L348" s="656"/>
      <c r="N348" s="705"/>
      <c r="O348" s="705"/>
      <c r="P348" s="705"/>
    </row>
    <row r="349" spans="1:16" ht="16.5" customHeight="1">
      <c r="A349" s="742">
        <f t="shared" si="39"/>
        <v>180</v>
      </c>
      <c r="B349" s="296" t="s">
        <v>451</v>
      </c>
      <c r="C349" s="725">
        <v>42151</v>
      </c>
      <c r="D349" s="726" t="s">
        <v>704</v>
      </c>
      <c r="E349" s="815">
        <v>49.5</v>
      </c>
      <c r="F349" s="816">
        <v>38.5</v>
      </c>
      <c r="G349" s="816">
        <v>32.5</v>
      </c>
      <c r="H349" s="807">
        <f t="shared" si="36"/>
        <v>1.34</v>
      </c>
      <c r="I349" s="256">
        <v>338</v>
      </c>
      <c r="J349" s="710">
        <f t="shared" si="38"/>
        <v>452.92</v>
      </c>
      <c r="K349" s="710">
        <f t="shared" si="37"/>
        <v>10456.264387769406</v>
      </c>
      <c r="L349" s="656"/>
      <c r="N349" s="705"/>
      <c r="O349" s="705"/>
      <c r="P349" s="705"/>
    </row>
    <row r="350" spans="1:16" ht="16.5" customHeight="1">
      <c r="A350" s="742">
        <f t="shared" si="39"/>
        <v>181</v>
      </c>
      <c r="B350" s="296" t="s">
        <v>595</v>
      </c>
      <c r="C350" s="725">
        <v>42151</v>
      </c>
      <c r="D350" s="726" t="s">
        <v>704</v>
      </c>
      <c r="E350" s="815">
        <v>43</v>
      </c>
      <c r="F350" s="816">
        <v>27.5</v>
      </c>
      <c r="G350" s="816">
        <v>33</v>
      </c>
      <c r="H350" s="807">
        <f t="shared" si="36"/>
        <v>0.93</v>
      </c>
      <c r="I350" s="256">
        <v>240</v>
      </c>
      <c r="J350" s="710">
        <f t="shared" si="38"/>
        <v>223.20000000000002</v>
      </c>
      <c r="K350" s="710">
        <f t="shared" si="37"/>
        <v>7256.959612407125</v>
      </c>
      <c r="L350" s="656"/>
      <c r="N350" s="705"/>
      <c r="O350" s="705"/>
      <c r="P350" s="705"/>
    </row>
    <row r="351" spans="1:16" ht="16.5" customHeight="1">
      <c r="A351" s="742">
        <f t="shared" si="39"/>
        <v>182</v>
      </c>
      <c r="B351" s="296" t="s">
        <v>539</v>
      </c>
      <c r="C351" s="725">
        <v>42151</v>
      </c>
      <c r="D351" s="726" t="s">
        <v>704</v>
      </c>
      <c r="E351" s="815">
        <v>39.5</v>
      </c>
      <c r="F351" s="816">
        <v>32.299999999999997</v>
      </c>
      <c r="G351" s="816">
        <v>27.7</v>
      </c>
      <c r="H351" s="807">
        <f t="shared" si="36"/>
        <v>0.94</v>
      </c>
      <c r="I351" s="256">
        <v>213</v>
      </c>
      <c r="J351" s="710">
        <f t="shared" si="38"/>
        <v>200.22</v>
      </c>
      <c r="K351" s="710">
        <f t="shared" si="37"/>
        <v>7334.9914361964475</v>
      </c>
      <c r="L351" s="656"/>
      <c r="N351" s="705"/>
      <c r="O351" s="705"/>
      <c r="P351" s="705"/>
    </row>
    <row r="352" spans="1:16" ht="16.5" customHeight="1">
      <c r="A352" s="742">
        <f t="shared" si="39"/>
        <v>183</v>
      </c>
      <c r="B352" s="296" t="s">
        <v>538</v>
      </c>
      <c r="C352" s="725">
        <v>42151</v>
      </c>
      <c r="D352" s="726" t="s">
        <v>704</v>
      </c>
      <c r="E352" s="815">
        <v>41</v>
      </c>
      <c r="F352" s="816">
        <v>31</v>
      </c>
      <c r="G352" s="816">
        <v>25.5</v>
      </c>
      <c r="H352" s="807">
        <f t="shared" si="36"/>
        <v>0.89</v>
      </c>
      <c r="I352" s="256">
        <v>300</v>
      </c>
      <c r="J352" s="710">
        <f t="shared" si="38"/>
        <v>267</v>
      </c>
      <c r="K352" s="710">
        <f t="shared" si="37"/>
        <v>6944.8323172498285</v>
      </c>
      <c r="L352" s="656"/>
      <c r="N352" s="705"/>
      <c r="O352" s="705"/>
      <c r="P352" s="705"/>
    </row>
    <row r="353" spans="1:16" ht="16.5" customHeight="1">
      <c r="A353" s="742">
        <f t="shared" si="39"/>
        <v>184</v>
      </c>
      <c r="B353" s="296" t="s">
        <v>705</v>
      </c>
      <c r="C353" s="725">
        <v>42151</v>
      </c>
      <c r="D353" s="726" t="s">
        <v>706</v>
      </c>
      <c r="E353" s="815">
        <v>44</v>
      </c>
      <c r="F353" s="756">
        <v>34.5</v>
      </c>
      <c r="G353" s="756">
        <v>26.5</v>
      </c>
      <c r="H353" s="807">
        <f t="shared" si="36"/>
        <v>1.04</v>
      </c>
      <c r="I353" s="256">
        <v>204</v>
      </c>
      <c r="J353" s="710">
        <f t="shared" si="38"/>
        <v>212.16</v>
      </c>
      <c r="K353" s="710">
        <f t="shared" si="37"/>
        <v>8115.3096740896872</v>
      </c>
      <c r="L353" s="656"/>
      <c r="N353" s="705"/>
      <c r="O353" s="705"/>
      <c r="P353" s="705"/>
    </row>
    <row r="354" spans="1:16" ht="16.5" customHeight="1">
      <c r="A354" s="742">
        <f t="shared" si="39"/>
        <v>185</v>
      </c>
      <c r="B354" s="296" t="s">
        <v>708</v>
      </c>
      <c r="C354" s="725">
        <v>42151</v>
      </c>
      <c r="D354" s="726" t="s">
        <v>706</v>
      </c>
      <c r="E354" s="815">
        <v>41.5</v>
      </c>
      <c r="F354" s="816">
        <v>31.5</v>
      </c>
      <c r="G354" s="816">
        <v>33.5</v>
      </c>
      <c r="H354" s="807">
        <f t="shared" si="36"/>
        <v>1.03</v>
      </c>
      <c r="I354" s="256">
        <v>200</v>
      </c>
      <c r="J354" s="710">
        <f t="shared" si="38"/>
        <v>206</v>
      </c>
      <c r="K354" s="710">
        <f t="shared" si="37"/>
        <v>8037.2778503003638</v>
      </c>
      <c r="L354" s="656"/>
      <c r="N354" s="705"/>
      <c r="O354" s="705"/>
      <c r="P354" s="705"/>
    </row>
    <row r="355" spans="1:16" ht="16.5" customHeight="1">
      <c r="A355" s="742">
        <f t="shared" si="39"/>
        <v>186</v>
      </c>
      <c r="B355" s="296" t="s">
        <v>709</v>
      </c>
      <c r="C355" s="725">
        <v>42152</v>
      </c>
      <c r="D355" s="726" t="s">
        <v>710</v>
      </c>
      <c r="E355" s="815">
        <v>36.5</v>
      </c>
      <c r="F355" s="816">
        <v>32.5</v>
      </c>
      <c r="G355" s="816">
        <v>33</v>
      </c>
      <c r="H355" s="807">
        <f t="shared" si="36"/>
        <v>0.98</v>
      </c>
      <c r="I355" s="256">
        <v>200</v>
      </c>
      <c r="J355" s="710">
        <f t="shared" si="38"/>
        <v>196</v>
      </c>
      <c r="K355" s="710">
        <f t="shared" si="37"/>
        <v>7647.1187313537439</v>
      </c>
      <c r="L355" s="656"/>
      <c r="N355" s="705"/>
      <c r="O355" s="705"/>
      <c r="P355" s="705"/>
    </row>
    <row r="356" spans="1:16" ht="16.5" customHeight="1">
      <c r="A356" s="742">
        <f t="shared" si="39"/>
        <v>187</v>
      </c>
      <c r="B356" s="296" t="s">
        <v>711</v>
      </c>
      <c r="C356" s="725">
        <v>42152</v>
      </c>
      <c r="D356" s="726" t="s">
        <v>712</v>
      </c>
      <c r="E356" s="815">
        <v>55</v>
      </c>
      <c r="F356" s="756">
        <v>41</v>
      </c>
      <c r="G356" s="756">
        <v>27</v>
      </c>
      <c r="H356" s="807">
        <f t="shared" si="36"/>
        <v>1.4</v>
      </c>
      <c r="I356" s="256">
        <v>250</v>
      </c>
      <c r="J356" s="710">
        <f t="shared" si="38"/>
        <v>350</v>
      </c>
      <c r="K356" s="710">
        <f t="shared" si="37"/>
        <v>10924.455330505347</v>
      </c>
      <c r="L356" s="656"/>
      <c r="N356" s="705"/>
      <c r="O356" s="705"/>
      <c r="P356" s="705"/>
    </row>
    <row r="357" spans="1:16" ht="16.5" customHeight="1">
      <c r="A357" s="742">
        <f t="shared" si="39"/>
        <v>188</v>
      </c>
      <c r="B357" s="296" t="s">
        <v>713</v>
      </c>
      <c r="C357" s="725">
        <v>42154</v>
      </c>
      <c r="D357" s="726" t="s">
        <v>714</v>
      </c>
      <c r="E357" s="815">
        <v>60</v>
      </c>
      <c r="F357" s="756">
        <v>30</v>
      </c>
      <c r="G357" s="756">
        <v>25</v>
      </c>
      <c r="H357" s="807">
        <f t="shared" si="36"/>
        <v>1.07</v>
      </c>
      <c r="I357" s="256">
        <v>595</v>
      </c>
      <c r="J357" s="710">
        <f t="shared" si="38"/>
        <v>636.65000000000009</v>
      </c>
      <c r="K357" s="710">
        <f t="shared" si="37"/>
        <v>8349.4051454576602</v>
      </c>
      <c r="L357" s="656"/>
      <c r="N357" s="705"/>
      <c r="O357" s="705"/>
      <c r="P357" s="705"/>
    </row>
    <row r="358" spans="1:16" ht="16.5" customHeight="1">
      <c r="A358" s="742">
        <f t="shared" si="39"/>
        <v>189</v>
      </c>
      <c r="B358" s="296" t="s">
        <v>716</v>
      </c>
      <c r="C358" s="725">
        <v>42154</v>
      </c>
      <c r="D358" s="726" t="s">
        <v>714</v>
      </c>
      <c r="E358" s="815">
        <v>38.5</v>
      </c>
      <c r="F358" s="756">
        <v>30</v>
      </c>
      <c r="G358" s="756">
        <v>23</v>
      </c>
      <c r="H358" s="807">
        <f t="shared" si="36"/>
        <v>0.8</v>
      </c>
      <c r="I358" s="256">
        <v>297</v>
      </c>
      <c r="J358" s="710">
        <f t="shared" si="38"/>
        <v>237.60000000000002</v>
      </c>
      <c r="K358" s="710">
        <f t="shared" si="37"/>
        <v>6242.5459031459141</v>
      </c>
      <c r="L358" s="656"/>
      <c r="N358" s="705"/>
      <c r="O358" s="705"/>
      <c r="P358" s="705"/>
    </row>
    <row r="359" spans="1:16" ht="16.5" customHeight="1">
      <c r="A359" s="742">
        <f t="shared" si="39"/>
        <v>190</v>
      </c>
      <c r="B359" s="296" t="s">
        <v>717</v>
      </c>
      <c r="C359" s="725">
        <v>42154</v>
      </c>
      <c r="D359" s="726" t="s">
        <v>714</v>
      </c>
      <c r="E359" s="815">
        <v>41</v>
      </c>
      <c r="F359" s="816">
        <v>33.5</v>
      </c>
      <c r="G359" s="816">
        <v>23</v>
      </c>
      <c r="H359" s="807">
        <f t="shared" si="36"/>
        <v>0.92</v>
      </c>
      <c r="I359" s="256">
        <v>306</v>
      </c>
      <c r="J359" s="710">
        <f t="shared" si="38"/>
        <v>281.52000000000004</v>
      </c>
      <c r="K359" s="710">
        <f t="shared" si="37"/>
        <v>7178.9277886178006</v>
      </c>
      <c r="L359" s="656"/>
      <c r="N359" s="705"/>
      <c r="O359" s="705"/>
      <c r="P359" s="705"/>
    </row>
    <row r="360" spans="1:16" ht="16.5" customHeight="1">
      <c r="A360" s="742">
        <f t="shared" si="39"/>
        <v>191</v>
      </c>
      <c r="B360" s="296" t="s">
        <v>386</v>
      </c>
      <c r="C360" s="725">
        <v>42154</v>
      </c>
      <c r="D360" s="726" t="s">
        <v>714</v>
      </c>
      <c r="E360" s="815">
        <v>60</v>
      </c>
      <c r="F360" s="816">
        <v>30</v>
      </c>
      <c r="G360" s="816">
        <v>40</v>
      </c>
      <c r="H360" s="807">
        <f t="shared" si="36"/>
        <v>1.35</v>
      </c>
      <c r="I360" s="256">
        <v>207</v>
      </c>
      <c r="J360" s="710">
        <f t="shared" si="38"/>
        <v>279.45000000000005</v>
      </c>
      <c r="K360" s="710">
        <f t="shared" si="37"/>
        <v>10534.296211558729</v>
      </c>
      <c r="L360" s="656"/>
      <c r="N360" s="705"/>
      <c r="O360" s="705"/>
      <c r="P360" s="705"/>
    </row>
    <row r="361" spans="1:16" ht="16.5" customHeight="1">
      <c r="A361" s="742">
        <f t="shared" si="39"/>
        <v>192</v>
      </c>
      <c r="B361" s="296" t="s">
        <v>718</v>
      </c>
      <c r="C361" s="725">
        <v>42154</v>
      </c>
      <c r="D361" s="726" t="s">
        <v>714</v>
      </c>
      <c r="E361" s="815">
        <v>60</v>
      </c>
      <c r="F361" s="816">
        <v>30</v>
      </c>
      <c r="G361" s="816">
        <v>28</v>
      </c>
      <c r="H361" s="807">
        <f t="shared" si="36"/>
        <v>1.1299999999999999</v>
      </c>
      <c r="I361" s="256">
        <v>177</v>
      </c>
      <c r="J361" s="710">
        <f t="shared" si="38"/>
        <v>200.01</v>
      </c>
      <c r="K361" s="710">
        <f t="shared" si="37"/>
        <v>8817.5960881936026</v>
      </c>
      <c r="L361" s="656"/>
      <c r="N361" s="705"/>
      <c r="O361" s="705"/>
      <c r="P361" s="705"/>
    </row>
    <row r="362" spans="1:16" ht="16.5" customHeight="1">
      <c r="A362" s="742">
        <f t="shared" si="39"/>
        <v>193</v>
      </c>
      <c r="B362" s="296" t="s">
        <v>602</v>
      </c>
      <c r="C362" s="725">
        <v>42154</v>
      </c>
      <c r="D362" s="726" t="s">
        <v>719</v>
      </c>
      <c r="E362" s="815">
        <v>46</v>
      </c>
      <c r="F362" s="816">
        <v>42</v>
      </c>
      <c r="G362" s="816">
        <v>24.5</v>
      </c>
      <c r="H362" s="807">
        <f t="shared" ref="H362:H425" si="40">IF(G362&lt;&gt;"",ROUND(((E362+F362)*2+5)*(F362+G362+3)/10000,2),ROUND(E362*F362/10000,2))</f>
        <v>1.26</v>
      </c>
      <c r="I362" s="256">
        <v>473</v>
      </c>
      <c r="J362" s="710">
        <f t="shared" si="38"/>
        <v>595.98</v>
      </c>
      <c r="K362" s="710">
        <f t="shared" ref="K362:K425" si="41">H362*$Q$211</f>
        <v>9832.0097974548135</v>
      </c>
      <c r="L362" s="656"/>
      <c r="N362" s="705"/>
      <c r="O362" s="705"/>
      <c r="P362" s="705"/>
    </row>
    <row r="363" spans="1:16" ht="16.5" customHeight="1">
      <c r="A363" s="742">
        <f t="shared" si="39"/>
        <v>194</v>
      </c>
      <c r="B363" s="296" t="s">
        <v>720</v>
      </c>
      <c r="C363" s="725">
        <v>42154</v>
      </c>
      <c r="D363" s="726" t="s">
        <v>721</v>
      </c>
      <c r="E363" s="815">
        <v>90</v>
      </c>
      <c r="F363" s="816">
        <v>194</v>
      </c>
      <c r="G363" s="816"/>
      <c r="H363" s="807">
        <f t="shared" si="40"/>
        <v>1.75</v>
      </c>
      <c r="I363" s="256">
        <v>50</v>
      </c>
      <c r="J363" s="710">
        <f t="shared" ref="J363:J426" si="42">H363*I363</f>
        <v>87.5</v>
      </c>
      <c r="K363" s="710">
        <f t="shared" si="41"/>
        <v>13655.569163131686</v>
      </c>
      <c r="L363" s="656"/>
      <c r="N363" s="705"/>
      <c r="O363" s="705"/>
      <c r="P363" s="705"/>
    </row>
    <row r="364" spans="1:16" ht="16.5" customHeight="1">
      <c r="A364" s="742">
        <f t="shared" ref="A364:A427" si="43">IF(B364&lt;&gt;"",ROW()-169,"")</f>
        <v>195</v>
      </c>
      <c r="B364" s="296" t="s">
        <v>722</v>
      </c>
      <c r="C364" s="725">
        <v>42154</v>
      </c>
      <c r="D364" s="726" t="s">
        <v>721</v>
      </c>
      <c r="E364" s="815">
        <v>90</v>
      </c>
      <c r="F364" s="816">
        <v>160</v>
      </c>
      <c r="G364" s="816"/>
      <c r="H364" s="807">
        <f t="shared" si="40"/>
        <v>1.44</v>
      </c>
      <c r="I364" s="256">
        <v>50</v>
      </c>
      <c r="J364" s="710">
        <f t="shared" si="42"/>
        <v>72</v>
      </c>
      <c r="K364" s="710">
        <f t="shared" si="41"/>
        <v>11236.582625662644</v>
      </c>
      <c r="L364" s="656"/>
      <c r="N364" s="705"/>
      <c r="O364" s="705"/>
      <c r="P364" s="705"/>
    </row>
    <row r="365" spans="1:16" ht="16.5" customHeight="1">
      <c r="A365" s="742">
        <f t="shared" si="43"/>
        <v>196</v>
      </c>
      <c r="B365" s="296" t="s">
        <v>723</v>
      </c>
      <c r="C365" s="725">
        <v>42154</v>
      </c>
      <c r="D365" s="726" t="s">
        <v>721</v>
      </c>
      <c r="E365" s="815">
        <v>125</v>
      </c>
      <c r="F365" s="816">
        <v>131</v>
      </c>
      <c r="G365" s="816"/>
      <c r="H365" s="807">
        <f t="shared" si="40"/>
        <v>1.64</v>
      </c>
      <c r="I365" s="256">
        <v>34</v>
      </c>
      <c r="J365" s="710">
        <f t="shared" si="42"/>
        <v>55.76</v>
      </c>
      <c r="K365" s="710">
        <f t="shared" si="41"/>
        <v>12797.219101449122</v>
      </c>
      <c r="L365" s="656"/>
      <c r="N365" s="705"/>
      <c r="O365" s="705"/>
      <c r="P365" s="705"/>
    </row>
    <row r="366" spans="1:16" ht="16.5" customHeight="1">
      <c r="A366" s="742">
        <f t="shared" si="43"/>
        <v>197</v>
      </c>
      <c r="B366" s="296" t="s">
        <v>724</v>
      </c>
      <c r="C366" s="725">
        <v>42154</v>
      </c>
      <c r="D366" s="726" t="s">
        <v>721</v>
      </c>
      <c r="E366" s="815">
        <v>125</v>
      </c>
      <c r="F366" s="816">
        <v>190</v>
      </c>
      <c r="G366" s="816"/>
      <c r="H366" s="807">
        <f t="shared" si="40"/>
        <v>2.38</v>
      </c>
      <c r="I366" s="256">
        <v>183</v>
      </c>
      <c r="J366" s="710">
        <f t="shared" si="42"/>
        <v>435.53999999999996</v>
      </c>
      <c r="K366" s="710">
        <f t="shared" si="41"/>
        <v>18571.57406185909</v>
      </c>
      <c r="L366" s="656"/>
      <c r="N366" s="705"/>
      <c r="O366" s="705"/>
      <c r="P366" s="705"/>
    </row>
    <row r="367" spans="1:16" ht="16.5" customHeight="1">
      <c r="A367" s="742">
        <f t="shared" si="43"/>
        <v>198</v>
      </c>
      <c r="B367" s="296" t="s">
        <v>725</v>
      </c>
      <c r="C367" s="725">
        <v>42154</v>
      </c>
      <c r="D367" s="726" t="s">
        <v>721</v>
      </c>
      <c r="E367" s="815">
        <v>145</v>
      </c>
      <c r="F367" s="816">
        <v>114</v>
      </c>
      <c r="G367" s="816"/>
      <c r="H367" s="807">
        <f t="shared" si="40"/>
        <v>1.65</v>
      </c>
      <c r="I367" s="256">
        <v>450</v>
      </c>
      <c r="J367" s="710">
        <f t="shared" si="42"/>
        <v>742.5</v>
      </c>
      <c r="K367" s="710">
        <f t="shared" si="41"/>
        <v>12875.250925238446</v>
      </c>
      <c r="L367" s="656"/>
      <c r="N367" s="705"/>
      <c r="O367" s="705"/>
      <c r="P367" s="705"/>
    </row>
    <row r="368" spans="1:16" ht="16.5" customHeight="1">
      <c r="A368" s="742">
        <f t="shared" si="43"/>
        <v>199</v>
      </c>
      <c r="B368" s="296" t="s">
        <v>726</v>
      </c>
      <c r="C368" s="725">
        <v>42154</v>
      </c>
      <c r="D368" s="726" t="s">
        <v>721</v>
      </c>
      <c r="E368" s="815">
        <v>90</v>
      </c>
      <c r="F368" s="816">
        <v>114</v>
      </c>
      <c r="G368" s="816"/>
      <c r="H368" s="807">
        <f t="shared" si="40"/>
        <v>1.03</v>
      </c>
      <c r="I368" s="256">
        <v>40</v>
      </c>
      <c r="J368" s="710">
        <f t="shared" si="42"/>
        <v>41.2</v>
      </c>
      <c r="K368" s="710">
        <f t="shared" si="41"/>
        <v>8037.2778503003638</v>
      </c>
      <c r="L368" s="656"/>
      <c r="N368" s="705"/>
      <c r="O368" s="705"/>
      <c r="P368" s="705"/>
    </row>
    <row r="369" spans="1:16" ht="16.5" customHeight="1">
      <c r="A369" s="742">
        <f t="shared" si="43"/>
        <v>200</v>
      </c>
      <c r="B369" s="296" t="s">
        <v>727</v>
      </c>
      <c r="C369" s="725">
        <v>42154</v>
      </c>
      <c r="D369" s="726" t="s">
        <v>721</v>
      </c>
      <c r="E369" s="815">
        <v>120</v>
      </c>
      <c r="F369" s="816">
        <v>82</v>
      </c>
      <c r="G369" s="816"/>
      <c r="H369" s="807">
        <f t="shared" si="40"/>
        <v>0.98</v>
      </c>
      <c r="I369" s="256">
        <v>167</v>
      </c>
      <c r="J369" s="710">
        <f t="shared" si="42"/>
        <v>163.66</v>
      </c>
      <c r="K369" s="710">
        <f t="shared" si="41"/>
        <v>7647.1187313537439</v>
      </c>
      <c r="L369" s="656"/>
      <c r="N369" s="705"/>
      <c r="O369" s="705"/>
      <c r="P369" s="705"/>
    </row>
    <row r="370" spans="1:16" ht="16.5" customHeight="1">
      <c r="A370" s="742">
        <f t="shared" si="43"/>
        <v>201</v>
      </c>
      <c r="B370" s="296" t="s">
        <v>728</v>
      </c>
      <c r="C370" s="725">
        <v>42154</v>
      </c>
      <c r="D370" s="726" t="s">
        <v>721</v>
      </c>
      <c r="E370" s="815">
        <v>80</v>
      </c>
      <c r="F370" s="816">
        <v>212</v>
      </c>
      <c r="G370" s="816"/>
      <c r="H370" s="807">
        <f t="shared" si="40"/>
        <v>1.7</v>
      </c>
      <c r="I370" s="256">
        <v>500</v>
      </c>
      <c r="J370" s="710">
        <f t="shared" si="42"/>
        <v>850</v>
      </c>
      <c r="K370" s="710">
        <f t="shared" si="41"/>
        <v>13265.410044185066</v>
      </c>
      <c r="L370" s="656"/>
      <c r="N370" s="705"/>
      <c r="O370" s="705"/>
      <c r="P370" s="705"/>
    </row>
    <row r="371" spans="1:16" ht="16.5" customHeight="1">
      <c r="A371" s="742">
        <f t="shared" si="43"/>
        <v>202</v>
      </c>
      <c r="B371" s="296" t="s">
        <v>729</v>
      </c>
      <c r="C371" s="725">
        <v>42154</v>
      </c>
      <c r="D371" s="726" t="s">
        <v>721</v>
      </c>
      <c r="E371" s="815">
        <v>75</v>
      </c>
      <c r="F371" s="816">
        <v>194</v>
      </c>
      <c r="G371" s="816"/>
      <c r="H371" s="807">
        <f t="shared" si="40"/>
        <v>1.46</v>
      </c>
      <c r="I371" s="256">
        <v>20</v>
      </c>
      <c r="J371" s="710">
        <f t="shared" si="42"/>
        <v>29.2</v>
      </c>
      <c r="K371" s="710">
        <f t="shared" si="41"/>
        <v>11392.646273241291</v>
      </c>
      <c r="L371" s="656"/>
      <c r="N371" s="705"/>
      <c r="O371" s="705"/>
      <c r="P371" s="705"/>
    </row>
    <row r="372" spans="1:16" ht="16.5" customHeight="1">
      <c r="A372" s="742">
        <f t="shared" si="43"/>
        <v>203</v>
      </c>
      <c r="B372" s="296" t="s">
        <v>730</v>
      </c>
      <c r="C372" s="725">
        <v>42154</v>
      </c>
      <c r="D372" s="726" t="s">
        <v>721</v>
      </c>
      <c r="E372" s="815">
        <v>100</v>
      </c>
      <c r="F372" s="816">
        <v>73</v>
      </c>
      <c r="G372" s="816"/>
      <c r="H372" s="807">
        <f t="shared" si="40"/>
        <v>0.73</v>
      </c>
      <c r="I372" s="256">
        <v>100</v>
      </c>
      <c r="J372" s="710">
        <f t="shared" si="42"/>
        <v>73</v>
      </c>
      <c r="K372" s="710">
        <f t="shared" si="41"/>
        <v>5696.3231366206455</v>
      </c>
      <c r="L372" s="656"/>
      <c r="N372" s="705"/>
      <c r="O372" s="705"/>
      <c r="P372" s="705"/>
    </row>
    <row r="373" spans="1:16" ht="16.5" customHeight="1">
      <c r="A373" s="742">
        <f t="shared" si="43"/>
        <v>204</v>
      </c>
      <c r="B373" s="296" t="s">
        <v>454</v>
      </c>
      <c r="C373" s="725">
        <v>42154</v>
      </c>
      <c r="D373" s="726" t="s">
        <v>732</v>
      </c>
      <c r="E373" s="815">
        <v>103</v>
      </c>
      <c r="F373" s="816">
        <v>50</v>
      </c>
      <c r="G373" s="816">
        <v>180</v>
      </c>
      <c r="H373" s="807">
        <f t="shared" si="40"/>
        <v>7.25</v>
      </c>
      <c r="I373" s="256">
        <v>295</v>
      </c>
      <c r="J373" s="710">
        <f t="shared" si="42"/>
        <v>2138.75</v>
      </c>
      <c r="K373" s="710">
        <f t="shared" si="41"/>
        <v>56573.072247259843</v>
      </c>
      <c r="L373" s="656"/>
      <c r="N373" s="705"/>
      <c r="O373" s="705"/>
      <c r="P373" s="705"/>
    </row>
    <row r="374" spans="1:16" ht="16.5" customHeight="1">
      <c r="A374" s="742">
        <f t="shared" si="43"/>
        <v>205</v>
      </c>
      <c r="B374" s="296" t="s">
        <v>734</v>
      </c>
      <c r="C374" s="725">
        <v>42155</v>
      </c>
      <c r="D374" s="726" t="s">
        <v>735</v>
      </c>
      <c r="E374" s="815">
        <v>161</v>
      </c>
      <c r="F374" s="816">
        <v>81</v>
      </c>
      <c r="G374" s="816">
        <v>60</v>
      </c>
      <c r="H374" s="807">
        <f t="shared" si="40"/>
        <v>7.04</v>
      </c>
      <c r="I374" s="256">
        <v>102</v>
      </c>
      <c r="J374" s="710">
        <f t="shared" si="42"/>
        <v>718.08</v>
      </c>
      <c r="K374" s="710">
        <f t="shared" si="41"/>
        <v>54934.403947684041</v>
      </c>
      <c r="L374" s="656"/>
      <c r="N374" s="705"/>
      <c r="O374" s="705"/>
      <c r="P374" s="705"/>
    </row>
    <row r="375" spans="1:16" ht="16.5" customHeight="1">
      <c r="A375" s="742">
        <f t="shared" si="43"/>
        <v>206</v>
      </c>
      <c r="B375" s="296" t="s">
        <v>736</v>
      </c>
      <c r="C375" s="725">
        <v>42155</v>
      </c>
      <c r="D375" s="726" t="s">
        <v>735</v>
      </c>
      <c r="E375" s="815">
        <v>47</v>
      </c>
      <c r="F375" s="816">
        <v>31</v>
      </c>
      <c r="G375" s="816">
        <v>31</v>
      </c>
      <c r="H375" s="807">
        <f t="shared" si="40"/>
        <v>1.05</v>
      </c>
      <c r="I375" s="256">
        <v>418</v>
      </c>
      <c r="J375" s="710">
        <f t="shared" si="42"/>
        <v>438.90000000000003</v>
      </c>
      <c r="K375" s="710">
        <f t="shared" si="41"/>
        <v>8193.3414978790115</v>
      </c>
      <c r="L375" s="656"/>
      <c r="N375" s="705"/>
      <c r="O375" s="705"/>
      <c r="P375" s="705"/>
    </row>
    <row r="376" spans="1:16" ht="16.5" customHeight="1">
      <c r="A376" s="742">
        <f t="shared" si="43"/>
        <v>207</v>
      </c>
      <c r="B376" s="296" t="s">
        <v>737</v>
      </c>
      <c r="C376" s="725">
        <v>42155</v>
      </c>
      <c r="D376" s="726" t="s">
        <v>735</v>
      </c>
      <c r="E376" s="815">
        <v>46</v>
      </c>
      <c r="F376" s="816">
        <v>46</v>
      </c>
      <c r="G376" s="816">
        <v>30</v>
      </c>
      <c r="H376" s="807">
        <f t="shared" si="40"/>
        <v>1.49</v>
      </c>
      <c r="I376" s="256">
        <v>28</v>
      </c>
      <c r="J376" s="710">
        <f t="shared" si="42"/>
        <v>41.72</v>
      </c>
      <c r="K376" s="710">
        <f t="shared" si="41"/>
        <v>11626.741744609264</v>
      </c>
      <c r="L376" s="656"/>
      <c r="N376" s="705"/>
      <c r="O376" s="705"/>
      <c r="P376" s="705"/>
    </row>
    <row r="377" spans="1:16" ht="16.5" customHeight="1">
      <c r="A377" s="742">
        <f t="shared" si="43"/>
        <v>208</v>
      </c>
      <c r="B377" s="296" t="s">
        <v>738</v>
      </c>
      <c r="C377" s="725">
        <v>42155</v>
      </c>
      <c r="D377" s="726" t="s">
        <v>735</v>
      </c>
      <c r="E377" s="815">
        <v>46</v>
      </c>
      <c r="F377" s="816">
        <v>39</v>
      </c>
      <c r="G377" s="816">
        <v>44</v>
      </c>
      <c r="H377" s="807">
        <f t="shared" si="40"/>
        <v>1.51</v>
      </c>
      <c r="I377" s="256">
        <v>25</v>
      </c>
      <c r="J377" s="710">
        <f t="shared" si="42"/>
        <v>37.75</v>
      </c>
      <c r="K377" s="710">
        <f t="shared" si="41"/>
        <v>11782.805392187911</v>
      </c>
      <c r="L377" s="656"/>
      <c r="N377" s="705"/>
      <c r="O377" s="705"/>
      <c r="P377" s="705"/>
    </row>
    <row r="378" spans="1:16" ht="16.5" customHeight="1">
      <c r="A378" s="742">
        <f t="shared" si="43"/>
        <v>209</v>
      </c>
      <c r="B378" s="296" t="s">
        <v>739</v>
      </c>
      <c r="C378" s="725">
        <v>42155</v>
      </c>
      <c r="D378" s="726" t="s">
        <v>740</v>
      </c>
      <c r="E378" s="815">
        <v>125</v>
      </c>
      <c r="F378" s="816">
        <v>125</v>
      </c>
      <c r="G378" s="816"/>
      <c r="H378" s="807">
        <f t="shared" si="40"/>
        <v>1.56</v>
      </c>
      <c r="I378" s="256">
        <v>400</v>
      </c>
      <c r="J378" s="710">
        <f t="shared" si="42"/>
        <v>624</v>
      </c>
      <c r="K378" s="710">
        <f t="shared" si="41"/>
        <v>12172.964511134531</v>
      </c>
      <c r="L378" s="656"/>
      <c r="N378" s="705"/>
      <c r="O378" s="705"/>
      <c r="P378" s="705"/>
    </row>
    <row r="379" spans="1:16" ht="16.5" customHeight="1">
      <c r="A379" s="742">
        <f t="shared" si="43"/>
        <v>210</v>
      </c>
      <c r="B379" s="296" t="s">
        <v>741</v>
      </c>
      <c r="C379" s="725">
        <v>42155</v>
      </c>
      <c r="D379" s="726" t="s">
        <v>740</v>
      </c>
      <c r="E379" s="815">
        <v>85</v>
      </c>
      <c r="F379" s="816">
        <v>116</v>
      </c>
      <c r="G379" s="816"/>
      <c r="H379" s="807">
        <f t="shared" si="40"/>
        <v>0.99</v>
      </c>
      <c r="I379" s="256">
        <v>100</v>
      </c>
      <c r="J379" s="710">
        <f t="shared" si="42"/>
        <v>99</v>
      </c>
      <c r="K379" s="710">
        <f t="shared" si="41"/>
        <v>7725.1505551430673</v>
      </c>
      <c r="L379" s="656"/>
      <c r="N379" s="705"/>
      <c r="O379" s="705"/>
      <c r="P379" s="705"/>
    </row>
    <row r="380" spans="1:16" ht="16.5" customHeight="1">
      <c r="A380" s="742">
        <f t="shared" si="43"/>
        <v>211</v>
      </c>
      <c r="B380" s="296" t="s">
        <v>742</v>
      </c>
      <c r="C380" s="725">
        <v>42155</v>
      </c>
      <c r="D380" s="726" t="s">
        <v>740</v>
      </c>
      <c r="E380" s="815">
        <v>140</v>
      </c>
      <c r="F380" s="816">
        <v>140</v>
      </c>
      <c r="G380" s="816"/>
      <c r="H380" s="807">
        <f t="shared" si="40"/>
        <v>1.96</v>
      </c>
      <c r="I380" s="256">
        <v>70</v>
      </c>
      <c r="J380" s="710">
        <f t="shared" si="42"/>
        <v>137.19999999999999</v>
      </c>
      <c r="K380" s="710">
        <f t="shared" si="41"/>
        <v>15294.237462707488</v>
      </c>
      <c r="L380" s="656"/>
      <c r="N380" s="705"/>
      <c r="O380" s="705"/>
      <c r="P380" s="705"/>
    </row>
    <row r="381" spans="1:16" ht="16.5" customHeight="1">
      <c r="A381" s="742">
        <f t="shared" si="43"/>
        <v>212</v>
      </c>
      <c r="B381" s="296" t="s">
        <v>743</v>
      </c>
      <c r="C381" s="725">
        <v>42155</v>
      </c>
      <c r="D381" s="726" t="s">
        <v>740</v>
      </c>
      <c r="E381" s="815">
        <v>110</v>
      </c>
      <c r="F381" s="816">
        <v>46</v>
      </c>
      <c r="G381" s="816"/>
      <c r="H381" s="807">
        <f t="shared" si="40"/>
        <v>0.51</v>
      </c>
      <c r="I381" s="256">
        <v>60</v>
      </c>
      <c r="J381" s="710">
        <f t="shared" si="42"/>
        <v>30.6</v>
      </c>
      <c r="K381" s="710">
        <f t="shared" si="41"/>
        <v>3979.6230132555197</v>
      </c>
      <c r="L381" s="656"/>
      <c r="N381" s="705"/>
      <c r="O381" s="705"/>
      <c r="P381" s="705"/>
    </row>
    <row r="382" spans="1:16" ht="16.5" customHeight="1">
      <c r="A382" s="742">
        <f t="shared" si="43"/>
        <v>213</v>
      </c>
      <c r="B382" s="296" t="s">
        <v>744</v>
      </c>
      <c r="C382" s="725">
        <v>42155</v>
      </c>
      <c r="D382" s="726" t="s">
        <v>740</v>
      </c>
      <c r="E382" s="815">
        <v>110</v>
      </c>
      <c r="F382" s="816">
        <v>122</v>
      </c>
      <c r="G382" s="816"/>
      <c r="H382" s="807">
        <f t="shared" si="40"/>
        <v>1.34</v>
      </c>
      <c r="I382" s="256">
        <v>27</v>
      </c>
      <c r="J382" s="710">
        <f t="shared" si="42"/>
        <v>36.18</v>
      </c>
      <c r="K382" s="710">
        <f t="shared" si="41"/>
        <v>10456.264387769406</v>
      </c>
      <c r="L382" s="656"/>
      <c r="N382" s="705"/>
      <c r="O382" s="705"/>
      <c r="P382" s="705"/>
    </row>
    <row r="383" spans="1:16" ht="16.5" customHeight="1">
      <c r="A383" s="742">
        <f t="shared" si="43"/>
        <v>214</v>
      </c>
      <c r="B383" s="296" t="s">
        <v>745</v>
      </c>
      <c r="C383" s="725">
        <v>42155</v>
      </c>
      <c r="D383" s="726" t="s">
        <v>740</v>
      </c>
      <c r="E383" s="815">
        <v>85</v>
      </c>
      <c r="F383" s="816">
        <v>125</v>
      </c>
      <c r="G383" s="816"/>
      <c r="H383" s="807">
        <f t="shared" si="40"/>
        <v>1.06</v>
      </c>
      <c r="I383" s="256">
        <v>200</v>
      </c>
      <c r="J383" s="710">
        <f t="shared" si="42"/>
        <v>212</v>
      </c>
      <c r="K383" s="710">
        <f t="shared" si="41"/>
        <v>8271.3733216683358</v>
      </c>
      <c r="L383" s="656"/>
      <c r="N383" s="705"/>
      <c r="O383" s="705"/>
      <c r="P383" s="705"/>
    </row>
    <row r="384" spans="1:16" ht="16.5" customHeight="1">
      <c r="A384" s="742">
        <f t="shared" si="43"/>
        <v>215</v>
      </c>
      <c r="B384" s="296" t="s">
        <v>746</v>
      </c>
      <c r="C384" s="725">
        <v>42155</v>
      </c>
      <c r="D384" s="726" t="s">
        <v>740</v>
      </c>
      <c r="E384" s="815">
        <v>125</v>
      </c>
      <c r="F384" s="816">
        <v>185</v>
      </c>
      <c r="G384" s="816"/>
      <c r="H384" s="807">
        <f t="shared" si="40"/>
        <v>2.31</v>
      </c>
      <c r="I384" s="256">
        <v>300</v>
      </c>
      <c r="J384" s="710">
        <f t="shared" si="42"/>
        <v>693</v>
      </c>
      <c r="K384" s="710">
        <f t="shared" si="41"/>
        <v>18025.351295333825</v>
      </c>
      <c r="L384" s="656"/>
      <c r="N384" s="705"/>
      <c r="O384" s="705"/>
      <c r="P384" s="705"/>
    </row>
    <row r="385" spans="1:16" ht="16.5" customHeight="1">
      <c r="A385" s="742">
        <f t="shared" si="43"/>
        <v>216</v>
      </c>
      <c r="B385" s="296" t="s">
        <v>747</v>
      </c>
      <c r="C385" s="725">
        <v>42155</v>
      </c>
      <c r="D385" s="726" t="s">
        <v>740</v>
      </c>
      <c r="E385" s="815">
        <v>73</v>
      </c>
      <c r="F385" s="816">
        <v>73</v>
      </c>
      <c r="G385" s="816"/>
      <c r="H385" s="807">
        <f t="shared" si="40"/>
        <v>0.53</v>
      </c>
      <c r="I385" s="256">
        <v>300</v>
      </c>
      <c r="J385" s="710">
        <f t="shared" si="42"/>
        <v>159</v>
      </c>
      <c r="K385" s="710">
        <f t="shared" si="41"/>
        <v>4135.6866608341679</v>
      </c>
      <c r="L385" s="656"/>
      <c r="N385" s="705"/>
      <c r="O385" s="705"/>
      <c r="P385" s="705"/>
    </row>
    <row r="386" spans="1:16" ht="16.5" customHeight="1">
      <c r="A386" s="742">
        <f t="shared" si="43"/>
        <v>217</v>
      </c>
      <c r="B386" s="296" t="s">
        <v>748</v>
      </c>
      <c r="C386" s="725">
        <v>42155</v>
      </c>
      <c r="D386" s="726" t="s">
        <v>740</v>
      </c>
      <c r="E386" s="815">
        <v>115</v>
      </c>
      <c r="F386" s="816">
        <v>163</v>
      </c>
      <c r="G386" s="816"/>
      <c r="H386" s="807">
        <f t="shared" si="40"/>
        <v>1.87</v>
      </c>
      <c r="I386" s="256">
        <v>100</v>
      </c>
      <c r="J386" s="710">
        <f t="shared" si="42"/>
        <v>187</v>
      </c>
      <c r="K386" s="710">
        <f t="shared" si="41"/>
        <v>14591.951048603572</v>
      </c>
      <c r="L386" s="656"/>
      <c r="N386" s="705"/>
      <c r="O386" s="705"/>
      <c r="P386" s="705"/>
    </row>
    <row r="387" spans="1:16" ht="16.5" customHeight="1">
      <c r="A387" s="742">
        <f t="shared" si="43"/>
        <v>218</v>
      </c>
      <c r="B387" s="296" t="s">
        <v>748</v>
      </c>
      <c r="C387" s="725">
        <v>42155</v>
      </c>
      <c r="D387" s="726" t="s">
        <v>740</v>
      </c>
      <c r="E387" s="815">
        <v>115</v>
      </c>
      <c r="F387" s="816">
        <v>163</v>
      </c>
      <c r="G387" s="816"/>
      <c r="H387" s="807">
        <f t="shared" si="40"/>
        <v>1.87</v>
      </c>
      <c r="I387" s="256">
        <v>125</v>
      </c>
      <c r="J387" s="710">
        <f t="shared" si="42"/>
        <v>233.75</v>
      </c>
      <c r="K387" s="710">
        <f t="shared" si="41"/>
        <v>14591.951048603572</v>
      </c>
      <c r="L387" s="656"/>
      <c r="N387" s="705"/>
      <c r="O387" s="705"/>
      <c r="P387" s="705"/>
    </row>
    <row r="388" spans="1:16" ht="16.5" customHeight="1">
      <c r="A388" s="742">
        <f t="shared" si="43"/>
        <v>219</v>
      </c>
      <c r="B388" s="296" t="s">
        <v>536</v>
      </c>
      <c r="C388" s="725">
        <v>42156</v>
      </c>
      <c r="D388" s="726" t="s">
        <v>749</v>
      </c>
      <c r="E388" s="815">
        <v>61</v>
      </c>
      <c r="F388" s="816">
        <v>51</v>
      </c>
      <c r="G388" s="816">
        <v>30</v>
      </c>
      <c r="H388" s="807">
        <f t="shared" si="40"/>
        <v>1.92</v>
      </c>
      <c r="I388" s="256">
        <v>300</v>
      </c>
      <c r="J388" s="710">
        <f t="shared" si="42"/>
        <v>576</v>
      </c>
      <c r="K388" s="710">
        <f t="shared" si="41"/>
        <v>14982.110167550192</v>
      </c>
      <c r="L388" s="656"/>
      <c r="N388" s="705"/>
      <c r="O388" s="705"/>
      <c r="P388" s="705"/>
    </row>
    <row r="389" spans="1:16" ht="16.5" customHeight="1">
      <c r="A389" s="742">
        <f t="shared" si="43"/>
        <v>220</v>
      </c>
      <c r="B389" s="296" t="s">
        <v>398</v>
      </c>
      <c r="C389" s="725">
        <v>42156</v>
      </c>
      <c r="D389" s="726" t="s">
        <v>749</v>
      </c>
      <c r="E389" s="815">
        <v>52</v>
      </c>
      <c r="F389" s="816">
        <v>24.5</v>
      </c>
      <c r="G389" s="816">
        <v>24.5</v>
      </c>
      <c r="H389" s="807">
        <f t="shared" si="40"/>
        <v>0.82</v>
      </c>
      <c r="I389" s="256">
        <v>907</v>
      </c>
      <c r="J389" s="710">
        <f t="shared" si="42"/>
        <v>743.74</v>
      </c>
      <c r="K389" s="710">
        <f t="shared" si="41"/>
        <v>6398.6095507245609</v>
      </c>
      <c r="L389" s="656"/>
      <c r="N389" s="705"/>
      <c r="O389" s="705"/>
      <c r="P389" s="705"/>
    </row>
    <row r="390" spans="1:16" ht="16.5" customHeight="1">
      <c r="A390" s="742">
        <f t="shared" si="43"/>
        <v>221</v>
      </c>
      <c r="B390" s="296" t="s">
        <v>682</v>
      </c>
      <c r="C390" s="725">
        <v>42157</v>
      </c>
      <c r="D390" s="726" t="s">
        <v>750</v>
      </c>
      <c r="E390" s="815">
        <v>33.700000000000003</v>
      </c>
      <c r="F390" s="816">
        <v>22.7</v>
      </c>
      <c r="G390" s="816">
        <v>19.3</v>
      </c>
      <c r="H390" s="807">
        <f t="shared" si="40"/>
        <v>0.53</v>
      </c>
      <c r="I390" s="256">
        <v>534</v>
      </c>
      <c r="J390" s="710">
        <f t="shared" si="42"/>
        <v>283.02000000000004</v>
      </c>
      <c r="K390" s="710">
        <f t="shared" si="41"/>
        <v>4135.6866608341679</v>
      </c>
      <c r="L390" s="656"/>
      <c r="N390" s="705"/>
      <c r="O390" s="705"/>
      <c r="P390" s="705"/>
    </row>
    <row r="391" spans="1:16" ht="16.5" customHeight="1">
      <c r="A391" s="742">
        <f t="shared" si="43"/>
        <v>222</v>
      </c>
      <c r="B391" s="296" t="s">
        <v>494</v>
      </c>
      <c r="C391" s="725">
        <v>42157</v>
      </c>
      <c r="D391" s="726" t="s">
        <v>750</v>
      </c>
      <c r="E391" s="815">
        <v>37.5</v>
      </c>
      <c r="F391" s="816">
        <v>25.3</v>
      </c>
      <c r="G391" s="816">
        <v>23.9</v>
      </c>
      <c r="H391" s="807">
        <f t="shared" si="40"/>
        <v>0.68</v>
      </c>
      <c r="I391" s="256">
        <v>504</v>
      </c>
      <c r="J391" s="710">
        <f t="shared" si="42"/>
        <v>342.72</v>
      </c>
      <c r="K391" s="710">
        <f t="shared" si="41"/>
        <v>5306.1640176740266</v>
      </c>
      <c r="L391" s="656"/>
      <c r="N391" s="705"/>
      <c r="O391" s="705"/>
      <c r="P391" s="705"/>
    </row>
    <row r="392" spans="1:16" ht="16.5" customHeight="1">
      <c r="A392" s="742">
        <f t="shared" si="43"/>
        <v>223</v>
      </c>
      <c r="B392" s="296" t="s">
        <v>494</v>
      </c>
      <c r="C392" s="725">
        <v>42157</v>
      </c>
      <c r="D392" s="726" t="s">
        <v>750</v>
      </c>
      <c r="E392" s="815">
        <v>37.5</v>
      </c>
      <c r="F392" s="816">
        <v>25.3</v>
      </c>
      <c r="G392" s="816">
        <v>23.9</v>
      </c>
      <c r="H392" s="807">
        <f t="shared" si="40"/>
        <v>0.68</v>
      </c>
      <c r="I392" s="256">
        <v>1060</v>
      </c>
      <c r="J392" s="710">
        <f t="shared" si="42"/>
        <v>720.80000000000007</v>
      </c>
      <c r="K392" s="710">
        <f t="shared" si="41"/>
        <v>5306.1640176740266</v>
      </c>
      <c r="L392" s="656"/>
      <c r="N392" s="705"/>
      <c r="O392" s="705"/>
      <c r="P392" s="705"/>
    </row>
    <row r="393" spans="1:16" ht="16.5" customHeight="1">
      <c r="A393" s="742">
        <f t="shared" si="43"/>
        <v>224</v>
      </c>
      <c r="B393" s="296" t="s">
        <v>494</v>
      </c>
      <c r="C393" s="725">
        <v>42157</v>
      </c>
      <c r="D393" s="726" t="s">
        <v>750</v>
      </c>
      <c r="E393" s="815">
        <v>37.5</v>
      </c>
      <c r="F393" s="816">
        <v>25.3</v>
      </c>
      <c r="G393" s="816">
        <v>23.9</v>
      </c>
      <c r="H393" s="807">
        <f t="shared" si="40"/>
        <v>0.68</v>
      </c>
      <c r="I393" s="256">
        <v>500</v>
      </c>
      <c r="J393" s="710">
        <f t="shared" si="42"/>
        <v>340</v>
      </c>
      <c r="K393" s="710">
        <f t="shared" si="41"/>
        <v>5306.1640176740266</v>
      </c>
      <c r="L393" s="656"/>
      <c r="N393" s="705"/>
      <c r="O393" s="705"/>
      <c r="P393" s="705"/>
    </row>
    <row r="394" spans="1:16" ht="16.5" customHeight="1">
      <c r="A394" s="742">
        <f t="shared" si="43"/>
        <v>225</v>
      </c>
      <c r="B394" s="296" t="s">
        <v>1731</v>
      </c>
      <c r="C394" s="725">
        <v>42157</v>
      </c>
      <c r="D394" s="726" t="s">
        <v>751</v>
      </c>
      <c r="E394" s="815">
        <v>46</v>
      </c>
      <c r="F394" s="816">
        <v>37</v>
      </c>
      <c r="G394" s="816"/>
      <c r="H394" s="807">
        <f t="shared" si="40"/>
        <v>0.17</v>
      </c>
      <c r="I394" s="256">
        <v>500</v>
      </c>
      <c r="J394" s="710">
        <f t="shared" si="42"/>
        <v>85</v>
      </c>
      <c r="K394" s="710">
        <f t="shared" si="41"/>
        <v>1326.5410044185066</v>
      </c>
      <c r="L394" s="656"/>
      <c r="N394" s="705"/>
      <c r="O394" s="705"/>
      <c r="P394" s="705"/>
    </row>
    <row r="395" spans="1:16" ht="16.5" customHeight="1">
      <c r="A395" s="742">
        <f t="shared" si="43"/>
        <v>226</v>
      </c>
      <c r="B395" s="296" t="s">
        <v>1690</v>
      </c>
      <c r="C395" s="725">
        <v>42157</v>
      </c>
      <c r="D395" s="726" t="s">
        <v>751</v>
      </c>
      <c r="E395" s="815">
        <v>42</v>
      </c>
      <c r="F395" s="816">
        <v>57</v>
      </c>
      <c r="G395" s="816"/>
      <c r="H395" s="807">
        <f t="shared" si="40"/>
        <v>0.24</v>
      </c>
      <c r="I395" s="256">
        <v>500</v>
      </c>
      <c r="J395" s="710">
        <f t="shared" si="42"/>
        <v>120</v>
      </c>
      <c r="K395" s="710">
        <f t="shared" si="41"/>
        <v>1872.763770943774</v>
      </c>
      <c r="L395" s="656"/>
      <c r="N395" s="705"/>
      <c r="O395" s="705"/>
      <c r="P395" s="705"/>
    </row>
    <row r="396" spans="1:16" ht="16.5" customHeight="1">
      <c r="A396" s="742">
        <f t="shared" si="43"/>
        <v>227</v>
      </c>
      <c r="B396" s="296" t="s">
        <v>752</v>
      </c>
      <c r="C396" s="725">
        <v>42157</v>
      </c>
      <c r="D396" s="726" t="s">
        <v>751</v>
      </c>
      <c r="E396" s="815">
        <v>29</v>
      </c>
      <c r="F396" s="816">
        <v>24</v>
      </c>
      <c r="G396" s="816">
        <v>27.5</v>
      </c>
      <c r="H396" s="807">
        <f t="shared" si="40"/>
        <v>0.6</v>
      </c>
      <c r="I396" s="256">
        <v>506</v>
      </c>
      <c r="J396" s="710">
        <f t="shared" si="42"/>
        <v>303.59999999999997</v>
      </c>
      <c r="K396" s="710">
        <f t="shared" si="41"/>
        <v>4681.9094273594346</v>
      </c>
      <c r="L396" s="656"/>
      <c r="N396" s="705"/>
      <c r="O396" s="705"/>
      <c r="P396" s="705"/>
    </row>
    <row r="397" spans="1:16" ht="16.5" customHeight="1">
      <c r="A397" s="742">
        <f t="shared" si="43"/>
        <v>228</v>
      </c>
      <c r="B397" s="296" t="s">
        <v>753</v>
      </c>
      <c r="C397" s="725">
        <v>42157</v>
      </c>
      <c r="D397" s="726" t="s">
        <v>751</v>
      </c>
      <c r="E397" s="815">
        <v>34.5</v>
      </c>
      <c r="F397" s="816">
        <v>24.5</v>
      </c>
      <c r="G397" s="816">
        <v>30</v>
      </c>
      <c r="H397" s="807">
        <f t="shared" si="40"/>
        <v>0.71</v>
      </c>
      <c r="I397" s="256">
        <v>512</v>
      </c>
      <c r="J397" s="710">
        <f t="shared" si="42"/>
        <v>363.52</v>
      </c>
      <c r="K397" s="710">
        <f t="shared" si="41"/>
        <v>5540.2594890419978</v>
      </c>
      <c r="L397" s="656"/>
      <c r="N397" s="705"/>
      <c r="O397" s="705"/>
      <c r="P397" s="705"/>
    </row>
    <row r="398" spans="1:16" ht="16.5" customHeight="1">
      <c r="A398" s="742">
        <f t="shared" si="43"/>
        <v>229</v>
      </c>
      <c r="B398" s="191" t="s">
        <v>1935</v>
      </c>
      <c r="C398" s="725">
        <v>42157</v>
      </c>
      <c r="D398" s="726" t="s">
        <v>754</v>
      </c>
      <c r="E398" s="815">
        <v>40</v>
      </c>
      <c r="F398" s="816">
        <v>30</v>
      </c>
      <c r="G398" s="816">
        <v>18.5</v>
      </c>
      <c r="H398" s="807">
        <f t="shared" si="40"/>
        <v>0.75</v>
      </c>
      <c r="I398" s="256">
        <v>1000</v>
      </c>
      <c r="J398" s="710">
        <f t="shared" si="42"/>
        <v>750</v>
      </c>
      <c r="K398" s="710">
        <f t="shared" si="41"/>
        <v>5852.3867841992942</v>
      </c>
      <c r="L398" s="656"/>
      <c r="N398" s="705"/>
      <c r="O398" s="705"/>
      <c r="P398" s="705"/>
    </row>
    <row r="399" spans="1:16" ht="16.5" customHeight="1">
      <c r="A399" s="742">
        <f t="shared" si="43"/>
        <v>230</v>
      </c>
      <c r="B399" s="296" t="s">
        <v>678</v>
      </c>
      <c r="C399" s="725">
        <v>42158</v>
      </c>
      <c r="D399" s="726" t="s">
        <v>757</v>
      </c>
      <c r="E399" s="815">
        <v>45</v>
      </c>
      <c r="F399" s="816">
        <v>34.5</v>
      </c>
      <c r="G399" s="816">
        <v>7.2</v>
      </c>
      <c r="H399" s="807">
        <f t="shared" si="40"/>
        <v>0.73</v>
      </c>
      <c r="I399" s="256">
        <v>303</v>
      </c>
      <c r="J399" s="710">
        <f t="shared" si="42"/>
        <v>221.19</v>
      </c>
      <c r="K399" s="710">
        <f t="shared" si="41"/>
        <v>5696.3231366206455</v>
      </c>
      <c r="L399" s="656"/>
      <c r="N399" s="705"/>
      <c r="O399" s="705"/>
      <c r="P399" s="705"/>
    </row>
    <row r="400" spans="1:16" ht="16.5" customHeight="1">
      <c r="A400" s="742">
        <f t="shared" si="43"/>
        <v>231</v>
      </c>
      <c r="B400" s="296" t="s">
        <v>441</v>
      </c>
      <c r="C400" s="725">
        <v>42158</v>
      </c>
      <c r="D400" s="726" t="s">
        <v>757</v>
      </c>
      <c r="E400" s="815">
        <v>22</v>
      </c>
      <c r="F400" s="816">
        <v>22</v>
      </c>
      <c r="G400" s="816">
        <v>29.5</v>
      </c>
      <c r="H400" s="807">
        <f t="shared" si="40"/>
        <v>0.51</v>
      </c>
      <c r="I400" s="256">
        <v>1016</v>
      </c>
      <c r="J400" s="710">
        <f t="shared" si="42"/>
        <v>518.16</v>
      </c>
      <c r="K400" s="710">
        <f t="shared" si="41"/>
        <v>3979.6230132555197</v>
      </c>
      <c r="L400" s="656"/>
      <c r="N400" s="705"/>
      <c r="O400" s="705"/>
      <c r="P400" s="705"/>
    </row>
    <row r="401" spans="1:16" ht="16.5" customHeight="1">
      <c r="A401" s="742">
        <f t="shared" si="43"/>
        <v>232</v>
      </c>
      <c r="B401" s="296" t="s">
        <v>758</v>
      </c>
      <c r="C401" s="725">
        <v>42158</v>
      </c>
      <c r="D401" s="726" t="s">
        <v>759</v>
      </c>
      <c r="E401" s="815">
        <v>40</v>
      </c>
      <c r="F401" s="816">
        <v>30.5</v>
      </c>
      <c r="G401" s="816">
        <v>13</v>
      </c>
      <c r="H401" s="807">
        <f t="shared" si="40"/>
        <v>0.68</v>
      </c>
      <c r="I401" s="256">
        <v>200</v>
      </c>
      <c r="J401" s="710">
        <f t="shared" si="42"/>
        <v>136</v>
      </c>
      <c r="K401" s="710">
        <f t="shared" si="41"/>
        <v>5306.1640176740266</v>
      </c>
      <c r="L401" s="656"/>
      <c r="N401" s="705"/>
      <c r="O401" s="705"/>
      <c r="P401" s="705"/>
    </row>
    <row r="402" spans="1:16" ht="16.5" customHeight="1">
      <c r="A402" s="742">
        <f t="shared" si="43"/>
        <v>233</v>
      </c>
      <c r="B402" s="296" t="s">
        <v>413</v>
      </c>
      <c r="C402" s="725">
        <v>42158</v>
      </c>
      <c r="D402" s="726" t="s">
        <v>759</v>
      </c>
      <c r="E402" s="815">
        <v>49</v>
      </c>
      <c r="F402" s="816">
        <v>38</v>
      </c>
      <c r="G402" s="816">
        <v>12</v>
      </c>
      <c r="H402" s="807">
        <f t="shared" si="40"/>
        <v>0.95</v>
      </c>
      <c r="I402" s="256">
        <v>500</v>
      </c>
      <c r="J402" s="710">
        <f t="shared" si="42"/>
        <v>475</v>
      </c>
      <c r="K402" s="710">
        <f t="shared" si="41"/>
        <v>7413.0232599857718</v>
      </c>
      <c r="L402" s="656"/>
      <c r="N402" s="705"/>
      <c r="O402" s="705"/>
      <c r="P402" s="705"/>
    </row>
    <row r="403" spans="1:16" ht="16.5" customHeight="1">
      <c r="A403" s="742">
        <f t="shared" si="43"/>
        <v>234</v>
      </c>
      <c r="B403" s="296" t="s">
        <v>760</v>
      </c>
      <c r="C403" s="725">
        <v>42159</v>
      </c>
      <c r="D403" s="726" t="s">
        <v>761</v>
      </c>
      <c r="E403" s="815">
        <v>52</v>
      </c>
      <c r="F403" s="816">
        <v>38</v>
      </c>
      <c r="G403" s="816">
        <v>28</v>
      </c>
      <c r="H403" s="807">
        <f t="shared" si="40"/>
        <v>1.28</v>
      </c>
      <c r="I403" s="256">
        <v>500</v>
      </c>
      <c r="J403" s="710">
        <f t="shared" si="42"/>
        <v>640</v>
      </c>
      <c r="K403" s="710">
        <f t="shared" si="41"/>
        <v>9988.0734450334621</v>
      </c>
      <c r="L403" s="656"/>
      <c r="N403" s="705"/>
      <c r="O403" s="705"/>
      <c r="P403" s="705"/>
    </row>
    <row r="404" spans="1:16" ht="16.5" customHeight="1">
      <c r="A404" s="742">
        <f t="shared" si="43"/>
        <v>235</v>
      </c>
      <c r="B404" s="296" t="s">
        <v>474</v>
      </c>
      <c r="C404" s="725">
        <v>42159</v>
      </c>
      <c r="D404" s="726" t="s">
        <v>763</v>
      </c>
      <c r="E404" s="815">
        <v>51</v>
      </c>
      <c r="F404" s="816">
        <v>37</v>
      </c>
      <c r="G404" s="816">
        <v>27</v>
      </c>
      <c r="H404" s="807">
        <f t="shared" si="40"/>
        <v>1.21</v>
      </c>
      <c r="I404" s="256">
        <v>330</v>
      </c>
      <c r="J404" s="710">
        <f t="shared" si="42"/>
        <v>399.3</v>
      </c>
      <c r="K404" s="710">
        <f t="shared" si="41"/>
        <v>9441.8506785081936</v>
      </c>
      <c r="L404" s="656"/>
      <c r="N404" s="705"/>
      <c r="O404" s="705"/>
      <c r="P404" s="705"/>
    </row>
    <row r="405" spans="1:16" ht="16.5" customHeight="1">
      <c r="A405" s="742">
        <f t="shared" si="43"/>
        <v>236</v>
      </c>
      <c r="B405" s="296" t="s">
        <v>765</v>
      </c>
      <c r="C405" s="725">
        <v>42161</v>
      </c>
      <c r="D405" s="726" t="s">
        <v>766</v>
      </c>
      <c r="E405" s="815">
        <v>110</v>
      </c>
      <c r="F405" s="816">
        <v>42</v>
      </c>
      <c r="G405" s="816">
        <v>35</v>
      </c>
      <c r="H405" s="807">
        <f t="shared" si="40"/>
        <v>2.4700000000000002</v>
      </c>
      <c r="I405" s="256">
        <v>70</v>
      </c>
      <c r="J405" s="710">
        <f t="shared" si="42"/>
        <v>172.9</v>
      </c>
      <c r="K405" s="710">
        <f t="shared" si="41"/>
        <v>19273.860475963011</v>
      </c>
      <c r="L405" s="656"/>
      <c r="N405" s="705"/>
      <c r="O405" s="705"/>
      <c r="P405" s="705"/>
    </row>
    <row r="406" spans="1:16" ht="16.5" customHeight="1">
      <c r="A406" s="742">
        <f t="shared" si="43"/>
        <v>237</v>
      </c>
      <c r="B406" s="296" t="s">
        <v>768</v>
      </c>
      <c r="C406" s="725">
        <v>42161</v>
      </c>
      <c r="D406" s="726" t="s">
        <v>766</v>
      </c>
      <c r="E406" s="815">
        <v>110</v>
      </c>
      <c r="F406" s="816">
        <v>45</v>
      </c>
      <c r="G406" s="816">
        <v>40</v>
      </c>
      <c r="H406" s="807">
        <f t="shared" si="40"/>
        <v>2.77</v>
      </c>
      <c r="I406" s="256">
        <v>92</v>
      </c>
      <c r="J406" s="710">
        <f t="shared" si="42"/>
        <v>254.84</v>
      </c>
      <c r="K406" s="710">
        <f t="shared" si="41"/>
        <v>21614.815189642726</v>
      </c>
      <c r="L406" s="656"/>
      <c r="N406" s="705"/>
      <c r="O406" s="705"/>
      <c r="P406" s="705"/>
    </row>
    <row r="407" spans="1:16" ht="16.5" customHeight="1">
      <c r="A407" s="742">
        <f t="shared" si="43"/>
        <v>238</v>
      </c>
      <c r="B407" s="296" t="s">
        <v>769</v>
      </c>
      <c r="C407" s="725">
        <v>42161</v>
      </c>
      <c r="D407" s="726" t="s">
        <v>766</v>
      </c>
      <c r="E407" s="815">
        <v>110</v>
      </c>
      <c r="F407" s="816">
        <v>50</v>
      </c>
      <c r="G407" s="816">
        <v>43</v>
      </c>
      <c r="H407" s="807">
        <f t="shared" si="40"/>
        <v>3.12</v>
      </c>
      <c r="I407" s="256">
        <v>67</v>
      </c>
      <c r="J407" s="710">
        <f t="shared" si="42"/>
        <v>209.04000000000002</v>
      </c>
      <c r="K407" s="710">
        <f t="shared" si="41"/>
        <v>24345.929022269062</v>
      </c>
      <c r="L407" s="656"/>
      <c r="N407" s="705"/>
      <c r="O407" s="705"/>
      <c r="P407" s="705"/>
    </row>
    <row r="408" spans="1:16" ht="16.5" customHeight="1">
      <c r="A408" s="742">
        <f t="shared" si="43"/>
        <v>239</v>
      </c>
      <c r="B408" s="296" t="s">
        <v>770</v>
      </c>
      <c r="C408" s="725">
        <v>42161</v>
      </c>
      <c r="D408" s="726" t="s">
        <v>766</v>
      </c>
      <c r="E408" s="815">
        <v>130</v>
      </c>
      <c r="F408" s="816">
        <v>36</v>
      </c>
      <c r="G408" s="816">
        <v>47</v>
      </c>
      <c r="H408" s="807">
        <f t="shared" si="40"/>
        <v>2.9</v>
      </c>
      <c r="I408" s="256">
        <v>100</v>
      </c>
      <c r="J408" s="710">
        <f t="shared" si="42"/>
        <v>290</v>
      </c>
      <c r="K408" s="710">
        <f t="shared" si="41"/>
        <v>22629.228898903933</v>
      </c>
      <c r="L408" s="656"/>
      <c r="N408" s="705"/>
      <c r="O408" s="705"/>
      <c r="P408" s="705"/>
    </row>
    <row r="409" spans="1:16" ht="16.5" customHeight="1">
      <c r="A409" s="742">
        <f t="shared" si="43"/>
        <v>240</v>
      </c>
      <c r="B409" s="296" t="s">
        <v>413</v>
      </c>
      <c r="C409" s="725">
        <v>42163</v>
      </c>
      <c r="D409" s="726" t="s">
        <v>771</v>
      </c>
      <c r="E409" s="815">
        <v>49</v>
      </c>
      <c r="F409" s="816">
        <v>38</v>
      </c>
      <c r="G409" s="816">
        <v>12</v>
      </c>
      <c r="H409" s="807">
        <f t="shared" si="40"/>
        <v>0.95</v>
      </c>
      <c r="I409" s="256">
        <v>309</v>
      </c>
      <c r="J409" s="710">
        <f t="shared" si="42"/>
        <v>293.55</v>
      </c>
      <c r="K409" s="710">
        <f t="shared" si="41"/>
        <v>7413.0232599857718</v>
      </c>
      <c r="L409" s="656"/>
      <c r="N409" s="705"/>
      <c r="O409" s="705"/>
      <c r="P409" s="705"/>
    </row>
    <row r="410" spans="1:16" ht="16.5" customHeight="1">
      <c r="A410" s="742">
        <f t="shared" si="43"/>
        <v>241</v>
      </c>
      <c r="B410" s="296" t="s">
        <v>413</v>
      </c>
      <c r="C410" s="725">
        <v>42163</v>
      </c>
      <c r="D410" s="726" t="s">
        <v>771</v>
      </c>
      <c r="E410" s="815">
        <v>49</v>
      </c>
      <c r="F410" s="816">
        <v>38</v>
      </c>
      <c r="G410" s="816">
        <v>12</v>
      </c>
      <c r="H410" s="807">
        <f t="shared" si="40"/>
        <v>0.95</v>
      </c>
      <c r="I410" s="256">
        <v>300</v>
      </c>
      <c r="J410" s="710">
        <f t="shared" si="42"/>
        <v>285</v>
      </c>
      <c r="K410" s="710">
        <f t="shared" si="41"/>
        <v>7413.0232599857718</v>
      </c>
      <c r="L410" s="656"/>
      <c r="N410" s="705"/>
      <c r="O410" s="705"/>
      <c r="P410" s="705"/>
    </row>
    <row r="411" spans="1:16" ht="16.5" customHeight="1">
      <c r="A411" s="742">
        <f t="shared" si="43"/>
        <v>242</v>
      </c>
      <c r="B411" s="296" t="s">
        <v>413</v>
      </c>
      <c r="C411" s="725">
        <v>42163</v>
      </c>
      <c r="D411" s="726" t="s">
        <v>771</v>
      </c>
      <c r="E411" s="815">
        <v>49</v>
      </c>
      <c r="F411" s="816">
        <v>38</v>
      </c>
      <c r="G411" s="816">
        <v>12</v>
      </c>
      <c r="H411" s="807">
        <f t="shared" si="40"/>
        <v>0.95</v>
      </c>
      <c r="I411" s="256">
        <v>300</v>
      </c>
      <c r="J411" s="710">
        <f t="shared" si="42"/>
        <v>285</v>
      </c>
      <c r="K411" s="710">
        <f t="shared" si="41"/>
        <v>7413.0232599857718</v>
      </c>
      <c r="L411" s="656"/>
      <c r="N411" s="705"/>
      <c r="O411" s="705"/>
      <c r="P411" s="705"/>
    </row>
    <row r="412" spans="1:16" ht="16.5" customHeight="1">
      <c r="A412" s="742">
        <f t="shared" si="43"/>
        <v>243</v>
      </c>
      <c r="B412" s="296" t="s">
        <v>772</v>
      </c>
      <c r="C412" s="725">
        <v>42163</v>
      </c>
      <c r="D412" s="726" t="s">
        <v>773</v>
      </c>
      <c r="E412" s="815">
        <v>35</v>
      </c>
      <c r="F412" s="816">
        <v>18</v>
      </c>
      <c r="G412" s="816">
        <v>22</v>
      </c>
      <c r="H412" s="807">
        <f t="shared" si="40"/>
        <v>0.48</v>
      </c>
      <c r="I412" s="256">
        <v>502</v>
      </c>
      <c r="J412" s="710">
        <f t="shared" si="42"/>
        <v>240.95999999999998</v>
      </c>
      <c r="K412" s="710">
        <f t="shared" si="41"/>
        <v>3745.5275418875481</v>
      </c>
      <c r="L412" s="656"/>
      <c r="N412" s="705"/>
      <c r="O412" s="705"/>
      <c r="P412" s="705"/>
    </row>
    <row r="413" spans="1:16" ht="16.5" customHeight="1">
      <c r="A413" s="742">
        <f t="shared" si="43"/>
        <v>244</v>
      </c>
      <c r="B413" s="296" t="s">
        <v>772</v>
      </c>
      <c r="C413" s="725">
        <v>42163</v>
      </c>
      <c r="D413" s="726" t="s">
        <v>773</v>
      </c>
      <c r="E413" s="815">
        <v>35</v>
      </c>
      <c r="F413" s="816">
        <v>18</v>
      </c>
      <c r="G413" s="816">
        <v>22</v>
      </c>
      <c r="H413" s="807">
        <f t="shared" si="40"/>
        <v>0.48</v>
      </c>
      <c r="I413" s="256">
        <v>516</v>
      </c>
      <c r="J413" s="710">
        <f t="shared" si="42"/>
        <v>247.67999999999998</v>
      </c>
      <c r="K413" s="710">
        <f t="shared" si="41"/>
        <v>3745.5275418875481</v>
      </c>
      <c r="L413" s="656"/>
      <c r="N413" s="705"/>
      <c r="O413" s="705"/>
      <c r="P413" s="705"/>
    </row>
    <row r="414" spans="1:16" ht="16.5" customHeight="1">
      <c r="A414" s="742">
        <f t="shared" si="43"/>
        <v>245</v>
      </c>
      <c r="B414" s="296" t="s">
        <v>494</v>
      </c>
      <c r="C414" s="725">
        <v>42167</v>
      </c>
      <c r="D414" s="726" t="s">
        <v>775</v>
      </c>
      <c r="E414" s="815">
        <v>37.5</v>
      </c>
      <c r="F414" s="816">
        <v>25.3</v>
      </c>
      <c r="G414" s="816">
        <v>23.9</v>
      </c>
      <c r="H414" s="807">
        <f t="shared" si="40"/>
        <v>0.68</v>
      </c>
      <c r="I414" s="256">
        <v>1080</v>
      </c>
      <c r="J414" s="710">
        <f t="shared" si="42"/>
        <v>734.40000000000009</v>
      </c>
      <c r="K414" s="710">
        <f t="shared" si="41"/>
        <v>5306.1640176740266</v>
      </c>
      <c r="L414" s="656"/>
      <c r="N414" s="705"/>
      <c r="O414" s="705"/>
      <c r="P414" s="705"/>
    </row>
    <row r="415" spans="1:16" ht="16.5" customHeight="1">
      <c r="A415" s="742">
        <f t="shared" si="43"/>
        <v>246</v>
      </c>
      <c r="B415" s="296" t="s">
        <v>474</v>
      </c>
      <c r="C415" s="725">
        <v>42170</v>
      </c>
      <c r="D415" s="726" t="s">
        <v>776</v>
      </c>
      <c r="E415" s="815">
        <v>51</v>
      </c>
      <c r="F415" s="816">
        <v>37</v>
      </c>
      <c r="G415" s="816">
        <v>27</v>
      </c>
      <c r="H415" s="807">
        <f t="shared" si="40"/>
        <v>1.21</v>
      </c>
      <c r="I415" s="256">
        <v>282</v>
      </c>
      <c r="J415" s="710">
        <f t="shared" si="42"/>
        <v>341.21999999999997</v>
      </c>
      <c r="K415" s="710">
        <f t="shared" si="41"/>
        <v>9441.8506785081936</v>
      </c>
      <c r="L415" s="656"/>
      <c r="N415" s="705"/>
      <c r="O415" s="705"/>
      <c r="P415" s="705"/>
    </row>
    <row r="416" spans="1:16" ht="16.5" customHeight="1">
      <c r="A416" s="742">
        <f t="shared" si="43"/>
        <v>247</v>
      </c>
      <c r="B416" s="296" t="s">
        <v>777</v>
      </c>
      <c r="C416" s="725">
        <v>42170</v>
      </c>
      <c r="D416" s="726" t="s">
        <v>778</v>
      </c>
      <c r="E416" s="815">
        <v>40.5</v>
      </c>
      <c r="F416" s="816">
        <v>27</v>
      </c>
      <c r="G416" s="816">
        <v>36.5</v>
      </c>
      <c r="H416" s="807">
        <f t="shared" si="40"/>
        <v>0.93</v>
      </c>
      <c r="I416" s="256">
        <v>500</v>
      </c>
      <c r="J416" s="710">
        <f t="shared" si="42"/>
        <v>465</v>
      </c>
      <c r="K416" s="710">
        <f t="shared" si="41"/>
        <v>7256.959612407125</v>
      </c>
      <c r="L416" s="656"/>
      <c r="N416" s="705"/>
      <c r="O416" s="705"/>
      <c r="P416" s="705"/>
    </row>
    <row r="417" spans="1:16" ht="16.5" customHeight="1">
      <c r="A417" s="742">
        <f t="shared" si="43"/>
        <v>248</v>
      </c>
      <c r="B417" s="296" t="s">
        <v>518</v>
      </c>
      <c r="C417" s="725">
        <v>42171</v>
      </c>
      <c r="D417" s="726" t="s">
        <v>780</v>
      </c>
      <c r="E417" s="815">
        <v>45</v>
      </c>
      <c r="F417" s="816">
        <v>35</v>
      </c>
      <c r="G417" s="816">
        <v>25</v>
      </c>
      <c r="H417" s="807">
        <f t="shared" si="40"/>
        <v>1.04</v>
      </c>
      <c r="I417" s="256">
        <v>205</v>
      </c>
      <c r="J417" s="710">
        <f t="shared" si="42"/>
        <v>213.20000000000002</v>
      </c>
      <c r="K417" s="710">
        <f t="shared" si="41"/>
        <v>8115.3096740896872</v>
      </c>
      <c r="L417" s="656"/>
      <c r="N417" s="705"/>
      <c r="O417" s="705"/>
      <c r="P417" s="705"/>
    </row>
    <row r="418" spans="1:16" ht="16.5" customHeight="1">
      <c r="A418" s="742">
        <f t="shared" si="43"/>
        <v>249</v>
      </c>
      <c r="B418" s="296" t="s">
        <v>1661</v>
      </c>
      <c r="C418" s="725">
        <v>42171</v>
      </c>
      <c r="D418" s="726" t="s">
        <v>780</v>
      </c>
      <c r="E418" s="815">
        <v>30</v>
      </c>
      <c r="F418" s="816">
        <v>20</v>
      </c>
      <c r="G418" s="816"/>
      <c r="H418" s="807">
        <f t="shared" si="40"/>
        <v>0.06</v>
      </c>
      <c r="I418" s="256">
        <v>205</v>
      </c>
      <c r="J418" s="710">
        <f t="shared" si="42"/>
        <v>12.299999999999999</v>
      </c>
      <c r="K418" s="710">
        <f t="shared" si="41"/>
        <v>468.19094273594351</v>
      </c>
      <c r="L418" s="656"/>
      <c r="N418" s="705"/>
      <c r="O418" s="705"/>
      <c r="P418" s="705"/>
    </row>
    <row r="419" spans="1:16" ht="16.5" customHeight="1">
      <c r="A419" s="742">
        <f t="shared" si="43"/>
        <v>250</v>
      </c>
      <c r="B419" s="296" t="s">
        <v>781</v>
      </c>
      <c r="C419" s="725">
        <v>42171</v>
      </c>
      <c r="D419" s="726" t="s">
        <v>782</v>
      </c>
      <c r="E419" s="815">
        <v>57</v>
      </c>
      <c r="F419" s="816">
        <v>36</v>
      </c>
      <c r="G419" s="816">
        <v>34</v>
      </c>
      <c r="H419" s="807">
        <f t="shared" si="40"/>
        <v>1.39</v>
      </c>
      <c r="I419" s="256">
        <v>308</v>
      </c>
      <c r="J419" s="710">
        <f t="shared" si="42"/>
        <v>428.11999999999995</v>
      </c>
      <c r="K419" s="710">
        <f t="shared" si="41"/>
        <v>10846.423506716024</v>
      </c>
      <c r="L419" s="656"/>
      <c r="N419" s="705"/>
      <c r="O419" s="705"/>
      <c r="P419" s="705"/>
    </row>
    <row r="420" spans="1:16" ht="16.5" customHeight="1">
      <c r="A420" s="742">
        <f t="shared" si="43"/>
        <v>251</v>
      </c>
      <c r="B420" s="296" t="s">
        <v>784</v>
      </c>
      <c r="C420" s="725">
        <v>42172</v>
      </c>
      <c r="D420" s="726" t="s">
        <v>785</v>
      </c>
      <c r="E420" s="815">
        <v>101</v>
      </c>
      <c r="F420" s="816">
        <v>20</v>
      </c>
      <c r="G420" s="816">
        <v>20</v>
      </c>
      <c r="H420" s="807">
        <f t="shared" si="40"/>
        <v>1.06</v>
      </c>
      <c r="I420" s="256">
        <v>286</v>
      </c>
      <c r="J420" s="710">
        <f t="shared" si="42"/>
        <v>303.16000000000003</v>
      </c>
      <c r="K420" s="710">
        <f t="shared" si="41"/>
        <v>8271.3733216683358</v>
      </c>
      <c r="L420" s="656"/>
      <c r="N420" s="705"/>
      <c r="O420" s="705"/>
      <c r="P420" s="705"/>
    </row>
    <row r="421" spans="1:16" ht="16.5" customHeight="1">
      <c r="A421" s="742">
        <f t="shared" si="43"/>
        <v>252</v>
      </c>
      <c r="B421" s="296" t="s">
        <v>1732</v>
      </c>
      <c r="C421" s="725">
        <v>42172</v>
      </c>
      <c r="D421" s="726" t="s">
        <v>787</v>
      </c>
      <c r="E421" s="815">
        <v>80</v>
      </c>
      <c r="F421" s="816">
        <v>173</v>
      </c>
      <c r="G421" s="816"/>
      <c r="H421" s="807">
        <f t="shared" si="40"/>
        <v>1.38</v>
      </c>
      <c r="I421" s="256">
        <v>80</v>
      </c>
      <c r="J421" s="710">
        <f t="shared" si="42"/>
        <v>110.39999999999999</v>
      </c>
      <c r="K421" s="710">
        <f t="shared" si="41"/>
        <v>10768.3916829267</v>
      </c>
      <c r="L421" s="656"/>
      <c r="N421" s="705"/>
      <c r="O421" s="705"/>
      <c r="P421" s="705"/>
    </row>
    <row r="422" spans="1:16" ht="16.5" customHeight="1">
      <c r="A422" s="742">
        <f t="shared" si="43"/>
        <v>253</v>
      </c>
      <c r="B422" s="296" t="s">
        <v>1733</v>
      </c>
      <c r="C422" s="725">
        <v>42172</v>
      </c>
      <c r="D422" s="726" t="s">
        <v>787</v>
      </c>
      <c r="E422" s="815">
        <v>140</v>
      </c>
      <c r="F422" s="816">
        <v>180</v>
      </c>
      <c r="G422" s="816"/>
      <c r="H422" s="807">
        <f t="shared" si="40"/>
        <v>2.52</v>
      </c>
      <c r="I422" s="256">
        <v>74</v>
      </c>
      <c r="J422" s="710">
        <f t="shared" si="42"/>
        <v>186.48</v>
      </c>
      <c r="K422" s="710">
        <f t="shared" si="41"/>
        <v>19664.019594909627</v>
      </c>
      <c r="L422" s="656"/>
      <c r="N422" s="705"/>
      <c r="O422" s="705"/>
      <c r="P422" s="705"/>
    </row>
    <row r="423" spans="1:16" ht="16.5" customHeight="1">
      <c r="A423" s="742">
        <f t="shared" si="43"/>
        <v>254</v>
      </c>
      <c r="B423" s="296" t="s">
        <v>1734</v>
      </c>
      <c r="C423" s="725">
        <v>42172</v>
      </c>
      <c r="D423" s="726" t="s">
        <v>787</v>
      </c>
      <c r="E423" s="815">
        <v>125</v>
      </c>
      <c r="F423" s="816">
        <v>140</v>
      </c>
      <c r="G423" s="816"/>
      <c r="H423" s="807">
        <f t="shared" si="40"/>
        <v>1.75</v>
      </c>
      <c r="I423" s="256">
        <v>205</v>
      </c>
      <c r="J423" s="710">
        <f t="shared" si="42"/>
        <v>358.75</v>
      </c>
      <c r="K423" s="710">
        <f t="shared" si="41"/>
        <v>13655.569163131686</v>
      </c>
      <c r="L423" s="656"/>
      <c r="N423" s="705"/>
      <c r="O423" s="705"/>
      <c r="P423" s="705"/>
    </row>
    <row r="424" spans="1:16" ht="16.5" customHeight="1">
      <c r="A424" s="742">
        <f t="shared" si="43"/>
        <v>255</v>
      </c>
      <c r="B424" s="296" t="s">
        <v>1735</v>
      </c>
      <c r="C424" s="725">
        <v>42172</v>
      </c>
      <c r="D424" s="726" t="s">
        <v>788</v>
      </c>
      <c r="E424" s="815">
        <v>75</v>
      </c>
      <c r="F424" s="816">
        <v>115</v>
      </c>
      <c r="G424" s="816"/>
      <c r="H424" s="807">
        <f t="shared" si="40"/>
        <v>0.86</v>
      </c>
      <c r="I424" s="256">
        <v>100</v>
      </c>
      <c r="J424" s="710">
        <f t="shared" si="42"/>
        <v>86</v>
      </c>
      <c r="K424" s="710">
        <f t="shared" si="41"/>
        <v>6710.7368458818564</v>
      </c>
      <c r="L424" s="656"/>
      <c r="N424" s="705"/>
      <c r="O424" s="705"/>
      <c r="P424" s="705"/>
    </row>
    <row r="425" spans="1:16" ht="16.5" customHeight="1">
      <c r="A425" s="742">
        <f t="shared" si="43"/>
        <v>256</v>
      </c>
      <c r="B425" s="296" t="s">
        <v>741</v>
      </c>
      <c r="C425" s="725">
        <v>42172</v>
      </c>
      <c r="D425" s="726" t="s">
        <v>788</v>
      </c>
      <c r="E425" s="815">
        <v>85</v>
      </c>
      <c r="F425" s="816">
        <v>116</v>
      </c>
      <c r="G425" s="816"/>
      <c r="H425" s="807">
        <f t="shared" si="40"/>
        <v>0.99</v>
      </c>
      <c r="I425" s="256">
        <v>200</v>
      </c>
      <c r="J425" s="710">
        <f t="shared" si="42"/>
        <v>198</v>
      </c>
      <c r="K425" s="710">
        <f t="shared" si="41"/>
        <v>7725.1505551430673</v>
      </c>
      <c r="L425" s="656"/>
      <c r="N425" s="705"/>
      <c r="O425" s="705"/>
      <c r="P425" s="705"/>
    </row>
    <row r="426" spans="1:16" ht="16.5" customHeight="1">
      <c r="A426" s="742">
        <f t="shared" si="43"/>
        <v>257</v>
      </c>
      <c r="B426" s="296" t="s">
        <v>692</v>
      </c>
      <c r="C426" s="725">
        <v>42172</v>
      </c>
      <c r="D426" s="726" t="s">
        <v>788</v>
      </c>
      <c r="E426" s="815">
        <v>105</v>
      </c>
      <c r="F426" s="816">
        <v>170</v>
      </c>
      <c r="G426" s="816"/>
      <c r="H426" s="807">
        <f t="shared" ref="H426:H489" si="44">IF(G426&lt;&gt;"",ROUND(((E426+F426)*2+5)*(F426+G426+3)/10000,2),ROUND(E426*F426/10000,2))</f>
        <v>1.79</v>
      </c>
      <c r="I426" s="256">
        <v>75</v>
      </c>
      <c r="J426" s="710">
        <f t="shared" si="42"/>
        <v>134.25</v>
      </c>
      <c r="K426" s="710">
        <f t="shared" ref="K426:K489" si="45">H426*$Q$211</f>
        <v>13967.696458288981</v>
      </c>
      <c r="L426" s="656"/>
      <c r="N426" s="705"/>
      <c r="O426" s="705"/>
      <c r="P426" s="705"/>
    </row>
    <row r="427" spans="1:16" ht="16.5" customHeight="1">
      <c r="A427" s="742">
        <f t="shared" si="43"/>
        <v>258</v>
      </c>
      <c r="B427" s="296" t="s">
        <v>692</v>
      </c>
      <c r="C427" s="725">
        <v>42172</v>
      </c>
      <c r="D427" s="726" t="s">
        <v>788</v>
      </c>
      <c r="E427" s="815">
        <v>105</v>
      </c>
      <c r="F427" s="816">
        <v>170</v>
      </c>
      <c r="G427" s="816"/>
      <c r="H427" s="807">
        <f t="shared" si="44"/>
        <v>1.79</v>
      </c>
      <c r="I427" s="256">
        <v>30</v>
      </c>
      <c r="J427" s="710">
        <f t="shared" ref="J427:J490" si="46">H427*I427</f>
        <v>53.7</v>
      </c>
      <c r="K427" s="710">
        <f t="shared" si="45"/>
        <v>13967.696458288981</v>
      </c>
      <c r="L427" s="656"/>
      <c r="N427" s="705"/>
      <c r="O427" s="705"/>
      <c r="P427" s="705"/>
    </row>
    <row r="428" spans="1:16" ht="16.5" customHeight="1">
      <c r="A428" s="742">
        <f t="shared" ref="A428:A491" si="47">IF(B428&lt;&gt;"",ROW()-169,"")</f>
        <v>259</v>
      </c>
      <c r="B428" s="296" t="s">
        <v>1704</v>
      </c>
      <c r="C428" s="725">
        <v>42172</v>
      </c>
      <c r="D428" s="726" t="s">
        <v>788</v>
      </c>
      <c r="E428" s="815">
        <v>105</v>
      </c>
      <c r="F428" s="816">
        <v>158</v>
      </c>
      <c r="G428" s="816"/>
      <c r="H428" s="807">
        <f t="shared" si="44"/>
        <v>1.66</v>
      </c>
      <c r="I428" s="256">
        <v>25</v>
      </c>
      <c r="J428" s="710">
        <f t="shared" si="46"/>
        <v>41.5</v>
      </c>
      <c r="K428" s="710">
        <f t="shared" si="45"/>
        <v>12953.282749027769</v>
      </c>
      <c r="L428" s="656"/>
      <c r="N428" s="705"/>
      <c r="O428" s="705"/>
      <c r="P428" s="705"/>
    </row>
    <row r="429" spans="1:16" ht="16.5" customHeight="1">
      <c r="A429" s="742">
        <f t="shared" si="47"/>
        <v>260</v>
      </c>
      <c r="B429" s="296" t="s">
        <v>1736</v>
      </c>
      <c r="C429" s="725">
        <v>42172</v>
      </c>
      <c r="D429" s="726" t="s">
        <v>788</v>
      </c>
      <c r="E429" s="815">
        <v>100</v>
      </c>
      <c r="F429" s="756">
        <v>180</v>
      </c>
      <c r="G429" s="756"/>
      <c r="H429" s="807">
        <f t="shared" si="44"/>
        <v>1.8</v>
      </c>
      <c r="I429" s="256">
        <v>40</v>
      </c>
      <c r="J429" s="710">
        <f t="shared" si="46"/>
        <v>72</v>
      </c>
      <c r="K429" s="710">
        <f t="shared" si="45"/>
        <v>14045.728282078306</v>
      </c>
      <c r="L429" s="656"/>
      <c r="N429" s="705"/>
      <c r="O429" s="705"/>
      <c r="P429" s="705"/>
    </row>
    <row r="430" spans="1:16" ht="16.5" customHeight="1">
      <c r="A430" s="742">
        <f t="shared" si="47"/>
        <v>261</v>
      </c>
      <c r="B430" s="296" t="s">
        <v>695</v>
      </c>
      <c r="C430" s="725">
        <v>42172</v>
      </c>
      <c r="D430" s="726" t="s">
        <v>788</v>
      </c>
      <c r="E430" s="815">
        <v>105</v>
      </c>
      <c r="F430" s="816">
        <v>168</v>
      </c>
      <c r="G430" s="816"/>
      <c r="H430" s="807">
        <f t="shared" si="44"/>
        <v>1.76</v>
      </c>
      <c r="I430" s="256">
        <v>25</v>
      </c>
      <c r="J430" s="710">
        <f t="shared" si="46"/>
        <v>44</v>
      </c>
      <c r="K430" s="710">
        <f t="shared" si="45"/>
        <v>13733.60098692101</v>
      </c>
      <c r="L430" s="656"/>
      <c r="N430" s="705"/>
      <c r="O430" s="705"/>
      <c r="P430" s="705"/>
    </row>
    <row r="431" spans="1:16" ht="16.5" customHeight="1">
      <c r="A431" s="742">
        <f t="shared" si="47"/>
        <v>262</v>
      </c>
      <c r="B431" s="296" t="s">
        <v>1737</v>
      </c>
      <c r="C431" s="725">
        <v>42172</v>
      </c>
      <c r="D431" s="726" t="s">
        <v>788</v>
      </c>
      <c r="E431" s="815">
        <v>85</v>
      </c>
      <c r="F431" s="816">
        <v>194</v>
      </c>
      <c r="G431" s="816"/>
      <c r="H431" s="807">
        <f t="shared" si="44"/>
        <v>1.65</v>
      </c>
      <c r="I431" s="256">
        <v>50</v>
      </c>
      <c r="J431" s="710">
        <f t="shared" si="46"/>
        <v>82.5</v>
      </c>
      <c r="K431" s="710">
        <f t="shared" si="45"/>
        <v>12875.250925238446</v>
      </c>
      <c r="L431" s="656"/>
      <c r="N431" s="705"/>
      <c r="O431" s="705"/>
      <c r="P431" s="705"/>
    </row>
    <row r="432" spans="1:16" ht="16.5" customHeight="1">
      <c r="A432" s="742">
        <f t="shared" si="47"/>
        <v>263</v>
      </c>
      <c r="B432" s="296" t="s">
        <v>1738</v>
      </c>
      <c r="C432" s="725">
        <v>42172</v>
      </c>
      <c r="D432" s="726" t="s">
        <v>788</v>
      </c>
      <c r="E432" s="815">
        <v>105</v>
      </c>
      <c r="F432" s="756">
        <v>126</v>
      </c>
      <c r="G432" s="756"/>
      <c r="H432" s="807">
        <f t="shared" si="44"/>
        <v>1.32</v>
      </c>
      <c r="I432" s="256">
        <v>25</v>
      </c>
      <c r="J432" s="710">
        <f t="shared" si="46"/>
        <v>33</v>
      </c>
      <c r="K432" s="710">
        <f t="shared" si="45"/>
        <v>10300.200740190758</v>
      </c>
      <c r="L432" s="656"/>
      <c r="N432" s="705"/>
      <c r="O432" s="705"/>
      <c r="P432" s="705"/>
    </row>
    <row r="433" spans="1:16" ht="16.5" customHeight="1">
      <c r="A433" s="742">
        <f t="shared" si="47"/>
        <v>264</v>
      </c>
      <c r="B433" s="296" t="s">
        <v>1705</v>
      </c>
      <c r="C433" s="725">
        <v>42172</v>
      </c>
      <c r="D433" s="726" t="s">
        <v>788</v>
      </c>
      <c r="E433" s="815">
        <v>85</v>
      </c>
      <c r="F433" s="756">
        <v>107</v>
      </c>
      <c r="G433" s="756"/>
      <c r="H433" s="807">
        <f t="shared" si="44"/>
        <v>0.91</v>
      </c>
      <c r="I433" s="256">
        <v>100</v>
      </c>
      <c r="J433" s="710">
        <f t="shared" si="46"/>
        <v>91</v>
      </c>
      <c r="K433" s="710">
        <f t="shared" si="45"/>
        <v>7100.8959648284763</v>
      </c>
      <c r="L433" s="656"/>
      <c r="N433" s="705"/>
      <c r="O433" s="705"/>
      <c r="P433" s="705"/>
    </row>
    <row r="434" spans="1:16" ht="16.5" customHeight="1">
      <c r="A434" s="742">
        <f t="shared" si="47"/>
        <v>265</v>
      </c>
      <c r="B434" s="296" t="s">
        <v>1739</v>
      </c>
      <c r="C434" s="725">
        <v>42173</v>
      </c>
      <c r="D434" s="726" t="s">
        <v>789</v>
      </c>
      <c r="E434" s="815">
        <v>100</v>
      </c>
      <c r="F434" s="756">
        <v>134</v>
      </c>
      <c r="G434" s="756"/>
      <c r="H434" s="807">
        <f t="shared" si="44"/>
        <v>1.34</v>
      </c>
      <c r="I434" s="256">
        <v>17</v>
      </c>
      <c r="J434" s="710">
        <f t="shared" si="46"/>
        <v>22.78</v>
      </c>
      <c r="K434" s="710">
        <f t="shared" si="45"/>
        <v>10456.264387769406</v>
      </c>
      <c r="L434" s="656"/>
      <c r="N434" s="705"/>
      <c r="O434" s="705"/>
      <c r="P434" s="705"/>
    </row>
    <row r="435" spans="1:16" ht="16.5" customHeight="1">
      <c r="A435" s="742">
        <f t="shared" si="47"/>
        <v>266</v>
      </c>
      <c r="B435" s="296" t="s">
        <v>1715</v>
      </c>
      <c r="C435" s="725">
        <v>42173</v>
      </c>
      <c r="D435" s="726" t="s">
        <v>789</v>
      </c>
      <c r="E435" s="815">
        <v>80</v>
      </c>
      <c r="F435" s="816">
        <v>186</v>
      </c>
      <c r="G435" s="816"/>
      <c r="H435" s="807">
        <f t="shared" si="44"/>
        <v>1.49</v>
      </c>
      <c r="I435" s="256">
        <v>200</v>
      </c>
      <c r="J435" s="710">
        <f t="shared" si="46"/>
        <v>298</v>
      </c>
      <c r="K435" s="710">
        <f t="shared" si="45"/>
        <v>11626.741744609264</v>
      </c>
      <c r="L435" s="656"/>
      <c r="N435" s="705"/>
      <c r="O435" s="705"/>
      <c r="P435" s="705"/>
    </row>
    <row r="436" spans="1:16" ht="16.5" customHeight="1">
      <c r="A436" s="742">
        <f t="shared" si="47"/>
        <v>267</v>
      </c>
      <c r="B436" s="296" t="s">
        <v>1740</v>
      </c>
      <c r="C436" s="725">
        <v>42173</v>
      </c>
      <c r="D436" s="726" t="s">
        <v>789</v>
      </c>
      <c r="E436" s="815">
        <v>80</v>
      </c>
      <c r="F436" s="816">
        <v>148</v>
      </c>
      <c r="G436" s="816"/>
      <c r="H436" s="807">
        <f t="shared" si="44"/>
        <v>1.18</v>
      </c>
      <c r="I436" s="256">
        <v>85</v>
      </c>
      <c r="J436" s="710">
        <f t="shared" si="46"/>
        <v>100.3</v>
      </c>
      <c r="K436" s="710">
        <f t="shared" si="45"/>
        <v>9207.7552071402224</v>
      </c>
      <c r="L436" s="656"/>
      <c r="N436" s="705"/>
      <c r="O436" s="705"/>
      <c r="P436" s="705"/>
    </row>
    <row r="437" spans="1:16" ht="16.5" customHeight="1">
      <c r="A437" s="742">
        <f t="shared" si="47"/>
        <v>268</v>
      </c>
      <c r="B437" s="296" t="s">
        <v>687</v>
      </c>
      <c r="C437" s="725">
        <v>42173</v>
      </c>
      <c r="D437" s="726" t="s">
        <v>789</v>
      </c>
      <c r="E437" s="815">
        <v>95</v>
      </c>
      <c r="F437" s="816">
        <v>138</v>
      </c>
      <c r="G437" s="816"/>
      <c r="H437" s="807">
        <f t="shared" si="44"/>
        <v>1.31</v>
      </c>
      <c r="I437" s="256">
        <v>360</v>
      </c>
      <c r="J437" s="710">
        <f t="shared" si="46"/>
        <v>471.6</v>
      </c>
      <c r="K437" s="710">
        <f t="shared" si="45"/>
        <v>10222.168916401433</v>
      </c>
      <c r="L437" s="656"/>
      <c r="N437" s="705"/>
      <c r="O437" s="705"/>
      <c r="P437" s="705"/>
    </row>
    <row r="438" spans="1:16" ht="16.5" customHeight="1">
      <c r="A438" s="742">
        <f t="shared" si="47"/>
        <v>269</v>
      </c>
      <c r="B438" s="296" t="s">
        <v>1741</v>
      </c>
      <c r="C438" s="725">
        <v>42173</v>
      </c>
      <c r="D438" s="726" t="s">
        <v>789</v>
      </c>
      <c r="E438" s="815">
        <v>85</v>
      </c>
      <c r="F438" s="816">
        <v>130</v>
      </c>
      <c r="G438" s="816"/>
      <c r="H438" s="807">
        <f t="shared" si="44"/>
        <v>1.1100000000000001</v>
      </c>
      <c r="I438" s="256">
        <v>25</v>
      </c>
      <c r="J438" s="710">
        <f t="shared" si="46"/>
        <v>27.750000000000004</v>
      </c>
      <c r="K438" s="710">
        <f t="shared" si="45"/>
        <v>8661.5324406149557</v>
      </c>
      <c r="L438" s="656"/>
      <c r="N438" s="705"/>
      <c r="O438" s="705"/>
      <c r="P438" s="705"/>
    </row>
    <row r="439" spans="1:16" ht="16.5" customHeight="1">
      <c r="A439" s="742">
        <f t="shared" si="47"/>
        <v>270</v>
      </c>
      <c r="B439" s="296" t="s">
        <v>668</v>
      </c>
      <c r="C439" s="725">
        <v>42173</v>
      </c>
      <c r="D439" s="726" t="s">
        <v>789</v>
      </c>
      <c r="E439" s="815">
        <v>115</v>
      </c>
      <c r="F439" s="816">
        <v>194</v>
      </c>
      <c r="G439" s="816"/>
      <c r="H439" s="807">
        <f t="shared" si="44"/>
        <v>2.23</v>
      </c>
      <c r="I439" s="256">
        <v>50</v>
      </c>
      <c r="J439" s="710">
        <f t="shared" si="46"/>
        <v>111.5</v>
      </c>
      <c r="K439" s="710">
        <f t="shared" si="45"/>
        <v>17401.096705019234</v>
      </c>
      <c r="L439" s="656"/>
      <c r="N439" s="705"/>
      <c r="O439" s="705"/>
      <c r="P439" s="705"/>
    </row>
    <row r="440" spans="1:16" ht="16.5" customHeight="1">
      <c r="A440" s="742">
        <f t="shared" si="47"/>
        <v>271</v>
      </c>
      <c r="B440" s="296" t="s">
        <v>690</v>
      </c>
      <c r="C440" s="725">
        <v>42173</v>
      </c>
      <c r="D440" s="726" t="s">
        <v>789</v>
      </c>
      <c r="E440" s="815">
        <v>130</v>
      </c>
      <c r="F440" s="816">
        <v>154</v>
      </c>
      <c r="G440" s="816"/>
      <c r="H440" s="807">
        <f t="shared" si="44"/>
        <v>2</v>
      </c>
      <c r="I440" s="256">
        <v>30</v>
      </c>
      <c r="J440" s="710">
        <f t="shared" si="46"/>
        <v>60</v>
      </c>
      <c r="K440" s="710">
        <f t="shared" si="45"/>
        <v>15606.364757864783</v>
      </c>
      <c r="L440" s="656"/>
      <c r="N440" s="705"/>
      <c r="O440" s="705"/>
      <c r="P440" s="705"/>
    </row>
    <row r="441" spans="1:16" ht="16.5" customHeight="1">
      <c r="A441" s="742">
        <f t="shared" si="47"/>
        <v>272</v>
      </c>
      <c r="B441" s="296" t="s">
        <v>1742</v>
      </c>
      <c r="C441" s="725">
        <v>42173</v>
      </c>
      <c r="D441" s="726" t="s">
        <v>789</v>
      </c>
      <c r="E441" s="815">
        <v>85</v>
      </c>
      <c r="F441" s="816">
        <v>156</v>
      </c>
      <c r="G441" s="816"/>
      <c r="H441" s="807">
        <f t="shared" si="44"/>
        <v>1.33</v>
      </c>
      <c r="I441" s="256">
        <v>25</v>
      </c>
      <c r="J441" s="710">
        <f t="shared" si="46"/>
        <v>33.25</v>
      </c>
      <c r="K441" s="710">
        <f t="shared" si="45"/>
        <v>10378.232563980082</v>
      </c>
      <c r="L441" s="656"/>
      <c r="N441" s="705"/>
      <c r="O441" s="705"/>
      <c r="P441" s="705"/>
    </row>
    <row r="442" spans="1:16" ht="16.5" customHeight="1">
      <c r="A442" s="742">
        <f t="shared" si="47"/>
        <v>273</v>
      </c>
      <c r="B442" s="296" t="s">
        <v>742</v>
      </c>
      <c r="C442" s="725">
        <v>42173</v>
      </c>
      <c r="D442" s="726" t="s">
        <v>789</v>
      </c>
      <c r="E442" s="815">
        <v>140</v>
      </c>
      <c r="F442" s="816">
        <v>140</v>
      </c>
      <c r="G442" s="816"/>
      <c r="H442" s="807">
        <f t="shared" si="44"/>
        <v>1.96</v>
      </c>
      <c r="I442" s="256">
        <v>50</v>
      </c>
      <c r="J442" s="710">
        <f t="shared" si="46"/>
        <v>98</v>
      </c>
      <c r="K442" s="710">
        <f t="shared" si="45"/>
        <v>15294.237462707488</v>
      </c>
      <c r="L442" s="656"/>
      <c r="N442" s="705"/>
      <c r="O442" s="705"/>
      <c r="P442" s="705"/>
    </row>
    <row r="443" spans="1:16" ht="16.5" customHeight="1">
      <c r="A443" s="742">
        <f t="shared" si="47"/>
        <v>274</v>
      </c>
      <c r="B443" s="296" t="s">
        <v>1743</v>
      </c>
      <c r="C443" s="725">
        <v>42173</v>
      </c>
      <c r="D443" s="726" t="s">
        <v>789</v>
      </c>
      <c r="E443" s="815">
        <v>100</v>
      </c>
      <c r="F443" s="816">
        <v>86</v>
      </c>
      <c r="G443" s="816"/>
      <c r="H443" s="807">
        <f t="shared" si="44"/>
        <v>0.86</v>
      </c>
      <c r="I443" s="256">
        <v>85</v>
      </c>
      <c r="J443" s="710">
        <f t="shared" si="46"/>
        <v>73.099999999999994</v>
      </c>
      <c r="K443" s="710">
        <f t="shared" si="45"/>
        <v>6710.7368458818564</v>
      </c>
      <c r="L443" s="656"/>
      <c r="N443" s="705"/>
      <c r="O443" s="705"/>
      <c r="P443" s="705"/>
    </row>
    <row r="444" spans="1:16" ht="16.5" customHeight="1">
      <c r="A444" s="742">
        <f t="shared" si="47"/>
        <v>275</v>
      </c>
      <c r="B444" s="296" t="s">
        <v>403</v>
      </c>
      <c r="C444" s="725">
        <v>42173</v>
      </c>
      <c r="D444" s="726" t="s">
        <v>790</v>
      </c>
      <c r="E444" s="815">
        <v>43</v>
      </c>
      <c r="F444" s="816">
        <v>31</v>
      </c>
      <c r="G444" s="816">
        <v>25</v>
      </c>
      <c r="H444" s="807">
        <f t="shared" si="44"/>
        <v>0.9</v>
      </c>
      <c r="I444" s="256">
        <v>1206</v>
      </c>
      <c r="J444" s="710">
        <f t="shared" si="46"/>
        <v>1085.4000000000001</v>
      </c>
      <c r="K444" s="710">
        <f t="shared" si="45"/>
        <v>7022.8641410391529</v>
      </c>
      <c r="L444" s="656"/>
      <c r="N444" s="705"/>
      <c r="O444" s="705"/>
      <c r="P444" s="705"/>
    </row>
    <row r="445" spans="1:16" ht="16.5" customHeight="1">
      <c r="A445" s="742">
        <f t="shared" si="47"/>
        <v>276</v>
      </c>
      <c r="B445" s="296" t="s">
        <v>791</v>
      </c>
      <c r="C445" s="725">
        <v>42174</v>
      </c>
      <c r="D445" s="726" t="s">
        <v>792</v>
      </c>
      <c r="E445" s="815">
        <v>53</v>
      </c>
      <c r="F445" s="816">
        <v>42.5</v>
      </c>
      <c r="G445" s="816">
        <v>15</v>
      </c>
      <c r="H445" s="807">
        <f t="shared" si="44"/>
        <v>1.19</v>
      </c>
      <c r="I445" s="256">
        <v>252</v>
      </c>
      <c r="J445" s="710">
        <f t="shared" si="46"/>
        <v>299.88</v>
      </c>
      <c r="K445" s="710">
        <f t="shared" si="45"/>
        <v>9285.7870309295449</v>
      </c>
      <c r="L445" s="656"/>
      <c r="N445" s="705"/>
      <c r="O445" s="705"/>
      <c r="P445" s="705"/>
    </row>
    <row r="446" spans="1:16" ht="16.5" customHeight="1">
      <c r="A446" s="742">
        <f t="shared" si="47"/>
        <v>277</v>
      </c>
      <c r="B446" s="296" t="s">
        <v>1667</v>
      </c>
      <c r="C446" s="725">
        <v>42174</v>
      </c>
      <c r="D446" s="726" t="s">
        <v>792</v>
      </c>
      <c r="E446" s="815">
        <v>51</v>
      </c>
      <c r="F446" s="816">
        <v>41</v>
      </c>
      <c r="G446" s="816"/>
      <c r="H446" s="807">
        <f t="shared" si="44"/>
        <v>0.21</v>
      </c>
      <c r="I446" s="256">
        <v>504</v>
      </c>
      <c r="J446" s="710">
        <f t="shared" si="46"/>
        <v>105.83999999999999</v>
      </c>
      <c r="K446" s="710">
        <f t="shared" si="45"/>
        <v>1638.6682995758022</v>
      </c>
      <c r="L446" s="656"/>
      <c r="N446" s="705"/>
      <c r="O446" s="705"/>
      <c r="P446" s="705"/>
    </row>
    <row r="447" spans="1:16" ht="16.5" customHeight="1">
      <c r="A447" s="742">
        <f t="shared" si="47"/>
        <v>278</v>
      </c>
      <c r="B447" s="296" t="s">
        <v>646</v>
      </c>
      <c r="C447" s="725">
        <v>42174</v>
      </c>
      <c r="D447" s="726" t="s">
        <v>792</v>
      </c>
      <c r="E447" s="815">
        <v>41</v>
      </c>
      <c r="F447" s="816">
        <v>36.5</v>
      </c>
      <c r="G447" s="816">
        <v>15</v>
      </c>
      <c r="H447" s="807">
        <f t="shared" si="44"/>
        <v>0.87</v>
      </c>
      <c r="I447" s="256">
        <v>100</v>
      </c>
      <c r="J447" s="710">
        <f t="shared" si="46"/>
        <v>87</v>
      </c>
      <c r="K447" s="710">
        <f t="shared" si="45"/>
        <v>6788.7686696711808</v>
      </c>
      <c r="L447" s="656"/>
      <c r="N447" s="705"/>
      <c r="O447" s="705"/>
      <c r="P447" s="705"/>
    </row>
    <row r="448" spans="1:16" ht="16.5" customHeight="1">
      <c r="A448" s="742">
        <f t="shared" si="47"/>
        <v>279</v>
      </c>
      <c r="B448" s="296" t="s">
        <v>1668</v>
      </c>
      <c r="C448" s="725">
        <v>42174</v>
      </c>
      <c r="D448" s="726" t="s">
        <v>792</v>
      </c>
      <c r="E448" s="815">
        <v>39</v>
      </c>
      <c r="F448" s="816">
        <v>35</v>
      </c>
      <c r="G448" s="816"/>
      <c r="H448" s="807">
        <f t="shared" si="44"/>
        <v>0.14000000000000001</v>
      </c>
      <c r="I448" s="256">
        <v>200</v>
      </c>
      <c r="J448" s="710">
        <f t="shared" si="46"/>
        <v>28.000000000000004</v>
      </c>
      <c r="K448" s="710">
        <f t="shared" si="45"/>
        <v>1092.445533050535</v>
      </c>
      <c r="L448" s="656"/>
      <c r="N448" s="705"/>
      <c r="O448" s="705"/>
      <c r="P448" s="705"/>
    </row>
    <row r="449" spans="1:16" ht="16.5" customHeight="1">
      <c r="A449" s="742">
        <f t="shared" si="47"/>
        <v>280</v>
      </c>
      <c r="B449" s="296" t="s">
        <v>794</v>
      </c>
      <c r="C449" s="725">
        <v>42174</v>
      </c>
      <c r="D449" s="726" t="s">
        <v>792</v>
      </c>
      <c r="E449" s="815">
        <v>56</v>
      </c>
      <c r="F449" s="816">
        <v>36</v>
      </c>
      <c r="G449" s="816">
        <v>22</v>
      </c>
      <c r="H449" s="807">
        <f t="shared" si="44"/>
        <v>1.1499999999999999</v>
      </c>
      <c r="I449" s="256">
        <v>160</v>
      </c>
      <c r="J449" s="710">
        <f t="shared" si="46"/>
        <v>184</v>
      </c>
      <c r="K449" s="710">
        <f t="shared" si="45"/>
        <v>8973.6597357722494</v>
      </c>
      <c r="L449" s="656"/>
      <c r="N449" s="705"/>
      <c r="O449" s="705"/>
      <c r="P449" s="705"/>
    </row>
    <row r="450" spans="1:16" ht="16.5" customHeight="1">
      <c r="A450" s="742">
        <f t="shared" si="47"/>
        <v>281</v>
      </c>
      <c r="B450" s="296" t="s">
        <v>1669</v>
      </c>
      <c r="C450" s="725">
        <v>42174</v>
      </c>
      <c r="D450" s="726" t="s">
        <v>792</v>
      </c>
      <c r="E450" s="815">
        <v>54</v>
      </c>
      <c r="F450" s="816">
        <v>34</v>
      </c>
      <c r="G450" s="816"/>
      <c r="H450" s="807">
        <f t="shared" si="44"/>
        <v>0.18</v>
      </c>
      <c r="I450" s="256">
        <v>320</v>
      </c>
      <c r="J450" s="710">
        <f t="shared" si="46"/>
        <v>57.599999999999994</v>
      </c>
      <c r="K450" s="710">
        <f t="shared" si="45"/>
        <v>1404.5728282078305</v>
      </c>
      <c r="L450" s="656"/>
      <c r="N450" s="705"/>
      <c r="O450" s="705"/>
      <c r="P450" s="705"/>
    </row>
    <row r="451" spans="1:16" ht="16.5" customHeight="1">
      <c r="A451" s="742">
        <f t="shared" si="47"/>
        <v>282</v>
      </c>
      <c r="B451" s="296" t="s">
        <v>795</v>
      </c>
      <c r="C451" s="725">
        <v>42174</v>
      </c>
      <c r="D451" s="726" t="s">
        <v>792</v>
      </c>
      <c r="E451" s="815">
        <v>57.5</v>
      </c>
      <c r="F451" s="816">
        <v>49</v>
      </c>
      <c r="G451" s="816">
        <v>15</v>
      </c>
      <c r="H451" s="807">
        <f t="shared" si="44"/>
        <v>1.46</v>
      </c>
      <c r="I451" s="256">
        <v>160</v>
      </c>
      <c r="J451" s="710">
        <f t="shared" si="46"/>
        <v>233.6</v>
      </c>
      <c r="K451" s="710">
        <f t="shared" si="45"/>
        <v>11392.646273241291</v>
      </c>
      <c r="L451" s="656"/>
      <c r="N451" s="705"/>
      <c r="O451" s="705"/>
      <c r="P451" s="705"/>
    </row>
    <row r="452" spans="1:16" ht="16.5" customHeight="1">
      <c r="A452" s="742">
        <f t="shared" si="47"/>
        <v>283</v>
      </c>
      <c r="B452" s="296" t="s">
        <v>1670</v>
      </c>
      <c r="C452" s="725">
        <v>42174</v>
      </c>
      <c r="D452" s="726" t="s">
        <v>792</v>
      </c>
      <c r="E452" s="815">
        <v>56</v>
      </c>
      <c r="F452" s="816">
        <v>47</v>
      </c>
      <c r="G452" s="816"/>
      <c r="H452" s="807">
        <f t="shared" si="44"/>
        <v>0.26</v>
      </c>
      <c r="I452" s="256">
        <v>320</v>
      </c>
      <c r="J452" s="710">
        <f t="shared" si="46"/>
        <v>83.2</v>
      </c>
      <c r="K452" s="710">
        <f t="shared" si="45"/>
        <v>2028.8274185224218</v>
      </c>
      <c r="L452" s="656"/>
      <c r="N452" s="705"/>
      <c r="O452" s="705"/>
      <c r="P452" s="705"/>
    </row>
    <row r="453" spans="1:16" ht="16.5" customHeight="1">
      <c r="A453" s="742">
        <f t="shared" si="47"/>
        <v>284</v>
      </c>
      <c r="B453" s="296" t="s">
        <v>696</v>
      </c>
      <c r="C453" s="725">
        <v>42174</v>
      </c>
      <c r="D453" s="726" t="s">
        <v>796</v>
      </c>
      <c r="E453" s="815">
        <v>140</v>
      </c>
      <c r="F453" s="816">
        <v>122</v>
      </c>
      <c r="G453" s="816"/>
      <c r="H453" s="807">
        <f t="shared" si="44"/>
        <v>1.71</v>
      </c>
      <c r="I453" s="256">
        <v>1050</v>
      </c>
      <c r="J453" s="710">
        <f t="shared" si="46"/>
        <v>1795.5</v>
      </c>
      <c r="K453" s="710">
        <f t="shared" si="45"/>
        <v>13343.44186797439</v>
      </c>
      <c r="L453" s="656"/>
      <c r="N453" s="705"/>
      <c r="O453" s="705"/>
      <c r="P453" s="705"/>
    </row>
    <row r="454" spans="1:16" ht="16.5" customHeight="1">
      <c r="A454" s="742">
        <f t="shared" si="47"/>
        <v>285</v>
      </c>
      <c r="B454" s="296" t="s">
        <v>1733</v>
      </c>
      <c r="C454" s="725">
        <v>42174</v>
      </c>
      <c r="D454" s="726" t="s">
        <v>796</v>
      </c>
      <c r="E454" s="815">
        <v>140</v>
      </c>
      <c r="F454" s="816">
        <v>180</v>
      </c>
      <c r="G454" s="816"/>
      <c r="H454" s="807">
        <f t="shared" si="44"/>
        <v>2.52</v>
      </c>
      <c r="I454" s="256">
        <v>200</v>
      </c>
      <c r="J454" s="710">
        <f t="shared" si="46"/>
        <v>504</v>
      </c>
      <c r="K454" s="710">
        <f t="shared" si="45"/>
        <v>19664.019594909627</v>
      </c>
      <c r="L454" s="656"/>
      <c r="N454" s="705"/>
      <c r="O454" s="705"/>
      <c r="P454" s="705"/>
    </row>
    <row r="455" spans="1:16" ht="16.5" customHeight="1">
      <c r="A455" s="742">
        <f t="shared" si="47"/>
        <v>286</v>
      </c>
      <c r="B455" s="296" t="s">
        <v>797</v>
      </c>
      <c r="C455" s="725">
        <v>42174</v>
      </c>
      <c r="D455" s="726" t="s">
        <v>798</v>
      </c>
      <c r="E455" s="815">
        <v>60</v>
      </c>
      <c r="F455" s="816">
        <v>52</v>
      </c>
      <c r="G455" s="816">
        <v>52</v>
      </c>
      <c r="H455" s="807">
        <f t="shared" si="44"/>
        <v>2.4500000000000002</v>
      </c>
      <c r="I455" s="256">
        <v>29</v>
      </c>
      <c r="J455" s="710">
        <f t="shared" si="46"/>
        <v>71.050000000000011</v>
      </c>
      <c r="K455" s="710">
        <f t="shared" si="45"/>
        <v>19117.796828384362</v>
      </c>
      <c r="L455" s="656"/>
      <c r="N455" s="705"/>
      <c r="O455" s="705"/>
      <c r="P455" s="705"/>
    </row>
    <row r="456" spans="1:16" ht="16.5" customHeight="1">
      <c r="A456" s="742">
        <f t="shared" si="47"/>
        <v>287</v>
      </c>
      <c r="B456" s="296" t="s">
        <v>800</v>
      </c>
      <c r="C456" s="725">
        <v>42174</v>
      </c>
      <c r="D456" s="726" t="s">
        <v>798</v>
      </c>
      <c r="E456" s="815">
        <v>60</v>
      </c>
      <c r="F456" s="816">
        <v>60</v>
      </c>
      <c r="G456" s="816">
        <v>62</v>
      </c>
      <c r="H456" s="807">
        <f t="shared" si="44"/>
        <v>3.06</v>
      </c>
      <c r="I456" s="256">
        <v>30</v>
      </c>
      <c r="J456" s="710">
        <f t="shared" si="46"/>
        <v>91.8</v>
      </c>
      <c r="K456" s="710">
        <f t="shared" si="45"/>
        <v>23877.738079533119</v>
      </c>
      <c r="L456" s="656"/>
      <c r="N456" s="705"/>
      <c r="O456" s="705"/>
      <c r="P456" s="705"/>
    </row>
    <row r="457" spans="1:16" ht="16.5" customHeight="1">
      <c r="A457" s="742">
        <f t="shared" si="47"/>
        <v>288</v>
      </c>
      <c r="B457" s="296" t="s">
        <v>801</v>
      </c>
      <c r="C457" s="725">
        <v>42174</v>
      </c>
      <c r="D457" s="726" t="s">
        <v>798</v>
      </c>
      <c r="E457" s="815">
        <v>60</v>
      </c>
      <c r="F457" s="816">
        <v>50</v>
      </c>
      <c r="G457" s="816">
        <v>60</v>
      </c>
      <c r="H457" s="807">
        <f t="shared" si="44"/>
        <v>2.54</v>
      </c>
      <c r="I457" s="256">
        <v>30</v>
      </c>
      <c r="J457" s="710">
        <f t="shared" si="46"/>
        <v>76.2</v>
      </c>
      <c r="K457" s="710">
        <f t="shared" si="45"/>
        <v>19820.083242488276</v>
      </c>
      <c r="L457" s="656"/>
      <c r="N457" s="705"/>
      <c r="O457" s="705"/>
      <c r="P457" s="705"/>
    </row>
    <row r="458" spans="1:16" ht="16.5" customHeight="1">
      <c r="A458" s="742">
        <f t="shared" si="47"/>
        <v>289</v>
      </c>
      <c r="B458" s="296" t="s">
        <v>802</v>
      </c>
      <c r="C458" s="725">
        <v>42174</v>
      </c>
      <c r="D458" s="726" t="s">
        <v>798</v>
      </c>
      <c r="E458" s="815">
        <v>76</v>
      </c>
      <c r="F458" s="816">
        <v>6</v>
      </c>
      <c r="G458" s="816">
        <v>49</v>
      </c>
      <c r="H458" s="807">
        <f t="shared" si="44"/>
        <v>0.98</v>
      </c>
      <c r="I458" s="256">
        <v>104</v>
      </c>
      <c r="J458" s="710">
        <f t="shared" si="46"/>
        <v>101.92</v>
      </c>
      <c r="K458" s="710">
        <f t="shared" si="45"/>
        <v>7647.1187313537439</v>
      </c>
      <c r="L458" s="656"/>
      <c r="N458" s="705"/>
      <c r="O458" s="705"/>
      <c r="P458" s="705"/>
    </row>
    <row r="459" spans="1:16" ht="16.5" customHeight="1">
      <c r="A459" s="742">
        <f t="shared" si="47"/>
        <v>290</v>
      </c>
      <c r="B459" s="296" t="s">
        <v>741</v>
      </c>
      <c r="C459" s="725">
        <v>42174</v>
      </c>
      <c r="D459" s="726" t="s">
        <v>798</v>
      </c>
      <c r="E459" s="815">
        <v>85</v>
      </c>
      <c r="F459" s="816">
        <v>116</v>
      </c>
      <c r="G459" s="816"/>
      <c r="H459" s="807">
        <f t="shared" si="44"/>
        <v>0.99</v>
      </c>
      <c r="I459" s="256">
        <v>263</v>
      </c>
      <c r="J459" s="710">
        <f t="shared" si="46"/>
        <v>260.37</v>
      </c>
      <c r="K459" s="710">
        <f t="shared" si="45"/>
        <v>7725.1505551430673</v>
      </c>
      <c r="L459" s="656"/>
      <c r="N459" s="705"/>
      <c r="O459" s="705"/>
      <c r="P459" s="705"/>
    </row>
    <row r="460" spans="1:16" ht="16.5" customHeight="1">
      <c r="A460" s="742">
        <f t="shared" si="47"/>
        <v>291</v>
      </c>
      <c r="B460" s="296" t="s">
        <v>803</v>
      </c>
      <c r="C460" s="725">
        <v>42174</v>
      </c>
      <c r="D460" s="726" t="s">
        <v>798</v>
      </c>
      <c r="E460" s="815">
        <v>52</v>
      </c>
      <c r="F460" s="816">
        <v>46</v>
      </c>
      <c r="G460" s="816">
        <v>6</v>
      </c>
      <c r="H460" s="807">
        <f t="shared" si="44"/>
        <v>1.1100000000000001</v>
      </c>
      <c r="I460" s="256">
        <v>51</v>
      </c>
      <c r="J460" s="710">
        <f t="shared" si="46"/>
        <v>56.610000000000007</v>
      </c>
      <c r="K460" s="710">
        <f t="shared" si="45"/>
        <v>8661.5324406149557</v>
      </c>
      <c r="L460" s="656"/>
      <c r="N460" s="705"/>
      <c r="O460" s="705"/>
      <c r="P460" s="705"/>
    </row>
    <row r="461" spans="1:16" ht="16.5" customHeight="1">
      <c r="A461" s="742">
        <f t="shared" si="47"/>
        <v>292</v>
      </c>
      <c r="B461" s="296" t="s">
        <v>804</v>
      </c>
      <c r="C461" s="725">
        <v>42174</v>
      </c>
      <c r="D461" s="726" t="s">
        <v>798</v>
      </c>
      <c r="E461" s="815">
        <v>72</v>
      </c>
      <c r="F461" s="816">
        <v>51</v>
      </c>
      <c r="G461" s="816">
        <v>6</v>
      </c>
      <c r="H461" s="807">
        <f t="shared" si="44"/>
        <v>1.51</v>
      </c>
      <c r="I461" s="256">
        <v>55</v>
      </c>
      <c r="J461" s="710">
        <f t="shared" si="46"/>
        <v>83.05</v>
      </c>
      <c r="K461" s="710">
        <f t="shared" si="45"/>
        <v>11782.805392187911</v>
      </c>
      <c r="L461" s="656"/>
      <c r="N461" s="705"/>
      <c r="O461" s="705"/>
      <c r="P461" s="705"/>
    </row>
    <row r="462" spans="1:16" ht="16.5" customHeight="1">
      <c r="A462" s="742">
        <f t="shared" si="47"/>
        <v>293</v>
      </c>
      <c r="B462" s="296" t="s">
        <v>805</v>
      </c>
      <c r="C462" s="725">
        <v>42174</v>
      </c>
      <c r="D462" s="726" t="s">
        <v>798</v>
      </c>
      <c r="E462" s="815">
        <v>80</v>
      </c>
      <c r="F462" s="816">
        <v>51</v>
      </c>
      <c r="G462" s="816">
        <v>6</v>
      </c>
      <c r="H462" s="807">
        <f t="shared" si="44"/>
        <v>1.6</v>
      </c>
      <c r="I462" s="256">
        <v>50</v>
      </c>
      <c r="J462" s="710">
        <f t="shared" si="46"/>
        <v>80</v>
      </c>
      <c r="K462" s="710">
        <f t="shared" si="45"/>
        <v>12485.091806291828</v>
      </c>
      <c r="L462" s="656"/>
      <c r="N462" s="705"/>
      <c r="O462" s="705"/>
      <c r="P462" s="705"/>
    </row>
    <row r="463" spans="1:16" ht="16.5" customHeight="1">
      <c r="A463" s="742">
        <f t="shared" si="47"/>
        <v>294</v>
      </c>
      <c r="B463" s="296" t="s">
        <v>806</v>
      </c>
      <c r="C463" s="725">
        <v>42174</v>
      </c>
      <c r="D463" s="726" t="s">
        <v>798</v>
      </c>
      <c r="E463" s="815">
        <v>61</v>
      </c>
      <c r="F463" s="815">
        <v>61</v>
      </c>
      <c r="G463" s="816">
        <v>79</v>
      </c>
      <c r="H463" s="807">
        <f t="shared" si="44"/>
        <v>3.56</v>
      </c>
      <c r="I463" s="256">
        <v>30</v>
      </c>
      <c r="J463" s="710">
        <f t="shared" si="46"/>
        <v>106.8</v>
      </c>
      <c r="K463" s="710">
        <f t="shared" si="45"/>
        <v>27779.329268999314</v>
      </c>
      <c r="L463" s="656"/>
      <c r="N463" s="705"/>
      <c r="O463" s="705"/>
      <c r="P463" s="705"/>
    </row>
    <row r="464" spans="1:16" ht="16.5" customHeight="1">
      <c r="A464" s="742">
        <f t="shared" si="47"/>
        <v>295</v>
      </c>
      <c r="B464" s="296" t="s">
        <v>807</v>
      </c>
      <c r="C464" s="725">
        <v>42174</v>
      </c>
      <c r="D464" s="726" t="s">
        <v>798</v>
      </c>
      <c r="E464" s="815">
        <v>61</v>
      </c>
      <c r="F464" s="815">
        <v>61</v>
      </c>
      <c r="G464" s="816">
        <v>102</v>
      </c>
      <c r="H464" s="807">
        <f t="shared" si="44"/>
        <v>4.13</v>
      </c>
      <c r="I464" s="256">
        <v>31</v>
      </c>
      <c r="J464" s="710">
        <f t="shared" si="46"/>
        <v>128.03</v>
      </c>
      <c r="K464" s="710">
        <f t="shared" si="45"/>
        <v>32227.143224990778</v>
      </c>
      <c r="L464" s="656"/>
      <c r="N464" s="705"/>
      <c r="O464" s="705"/>
      <c r="P464" s="705"/>
    </row>
    <row r="465" spans="1:16" ht="16.5" customHeight="1">
      <c r="A465" s="742">
        <f t="shared" si="47"/>
        <v>296</v>
      </c>
      <c r="B465" s="296" t="s">
        <v>808</v>
      </c>
      <c r="C465" s="725">
        <v>42175</v>
      </c>
      <c r="D465" s="726" t="s">
        <v>809</v>
      </c>
      <c r="E465" s="815">
        <v>60.5</v>
      </c>
      <c r="F465" s="816">
        <v>49</v>
      </c>
      <c r="G465" s="816">
        <v>45.5</v>
      </c>
      <c r="H465" s="807">
        <f t="shared" si="44"/>
        <v>2.1800000000000002</v>
      </c>
      <c r="I465" s="256">
        <v>206</v>
      </c>
      <c r="J465" s="710">
        <f t="shared" si="46"/>
        <v>449.08000000000004</v>
      </c>
      <c r="K465" s="710">
        <f t="shared" si="45"/>
        <v>17010.937586072614</v>
      </c>
      <c r="L465" s="656"/>
      <c r="N465" s="705"/>
      <c r="O465" s="705"/>
      <c r="P465" s="705"/>
    </row>
    <row r="466" spans="1:16" ht="16.5" customHeight="1">
      <c r="A466" s="742">
        <f t="shared" si="47"/>
        <v>297</v>
      </c>
      <c r="B466" s="296" t="s">
        <v>810</v>
      </c>
      <c r="C466" s="725">
        <v>42175</v>
      </c>
      <c r="D466" s="726" t="s">
        <v>809</v>
      </c>
      <c r="E466" s="815">
        <v>69</v>
      </c>
      <c r="F466" s="816">
        <v>62</v>
      </c>
      <c r="G466" s="816">
        <v>202</v>
      </c>
      <c r="H466" s="807">
        <f t="shared" si="44"/>
        <v>7.13</v>
      </c>
      <c r="I466" s="256">
        <v>20</v>
      </c>
      <c r="J466" s="710">
        <f t="shared" si="46"/>
        <v>142.6</v>
      </c>
      <c r="K466" s="710">
        <f t="shared" si="45"/>
        <v>55636.690361787951</v>
      </c>
      <c r="L466" s="656"/>
      <c r="N466" s="705"/>
      <c r="O466" s="705"/>
      <c r="P466" s="705"/>
    </row>
    <row r="467" spans="1:16" ht="16.5" customHeight="1">
      <c r="A467" s="742">
        <f t="shared" si="47"/>
        <v>298</v>
      </c>
      <c r="B467" s="296" t="s">
        <v>811</v>
      </c>
      <c r="C467" s="725">
        <v>42175</v>
      </c>
      <c r="D467" s="726" t="s">
        <v>809</v>
      </c>
      <c r="E467" s="815">
        <v>109</v>
      </c>
      <c r="F467" s="816">
        <v>62</v>
      </c>
      <c r="G467" s="816">
        <v>202</v>
      </c>
      <c r="H467" s="807">
        <f t="shared" si="44"/>
        <v>9.26</v>
      </c>
      <c r="I467" s="256">
        <v>20</v>
      </c>
      <c r="J467" s="710">
        <f t="shared" si="46"/>
        <v>185.2</v>
      </c>
      <c r="K467" s="710">
        <f t="shared" si="45"/>
        <v>72257.468828913945</v>
      </c>
      <c r="L467" s="656"/>
      <c r="N467" s="705"/>
      <c r="O467" s="705"/>
      <c r="P467" s="705"/>
    </row>
    <row r="468" spans="1:16" ht="16.5" customHeight="1">
      <c r="A468" s="742">
        <f t="shared" si="47"/>
        <v>299</v>
      </c>
      <c r="B468" s="296" t="s">
        <v>812</v>
      </c>
      <c r="C468" s="725">
        <v>42175</v>
      </c>
      <c r="D468" s="726" t="s">
        <v>809</v>
      </c>
      <c r="E468" s="815">
        <v>109</v>
      </c>
      <c r="F468" s="816">
        <v>62</v>
      </c>
      <c r="G468" s="816">
        <v>173</v>
      </c>
      <c r="H468" s="807">
        <f t="shared" si="44"/>
        <v>8.26</v>
      </c>
      <c r="I468" s="256">
        <v>20</v>
      </c>
      <c r="J468" s="710">
        <f t="shared" si="46"/>
        <v>165.2</v>
      </c>
      <c r="K468" s="710">
        <f t="shared" si="45"/>
        <v>64454.286449981555</v>
      </c>
      <c r="L468" s="656"/>
      <c r="N468" s="705"/>
      <c r="O468" s="705"/>
      <c r="P468" s="705"/>
    </row>
    <row r="469" spans="1:16" ht="16.5" customHeight="1">
      <c r="A469" s="742">
        <f t="shared" si="47"/>
        <v>300</v>
      </c>
      <c r="B469" s="296" t="s">
        <v>813</v>
      </c>
      <c r="C469" s="725">
        <v>42175</v>
      </c>
      <c r="D469" s="726" t="s">
        <v>809</v>
      </c>
      <c r="E469" s="815">
        <v>61</v>
      </c>
      <c r="F469" s="815">
        <v>61</v>
      </c>
      <c r="G469" s="816">
        <v>67</v>
      </c>
      <c r="H469" s="807">
        <f t="shared" si="44"/>
        <v>3.26</v>
      </c>
      <c r="I469" s="256">
        <v>30</v>
      </c>
      <c r="J469" s="710">
        <f t="shared" si="46"/>
        <v>97.8</v>
      </c>
      <c r="K469" s="710">
        <f t="shared" si="45"/>
        <v>25438.374555319595</v>
      </c>
      <c r="L469" s="656"/>
      <c r="N469" s="705"/>
      <c r="O469" s="705"/>
      <c r="P469" s="705"/>
    </row>
    <row r="470" spans="1:16" ht="16.5" customHeight="1">
      <c r="A470" s="742">
        <f t="shared" si="47"/>
        <v>301</v>
      </c>
      <c r="B470" s="296" t="s">
        <v>814</v>
      </c>
      <c r="C470" s="725">
        <v>42175</v>
      </c>
      <c r="D470" s="726" t="s">
        <v>809</v>
      </c>
      <c r="E470" s="815">
        <v>6.1</v>
      </c>
      <c r="F470" s="816">
        <v>3.5</v>
      </c>
      <c r="G470" s="816">
        <v>50</v>
      </c>
      <c r="H470" s="807">
        <f t="shared" si="44"/>
        <v>0.14000000000000001</v>
      </c>
      <c r="I470" s="256">
        <v>251</v>
      </c>
      <c r="J470" s="710">
        <f t="shared" si="46"/>
        <v>35.14</v>
      </c>
      <c r="K470" s="710">
        <f t="shared" si="45"/>
        <v>1092.445533050535</v>
      </c>
      <c r="L470" s="656"/>
      <c r="N470" s="705"/>
      <c r="O470" s="705"/>
      <c r="P470" s="705"/>
    </row>
    <row r="471" spans="1:16" ht="16.5" customHeight="1">
      <c r="A471" s="742">
        <f t="shared" si="47"/>
        <v>302</v>
      </c>
      <c r="B471" s="296" t="s">
        <v>815</v>
      </c>
      <c r="C471" s="725">
        <v>42175</v>
      </c>
      <c r="D471" s="726" t="s">
        <v>809</v>
      </c>
      <c r="E471" s="815">
        <v>81</v>
      </c>
      <c r="F471" s="816">
        <v>61</v>
      </c>
      <c r="G471" s="816">
        <v>97</v>
      </c>
      <c r="H471" s="807">
        <f t="shared" si="44"/>
        <v>4.6500000000000004</v>
      </c>
      <c r="I471" s="256">
        <v>31</v>
      </c>
      <c r="J471" s="710">
        <f t="shared" si="46"/>
        <v>144.15</v>
      </c>
      <c r="K471" s="710">
        <f t="shared" si="45"/>
        <v>36284.798062035625</v>
      </c>
      <c r="L471" s="656"/>
      <c r="N471" s="705"/>
      <c r="O471" s="705"/>
      <c r="P471" s="705"/>
    </row>
    <row r="472" spans="1:16" ht="16.5" customHeight="1">
      <c r="A472" s="742">
        <f t="shared" si="47"/>
        <v>303</v>
      </c>
      <c r="B472" s="296" t="s">
        <v>816</v>
      </c>
      <c r="C472" s="725">
        <v>42175</v>
      </c>
      <c r="D472" s="726" t="s">
        <v>809</v>
      </c>
      <c r="E472" s="815">
        <v>81</v>
      </c>
      <c r="F472" s="816">
        <v>61</v>
      </c>
      <c r="G472" s="816">
        <v>83</v>
      </c>
      <c r="H472" s="807">
        <f t="shared" si="44"/>
        <v>4.25</v>
      </c>
      <c r="I472" s="256">
        <v>30</v>
      </c>
      <c r="J472" s="710">
        <f t="shared" si="46"/>
        <v>127.5</v>
      </c>
      <c r="K472" s="710">
        <f t="shared" si="45"/>
        <v>33163.525110462666</v>
      </c>
      <c r="L472" s="656"/>
      <c r="N472" s="705"/>
      <c r="O472" s="705"/>
      <c r="P472" s="705"/>
    </row>
    <row r="473" spans="1:16" ht="16.5" customHeight="1">
      <c r="A473" s="742">
        <f t="shared" si="47"/>
        <v>304</v>
      </c>
      <c r="B473" s="296" t="s">
        <v>817</v>
      </c>
      <c r="C473" s="725">
        <v>42175</v>
      </c>
      <c r="D473" s="726" t="s">
        <v>809</v>
      </c>
      <c r="E473" s="815">
        <v>60.5</v>
      </c>
      <c r="F473" s="816">
        <v>35.5</v>
      </c>
      <c r="G473" s="816">
        <v>42.5</v>
      </c>
      <c r="H473" s="807">
        <f t="shared" si="44"/>
        <v>1.6</v>
      </c>
      <c r="I473" s="256">
        <v>207</v>
      </c>
      <c r="J473" s="710">
        <f t="shared" si="46"/>
        <v>331.20000000000005</v>
      </c>
      <c r="K473" s="710">
        <f t="shared" si="45"/>
        <v>12485.091806291828</v>
      </c>
      <c r="L473" s="656"/>
      <c r="N473" s="705"/>
      <c r="O473" s="705"/>
      <c r="P473" s="705"/>
    </row>
    <row r="474" spans="1:16" ht="16.5" customHeight="1">
      <c r="A474" s="742">
        <f t="shared" si="47"/>
        <v>305</v>
      </c>
      <c r="B474" s="296" t="s">
        <v>818</v>
      </c>
      <c r="C474" s="725">
        <v>42175</v>
      </c>
      <c r="D474" s="726" t="s">
        <v>809</v>
      </c>
      <c r="E474" s="815">
        <v>56</v>
      </c>
      <c r="F474" s="816">
        <v>49</v>
      </c>
      <c r="G474" s="816">
        <v>6</v>
      </c>
      <c r="H474" s="807">
        <f t="shared" si="44"/>
        <v>1.25</v>
      </c>
      <c r="I474" s="256">
        <v>103</v>
      </c>
      <c r="J474" s="710">
        <f t="shared" si="46"/>
        <v>128.75</v>
      </c>
      <c r="K474" s="710">
        <f t="shared" si="45"/>
        <v>9753.9779736654891</v>
      </c>
      <c r="L474" s="656"/>
      <c r="N474" s="705"/>
      <c r="O474" s="705"/>
      <c r="P474" s="705"/>
    </row>
    <row r="475" spans="1:16" ht="16.5" customHeight="1">
      <c r="A475" s="742">
        <f t="shared" si="47"/>
        <v>306</v>
      </c>
      <c r="B475" s="296" t="s">
        <v>398</v>
      </c>
      <c r="C475" s="725">
        <v>42177</v>
      </c>
      <c r="D475" s="726" t="s">
        <v>819</v>
      </c>
      <c r="E475" s="815">
        <v>52</v>
      </c>
      <c r="F475" s="816">
        <v>24.5</v>
      </c>
      <c r="G475" s="816">
        <v>24.5</v>
      </c>
      <c r="H475" s="807">
        <f t="shared" si="44"/>
        <v>0.82</v>
      </c>
      <c r="I475" s="256">
        <v>905</v>
      </c>
      <c r="J475" s="710">
        <f t="shared" si="46"/>
        <v>742.09999999999991</v>
      </c>
      <c r="K475" s="710">
        <f t="shared" si="45"/>
        <v>6398.6095507245609</v>
      </c>
      <c r="L475" s="656"/>
      <c r="N475" s="705"/>
      <c r="O475" s="705"/>
      <c r="P475" s="705"/>
    </row>
    <row r="476" spans="1:16" ht="16.5" customHeight="1">
      <c r="A476" s="742">
        <f t="shared" si="47"/>
        <v>307</v>
      </c>
      <c r="B476" s="296" t="s">
        <v>446</v>
      </c>
      <c r="C476" s="725">
        <v>42177</v>
      </c>
      <c r="D476" s="726" t="s">
        <v>819</v>
      </c>
      <c r="E476" s="815">
        <v>52</v>
      </c>
      <c r="F476" s="816">
        <v>26.5</v>
      </c>
      <c r="G476" s="816">
        <v>26.5</v>
      </c>
      <c r="H476" s="807">
        <f t="shared" si="44"/>
        <v>0.91</v>
      </c>
      <c r="I476" s="256">
        <v>307</v>
      </c>
      <c r="J476" s="710">
        <f t="shared" si="46"/>
        <v>279.37</v>
      </c>
      <c r="K476" s="710">
        <f t="shared" si="45"/>
        <v>7100.8959648284763</v>
      </c>
      <c r="L476" s="656"/>
      <c r="N476" s="705"/>
      <c r="O476" s="705"/>
      <c r="P476" s="705"/>
    </row>
    <row r="477" spans="1:16" ht="16.5" customHeight="1">
      <c r="A477" s="742">
        <f t="shared" si="47"/>
        <v>308</v>
      </c>
      <c r="B477" s="296" t="s">
        <v>501</v>
      </c>
      <c r="C477" s="725">
        <v>42177</v>
      </c>
      <c r="D477" s="726" t="s">
        <v>819</v>
      </c>
      <c r="E477" s="815">
        <v>55</v>
      </c>
      <c r="F477" s="816">
        <v>45</v>
      </c>
      <c r="G477" s="816">
        <v>29</v>
      </c>
      <c r="H477" s="807">
        <f t="shared" si="44"/>
        <v>1.58</v>
      </c>
      <c r="I477" s="256">
        <v>134</v>
      </c>
      <c r="J477" s="710">
        <f t="shared" si="46"/>
        <v>211.72</v>
      </c>
      <c r="K477" s="710">
        <f t="shared" si="45"/>
        <v>12329.028158713179</v>
      </c>
      <c r="L477" s="656"/>
      <c r="N477" s="705"/>
      <c r="O477" s="705"/>
      <c r="P477" s="705"/>
    </row>
    <row r="478" spans="1:16" ht="16.5" customHeight="1">
      <c r="A478" s="742">
        <f t="shared" si="47"/>
        <v>309</v>
      </c>
      <c r="B478" s="296" t="s">
        <v>1744</v>
      </c>
      <c r="C478" s="725">
        <v>42177</v>
      </c>
      <c r="D478" s="726" t="s">
        <v>820</v>
      </c>
      <c r="E478" s="815">
        <v>95</v>
      </c>
      <c r="F478" s="816">
        <v>83</v>
      </c>
      <c r="G478" s="816"/>
      <c r="H478" s="807">
        <f t="shared" si="44"/>
        <v>0.79</v>
      </c>
      <c r="I478" s="256">
        <v>85</v>
      </c>
      <c r="J478" s="710">
        <f t="shared" si="46"/>
        <v>67.150000000000006</v>
      </c>
      <c r="K478" s="710">
        <f t="shared" si="45"/>
        <v>6164.5140793565897</v>
      </c>
      <c r="L478" s="656"/>
      <c r="N478" s="705"/>
      <c r="O478" s="705"/>
      <c r="P478" s="705"/>
    </row>
    <row r="479" spans="1:16" ht="16.5" customHeight="1">
      <c r="A479" s="742">
        <f t="shared" si="47"/>
        <v>310</v>
      </c>
      <c r="B479" s="296" t="s">
        <v>1745</v>
      </c>
      <c r="C479" s="725">
        <v>42177</v>
      </c>
      <c r="D479" s="726" t="s">
        <v>820</v>
      </c>
      <c r="E479" s="815">
        <v>100</v>
      </c>
      <c r="F479" s="816">
        <v>116</v>
      </c>
      <c r="G479" s="816"/>
      <c r="H479" s="807">
        <f t="shared" si="44"/>
        <v>1.1599999999999999</v>
      </c>
      <c r="I479" s="256">
        <v>185</v>
      </c>
      <c r="J479" s="710">
        <f t="shared" si="46"/>
        <v>214.6</v>
      </c>
      <c r="K479" s="710">
        <f t="shared" si="45"/>
        <v>9051.6915595615737</v>
      </c>
      <c r="L479" s="656"/>
      <c r="N479" s="705"/>
      <c r="O479" s="705"/>
      <c r="P479" s="705"/>
    </row>
    <row r="480" spans="1:16" ht="16.5" customHeight="1">
      <c r="A480" s="742">
        <f t="shared" si="47"/>
        <v>311</v>
      </c>
      <c r="B480" s="296" t="s">
        <v>1746</v>
      </c>
      <c r="C480" s="725">
        <v>42177</v>
      </c>
      <c r="D480" s="726" t="s">
        <v>820</v>
      </c>
      <c r="E480" s="815">
        <v>95</v>
      </c>
      <c r="F480" s="816">
        <v>113</v>
      </c>
      <c r="G480" s="816"/>
      <c r="H480" s="807">
        <f t="shared" si="44"/>
        <v>1.07</v>
      </c>
      <c r="I480" s="256">
        <v>185</v>
      </c>
      <c r="J480" s="710">
        <f t="shared" si="46"/>
        <v>197.95000000000002</v>
      </c>
      <c r="K480" s="710">
        <f t="shared" si="45"/>
        <v>8349.4051454576602</v>
      </c>
      <c r="L480" s="656"/>
      <c r="N480" s="705"/>
      <c r="O480" s="705"/>
      <c r="P480" s="705"/>
    </row>
    <row r="481" spans="1:16" ht="16.5" customHeight="1">
      <c r="A481" s="742">
        <f t="shared" si="47"/>
        <v>312</v>
      </c>
      <c r="B481" s="296" t="s">
        <v>1715</v>
      </c>
      <c r="C481" s="725">
        <v>42177</v>
      </c>
      <c r="D481" s="726" t="s">
        <v>820</v>
      </c>
      <c r="E481" s="815">
        <v>80</v>
      </c>
      <c r="F481" s="816">
        <v>186</v>
      </c>
      <c r="G481" s="816"/>
      <c r="H481" s="807">
        <f t="shared" si="44"/>
        <v>1.49</v>
      </c>
      <c r="I481" s="256">
        <v>500</v>
      </c>
      <c r="J481" s="710">
        <f t="shared" si="46"/>
        <v>745</v>
      </c>
      <c r="K481" s="710">
        <f t="shared" si="45"/>
        <v>11626.741744609264</v>
      </c>
      <c r="L481" s="656"/>
      <c r="N481" s="705"/>
      <c r="O481" s="705"/>
      <c r="P481" s="705"/>
    </row>
    <row r="482" spans="1:16" ht="16.5" customHeight="1">
      <c r="A482" s="742">
        <f t="shared" si="47"/>
        <v>313</v>
      </c>
      <c r="B482" s="296" t="s">
        <v>1747</v>
      </c>
      <c r="C482" s="725">
        <v>42177</v>
      </c>
      <c r="D482" s="726" t="s">
        <v>820</v>
      </c>
      <c r="E482" s="815">
        <v>85</v>
      </c>
      <c r="F482" s="816">
        <v>84</v>
      </c>
      <c r="G482" s="816"/>
      <c r="H482" s="807">
        <f t="shared" si="44"/>
        <v>0.71</v>
      </c>
      <c r="I482" s="256">
        <v>50</v>
      </c>
      <c r="J482" s="710">
        <f t="shared" si="46"/>
        <v>35.5</v>
      </c>
      <c r="K482" s="710">
        <f t="shared" si="45"/>
        <v>5540.2594890419978</v>
      </c>
      <c r="L482" s="656"/>
      <c r="N482" s="705"/>
      <c r="O482" s="705"/>
      <c r="P482" s="705"/>
    </row>
    <row r="483" spans="1:16" ht="16.5" customHeight="1">
      <c r="A483" s="742">
        <f t="shared" si="47"/>
        <v>314</v>
      </c>
      <c r="B483" s="296" t="s">
        <v>1748</v>
      </c>
      <c r="C483" s="725">
        <v>42177</v>
      </c>
      <c r="D483" s="726" t="s">
        <v>820</v>
      </c>
      <c r="E483" s="815">
        <v>85</v>
      </c>
      <c r="F483" s="816">
        <v>136</v>
      </c>
      <c r="G483" s="816"/>
      <c r="H483" s="807">
        <f t="shared" si="44"/>
        <v>1.1599999999999999</v>
      </c>
      <c r="I483" s="256">
        <v>150</v>
      </c>
      <c r="J483" s="710">
        <f t="shared" si="46"/>
        <v>174</v>
      </c>
      <c r="K483" s="710">
        <f t="shared" si="45"/>
        <v>9051.6915595615737</v>
      </c>
      <c r="L483" s="656"/>
      <c r="N483" s="705"/>
      <c r="O483" s="705"/>
      <c r="P483" s="705"/>
    </row>
    <row r="484" spans="1:16" ht="16.5" customHeight="1">
      <c r="A484" s="742">
        <f t="shared" si="47"/>
        <v>315</v>
      </c>
      <c r="B484" s="296" t="s">
        <v>821</v>
      </c>
      <c r="C484" s="725">
        <v>42177</v>
      </c>
      <c r="D484" s="726" t="s">
        <v>822</v>
      </c>
      <c r="E484" s="815">
        <v>49</v>
      </c>
      <c r="F484" s="816">
        <v>40</v>
      </c>
      <c r="G484" s="816">
        <v>6</v>
      </c>
      <c r="H484" s="807">
        <f t="shared" si="44"/>
        <v>0.9</v>
      </c>
      <c r="I484" s="256">
        <v>107</v>
      </c>
      <c r="J484" s="710">
        <f t="shared" si="46"/>
        <v>96.3</v>
      </c>
      <c r="K484" s="710">
        <f t="shared" si="45"/>
        <v>7022.8641410391529</v>
      </c>
      <c r="L484" s="656"/>
      <c r="N484" s="705"/>
      <c r="O484" s="705"/>
      <c r="P484" s="705"/>
    </row>
    <row r="485" spans="1:16" ht="16.5" customHeight="1">
      <c r="A485" s="742">
        <f t="shared" si="47"/>
        <v>316</v>
      </c>
      <c r="B485" s="296" t="s">
        <v>823</v>
      </c>
      <c r="C485" s="725">
        <v>42177</v>
      </c>
      <c r="D485" s="726" t="s">
        <v>822</v>
      </c>
      <c r="E485" s="815">
        <v>68</v>
      </c>
      <c r="F485" s="816">
        <v>61</v>
      </c>
      <c r="G485" s="816">
        <v>132</v>
      </c>
      <c r="H485" s="807">
        <f t="shared" si="44"/>
        <v>5.15</v>
      </c>
      <c r="I485" s="256">
        <v>31</v>
      </c>
      <c r="J485" s="710">
        <f t="shared" si="46"/>
        <v>159.65</v>
      </c>
      <c r="K485" s="710">
        <f t="shared" si="45"/>
        <v>40186.389251501823</v>
      </c>
      <c r="L485" s="656"/>
      <c r="N485" s="705"/>
      <c r="O485" s="705"/>
      <c r="P485" s="705"/>
    </row>
    <row r="486" spans="1:16" ht="16.5" customHeight="1">
      <c r="A486" s="742">
        <f t="shared" si="47"/>
        <v>317</v>
      </c>
      <c r="B486" s="296" t="s">
        <v>824</v>
      </c>
      <c r="C486" s="725">
        <v>42177</v>
      </c>
      <c r="D486" s="726" t="s">
        <v>822</v>
      </c>
      <c r="E486" s="815">
        <v>89</v>
      </c>
      <c r="F486" s="816">
        <v>62</v>
      </c>
      <c r="G486" s="816">
        <v>132</v>
      </c>
      <c r="H486" s="807">
        <f t="shared" si="44"/>
        <v>6.05</v>
      </c>
      <c r="I486" s="256">
        <v>31</v>
      </c>
      <c r="J486" s="710">
        <f t="shared" si="46"/>
        <v>187.54999999999998</v>
      </c>
      <c r="K486" s="710">
        <f t="shared" si="45"/>
        <v>47209.253392540966</v>
      </c>
      <c r="L486" s="656"/>
      <c r="N486" s="705"/>
      <c r="O486" s="705"/>
      <c r="P486" s="705"/>
    </row>
    <row r="487" spans="1:16" ht="16.5" customHeight="1">
      <c r="A487" s="742">
        <f t="shared" si="47"/>
        <v>318</v>
      </c>
      <c r="B487" s="296" t="s">
        <v>825</v>
      </c>
      <c r="C487" s="725">
        <v>42177</v>
      </c>
      <c r="D487" s="726" t="s">
        <v>822</v>
      </c>
      <c r="E487" s="815">
        <v>6</v>
      </c>
      <c r="F487" s="816">
        <v>3</v>
      </c>
      <c r="G487" s="816">
        <v>101.1</v>
      </c>
      <c r="H487" s="807">
        <f t="shared" si="44"/>
        <v>0.25</v>
      </c>
      <c r="I487" s="256">
        <v>60</v>
      </c>
      <c r="J487" s="710">
        <f t="shared" si="46"/>
        <v>15</v>
      </c>
      <c r="K487" s="710">
        <f t="shared" si="45"/>
        <v>1950.7955947330979</v>
      </c>
      <c r="L487" s="656"/>
      <c r="N487" s="705"/>
      <c r="O487" s="705"/>
      <c r="P487" s="705"/>
    </row>
    <row r="488" spans="1:16" ht="16.5" customHeight="1">
      <c r="A488" s="742">
        <f t="shared" si="47"/>
        <v>319</v>
      </c>
      <c r="B488" s="296" t="s">
        <v>826</v>
      </c>
      <c r="C488" s="725">
        <v>42177</v>
      </c>
      <c r="D488" s="726" t="s">
        <v>822</v>
      </c>
      <c r="E488" s="815">
        <v>89</v>
      </c>
      <c r="F488" s="816">
        <v>62</v>
      </c>
      <c r="G488" s="816">
        <v>202</v>
      </c>
      <c r="H488" s="807">
        <f t="shared" si="44"/>
        <v>8.1999999999999993</v>
      </c>
      <c r="I488" s="256">
        <v>20</v>
      </c>
      <c r="J488" s="710">
        <f t="shared" si="46"/>
        <v>164</v>
      </c>
      <c r="K488" s="710">
        <f t="shared" si="45"/>
        <v>63986.095507245605</v>
      </c>
      <c r="L488" s="656"/>
      <c r="N488" s="705"/>
      <c r="O488" s="705"/>
      <c r="P488" s="705"/>
    </row>
    <row r="489" spans="1:16" ht="16.5" customHeight="1">
      <c r="A489" s="742">
        <f t="shared" si="47"/>
        <v>320</v>
      </c>
      <c r="B489" s="296" t="s">
        <v>827</v>
      </c>
      <c r="C489" s="725">
        <v>42177</v>
      </c>
      <c r="D489" s="726" t="s">
        <v>822</v>
      </c>
      <c r="E489" s="815">
        <v>89</v>
      </c>
      <c r="F489" s="816">
        <v>62</v>
      </c>
      <c r="G489" s="816">
        <v>173</v>
      </c>
      <c r="H489" s="807">
        <f t="shared" si="44"/>
        <v>7.31</v>
      </c>
      <c r="I489" s="256">
        <v>10</v>
      </c>
      <c r="J489" s="710">
        <f t="shared" si="46"/>
        <v>73.099999999999994</v>
      </c>
      <c r="K489" s="710">
        <f t="shared" si="45"/>
        <v>57041.263189995778</v>
      </c>
      <c r="L489" s="656"/>
      <c r="N489" s="705"/>
      <c r="O489" s="705"/>
      <c r="P489" s="705"/>
    </row>
    <row r="490" spans="1:16" ht="16.5" customHeight="1">
      <c r="A490" s="742">
        <f t="shared" si="47"/>
        <v>321</v>
      </c>
      <c r="B490" s="296" t="s">
        <v>827</v>
      </c>
      <c r="C490" s="725">
        <v>42177</v>
      </c>
      <c r="D490" s="726" t="s">
        <v>822</v>
      </c>
      <c r="E490" s="815">
        <v>89</v>
      </c>
      <c r="F490" s="816">
        <v>62</v>
      </c>
      <c r="G490" s="816">
        <v>173</v>
      </c>
      <c r="H490" s="807">
        <f t="shared" ref="H490:H540" si="48">IF(G490&lt;&gt;"",ROUND(((E490+F490)*2+5)*(F490+G490+3)/10000,2),ROUND(E490*F490/10000,2))</f>
        <v>7.31</v>
      </c>
      <c r="I490" s="256">
        <v>10</v>
      </c>
      <c r="J490" s="710">
        <f t="shared" si="46"/>
        <v>73.099999999999994</v>
      </c>
      <c r="K490" s="710">
        <f t="shared" ref="K490:K542" si="49">H490*$Q$211</f>
        <v>57041.263189995778</v>
      </c>
      <c r="L490" s="656"/>
      <c r="N490" s="705"/>
      <c r="O490" s="705"/>
      <c r="P490" s="705"/>
    </row>
    <row r="491" spans="1:16" ht="16.5" customHeight="1">
      <c r="A491" s="742">
        <f t="shared" si="47"/>
        <v>322</v>
      </c>
      <c r="B491" s="296" t="s">
        <v>826</v>
      </c>
      <c r="C491" s="725">
        <v>42177</v>
      </c>
      <c r="D491" s="726" t="s">
        <v>822</v>
      </c>
      <c r="E491" s="815">
        <v>89</v>
      </c>
      <c r="F491" s="816">
        <v>62</v>
      </c>
      <c r="G491" s="816">
        <v>202</v>
      </c>
      <c r="H491" s="807">
        <f t="shared" si="48"/>
        <v>8.1999999999999993</v>
      </c>
      <c r="I491" s="256">
        <v>223</v>
      </c>
      <c r="J491" s="710">
        <f t="shared" ref="J491:J540" si="50">H491*I491</f>
        <v>1828.6</v>
      </c>
      <c r="K491" s="710">
        <f t="shared" si="49"/>
        <v>63986.095507245605</v>
      </c>
      <c r="L491" s="656"/>
      <c r="N491" s="705"/>
      <c r="O491" s="705"/>
      <c r="P491" s="705"/>
    </row>
    <row r="492" spans="1:16" ht="16.5" customHeight="1">
      <c r="A492" s="742">
        <f t="shared" ref="A492:A542" si="51">IF(B492&lt;&gt;"",ROW()-169,"")</f>
        <v>323</v>
      </c>
      <c r="B492" s="296" t="s">
        <v>827</v>
      </c>
      <c r="C492" s="725">
        <v>42177</v>
      </c>
      <c r="D492" s="726" t="s">
        <v>822</v>
      </c>
      <c r="E492" s="815">
        <v>89</v>
      </c>
      <c r="F492" s="816">
        <v>62</v>
      </c>
      <c r="G492" s="816">
        <v>173</v>
      </c>
      <c r="H492" s="807">
        <f t="shared" si="48"/>
        <v>7.31</v>
      </c>
      <c r="I492" s="256">
        <v>15</v>
      </c>
      <c r="J492" s="710">
        <f t="shared" si="50"/>
        <v>109.64999999999999</v>
      </c>
      <c r="K492" s="710">
        <f t="shared" si="49"/>
        <v>57041.263189995778</v>
      </c>
      <c r="L492" s="656"/>
      <c r="N492" s="705"/>
      <c r="O492" s="705"/>
      <c r="P492" s="705"/>
    </row>
    <row r="493" spans="1:16" ht="16.5" customHeight="1">
      <c r="A493" s="742">
        <f t="shared" si="51"/>
        <v>324</v>
      </c>
      <c r="B493" s="296" t="s">
        <v>828</v>
      </c>
      <c r="C493" s="725">
        <v>42177</v>
      </c>
      <c r="D493" s="726" t="s">
        <v>822</v>
      </c>
      <c r="E493" s="815">
        <v>109</v>
      </c>
      <c r="F493" s="816">
        <v>62</v>
      </c>
      <c r="G493" s="816">
        <v>132</v>
      </c>
      <c r="H493" s="807">
        <f t="shared" si="48"/>
        <v>6.84</v>
      </c>
      <c r="I493" s="256">
        <v>21</v>
      </c>
      <c r="J493" s="710">
        <f t="shared" si="50"/>
        <v>143.63999999999999</v>
      </c>
      <c r="K493" s="710">
        <f t="shared" si="49"/>
        <v>53373.767471897561</v>
      </c>
      <c r="L493" s="656"/>
      <c r="N493" s="705"/>
      <c r="O493" s="705"/>
      <c r="P493" s="705"/>
    </row>
    <row r="494" spans="1:16" ht="16.5" customHeight="1">
      <c r="A494" s="742">
        <f t="shared" si="51"/>
        <v>325</v>
      </c>
      <c r="B494" s="296" t="s">
        <v>595</v>
      </c>
      <c r="C494" s="725">
        <v>42178</v>
      </c>
      <c r="D494" s="726" t="s">
        <v>829</v>
      </c>
      <c r="E494" s="815">
        <v>43</v>
      </c>
      <c r="F494" s="816">
        <v>27.5</v>
      </c>
      <c r="G494" s="816">
        <v>33</v>
      </c>
      <c r="H494" s="807">
        <f t="shared" si="48"/>
        <v>0.93</v>
      </c>
      <c r="I494" s="256">
        <v>205</v>
      </c>
      <c r="J494" s="710">
        <f t="shared" si="50"/>
        <v>190.65</v>
      </c>
      <c r="K494" s="710">
        <f t="shared" si="49"/>
        <v>7256.959612407125</v>
      </c>
      <c r="L494" s="656"/>
      <c r="N494" s="705"/>
      <c r="O494" s="705"/>
      <c r="P494" s="705"/>
    </row>
    <row r="495" spans="1:16" ht="16.5" customHeight="1">
      <c r="A495" s="742">
        <f t="shared" si="51"/>
        <v>326</v>
      </c>
      <c r="B495" s="296" t="s">
        <v>830</v>
      </c>
      <c r="C495" s="725">
        <v>42179</v>
      </c>
      <c r="D495" s="726" t="s">
        <v>831</v>
      </c>
      <c r="E495" s="815">
        <v>55</v>
      </c>
      <c r="F495" s="816">
        <v>41.5</v>
      </c>
      <c r="G495" s="816">
        <v>27</v>
      </c>
      <c r="H495" s="807">
        <f t="shared" si="48"/>
        <v>1.42</v>
      </c>
      <c r="I495" s="256">
        <v>280</v>
      </c>
      <c r="J495" s="710">
        <f t="shared" si="50"/>
        <v>397.59999999999997</v>
      </c>
      <c r="K495" s="710">
        <f t="shared" si="49"/>
        <v>11080.518978083996</v>
      </c>
      <c r="L495" s="656"/>
      <c r="N495" s="705"/>
      <c r="O495" s="705"/>
      <c r="P495" s="705"/>
    </row>
    <row r="496" spans="1:16" ht="16.5" customHeight="1">
      <c r="A496" s="742">
        <f t="shared" si="51"/>
        <v>327</v>
      </c>
      <c r="B496" s="296" t="s">
        <v>494</v>
      </c>
      <c r="C496" s="725">
        <v>42180</v>
      </c>
      <c r="D496" s="726" t="s">
        <v>833</v>
      </c>
      <c r="E496" s="815">
        <v>37.5</v>
      </c>
      <c r="F496" s="816">
        <v>25.3</v>
      </c>
      <c r="G496" s="816">
        <v>23.9</v>
      </c>
      <c r="H496" s="807">
        <f t="shared" si="48"/>
        <v>0.68</v>
      </c>
      <c r="I496" s="256">
        <v>502</v>
      </c>
      <c r="J496" s="710">
        <f t="shared" si="50"/>
        <v>341.36</v>
      </c>
      <c r="K496" s="710">
        <f t="shared" si="49"/>
        <v>5306.1640176740266</v>
      </c>
      <c r="L496" s="656"/>
      <c r="N496" s="705"/>
      <c r="O496" s="705"/>
      <c r="P496" s="705"/>
    </row>
    <row r="497" spans="1:16" ht="16.5" customHeight="1">
      <c r="A497" s="742">
        <f t="shared" si="51"/>
        <v>328</v>
      </c>
      <c r="B497" s="296" t="s">
        <v>494</v>
      </c>
      <c r="C497" s="725">
        <v>42180</v>
      </c>
      <c r="D497" s="726" t="s">
        <v>833</v>
      </c>
      <c r="E497" s="815">
        <v>37.5</v>
      </c>
      <c r="F497" s="816">
        <v>25.3</v>
      </c>
      <c r="G497" s="816">
        <v>23.9</v>
      </c>
      <c r="H497" s="807">
        <f t="shared" si="48"/>
        <v>0.68</v>
      </c>
      <c r="I497" s="256">
        <v>504</v>
      </c>
      <c r="J497" s="710">
        <f t="shared" si="50"/>
        <v>342.72</v>
      </c>
      <c r="K497" s="710">
        <f t="shared" si="49"/>
        <v>5306.1640176740266</v>
      </c>
      <c r="L497" s="656"/>
      <c r="N497" s="705"/>
      <c r="O497" s="705"/>
      <c r="P497" s="705"/>
    </row>
    <row r="498" spans="1:16" ht="16.5" customHeight="1">
      <c r="A498" s="742">
        <f t="shared" si="51"/>
        <v>329</v>
      </c>
      <c r="B498" s="191" t="s">
        <v>1935</v>
      </c>
      <c r="C498" s="725">
        <v>42180</v>
      </c>
      <c r="D498" s="726" t="s">
        <v>835</v>
      </c>
      <c r="E498" s="815">
        <v>40</v>
      </c>
      <c r="F498" s="816">
        <v>30</v>
      </c>
      <c r="G498" s="816">
        <v>18.5</v>
      </c>
      <c r="H498" s="807">
        <f t="shared" si="48"/>
        <v>0.75</v>
      </c>
      <c r="I498" s="256">
        <v>5457</v>
      </c>
      <c r="J498" s="710">
        <f t="shared" si="50"/>
        <v>4092.75</v>
      </c>
      <c r="K498" s="710">
        <f t="shared" si="49"/>
        <v>5852.3867841992942</v>
      </c>
      <c r="L498" s="656"/>
      <c r="N498" s="705"/>
      <c r="O498" s="705"/>
      <c r="P498" s="705"/>
    </row>
    <row r="499" spans="1:16" ht="16.5" customHeight="1">
      <c r="A499" s="742">
        <f t="shared" si="51"/>
        <v>330</v>
      </c>
      <c r="B499" s="296" t="s">
        <v>409</v>
      </c>
      <c r="C499" s="725">
        <v>42180</v>
      </c>
      <c r="D499" s="726" t="s">
        <v>836</v>
      </c>
      <c r="E499" s="815">
        <v>36.5</v>
      </c>
      <c r="F499" s="816">
        <v>27.3</v>
      </c>
      <c r="G499" s="816">
        <v>25.5</v>
      </c>
      <c r="H499" s="807">
        <f t="shared" si="48"/>
        <v>0.74</v>
      </c>
      <c r="I499" s="256">
        <v>1000</v>
      </c>
      <c r="J499" s="710">
        <f t="shared" si="50"/>
        <v>740</v>
      </c>
      <c r="K499" s="710">
        <f t="shared" si="49"/>
        <v>5774.3549604099699</v>
      </c>
      <c r="L499" s="656"/>
      <c r="N499" s="705"/>
      <c r="O499" s="705"/>
      <c r="P499" s="705"/>
    </row>
    <row r="500" spans="1:16" ht="16.5" customHeight="1">
      <c r="A500" s="742">
        <f t="shared" si="51"/>
        <v>331</v>
      </c>
      <c r="B500" s="296" t="s">
        <v>1702</v>
      </c>
      <c r="C500" s="725">
        <v>42180</v>
      </c>
      <c r="D500" s="726" t="s">
        <v>838</v>
      </c>
      <c r="E500" s="815">
        <v>110</v>
      </c>
      <c r="F500" s="816">
        <v>113</v>
      </c>
      <c r="G500" s="816"/>
      <c r="H500" s="807">
        <f t="shared" si="48"/>
        <v>1.24</v>
      </c>
      <c r="I500" s="256">
        <v>2000</v>
      </c>
      <c r="J500" s="710">
        <f t="shared" si="50"/>
        <v>2480</v>
      </c>
      <c r="K500" s="710">
        <f t="shared" si="49"/>
        <v>9675.9461498761648</v>
      </c>
      <c r="L500" s="656"/>
      <c r="N500" s="705"/>
      <c r="O500" s="705"/>
      <c r="P500" s="705"/>
    </row>
    <row r="501" spans="1:16" ht="16.5" customHeight="1">
      <c r="A501" s="742">
        <f t="shared" si="51"/>
        <v>332</v>
      </c>
      <c r="B501" s="296" t="s">
        <v>839</v>
      </c>
      <c r="C501" s="725">
        <v>42180</v>
      </c>
      <c r="D501" s="726" t="s">
        <v>840</v>
      </c>
      <c r="E501" s="815">
        <v>70</v>
      </c>
      <c r="F501" s="816">
        <v>67</v>
      </c>
      <c r="G501" s="816">
        <v>130</v>
      </c>
      <c r="H501" s="807">
        <f t="shared" si="48"/>
        <v>5.58</v>
      </c>
      <c r="I501" s="256">
        <v>27</v>
      </c>
      <c r="J501" s="710">
        <f t="shared" si="50"/>
        <v>150.66</v>
      </c>
      <c r="K501" s="710">
        <f t="shared" si="49"/>
        <v>43541.757674442742</v>
      </c>
      <c r="L501" s="656"/>
      <c r="N501" s="705"/>
      <c r="O501" s="705"/>
      <c r="P501" s="705"/>
    </row>
    <row r="502" spans="1:16" ht="16.5" customHeight="1">
      <c r="A502" s="742">
        <f t="shared" si="51"/>
        <v>333</v>
      </c>
      <c r="B502" s="296" t="s">
        <v>841</v>
      </c>
      <c r="C502" s="725">
        <v>42180</v>
      </c>
      <c r="D502" s="726" t="s">
        <v>840</v>
      </c>
      <c r="E502" s="815">
        <v>70</v>
      </c>
      <c r="F502" s="816">
        <v>67</v>
      </c>
      <c r="G502" s="816">
        <v>152</v>
      </c>
      <c r="H502" s="807">
        <f t="shared" si="48"/>
        <v>6.19</v>
      </c>
      <c r="I502" s="256">
        <v>45</v>
      </c>
      <c r="J502" s="710">
        <f t="shared" si="50"/>
        <v>278.55</v>
      </c>
      <c r="K502" s="710">
        <f t="shared" si="49"/>
        <v>48301.69892559151</v>
      </c>
      <c r="L502" s="656"/>
      <c r="N502" s="705"/>
      <c r="O502" s="705"/>
      <c r="P502" s="705"/>
    </row>
    <row r="503" spans="1:16" ht="16.5" customHeight="1">
      <c r="A503" s="742">
        <f t="shared" si="51"/>
        <v>334</v>
      </c>
      <c r="B503" s="296" t="s">
        <v>454</v>
      </c>
      <c r="C503" s="725">
        <v>42180</v>
      </c>
      <c r="D503" s="726" t="s">
        <v>840</v>
      </c>
      <c r="E503" s="815">
        <v>103</v>
      </c>
      <c r="F503" s="816">
        <v>50</v>
      </c>
      <c r="G503" s="816">
        <v>180</v>
      </c>
      <c r="H503" s="807">
        <f t="shared" si="48"/>
        <v>7.25</v>
      </c>
      <c r="I503" s="256">
        <v>149</v>
      </c>
      <c r="J503" s="710">
        <f t="shared" si="50"/>
        <v>1080.25</v>
      </c>
      <c r="K503" s="710">
        <f t="shared" si="49"/>
        <v>56573.072247259843</v>
      </c>
      <c r="L503" s="656"/>
      <c r="N503" s="705"/>
      <c r="O503" s="705"/>
      <c r="P503" s="705"/>
    </row>
    <row r="504" spans="1:16" ht="16.5" customHeight="1">
      <c r="A504" s="742">
        <f t="shared" si="51"/>
        <v>335</v>
      </c>
      <c r="B504" s="296" t="s">
        <v>842</v>
      </c>
      <c r="C504" s="725">
        <v>42180</v>
      </c>
      <c r="D504" s="726" t="s">
        <v>840</v>
      </c>
      <c r="E504" s="815">
        <v>78</v>
      </c>
      <c r="F504" s="816">
        <v>56</v>
      </c>
      <c r="G504" s="816">
        <v>190</v>
      </c>
      <c r="H504" s="807">
        <f t="shared" si="48"/>
        <v>6.8</v>
      </c>
      <c r="I504" s="256">
        <v>11</v>
      </c>
      <c r="J504" s="710">
        <f t="shared" si="50"/>
        <v>74.8</v>
      </c>
      <c r="K504" s="710">
        <f t="shared" si="49"/>
        <v>53061.640176740264</v>
      </c>
      <c r="L504" s="656"/>
      <c r="N504" s="705"/>
      <c r="O504" s="705"/>
      <c r="P504" s="705"/>
    </row>
    <row r="505" spans="1:16" ht="16.5" customHeight="1">
      <c r="A505" s="742">
        <f t="shared" si="51"/>
        <v>336</v>
      </c>
      <c r="B505" s="296" t="s">
        <v>843</v>
      </c>
      <c r="C505" s="725">
        <v>42180</v>
      </c>
      <c r="D505" s="726" t="s">
        <v>840</v>
      </c>
      <c r="E505" s="815">
        <v>70</v>
      </c>
      <c r="F505" s="816">
        <v>54</v>
      </c>
      <c r="G505" s="816">
        <v>135</v>
      </c>
      <c r="H505" s="807">
        <f t="shared" si="48"/>
        <v>4.8600000000000003</v>
      </c>
      <c r="I505" s="256">
        <v>30</v>
      </c>
      <c r="J505" s="710">
        <f t="shared" si="50"/>
        <v>145.80000000000001</v>
      </c>
      <c r="K505" s="710">
        <f t="shared" si="49"/>
        <v>37923.466361611427</v>
      </c>
      <c r="L505" s="656"/>
      <c r="N505" s="705"/>
      <c r="O505" s="705"/>
      <c r="P505" s="705"/>
    </row>
    <row r="506" spans="1:16" ht="16.5" customHeight="1">
      <c r="A506" s="742">
        <f t="shared" si="51"/>
        <v>337</v>
      </c>
      <c r="B506" s="296" t="s">
        <v>844</v>
      </c>
      <c r="C506" s="725">
        <v>42180</v>
      </c>
      <c r="D506" s="726" t="s">
        <v>840</v>
      </c>
      <c r="E506" s="815">
        <v>58</v>
      </c>
      <c r="F506" s="816">
        <v>38</v>
      </c>
      <c r="G506" s="816">
        <v>17</v>
      </c>
      <c r="H506" s="807">
        <f t="shared" si="48"/>
        <v>1.1399999999999999</v>
      </c>
      <c r="I506" s="256">
        <v>383</v>
      </c>
      <c r="J506" s="710">
        <f t="shared" si="50"/>
        <v>436.61999999999995</v>
      </c>
      <c r="K506" s="710">
        <f t="shared" si="49"/>
        <v>8895.6279119829251</v>
      </c>
      <c r="L506" s="656"/>
      <c r="N506" s="705"/>
      <c r="O506" s="705"/>
      <c r="P506" s="705"/>
    </row>
    <row r="507" spans="1:16" ht="16.5" customHeight="1">
      <c r="A507" s="742">
        <f t="shared" si="51"/>
        <v>338</v>
      </c>
      <c r="B507" s="296" t="s">
        <v>845</v>
      </c>
      <c r="C507" s="725">
        <v>42180</v>
      </c>
      <c r="D507" s="726" t="s">
        <v>840</v>
      </c>
      <c r="E507" s="815">
        <v>63</v>
      </c>
      <c r="F507" s="816">
        <v>60</v>
      </c>
      <c r="G507" s="816">
        <v>134</v>
      </c>
      <c r="H507" s="807">
        <f t="shared" si="48"/>
        <v>4.9400000000000004</v>
      </c>
      <c r="I507" s="256">
        <v>25</v>
      </c>
      <c r="J507" s="710">
        <f t="shared" si="50"/>
        <v>123.50000000000001</v>
      </c>
      <c r="K507" s="710">
        <f t="shared" si="49"/>
        <v>38547.720951926021</v>
      </c>
      <c r="L507" s="656"/>
      <c r="N507" s="705"/>
      <c r="O507" s="705"/>
      <c r="P507" s="705"/>
    </row>
    <row r="508" spans="1:16" ht="16.5" customHeight="1">
      <c r="A508" s="742">
        <f t="shared" si="51"/>
        <v>339</v>
      </c>
      <c r="B508" s="296" t="s">
        <v>846</v>
      </c>
      <c r="C508" s="725">
        <v>42180</v>
      </c>
      <c r="D508" s="726" t="s">
        <v>840</v>
      </c>
      <c r="E508" s="815">
        <v>70</v>
      </c>
      <c r="F508" s="816">
        <v>58</v>
      </c>
      <c r="G508" s="816">
        <v>190</v>
      </c>
      <c r="H508" s="807">
        <f t="shared" si="48"/>
        <v>6.55</v>
      </c>
      <c r="I508" s="256">
        <v>11</v>
      </c>
      <c r="J508" s="710">
        <f t="shared" si="50"/>
        <v>72.05</v>
      </c>
      <c r="K508" s="710">
        <f t="shared" si="49"/>
        <v>51110.844582007165</v>
      </c>
      <c r="L508" s="656"/>
      <c r="N508" s="705"/>
      <c r="O508" s="705"/>
      <c r="P508" s="705"/>
    </row>
    <row r="509" spans="1:16" ht="16.5" customHeight="1">
      <c r="A509" s="742">
        <f t="shared" si="51"/>
        <v>340</v>
      </c>
      <c r="B509" s="296" t="s">
        <v>847</v>
      </c>
      <c r="C509" s="725">
        <v>42180</v>
      </c>
      <c r="D509" s="726" t="s">
        <v>840</v>
      </c>
      <c r="E509" s="815">
        <v>84</v>
      </c>
      <c r="F509" s="816">
        <v>46</v>
      </c>
      <c r="G509" s="816">
        <v>146</v>
      </c>
      <c r="H509" s="807">
        <f t="shared" si="48"/>
        <v>5.17</v>
      </c>
      <c r="I509" s="256">
        <v>28</v>
      </c>
      <c r="J509" s="710">
        <f t="shared" si="50"/>
        <v>144.76</v>
      </c>
      <c r="K509" s="710">
        <f t="shared" si="49"/>
        <v>40342.452899080461</v>
      </c>
      <c r="L509" s="656"/>
      <c r="N509" s="705"/>
      <c r="O509" s="705"/>
      <c r="P509" s="705"/>
    </row>
    <row r="510" spans="1:16" ht="16.5" customHeight="1">
      <c r="A510" s="742">
        <f t="shared" si="51"/>
        <v>341</v>
      </c>
      <c r="B510" s="296" t="s">
        <v>1749</v>
      </c>
      <c r="C510" s="725">
        <v>42181</v>
      </c>
      <c r="D510" s="726" t="s">
        <v>848</v>
      </c>
      <c r="E510" s="815">
        <v>125</v>
      </c>
      <c r="F510" s="816">
        <v>148</v>
      </c>
      <c r="G510" s="816"/>
      <c r="H510" s="807">
        <f t="shared" si="48"/>
        <v>1.85</v>
      </c>
      <c r="I510" s="256">
        <v>354</v>
      </c>
      <c r="J510" s="710">
        <f t="shared" si="50"/>
        <v>654.9</v>
      </c>
      <c r="K510" s="710">
        <f t="shared" si="49"/>
        <v>14435.887401024926</v>
      </c>
      <c r="L510" s="656"/>
      <c r="N510" s="705"/>
      <c r="O510" s="705"/>
      <c r="P510" s="705"/>
    </row>
    <row r="511" spans="1:16" ht="16.5" customHeight="1">
      <c r="A511" s="742">
        <f t="shared" si="51"/>
        <v>342</v>
      </c>
      <c r="B511" s="296" t="s">
        <v>1748</v>
      </c>
      <c r="C511" s="725">
        <v>42181</v>
      </c>
      <c r="D511" s="726" t="s">
        <v>848</v>
      </c>
      <c r="E511" s="815">
        <v>85</v>
      </c>
      <c r="F511" s="816">
        <v>136</v>
      </c>
      <c r="G511" s="816"/>
      <c r="H511" s="807">
        <f t="shared" si="48"/>
        <v>1.1599999999999999</v>
      </c>
      <c r="I511" s="256">
        <v>80</v>
      </c>
      <c r="J511" s="710">
        <f t="shared" si="50"/>
        <v>92.8</v>
      </c>
      <c r="K511" s="710">
        <f t="shared" si="49"/>
        <v>9051.6915595615737</v>
      </c>
      <c r="L511" s="656"/>
      <c r="N511" s="705"/>
      <c r="O511" s="705"/>
      <c r="P511" s="705"/>
    </row>
    <row r="512" spans="1:16" ht="16.5" customHeight="1">
      <c r="A512" s="742">
        <f t="shared" si="51"/>
        <v>343</v>
      </c>
      <c r="B512" s="296" t="s">
        <v>849</v>
      </c>
      <c r="C512" s="725">
        <v>42183</v>
      </c>
      <c r="D512" s="726" t="s">
        <v>850</v>
      </c>
      <c r="E512" s="815">
        <v>58.5</v>
      </c>
      <c r="F512" s="816">
        <v>45</v>
      </c>
      <c r="G512" s="816">
        <v>31</v>
      </c>
      <c r="H512" s="807">
        <f t="shared" si="48"/>
        <v>1.67</v>
      </c>
      <c r="I512" s="256">
        <v>120</v>
      </c>
      <c r="J512" s="710">
        <f t="shared" si="50"/>
        <v>200.39999999999998</v>
      </c>
      <c r="K512" s="710">
        <f t="shared" si="49"/>
        <v>13031.314572817093</v>
      </c>
      <c r="L512" s="656"/>
      <c r="N512" s="705"/>
      <c r="O512" s="705"/>
      <c r="P512" s="705"/>
    </row>
    <row r="513" spans="1:16" ht="16.5" customHeight="1">
      <c r="A513" s="742">
        <f t="shared" si="51"/>
        <v>344</v>
      </c>
      <c r="B513" s="296" t="s">
        <v>852</v>
      </c>
      <c r="C513" s="725">
        <v>42183</v>
      </c>
      <c r="D513" s="726" t="s">
        <v>850</v>
      </c>
      <c r="E513" s="815">
        <v>61</v>
      </c>
      <c r="F513" s="816">
        <v>49</v>
      </c>
      <c r="G513" s="816">
        <v>33</v>
      </c>
      <c r="H513" s="807">
        <f t="shared" si="48"/>
        <v>1.91</v>
      </c>
      <c r="I513" s="256">
        <v>471</v>
      </c>
      <c r="J513" s="710">
        <f t="shared" si="50"/>
        <v>899.61</v>
      </c>
      <c r="K513" s="710">
        <f t="shared" si="49"/>
        <v>14904.078343760868</v>
      </c>
      <c r="L513" s="656"/>
      <c r="N513" s="705"/>
      <c r="O513" s="705"/>
      <c r="P513" s="705"/>
    </row>
    <row r="514" spans="1:16" ht="16.5" customHeight="1">
      <c r="A514" s="742">
        <f t="shared" si="51"/>
        <v>345</v>
      </c>
      <c r="B514" s="296" t="s">
        <v>853</v>
      </c>
      <c r="C514" s="725">
        <v>42183</v>
      </c>
      <c r="D514" s="726" t="s">
        <v>850</v>
      </c>
      <c r="E514" s="815">
        <v>65</v>
      </c>
      <c r="F514" s="816">
        <v>52</v>
      </c>
      <c r="G514" s="816">
        <v>34.5</v>
      </c>
      <c r="H514" s="807">
        <f t="shared" si="48"/>
        <v>2.14</v>
      </c>
      <c r="I514" s="256">
        <v>289</v>
      </c>
      <c r="J514" s="710">
        <f t="shared" si="50"/>
        <v>618.46</v>
      </c>
      <c r="K514" s="710">
        <f t="shared" si="49"/>
        <v>16698.81029091532</v>
      </c>
      <c r="L514" s="656"/>
      <c r="N514" s="705"/>
      <c r="O514" s="705"/>
      <c r="P514" s="705"/>
    </row>
    <row r="515" spans="1:16" ht="16.5" customHeight="1">
      <c r="A515" s="742">
        <f t="shared" si="51"/>
        <v>346</v>
      </c>
      <c r="B515" s="296" t="s">
        <v>854</v>
      </c>
      <c r="C515" s="725">
        <v>42183</v>
      </c>
      <c r="D515" s="726" t="s">
        <v>850</v>
      </c>
      <c r="E515" s="815">
        <v>59</v>
      </c>
      <c r="F515" s="816">
        <v>33</v>
      </c>
      <c r="G515" s="816">
        <v>25</v>
      </c>
      <c r="H515" s="807">
        <f t="shared" si="48"/>
        <v>1.1499999999999999</v>
      </c>
      <c r="I515" s="256">
        <v>500</v>
      </c>
      <c r="J515" s="710">
        <f t="shared" si="50"/>
        <v>575</v>
      </c>
      <c r="K515" s="710">
        <f t="shared" si="49"/>
        <v>8973.6597357722494</v>
      </c>
      <c r="L515" s="656"/>
      <c r="N515" s="705"/>
      <c r="O515" s="705"/>
      <c r="P515" s="705"/>
    </row>
    <row r="516" spans="1:16" ht="16.5" customHeight="1">
      <c r="A516" s="742">
        <f t="shared" si="51"/>
        <v>347</v>
      </c>
      <c r="B516" s="296" t="s">
        <v>855</v>
      </c>
      <c r="C516" s="725">
        <v>42183</v>
      </c>
      <c r="D516" s="726" t="s">
        <v>850</v>
      </c>
      <c r="E516" s="815">
        <v>59</v>
      </c>
      <c r="F516" s="816">
        <v>33</v>
      </c>
      <c r="G516" s="816">
        <v>32</v>
      </c>
      <c r="H516" s="807">
        <f t="shared" si="48"/>
        <v>1.29</v>
      </c>
      <c r="I516" s="256">
        <v>500</v>
      </c>
      <c r="J516" s="710">
        <f t="shared" si="50"/>
        <v>645</v>
      </c>
      <c r="K516" s="710">
        <f t="shared" si="49"/>
        <v>10066.105268822785</v>
      </c>
      <c r="L516" s="656"/>
      <c r="N516" s="705"/>
      <c r="O516" s="705"/>
      <c r="P516" s="705"/>
    </row>
    <row r="517" spans="1:16" ht="16.5" customHeight="1">
      <c r="A517" s="742">
        <f t="shared" si="51"/>
        <v>348</v>
      </c>
      <c r="B517" s="296" t="s">
        <v>856</v>
      </c>
      <c r="C517" s="725">
        <v>42183</v>
      </c>
      <c r="D517" s="726" t="s">
        <v>857</v>
      </c>
      <c r="E517" s="815">
        <v>59</v>
      </c>
      <c r="F517" s="816">
        <v>39</v>
      </c>
      <c r="G517" s="816">
        <v>29</v>
      </c>
      <c r="H517" s="807">
        <f t="shared" si="48"/>
        <v>1.43</v>
      </c>
      <c r="I517" s="256">
        <v>365</v>
      </c>
      <c r="J517" s="710">
        <f t="shared" si="50"/>
        <v>521.94999999999993</v>
      </c>
      <c r="K517" s="710">
        <f t="shared" si="49"/>
        <v>11158.55080187332</v>
      </c>
      <c r="L517" s="656"/>
      <c r="N517" s="705"/>
      <c r="O517" s="705"/>
      <c r="P517" s="705"/>
    </row>
    <row r="518" spans="1:16" ht="16.5" customHeight="1">
      <c r="A518" s="742">
        <f t="shared" si="51"/>
        <v>349</v>
      </c>
      <c r="B518" s="296" t="s">
        <v>1664</v>
      </c>
      <c r="C518" s="725">
        <v>42183</v>
      </c>
      <c r="D518" s="726" t="s">
        <v>857</v>
      </c>
      <c r="E518" s="815">
        <v>40</v>
      </c>
      <c r="F518" s="816">
        <v>20</v>
      </c>
      <c r="G518" s="816"/>
      <c r="H518" s="807">
        <f t="shared" si="48"/>
        <v>0.08</v>
      </c>
      <c r="I518" s="256">
        <v>730</v>
      </c>
      <c r="J518" s="710">
        <f t="shared" si="50"/>
        <v>58.4</v>
      </c>
      <c r="K518" s="710">
        <f t="shared" si="49"/>
        <v>624.25459031459138</v>
      </c>
      <c r="L518" s="656"/>
      <c r="N518" s="705"/>
      <c r="O518" s="705"/>
      <c r="P518" s="705"/>
    </row>
    <row r="519" spans="1:16" ht="16.5" customHeight="1">
      <c r="A519" s="742">
        <f t="shared" si="51"/>
        <v>350</v>
      </c>
      <c r="B519" s="296" t="s">
        <v>413</v>
      </c>
      <c r="C519" s="725">
        <v>42183</v>
      </c>
      <c r="D519" s="726" t="s">
        <v>865</v>
      </c>
      <c r="E519" s="815">
        <v>49</v>
      </c>
      <c r="F519" s="816">
        <v>38</v>
      </c>
      <c r="G519" s="816">
        <v>12</v>
      </c>
      <c r="H519" s="807">
        <f t="shared" si="48"/>
        <v>0.95</v>
      </c>
      <c r="I519" s="256">
        <v>632</v>
      </c>
      <c r="J519" s="710">
        <f t="shared" si="50"/>
        <v>600.4</v>
      </c>
      <c r="K519" s="710">
        <f t="shared" si="49"/>
        <v>7413.0232599857718</v>
      </c>
      <c r="L519" s="656"/>
      <c r="N519" s="705"/>
      <c r="O519" s="705"/>
      <c r="P519" s="705"/>
    </row>
    <row r="520" spans="1:16" ht="16.5" customHeight="1">
      <c r="A520" s="742">
        <f t="shared" si="51"/>
        <v>351</v>
      </c>
      <c r="B520" s="296" t="s">
        <v>858</v>
      </c>
      <c r="C520" s="725">
        <v>42184</v>
      </c>
      <c r="D520" s="726" t="s">
        <v>859</v>
      </c>
      <c r="E520" s="815">
        <v>45.5</v>
      </c>
      <c r="F520" s="816">
        <v>38.1</v>
      </c>
      <c r="G520" s="816">
        <v>40.6</v>
      </c>
      <c r="H520" s="807">
        <f t="shared" si="48"/>
        <v>1.41</v>
      </c>
      <c r="I520" s="256">
        <v>320</v>
      </c>
      <c r="J520" s="710">
        <f t="shared" si="50"/>
        <v>451.2</v>
      </c>
      <c r="K520" s="710">
        <f t="shared" si="49"/>
        <v>11002.487154294671</v>
      </c>
      <c r="L520" s="656"/>
      <c r="N520" s="705"/>
      <c r="O520" s="705"/>
      <c r="P520" s="705"/>
    </row>
    <row r="521" spans="1:16" ht="16.5" customHeight="1">
      <c r="A521" s="742">
        <f t="shared" si="51"/>
        <v>352</v>
      </c>
      <c r="B521" s="296" t="s">
        <v>860</v>
      </c>
      <c r="C521" s="725">
        <v>42184</v>
      </c>
      <c r="D521" s="726" t="s">
        <v>859</v>
      </c>
      <c r="E521" s="815">
        <v>45.5</v>
      </c>
      <c r="F521" s="816">
        <v>38.1</v>
      </c>
      <c r="G521" s="816">
        <v>27.9</v>
      </c>
      <c r="H521" s="807">
        <f t="shared" si="48"/>
        <v>1.19</v>
      </c>
      <c r="I521" s="256">
        <v>1371</v>
      </c>
      <c r="J521" s="710">
        <f t="shared" si="50"/>
        <v>1631.49</v>
      </c>
      <c r="K521" s="710">
        <f t="shared" si="49"/>
        <v>9285.7870309295449</v>
      </c>
      <c r="L521" s="656"/>
      <c r="N521" s="705"/>
      <c r="O521" s="705"/>
      <c r="P521" s="705"/>
    </row>
    <row r="522" spans="1:16" ht="16.5" customHeight="1">
      <c r="A522" s="742">
        <f t="shared" si="51"/>
        <v>353</v>
      </c>
      <c r="B522" s="296" t="s">
        <v>861</v>
      </c>
      <c r="C522" s="725">
        <v>42184</v>
      </c>
      <c r="D522" s="726" t="s">
        <v>859</v>
      </c>
      <c r="E522" s="815">
        <v>66</v>
      </c>
      <c r="F522" s="816">
        <v>38.1</v>
      </c>
      <c r="G522" s="816">
        <v>30.4</v>
      </c>
      <c r="H522" s="807">
        <f t="shared" si="48"/>
        <v>1.52</v>
      </c>
      <c r="I522" s="256">
        <v>185</v>
      </c>
      <c r="J522" s="710">
        <f t="shared" si="50"/>
        <v>281.2</v>
      </c>
      <c r="K522" s="710">
        <f t="shared" si="49"/>
        <v>11860.837215977235</v>
      </c>
      <c r="L522" s="656"/>
      <c r="N522" s="705"/>
      <c r="O522" s="705"/>
      <c r="P522" s="705"/>
    </row>
    <row r="523" spans="1:16" ht="16.5" customHeight="1">
      <c r="A523" s="742">
        <f t="shared" si="51"/>
        <v>354</v>
      </c>
      <c r="B523" s="296" t="s">
        <v>1671</v>
      </c>
      <c r="C523" s="725">
        <v>42184</v>
      </c>
      <c r="D523" s="726" t="s">
        <v>859</v>
      </c>
      <c r="E523" s="815">
        <v>35</v>
      </c>
      <c r="F523" s="816">
        <v>20</v>
      </c>
      <c r="G523" s="816"/>
      <c r="H523" s="807">
        <f t="shared" si="48"/>
        <v>7.0000000000000007E-2</v>
      </c>
      <c r="I523" s="256">
        <v>3752</v>
      </c>
      <c r="J523" s="710">
        <f t="shared" si="50"/>
        <v>262.64000000000004</v>
      </c>
      <c r="K523" s="710">
        <f t="shared" si="49"/>
        <v>546.2227665252675</v>
      </c>
      <c r="L523" s="656"/>
      <c r="N523" s="705"/>
      <c r="O523" s="705"/>
      <c r="P523" s="705"/>
    </row>
    <row r="524" spans="1:16" ht="16.5" customHeight="1">
      <c r="A524" s="742">
        <f t="shared" si="51"/>
        <v>355</v>
      </c>
      <c r="B524" s="296" t="s">
        <v>862</v>
      </c>
      <c r="C524" s="725">
        <v>42184</v>
      </c>
      <c r="D524" s="726" t="s">
        <v>859</v>
      </c>
      <c r="E524" s="815">
        <v>35.5</v>
      </c>
      <c r="F524" s="816">
        <v>35.5</v>
      </c>
      <c r="G524" s="816">
        <v>27.9</v>
      </c>
      <c r="H524" s="807">
        <f t="shared" si="48"/>
        <v>0.98</v>
      </c>
      <c r="I524" s="256">
        <v>201</v>
      </c>
      <c r="J524" s="710">
        <f t="shared" si="50"/>
        <v>196.98</v>
      </c>
      <c r="K524" s="710">
        <f t="shared" si="49"/>
        <v>7647.1187313537439</v>
      </c>
      <c r="L524" s="656"/>
      <c r="N524" s="705"/>
      <c r="O524" s="705"/>
      <c r="P524" s="705"/>
    </row>
    <row r="525" spans="1:16" ht="16.5" customHeight="1">
      <c r="A525" s="742">
        <f t="shared" si="51"/>
        <v>356</v>
      </c>
      <c r="B525" s="296" t="s">
        <v>863</v>
      </c>
      <c r="C525" s="725">
        <v>42184</v>
      </c>
      <c r="D525" s="726" t="s">
        <v>859</v>
      </c>
      <c r="E525" s="815">
        <v>71</v>
      </c>
      <c r="F525" s="816">
        <v>35.5</v>
      </c>
      <c r="G525" s="816">
        <v>27.9</v>
      </c>
      <c r="H525" s="807">
        <f t="shared" si="48"/>
        <v>1.45</v>
      </c>
      <c r="I525" s="256">
        <v>248</v>
      </c>
      <c r="J525" s="710">
        <f t="shared" si="50"/>
        <v>359.59999999999997</v>
      </c>
      <c r="K525" s="710">
        <f t="shared" si="49"/>
        <v>11314.614449451967</v>
      </c>
      <c r="L525" s="656"/>
      <c r="N525" s="705"/>
      <c r="O525" s="705"/>
      <c r="P525" s="705"/>
    </row>
    <row r="526" spans="1:16" ht="16.5" customHeight="1">
      <c r="A526" s="742">
        <f t="shared" si="51"/>
        <v>357</v>
      </c>
      <c r="B526" s="296" t="s">
        <v>1663</v>
      </c>
      <c r="C526" s="725">
        <v>42184</v>
      </c>
      <c r="D526" s="726" t="s">
        <v>859</v>
      </c>
      <c r="E526" s="815">
        <v>20</v>
      </c>
      <c r="F526" s="816">
        <v>20</v>
      </c>
      <c r="G526" s="816"/>
      <c r="H526" s="807">
        <f t="shared" si="48"/>
        <v>0.04</v>
      </c>
      <c r="I526" s="256">
        <v>402</v>
      </c>
      <c r="J526" s="710">
        <f t="shared" si="50"/>
        <v>16.080000000000002</v>
      </c>
      <c r="K526" s="710">
        <f t="shared" si="49"/>
        <v>312.12729515729569</v>
      </c>
      <c r="L526" s="656"/>
      <c r="N526" s="705"/>
      <c r="O526" s="705"/>
      <c r="P526" s="705"/>
    </row>
    <row r="527" spans="1:16" ht="16.5" customHeight="1">
      <c r="A527" s="742">
        <f t="shared" si="51"/>
        <v>358</v>
      </c>
      <c r="B527" s="296" t="s">
        <v>1664</v>
      </c>
      <c r="C527" s="725">
        <v>42184</v>
      </c>
      <c r="D527" s="726" t="s">
        <v>859</v>
      </c>
      <c r="E527" s="815">
        <v>40</v>
      </c>
      <c r="F527" s="816">
        <v>20</v>
      </c>
      <c r="G527" s="816"/>
      <c r="H527" s="807">
        <f t="shared" si="48"/>
        <v>0.08</v>
      </c>
      <c r="I527" s="256">
        <v>496</v>
      </c>
      <c r="J527" s="710">
        <f t="shared" si="50"/>
        <v>39.68</v>
      </c>
      <c r="K527" s="710">
        <f t="shared" si="49"/>
        <v>624.25459031459138</v>
      </c>
      <c r="L527" s="656"/>
      <c r="N527" s="705"/>
      <c r="O527" s="705"/>
      <c r="P527" s="705"/>
    </row>
    <row r="528" spans="1:16" ht="16.5" customHeight="1">
      <c r="A528" s="742">
        <f t="shared" si="51"/>
        <v>359</v>
      </c>
      <c r="B528" s="296" t="s">
        <v>1140</v>
      </c>
      <c r="C528" s="725">
        <v>42184</v>
      </c>
      <c r="D528" s="726" t="s">
        <v>864</v>
      </c>
      <c r="E528" s="815">
        <v>45</v>
      </c>
      <c r="F528" s="816">
        <v>37</v>
      </c>
      <c r="G528" s="816">
        <v>27.5</v>
      </c>
      <c r="H528" s="807">
        <f t="shared" si="48"/>
        <v>1.1399999999999999</v>
      </c>
      <c r="I528" s="256">
        <v>1005</v>
      </c>
      <c r="J528" s="710">
        <f t="shared" si="50"/>
        <v>1145.6999999999998</v>
      </c>
      <c r="K528" s="710">
        <f t="shared" si="49"/>
        <v>8895.6279119829251</v>
      </c>
      <c r="L528" s="656"/>
      <c r="N528" s="705"/>
      <c r="O528" s="705"/>
      <c r="P528" s="705"/>
    </row>
    <row r="529" spans="1:17" ht="16.5" customHeight="1">
      <c r="A529" s="742">
        <f t="shared" si="51"/>
        <v>360</v>
      </c>
      <c r="B529" s="296" t="s">
        <v>1140</v>
      </c>
      <c r="C529" s="725">
        <v>42184</v>
      </c>
      <c r="D529" s="726" t="s">
        <v>864</v>
      </c>
      <c r="E529" s="815">
        <v>45</v>
      </c>
      <c r="F529" s="816">
        <v>37</v>
      </c>
      <c r="G529" s="816">
        <v>27.5</v>
      </c>
      <c r="H529" s="807">
        <f t="shared" si="48"/>
        <v>1.1399999999999999</v>
      </c>
      <c r="I529" s="256">
        <v>103</v>
      </c>
      <c r="J529" s="710">
        <f t="shared" si="50"/>
        <v>117.41999999999999</v>
      </c>
      <c r="K529" s="710">
        <f t="shared" si="49"/>
        <v>8895.6279119829251</v>
      </c>
      <c r="L529" s="656"/>
      <c r="N529" s="705"/>
      <c r="O529" s="705"/>
      <c r="P529" s="705"/>
    </row>
    <row r="530" spans="1:17" ht="16.5" customHeight="1">
      <c r="A530" s="742">
        <f t="shared" si="51"/>
        <v>361</v>
      </c>
      <c r="B530" s="296" t="s">
        <v>1654</v>
      </c>
      <c r="C530" s="725">
        <v>42184</v>
      </c>
      <c r="D530" s="726" t="s">
        <v>864</v>
      </c>
      <c r="E530" s="815">
        <v>50</v>
      </c>
      <c r="F530" s="816">
        <v>20</v>
      </c>
      <c r="G530" s="816"/>
      <c r="H530" s="807">
        <f t="shared" si="48"/>
        <v>0.1</v>
      </c>
      <c r="I530" s="256">
        <v>2216</v>
      </c>
      <c r="J530" s="710">
        <f t="shared" si="50"/>
        <v>221.60000000000002</v>
      </c>
      <c r="K530" s="710">
        <f t="shared" si="49"/>
        <v>780.31823789323926</v>
      </c>
      <c r="L530" s="656"/>
      <c r="N530" s="705"/>
      <c r="O530" s="705"/>
      <c r="P530" s="705"/>
    </row>
    <row r="531" spans="1:17" ht="16.5" customHeight="1">
      <c r="A531" s="742">
        <f t="shared" si="51"/>
        <v>362</v>
      </c>
      <c r="B531" s="296" t="s">
        <v>1750</v>
      </c>
      <c r="C531" s="725">
        <v>42184</v>
      </c>
      <c r="D531" s="726" t="s">
        <v>866</v>
      </c>
      <c r="E531" s="815">
        <v>125</v>
      </c>
      <c r="F531" s="816">
        <v>113</v>
      </c>
      <c r="G531" s="816"/>
      <c r="H531" s="807">
        <f t="shared" si="48"/>
        <v>1.41</v>
      </c>
      <c r="I531" s="256">
        <v>230</v>
      </c>
      <c r="J531" s="710">
        <f t="shared" si="50"/>
        <v>324.29999999999995</v>
      </c>
      <c r="K531" s="710">
        <f t="shared" si="49"/>
        <v>11002.487154294671</v>
      </c>
      <c r="L531" s="656"/>
      <c r="N531" s="705"/>
      <c r="O531" s="705"/>
      <c r="P531" s="705"/>
    </row>
    <row r="532" spans="1:17" ht="16.5" customHeight="1">
      <c r="A532" s="742">
        <f t="shared" si="51"/>
        <v>363</v>
      </c>
      <c r="B532" s="296" t="s">
        <v>494</v>
      </c>
      <c r="C532" s="725">
        <v>42185</v>
      </c>
      <c r="D532" s="726" t="s">
        <v>867</v>
      </c>
      <c r="E532" s="815">
        <v>37.5</v>
      </c>
      <c r="F532" s="816">
        <v>25.3</v>
      </c>
      <c r="G532" s="816">
        <v>23.9</v>
      </c>
      <c r="H532" s="807">
        <f t="shared" si="48"/>
        <v>0.68</v>
      </c>
      <c r="I532" s="256">
        <v>2016</v>
      </c>
      <c r="J532" s="710">
        <f t="shared" si="50"/>
        <v>1370.88</v>
      </c>
      <c r="K532" s="710">
        <f t="shared" si="49"/>
        <v>5306.1640176740266</v>
      </c>
      <c r="L532" s="656"/>
      <c r="N532" s="705"/>
      <c r="O532" s="705"/>
      <c r="P532" s="705"/>
    </row>
    <row r="533" spans="1:17" ht="15.75" customHeight="1">
      <c r="A533" s="742">
        <f t="shared" si="51"/>
        <v>364</v>
      </c>
      <c r="B533" s="296" t="s">
        <v>510</v>
      </c>
      <c r="C533" s="725">
        <v>42185</v>
      </c>
      <c r="D533" s="726" t="s">
        <v>868</v>
      </c>
      <c r="E533" s="812">
        <v>55.8</v>
      </c>
      <c r="F533" s="811">
        <v>35.5</v>
      </c>
      <c r="G533" s="811">
        <v>20.3</v>
      </c>
      <c r="H533" s="807">
        <f t="shared" si="48"/>
        <v>1.1000000000000001</v>
      </c>
      <c r="I533" s="710">
        <v>250</v>
      </c>
      <c r="J533" s="710">
        <f t="shared" si="50"/>
        <v>275</v>
      </c>
      <c r="K533" s="710">
        <f t="shared" si="49"/>
        <v>8583.5006168256314</v>
      </c>
      <c r="L533" s="656"/>
      <c r="M533" s="292"/>
      <c r="N533" s="701"/>
    </row>
    <row r="534" spans="1:17" ht="15.75" customHeight="1">
      <c r="A534" s="742">
        <f t="shared" si="51"/>
        <v>365</v>
      </c>
      <c r="B534" s="296" t="s">
        <v>512</v>
      </c>
      <c r="C534" s="725">
        <v>42185</v>
      </c>
      <c r="D534" s="726" t="s">
        <v>868</v>
      </c>
      <c r="E534" s="812">
        <v>55.8</v>
      </c>
      <c r="F534" s="811">
        <v>35.5</v>
      </c>
      <c r="G534" s="811">
        <v>21.5</v>
      </c>
      <c r="H534" s="807">
        <f t="shared" si="48"/>
        <v>1.1299999999999999</v>
      </c>
      <c r="I534" s="710">
        <v>570</v>
      </c>
      <c r="J534" s="710">
        <f t="shared" si="50"/>
        <v>644.09999999999991</v>
      </c>
      <c r="K534" s="710">
        <f t="shared" si="49"/>
        <v>8817.5960881936026</v>
      </c>
      <c r="L534" s="656"/>
      <c r="M534" s="292"/>
      <c r="N534" s="701"/>
    </row>
    <row r="535" spans="1:17" ht="15.75" customHeight="1">
      <c r="A535" s="742">
        <f t="shared" si="51"/>
        <v>366</v>
      </c>
      <c r="B535" s="296" t="s">
        <v>513</v>
      </c>
      <c r="C535" s="725">
        <v>42185</v>
      </c>
      <c r="D535" s="726" t="s">
        <v>868</v>
      </c>
      <c r="E535" s="812">
        <v>55.8</v>
      </c>
      <c r="F535" s="811">
        <v>35.5</v>
      </c>
      <c r="G535" s="811">
        <v>22.8</v>
      </c>
      <c r="H535" s="807">
        <f t="shared" si="48"/>
        <v>1.1499999999999999</v>
      </c>
      <c r="I535" s="710">
        <v>1050</v>
      </c>
      <c r="J535" s="710">
        <f t="shared" si="50"/>
        <v>1207.5</v>
      </c>
      <c r="K535" s="710">
        <f t="shared" si="49"/>
        <v>8973.6597357722494</v>
      </c>
      <c r="L535" s="656"/>
      <c r="M535" s="292"/>
      <c r="N535" s="701"/>
    </row>
    <row r="536" spans="1:17" ht="15.75" customHeight="1">
      <c r="A536" s="742">
        <f t="shared" si="51"/>
        <v>367</v>
      </c>
      <c r="B536" s="296" t="s">
        <v>514</v>
      </c>
      <c r="C536" s="725">
        <v>42185</v>
      </c>
      <c r="D536" s="726" t="s">
        <v>868</v>
      </c>
      <c r="E536" s="812">
        <v>55.8</v>
      </c>
      <c r="F536" s="811">
        <v>35.5</v>
      </c>
      <c r="G536" s="811">
        <v>12.7</v>
      </c>
      <c r="H536" s="807">
        <f t="shared" si="48"/>
        <v>0.96</v>
      </c>
      <c r="I536" s="710">
        <v>537</v>
      </c>
      <c r="J536" s="710">
        <f t="shared" si="50"/>
        <v>515.52</v>
      </c>
      <c r="K536" s="710">
        <f t="shared" si="49"/>
        <v>7491.0550837750961</v>
      </c>
      <c r="L536" s="656"/>
      <c r="M536" s="292"/>
      <c r="N536" s="701"/>
    </row>
    <row r="537" spans="1:17" ht="15.75" customHeight="1">
      <c r="A537" s="742">
        <f t="shared" si="51"/>
        <v>368</v>
      </c>
      <c r="B537" s="296" t="s">
        <v>510</v>
      </c>
      <c r="C537" s="725">
        <v>42185</v>
      </c>
      <c r="D537" s="726" t="s">
        <v>868</v>
      </c>
      <c r="E537" s="812">
        <v>55.8</v>
      </c>
      <c r="F537" s="811">
        <v>35.5</v>
      </c>
      <c r="G537" s="811">
        <v>20.3</v>
      </c>
      <c r="H537" s="807">
        <f t="shared" si="48"/>
        <v>1.1000000000000001</v>
      </c>
      <c r="I537" s="710">
        <v>150</v>
      </c>
      <c r="J537" s="710">
        <f t="shared" si="50"/>
        <v>165</v>
      </c>
      <c r="K537" s="710">
        <f t="shared" si="49"/>
        <v>8583.5006168256314</v>
      </c>
      <c r="L537" s="656"/>
      <c r="M537" s="292"/>
      <c r="N537" s="701"/>
    </row>
    <row r="538" spans="1:17" ht="15.75" customHeight="1">
      <c r="A538" s="742">
        <f t="shared" si="51"/>
        <v>369</v>
      </c>
      <c r="B538" s="296" t="s">
        <v>512</v>
      </c>
      <c r="C538" s="725">
        <v>42185</v>
      </c>
      <c r="D538" s="726" t="s">
        <v>868</v>
      </c>
      <c r="E538" s="812">
        <v>55.8</v>
      </c>
      <c r="F538" s="811">
        <v>35.5</v>
      </c>
      <c r="G538" s="811">
        <v>21.5</v>
      </c>
      <c r="H538" s="807">
        <f t="shared" si="48"/>
        <v>1.1299999999999999</v>
      </c>
      <c r="I538" s="710">
        <v>980</v>
      </c>
      <c r="J538" s="710">
        <f t="shared" si="50"/>
        <v>1107.3999999999999</v>
      </c>
      <c r="K538" s="710">
        <f t="shared" si="49"/>
        <v>8817.5960881936026</v>
      </c>
      <c r="L538" s="656"/>
      <c r="M538" s="292"/>
      <c r="N538" s="701"/>
    </row>
    <row r="539" spans="1:17" ht="15.75" customHeight="1">
      <c r="A539" s="742">
        <f t="shared" si="51"/>
        <v>370</v>
      </c>
      <c r="B539" s="296" t="s">
        <v>513</v>
      </c>
      <c r="C539" s="725">
        <v>42185</v>
      </c>
      <c r="D539" s="726" t="s">
        <v>868</v>
      </c>
      <c r="E539" s="812">
        <v>55.8</v>
      </c>
      <c r="F539" s="811">
        <v>35.5</v>
      </c>
      <c r="G539" s="811">
        <v>22.8</v>
      </c>
      <c r="H539" s="807">
        <f t="shared" si="48"/>
        <v>1.1499999999999999</v>
      </c>
      <c r="I539" s="710">
        <v>290</v>
      </c>
      <c r="J539" s="710">
        <f t="shared" si="50"/>
        <v>333.5</v>
      </c>
      <c r="K539" s="710">
        <f t="shared" si="49"/>
        <v>8973.6597357722494</v>
      </c>
      <c r="L539" s="656"/>
      <c r="M539" s="292"/>
      <c r="N539" s="701"/>
    </row>
    <row r="540" spans="1:17" ht="15.75" customHeight="1">
      <c r="A540" s="742">
        <f t="shared" si="51"/>
        <v>371</v>
      </c>
      <c r="B540" s="296" t="s">
        <v>514</v>
      </c>
      <c r="C540" s="725">
        <v>42185</v>
      </c>
      <c r="D540" s="726" t="s">
        <v>868</v>
      </c>
      <c r="E540" s="812">
        <v>55.8</v>
      </c>
      <c r="F540" s="811">
        <v>35.5</v>
      </c>
      <c r="G540" s="811">
        <v>12.7</v>
      </c>
      <c r="H540" s="807">
        <f t="shared" si="48"/>
        <v>0.96</v>
      </c>
      <c r="I540" s="710">
        <v>409</v>
      </c>
      <c r="J540" s="710">
        <f t="shared" si="50"/>
        <v>392.64</v>
      </c>
      <c r="K540" s="710">
        <f t="shared" si="49"/>
        <v>7491.0550837750961</v>
      </c>
      <c r="L540" s="656"/>
      <c r="M540" s="292"/>
      <c r="N540" s="701"/>
    </row>
    <row r="541" spans="1:17" ht="15.75" customHeight="1">
      <c r="A541" s="742">
        <f t="shared" si="51"/>
        <v>372</v>
      </c>
      <c r="B541" s="296" t="s">
        <v>510</v>
      </c>
      <c r="C541" s="725">
        <v>42185</v>
      </c>
      <c r="D541" s="726" t="s">
        <v>868</v>
      </c>
      <c r="E541" s="812">
        <v>55.8</v>
      </c>
      <c r="F541" s="811">
        <v>35.5</v>
      </c>
      <c r="G541" s="811">
        <v>20.3</v>
      </c>
      <c r="H541" s="807">
        <f t="shared" ref="H541:H542" si="52">IF(G541&lt;&gt;"",ROUND(((E541+F541)*2+5)*(F541+G541+3)/10000,2),ROUND(E541*F541/10000,2))</f>
        <v>1.1000000000000001</v>
      </c>
      <c r="I541" s="710">
        <v>400</v>
      </c>
      <c r="J541" s="710">
        <f t="shared" ref="J541:J542" si="53">H541*I541</f>
        <v>440.00000000000006</v>
      </c>
      <c r="K541" s="710">
        <f t="shared" si="49"/>
        <v>8583.5006168256314</v>
      </c>
      <c r="L541" s="656"/>
      <c r="M541" s="292"/>
      <c r="N541" s="701"/>
    </row>
    <row r="542" spans="1:17" ht="15.75" customHeight="1">
      <c r="A542" s="742">
        <f t="shared" si="51"/>
        <v>373</v>
      </c>
      <c r="B542" s="296" t="s">
        <v>512</v>
      </c>
      <c r="C542" s="725">
        <v>42185</v>
      </c>
      <c r="D542" s="726" t="s">
        <v>868</v>
      </c>
      <c r="E542" s="812">
        <v>55.8</v>
      </c>
      <c r="F542" s="811">
        <v>35.5</v>
      </c>
      <c r="G542" s="811">
        <v>21.5</v>
      </c>
      <c r="H542" s="807">
        <f t="shared" si="52"/>
        <v>1.1299999999999999</v>
      </c>
      <c r="I542" s="710">
        <v>120</v>
      </c>
      <c r="J542" s="710">
        <f t="shared" si="53"/>
        <v>135.6</v>
      </c>
      <c r="K542" s="710">
        <f t="shared" si="49"/>
        <v>8817.5960881936026</v>
      </c>
      <c r="L542" s="656"/>
      <c r="M542" s="292"/>
      <c r="N542" s="701"/>
    </row>
    <row r="543" spans="1:17" s="730" customFormat="1" ht="16.5" customHeight="1">
      <c r="A543" s="802"/>
      <c r="B543" s="736"/>
      <c r="C543" s="725"/>
      <c r="D543" s="726"/>
      <c r="E543" s="817"/>
      <c r="F543" s="818"/>
      <c r="G543" s="819"/>
      <c r="H543" s="737"/>
      <c r="I543" s="739"/>
      <c r="J543" s="739"/>
      <c r="K543" s="737"/>
      <c r="L543" s="656"/>
      <c r="M543" s="705"/>
      <c r="N543" s="705"/>
      <c r="O543" s="705"/>
      <c r="P543" s="705"/>
      <c r="Q543" s="705"/>
    </row>
    <row r="544" spans="1:17" s="706" customFormat="1" ht="16.5" customHeight="1">
      <c r="A544" s="711"/>
      <c r="B544" s="712" t="s">
        <v>243</v>
      </c>
      <c r="C544" s="731"/>
      <c r="D544" s="732"/>
      <c r="E544" s="805"/>
      <c r="F544" s="805"/>
      <c r="G544" s="805"/>
      <c r="H544" s="808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5"/>
      <c r="N544" s="705"/>
      <c r="O544" s="705"/>
      <c r="P544" s="705"/>
      <c r="Q544" s="887"/>
    </row>
    <row r="545" spans="1:17" s="706" customFormat="1">
      <c r="A545" s="713"/>
      <c r="B545" s="714"/>
      <c r="C545" s="733"/>
      <c r="D545" s="734"/>
      <c r="E545" s="809"/>
      <c r="F545" s="809"/>
      <c r="G545" s="809"/>
      <c r="H545" s="707"/>
      <c r="I545" s="707"/>
      <c r="J545" s="707"/>
      <c r="K545" s="707"/>
      <c r="M545" s="705"/>
      <c r="N545" s="705"/>
      <c r="O545" s="705"/>
      <c r="P545" s="705"/>
      <c r="Q545" s="705"/>
    </row>
    <row r="546" spans="1:17">
      <c r="C546" s="733"/>
      <c r="D546" s="734"/>
      <c r="L546" s="705"/>
      <c r="N546" s="705"/>
      <c r="O546" s="705"/>
      <c r="P546" s="705"/>
    </row>
    <row r="547" spans="1:17" ht="18" hidden="1" customHeight="1">
      <c r="A547" s="563" t="str">
        <f>TH!$A$1</f>
        <v>Đơn vị: CÔNG TY TNHH SX TM KIM DUNG PHÁT</v>
      </c>
      <c r="B547" s="706"/>
      <c r="C547" s="733"/>
      <c r="D547" s="734"/>
      <c r="H547" s="292"/>
      <c r="I547" s="591"/>
      <c r="J547" s="591"/>
      <c r="K547" s="292"/>
      <c r="L547" s="705"/>
      <c r="N547" s="705"/>
      <c r="O547" s="705"/>
      <c r="P547" s="705"/>
    </row>
    <row r="548" spans="1:17" ht="18.75" customHeight="1">
      <c r="A548" s="707" t="s">
        <v>1850</v>
      </c>
      <c r="B548" s="707"/>
      <c r="C548" s="733"/>
      <c r="D548" s="734"/>
      <c r="E548" s="809"/>
      <c r="F548" s="809"/>
      <c r="G548" s="809"/>
      <c r="H548" s="707"/>
      <c r="I548" s="707"/>
      <c r="J548" s="707"/>
      <c r="K548" s="707"/>
      <c r="L548" s="705"/>
      <c r="N548" s="705"/>
      <c r="O548" s="705"/>
      <c r="P548" s="705"/>
    </row>
    <row r="549" spans="1:17" ht="12" customHeight="1">
      <c r="A549" s="707"/>
      <c r="B549" s="707"/>
      <c r="C549" s="733"/>
      <c r="D549" s="734"/>
      <c r="E549" s="809"/>
      <c r="F549" s="809"/>
      <c r="G549" s="809"/>
      <c r="H549" s="707"/>
      <c r="I549" s="707"/>
      <c r="J549" s="707"/>
      <c r="K549" s="707"/>
      <c r="L549" s="705"/>
      <c r="N549" s="705"/>
      <c r="O549" s="705"/>
      <c r="P549" s="705"/>
    </row>
    <row r="550" spans="1:17" s="442" customFormat="1" ht="21" customHeight="1">
      <c r="A550" s="1097" t="s">
        <v>35</v>
      </c>
      <c r="B550" s="1097" t="s">
        <v>239</v>
      </c>
      <c r="C550" s="1097" t="s">
        <v>1858</v>
      </c>
      <c r="D550" s="1097" t="s">
        <v>1859</v>
      </c>
      <c r="E550" s="1098" t="s">
        <v>1860</v>
      </c>
      <c r="F550" s="1099"/>
      <c r="G550" s="1099"/>
      <c r="H550" s="1100"/>
      <c r="I550" s="1097" t="s">
        <v>240</v>
      </c>
      <c r="J550" s="1104" t="s">
        <v>1870</v>
      </c>
      <c r="K550" s="1097" t="s">
        <v>1864</v>
      </c>
      <c r="L550" s="441"/>
      <c r="M550" s="1097" t="s">
        <v>239</v>
      </c>
      <c r="N550" s="1097" t="s">
        <v>1865</v>
      </c>
      <c r="O550" s="1097" t="s">
        <v>198</v>
      </c>
      <c r="P550" s="1097" t="s">
        <v>241</v>
      </c>
      <c r="Q550" s="1097" t="s">
        <v>242</v>
      </c>
    </row>
    <row r="551" spans="1:17" s="442" customFormat="1" ht="21" customHeight="1">
      <c r="A551" s="1097"/>
      <c r="B551" s="1097"/>
      <c r="C551" s="1097"/>
      <c r="D551" s="1097"/>
      <c r="E551" s="753" t="s">
        <v>1861</v>
      </c>
      <c r="F551" s="753" t="s">
        <v>1862</v>
      </c>
      <c r="G551" s="753" t="s">
        <v>1863</v>
      </c>
      <c r="H551" s="440" t="s">
        <v>1868</v>
      </c>
      <c r="I551" s="1097"/>
      <c r="J551" s="1105"/>
      <c r="K551" s="1097"/>
      <c r="L551" s="441"/>
      <c r="M551" s="1097"/>
      <c r="N551" s="1097"/>
      <c r="O551" s="1097"/>
      <c r="P551" s="1097"/>
      <c r="Q551" s="1097"/>
    </row>
    <row r="552" spans="1:17" ht="15.75" customHeight="1">
      <c r="A552" s="709">
        <f>IF(B552&lt;&gt;"",ROW()-(ROW()-1),"")</f>
        <v>1</v>
      </c>
      <c r="B552" s="296" t="s">
        <v>870</v>
      </c>
      <c r="C552" s="725">
        <v>42186</v>
      </c>
      <c r="D552" s="726" t="s">
        <v>871</v>
      </c>
      <c r="E552" s="812">
        <v>35</v>
      </c>
      <c r="F552" s="811">
        <v>30</v>
      </c>
      <c r="G552" s="811">
        <v>16</v>
      </c>
      <c r="H552" s="807">
        <f t="shared" ref="H552:H615" si="54">IF(G552&lt;&gt;"",ROUND(((E552+F552)*2+5)*(F552+G552+3)/10000,2),ROUND(E552*F552/10000,2))</f>
        <v>0.66</v>
      </c>
      <c r="I552" s="710">
        <v>22</v>
      </c>
      <c r="J552" s="710">
        <f t="shared" ref="J552" si="55">H552*I552</f>
        <v>14.520000000000001</v>
      </c>
      <c r="K552" s="710">
        <f t="shared" ref="K552:K615" si="56">H552*$Q$611</f>
        <v>5299.563299459076</v>
      </c>
      <c r="L552" s="705"/>
      <c r="M552" s="191" t="s">
        <v>1402</v>
      </c>
      <c r="N552" s="727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09">
        <f>IF(B553&lt;&gt;"",A552+1,"")</f>
        <v>2</v>
      </c>
      <c r="B553" s="296" t="s">
        <v>873</v>
      </c>
      <c r="C553" s="725">
        <v>42186</v>
      </c>
      <c r="D553" s="726" t="s">
        <v>871</v>
      </c>
      <c r="E553" s="812">
        <v>35</v>
      </c>
      <c r="F553" s="811">
        <v>30</v>
      </c>
      <c r="G553" s="811">
        <v>40</v>
      </c>
      <c r="H553" s="807">
        <f t="shared" si="54"/>
        <v>0.99</v>
      </c>
      <c r="I553" s="710">
        <v>11</v>
      </c>
      <c r="J553" s="710">
        <f t="shared" ref="J553:J616" si="58">H553*I553</f>
        <v>10.89</v>
      </c>
      <c r="K553" s="710">
        <f t="shared" si="56"/>
        <v>7949.3449491886131</v>
      </c>
      <c r="L553" s="705"/>
      <c r="M553" s="443" t="s">
        <v>1937</v>
      </c>
      <c r="N553" s="727">
        <v>42186</v>
      </c>
      <c r="O553" s="754">
        <v>3000</v>
      </c>
      <c r="P553" s="745">
        <v>7800</v>
      </c>
      <c r="Q553" s="8">
        <f t="shared" si="57"/>
        <v>23400000</v>
      </c>
    </row>
    <row r="554" spans="1:17" ht="15.75" customHeight="1">
      <c r="A554" s="709">
        <f t="shared" ref="A554:A717" si="59">IF(B554&lt;&gt;"",A553+1,"")</f>
        <v>3</v>
      </c>
      <c r="B554" s="296" t="s">
        <v>870</v>
      </c>
      <c r="C554" s="725">
        <v>42186</v>
      </c>
      <c r="D554" s="726" t="s">
        <v>871</v>
      </c>
      <c r="E554" s="812">
        <v>35</v>
      </c>
      <c r="F554" s="811">
        <v>30</v>
      </c>
      <c r="G554" s="811">
        <v>16</v>
      </c>
      <c r="H554" s="807">
        <f t="shared" si="54"/>
        <v>0.66</v>
      </c>
      <c r="I554" s="710">
        <v>75</v>
      </c>
      <c r="J554" s="710">
        <f t="shared" si="58"/>
        <v>49.5</v>
      </c>
      <c r="K554" s="710">
        <f t="shared" si="56"/>
        <v>5299.563299459076</v>
      </c>
      <c r="L554" s="705"/>
      <c r="M554" s="191" t="s">
        <v>1357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09">
        <f t="shared" si="59"/>
        <v>4</v>
      </c>
      <c r="B555" s="296" t="s">
        <v>874</v>
      </c>
      <c r="C555" s="725">
        <v>42186</v>
      </c>
      <c r="D555" s="726" t="s">
        <v>871</v>
      </c>
      <c r="E555" s="812">
        <v>35</v>
      </c>
      <c r="F555" s="811">
        <v>30</v>
      </c>
      <c r="G555" s="811">
        <v>32</v>
      </c>
      <c r="H555" s="807">
        <f t="shared" si="54"/>
        <v>0.88</v>
      </c>
      <c r="I555" s="710">
        <v>5</v>
      </c>
      <c r="J555" s="710">
        <f t="shared" si="58"/>
        <v>4.4000000000000004</v>
      </c>
      <c r="K555" s="710">
        <f t="shared" si="56"/>
        <v>7066.0843992787677</v>
      </c>
      <c r="L555" s="705"/>
      <c r="M555" s="296" t="s">
        <v>1398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09">
        <f t="shared" si="59"/>
        <v>5</v>
      </c>
      <c r="B556" s="296" t="s">
        <v>875</v>
      </c>
      <c r="C556" s="725">
        <v>42186</v>
      </c>
      <c r="D556" s="726" t="s">
        <v>871</v>
      </c>
      <c r="E556" s="812">
        <v>35</v>
      </c>
      <c r="F556" s="811">
        <v>30</v>
      </c>
      <c r="G556" s="811">
        <v>24</v>
      </c>
      <c r="H556" s="807">
        <f t="shared" si="54"/>
        <v>0.77</v>
      </c>
      <c r="I556" s="710">
        <v>5</v>
      </c>
      <c r="J556" s="710">
        <f t="shared" si="58"/>
        <v>3.85</v>
      </c>
      <c r="K556" s="710">
        <f t="shared" si="56"/>
        <v>6182.8238493689214</v>
      </c>
      <c r="L556" s="656"/>
      <c r="M556" s="296" t="s">
        <v>1402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09">
        <f t="shared" si="59"/>
        <v>6</v>
      </c>
      <c r="B557" s="296" t="s">
        <v>873</v>
      </c>
      <c r="C557" s="725">
        <v>42186</v>
      </c>
      <c r="D557" s="726" t="s">
        <v>871</v>
      </c>
      <c r="E557" s="812">
        <v>35</v>
      </c>
      <c r="F557" s="811">
        <v>30</v>
      </c>
      <c r="G557" s="811">
        <v>40</v>
      </c>
      <c r="H557" s="807">
        <f t="shared" si="54"/>
        <v>0.99</v>
      </c>
      <c r="I557" s="710">
        <v>55</v>
      </c>
      <c r="J557" s="710">
        <f t="shared" si="58"/>
        <v>54.45</v>
      </c>
      <c r="K557" s="710">
        <f t="shared" si="56"/>
        <v>7949.3449491886131</v>
      </c>
      <c r="L557" s="656"/>
      <c r="M557" s="296" t="s">
        <v>1357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09">
        <f t="shared" si="59"/>
        <v>7</v>
      </c>
      <c r="B558" s="296" t="s">
        <v>876</v>
      </c>
      <c r="C558" s="725">
        <v>42186</v>
      </c>
      <c r="D558" s="726" t="s">
        <v>877</v>
      </c>
      <c r="E558" s="812">
        <v>53</v>
      </c>
      <c r="F558" s="811">
        <v>28</v>
      </c>
      <c r="G558" s="811">
        <v>28</v>
      </c>
      <c r="H558" s="807">
        <f t="shared" si="54"/>
        <v>0.99</v>
      </c>
      <c r="I558" s="710">
        <v>510</v>
      </c>
      <c r="J558" s="710">
        <f t="shared" si="58"/>
        <v>504.9</v>
      </c>
      <c r="K558" s="710">
        <f t="shared" si="56"/>
        <v>7949.3449491886131</v>
      </c>
      <c r="L558" s="656"/>
      <c r="M558" s="296" t="s">
        <v>1357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09">
        <f t="shared" si="59"/>
        <v>8</v>
      </c>
      <c r="B559" s="296" t="s">
        <v>439</v>
      </c>
      <c r="C559" s="725">
        <v>42186</v>
      </c>
      <c r="D559" s="726" t="s">
        <v>878</v>
      </c>
      <c r="E559" s="812">
        <v>51.5</v>
      </c>
      <c r="F559" s="811">
        <v>28.5</v>
      </c>
      <c r="G559" s="811">
        <v>7.2</v>
      </c>
      <c r="H559" s="807">
        <f t="shared" si="54"/>
        <v>0.64</v>
      </c>
      <c r="I559" s="710">
        <v>508</v>
      </c>
      <c r="J559" s="710">
        <f t="shared" si="58"/>
        <v>325.12</v>
      </c>
      <c r="K559" s="710">
        <f t="shared" si="56"/>
        <v>5138.97047220274</v>
      </c>
      <c r="L559" s="656"/>
      <c r="M559" s="296" t="s">
        <v>1357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09">
        <f t="shared" si="59"/>
        <v>9</v>
      </c>
      <c r="B560" s="296" t="s">
        <v>441</v>
      </c>
      <c r="C560" s="725">
        <v>42186</v>
      </c>
      <c r="D560" s="726" t="s">
        <v>878</v>
      </c>
      <c r="E560" s="812">
        <v>22</v>
      </c>
      <c r="F560" s="811">
        <v>22</v>
      </c>
      <c r="G560" s="811">
        <v>29.5</v>
      </c>
      <c r="H560" s="807">
        <f t="shared" si="54"/>
        <v>0.51</v>
      </c>
      <c r="I560" s="710">
        <v>998</v>
      </c>
      <c r="J560" s="710">
        <f t="shared" si="58"/>
        <v>508.98</v>
      </c>
      <c r="K560" s="710">
        <f t="shared" si="56"/>
        <v>4095.1170950365586</v>
      </c>
      <c r="L560" s="656"/>
      <c r="M560" s="296" t="s">
        <v>1357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09">
        <f t="shared" si="59"/>
        <v>10</v>
      </c>
      <c r="B561" s="296" t="s">
        <v>879</v>
      </c>
      <c r="C561" s="725">
        <v>42186</v>
      </c>
      <c r="D561" s="726" t="s">
        <v>878</v>
      </c>
      <c r="E561" s="812">
        <v>24.5</v>
      </c>
      <c r="F561" s="811">
        <v>24.5</v>
      </c>
      <c r="G561" s="811">
        <v>29.5</v>
      </c>
      <c r="H561" s="807">
        <f t="shared" si="54"/>
        <v>0.59</v>
      </c>
      <c r="I561" s="710">
        <v>430</v>
      </c>
      <c r="J561" s="710">
        <f t="shared" si="58"/>
        <v>253.7</v>
      </c>
      <c r="K561" s="710">
        <f t="shared" si="56"/>
        <v>4737.4884040619008</v>
      </c>
      <c r="L561" s="656"/>
      <c r="M561" s="296" t="s">
        <v>1357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09">
        <f t="shared" si="59"/>
        <v>11</v>
      </c>
      <c r="B562" s="296" t="s">
        <v>880</v>
      </c>
      <c r="C562" s="725">
        <v>42186</v>
      </c>
      <c r="D562" s="726" t="s">
        <v>881</v>
      </c>
      <c r="E562" s="812">
        <v>57</v>
      </c>
      <c r="F562" s="811">
        <v>35</v>
      </c>
      <c r="G562" s="811">
        <v>15.5</v>
      </c>
      <c r="H562" s="807">
        <f t="shared" si="54"/>
        <v>1.01</v>
      </c>
      <c r="I562" s="710">
        <v>209</v>
      </c>
      <c r="J562" s="710">
        <f t="shared" si="58"/>
        <v>211.09</v>
      </c>
      <c r="K562" s="710">
        <f t="shared" si="56"/>
        <v>8109.9377764449491</v>
      </c>
      <c r="L562" s="656"/>
      <c r="M562" s="296" t="s">
        <v>1402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09">
        <f t="shared" si="59"/>
        <v>12</v>
      </c>
      <c r="B563" s="296" t="s">
        <v>1672</v>
      </c>
      <c r="C563" s="725">
        <v>42186</v>
      </c>
      <c r="D563" s="726" t="s">
        <v>881</v>
      </c>
      <c r="E563" s="812">
        <v>55</v>
      </c>
      <c r="F563" s="811">
        <v>33</v>
      </c>
      <c r="G563" s="811"/>
      <c r="H563" s="807">
        <f t="shared" si="54"/>
        <v>0.18</v>
      </c>
      <c r="I563" s="710">
        <v>209</v>
      </c>
      <c r="J563" s="710">
        <f t="shared" si="58"/>
        <v>37.619999999999997</v>
      </c>
      <c r="K563" s="710">
        <f t="shared" si="56"/>
        <v>1445.3354453070206</v>
      </c>
      <c r="L563" s="656"/>
      <c r="M563" s="296" t="s">
        <v>1398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09">
        <f t="shared" si="59"/>
        <v>13</v>
      </c>
      <c r="B564" s="296" t="s">
        <v>882</v>
      </c>
      <c r="C564" s="725">
        <v>42187</v>
      </c>
      <c r="D564" s="726" t="s">
        <v>883</v>
      </c>
      <c r="E564" s="812">
        <v>36.5</v>
      </c>
      <c r="F564" s="811">
        <v>20.5</v>
      </c>
      <c r="G564" s="811">
        <v>18.5</v>
      </c>
      <c r="H564" s="807">
        <f t="shared" si="54"/>
        <v>0.5</v>
      </c>
      <c r="I564" s="710">
        <v>380</v>
      </c>
      <c r="J564" s="710">
        <f t="shared" si="58"/>
        <v>190</v>
      </c>
      <c r="K564" s="710">
        <f t="shared" si="56"/>
        <v>4014.8206814083906</v>
      </c>
      <c r="L564" s="656"/>
      <c r="M564" s="296" t="s">
        <v>1402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09">
        <f t="shared" si="59"/>
        <v>14</v>
      </c>
      <c r="B565" s="296" t="s">
        <v>413</v>
      </c>
      <c r="C565" s="725">
        <v>42187</v>
      </c>
      <c r="D565" s="726" t="s">
        <v>884</v>
      </c>
      <c r="E565" s="812">
        <v>49</v>
      </c>
      <c r="F565" s="811">
        <v>38</v>
      </c>
      <c r="G565" s="811">
        <v>12</v>
      </c>
      <c r="H565" s="807">
        <f t="shared" si="54"/>
        <v>0.95</v>
      </c>
      <c r="I565" s="710">
        <v>205</v>
      </c>
      <c r="J565" s="710">
        <f t="shared" si="58"/>
        <v>194.75</v>
      </c>
      <c r="K565" s="710">
        <f t="shared" si="56"/>
        <v>7628.159294675942</v>
      </c>
      <c r="L565" s="656"/>
      <c r="M565" s="296" t="s">
        <v>1357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09">
        <f t="shared" si="59"/>
        <v>15</v>
      </c>
      <c r="B566" s="296" t="s">
        <v>446</v>
      </c>
      <c r="C566" s="725">
        <v>42189</v>
      </c>
      <c r="D566" s="726" t="s">
        <v>885</v>
      </c>
      <c r="E566" s="812">
        <v>52</v>
      </c>
      <c r="F566" s="811">
        <v>26.5</v>
      </c>
      <c r="G566" s="811">
        <v>26.5</v>
      </c>
      <c r="H566" s="807">
        <f t="shared" si="54"/>
        <v>0.91</v>
      </c>
      <c r="I566" s="710">
        <v>299</v>
      </c>
      <c r="J566" s="710">
        <f t="shared" si="58"/>
        <v>272.09000000000003</v>
      </c>
      <c r="K566" s="710">
        <f t="shared" si="56"/>
        <v>7306.9736401632708</v>
      </c>
      <c r="L566" s="656"/>
      <c r="M566" s="296" t="s">
        <v>1398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09">
        <f t="shared" si="59"/>
        <v>16</v>
      </c>
      <c r="B567" s="296" t="s">
        <v>401</v>
      </c>
      <c r="C567" s="725">
        <v>42189</v>
      </c>
      <c r="D567" s="726" t="s">
        <v>885</v>
      </c>
      <c r="E567" s="812">
        <v>52</v>
      </c>
      <c r="F567" s="811">
        <v>32</v>
      </c>
      <c r="G567" s="811">
        <v>21</v>
      </c>
      <c r="H567" s="807">
        <f t="shared" si="54"/>
        <v>0.97</v>
      </c>
      <c r="I567" s="710">
        <v>312</v>
      </c>
      <c r="J567" s="710">
        <f t="shared" si="58"/>
        <v>302.64</v>
      </c>
      <c r="K567" s="710">
        <f t="shared" si="56"/>
        <v>7788.7521219322771</v>
      </c>
      <c r="L567" s="656"/>
      <c r="M567" s="296" t="s">
        <v>1402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09">
        <f t="shared" si="59"/>
        <v>17</v>
      </c>
      <c r="B568" s="296" t="s">
        <v>398</v>
      </c>
      <c r="C568" s="725">
        <v>42189</v>
      </c>
      <c r="D568" s="726" t="s">
        <v>885</v>
      </c>
      <c r="E568" s="812">
        <v>52</v>
      </c>
      <c r="F568" s="811">
        <v>24.5</v>
      </c>
      <c r="G568" s="811">
        <v>24.5</v>
      </c>
      <c r="H568" s="807">
        <f t="shared" si="54"/>
        <v>0.82</v>
      </c>
      <c r="I568" s="710">
        <v>585</v>
      </c>
      <c r="J568" s="710">
        <f t="shared" si="58"/>
        <v>479.7</v>
      </c>
      <c r="K568" s="710">
        <f t="shared" si="56"/>
        <v>6584.3059175097605</v>
      </c>
      <c r="L568" s="656"/>
      <c r="M568" s="296" t="s">
        <v>1357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09">
        <f t="shared" si="59"/>
        <v>18</v>
      </c>
      <c r="B569" s="296" t="s">
        <v>501</v>
      </c>
      <c r="C569" s="725">
        <v>42189</v>
      </c>
      <c r="D569" s="726" t="s">
        <v>885</v>
      </c>
      <c r="E569" s="812">
        <v>55</v>
      </c>
      <c r="F569" s="811">
        <v>45</v>
      </c>
      <c r="G569" s="811">
        <v>29</v>
      </c>
      <c r="H569" s="807">
        <f t="shared" si="54"/>
        <v>1.58</v>
      </c>
      <c r="I569" s="710">
        <v>207</v>
      </c>
      <c r="J569" s="710">
        <f t="shared" si="58"/>
        <v>327.06</v>
      </c>
      <c r="K569" s="710">
        <f t="shared" si="56"/>
        <v>12686.833353250515</v>
      </c>
      <c r="L569" s="656"/>
      <c r="M569" s="296" t="s">
        <v>1357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09">
        <f t="shared" si="59"/>
        <v>19</v>
      </c>
      <c r="B570" s="296" t="s">
        <v>830</v>
      </c>
      <c r="C570" s="725">
        <v>42189</v>
      </c>
      <c r="D570" s="726" t="s">
        <v>886</v>
      </c>
      <c r="E570" s="812">
        <v>55</v>
      </c>
      <c r="F570" s="811">
        <v>41.5</v>
      </c>
      <c r="G570" s="811">
        <v>27</v>
      </c>
      <c r="H570" s="807">
        <f t="shared" si="54"/>
        <v>1.42</v>
      </c>
      <c r="I570" s="710">
        <v>50</v>
      </c>
      <c r="J570" s="710">
        <f t="shared" si="58"/>
        <v>71</v>
      </c>
      <c r="K570" s="710">
        <f t="shared" si="56"/>
        <v>11402.090735199828</v>
      </c>
      <c r="L570" s="656"/>
      <c r="M570" s="296" t="s">
        <v>1357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09">
        <f t="shared" si="59"/>
        <v>20</v>
      </c>
      <c r="B571" s="296" t="s">
        <v>887</v>
      </c>
      <c r="C571" s="725">
        <v>42192</v>
      </c>
      <c r="D571" s="726" t="s">
        <v>888</v>
      </c>
      <c r="E571" s="812">
        <v>37.5</v>
      </c>
      <c r="F571" s="811">
        <v>19</v>
      </c>
      <c r="G571" s="811">
        <v>20.5</v>
      </c>
      <c r="H571" s="807">
        <f t="shared" si="54"/>
        <v>0.5</v>
      </c>
      <c r="I571" s="710">
        <v>380</v>
      </c>
      <c r="J571" s="710">
        <f t="shared" si="58"/>
        <v>190</v>
      </c>
      <c r="K571" s="710">
        <f t="shared" si="56"/>
        <v>4014.8206814083906</v>
      </c>
      <c r="L571" s="656"/>
      <c r="M571" s="296" t="s">
        <v>1357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09">
        <f t="shared" si="59"/>
        <v>21</v>
      </c>
      <c r="B572" s="296" t="s">
        <v>1673</v>
      </c>
      <c r="C572" s="725">
        <v>42193</v>
      </c>
      <c r="D572" s="726" t="s">
        <v>889</v>
      </c>
      <c r="E572" s="812">
        <v>60</v>
      </c>
      <c r="F572" s="811">
        <v>100</v>
      </c>
      <c r="G572" s="811"/>
      <c r="H572" s="807">
        <f t="shared" si="54"/>
        <v>0.6</v>
      </c>
      <c r="I572" s="710">
        <v>100</v>
      </c>
      <c r="J572" s="710">
        <f t="shared" si="58"/>
        <v>60</v>
      </c>
      <c r="K572" s="710">
        <f t="shared" si="56"/>
        <v>4817.7848176900688</v>
      </c>
      <c r="L572" s="656"/>
      <c r="M572" s="296" t="s">
        <v>1357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09">
        <f t="shared" si="59"/>
        <v>22</v>
      </c>
      <c r="B573" s="296" t="s">
        <v>494</v>
      </c>
      <c r="C573" s="725">
        <v>42195</v>
      </c>
      <c r="D573" s="726" t="s">
        <v>890</v>
      </c>
      <c r="E573" s="812">
        <v>37.5</v>
      </c>
      <c r="F573" s="811">
        <v>25.3</v>
      </c>
      <c r="G573" s="811">
        <v>23.9</v>
      </c>
      <c r="H573" s="807">
        <f t="shared" si="54"/>
        <v>0.68</v>
      </c>
      <c r="I573" s="710">
        <v>1194</v>
      </c>
      <c r="J573" s="710">
        <f t="shared" si="58"/>
        <v>811.92000000000007</v>
      </c>
      <c r="K573" s="710">
        <f t="shared" si="56"/>
        <v>5460.1561267154111</v>
      </c>
      <c r="L573" s="656"/>
      <c r="M573" s="296" t="s">
        <v>1357</v>
      </c>
      <c r="N573" s="727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09">
        <f t="shared" si="59"/>
        <v>23</v>
      </c>
      <c r="B574" s="296" t="s">
        <v>678</v>
      </c>
      <c r="C574" s="725">
        <v>42195</v>
      </c>
      <c r="D574" s="726" t="s">
        <v>891</v>
      </c>
      <c r="E574" s="812">
        <v>45</v>
      </c>
      <c r="F574" s="811">
        <v>34.5</v>
      </c>
      <c r="G574" s="811">
        <v>7.2</v>
      </c>
      <c r="H574" s="807">
        <f t="shared" si="54"/>
        <v>0.73</v>
      </c>
      <c r="I574" s="710">
        <v>261</v>
      </c>
      <c r="J574" s="710">
        <f t="shared" si="58"/>
        <v>190.53</v>
      </c>
      <c r="K574" s="710">
        <f t="shared" si="56"/>
        <v>5861.6381948562503</v>
      </c>
      <c r="L574" s="656"/>
      <c r="M574" s="296" t="s">
        <v>1357</v>
      </c>
      <c r="N574" s="727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09">
        <f t="shared" si="59"/>
        <v>24</v>
      </c>
      <c r="B575" s="296" t="s">
        <v>892</v>
      </c>
      <c r="C575" s="725">
        <v>42195</v>
      </c>
      <c r="D575" s="726" t="s">
        <v>893</v>
      </c>
      <c r="E575" s="812">
        <v>42</v>
      </c>
      <c r="F575" s="811">
        <v>26</v>
      </c>
      <c r="G575" s="811">
        <v>15</v>
      </c>
      <c r="H575" s="807">
        <f t="shared" si="54"/>
        <v>0.62</v>
      </c>
      <c r="I575" s="710">
        <v>303</v>
      </c>
      <c r="J575" s="710">
        <f t="shared" si="58"/>
        <v>187.85999999999999</v>
      </c>
      <c r="K575" s="710">
        <f t="shared" si="56"/>
        <v>4978.377644946404</v>
      </c>
      <c r="L575" s="656"/>
      <c r="M575" s="188" t="s">
        <v>1357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09">
        <f t="shared" si="59"/>
        <v>25</v>
      </c>
      <c r="B576" s="296" t="s">
        <v>522</v>
      </c>
      <c r="C576" s="725">
        <v>42195</v>
      </c>
      <c r="D576" s="726" t="s">
        <v>894</v>
      </c>
      <c r="E576" s="812">
        <v>32.5</v>
      </c>
      <c r="F576" s="811">
        <v>30.5</v>
      </c>
      <c r="G576" s="811">
        <v>7.5</v>
      </c>
      <c r="H576" s="807">
        <f t="shared" si="54"/>
        <v>0.54</v>
      </c>
      <c r="I576" s="710">
        <v>532</v>
      </c>
      <c r="J576" s="710">
        <f t="shared" si="58"/>
        <v>287.28000000000003</v>
      </c>
      <c r="K576" s="710">
        <f t="shared" si="56"/>
        <v>4336.0063359210617</v>
      </c>
      <c r="L576" s="656"/>
      <c r="M576" s="191" t="s">
        <v>1357</v>
      </c>
      <c r="N576" s="190">
        <v>42252</v>
      </c>
      <c r="O576" s="704">
        <v>2077</v>
      </c>
      <c r="P576" s="704">
        <v>7300</v>
      </c>
      <c r="Q576" s="8">
        <f t="shared" si="57"/>
        <v>15162100</v>
      </c>
    </row>
    <row r="577" spans="1:17" ht="15.75" customHeight="1">
      <c r="A577" s="709">
        <f t="shared" si="59"/>
        <v>26</v>
      </c>
      <c r="B577" s="296" t="s">
        <v>895</v>
      </c>
      <c r="C577" s="725">
        <v>42195</v>
      </c>
      <c r="D577" s="726" t="s">
        <v>894</v>
      </c>
      <c r="E577" s="812">
        <v>30</v>
      </c>
      <c r="F577" s="811">
        <v>30</v>
      </c>
      <c r="G577" s="811">
        <v>28</v>
      </c>
      <c r="H577" s="807">
        <f t="shared" si="54"/>
        <v>0.76</v>
      </c>
      <c r="I577" s="710">
        <v>161</v>
      </c>
      <c r="J577" s="710">
        <f t="shared" si="58"/>
        <v>122.36</v>
      </c>
      <c r="K577" s="710">
        <f t="shared" si="56"/>
        <v>6102.5274357407534</v>
      </c>
      <c r="L577" s="656"/>
      <c r="M577" s="188" t="s">
        <v>1357</v>
      </c>
      <c r="N577" s="727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09">
        <f t="shared" si="59"/>
        <v>27</v>
      </c>
      <c r="B578" s="296" t="s">
        <v>896</v>
      </c>
      <c r="C578" s="725">
        <v>42195</v>
      </c>
      <c r="D578" s="726" t="s">
        <v>894</v>
      </c>
      <c r="E578" s="812">
        <v>30</v>
      </c>
      <c r="F578" s="811">
        <v>30</v>
      </c>
      <c r="G578" s="811">
        <v>32</v>
      </c>
      <c r="H578" s="807">
        <f t="shared" si="54"/>
        <v>0.81</v>
      </c>
      <c r="I578" s="710">
        <v>150</v>
      </c>
      <c r="J578" s="710">
        <f t="shared" si="58"/>
        <v>121.50000000000001</v>
      </c>
      <c r="K578" s="710">
        <f t="shared" si="56"/>
        <v>6504.0095038815934</v>
      </c>
      <c r="L578" s="656"/>
      <c r="M578" s="188" t="s">
        <v>1398</v>
      </c>
      <c r="N578" s="727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09">
        <f t="shared" si="59"/>
        <v>28</v>
      </c>
      <c r="B579" s="296" t="s">
        <v>897</v>
      </c>
      <c r="C579" s="725">
        <v>42199</v>
      </c>
      <c r="D579" s="726" t="s">
        <v>898</v>
      </c>
      <c r="E579" s="812">
        <v>36.5</v>
      </c>
      <c r="F579" s="811">
        <v>27.5</v>
      </c>
      <c r="G579" s="811">
        <v>25.5</v>
      </c>
      <c r="H579" s="807">
        <f t="shared" si="54"/>
        <v>0.74</v>
      </c>
      <c r="I579" s="710">
        <v>2020</v>
      </c>
      <c r="J579" s="710">
        <f t="shared" si="58"/>
        <v>1494.8</v>
      </c>
      <c r="K579" s="710">
        <f t="shared" si="56"/>
        <v>5941.9346084844183</v>
      </c>
      <c r="L579" s="656"/>
      <c r="M579" s="188" t="s">
        <v>1402</v>
      </c>
      <c r="N579" s="727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09">
        <f t="shared" si="59"/>
        <v>29</v>
      </c>
      <c r="B580" s="296" t="s">
        <v>522</v>
      </c>
      <c r="C580" s="725">
        <v>42199</v>
      </c>
      <c r="D580" s="726" t="s">
        <v>899</v>
      </c>
      <c r="E580" s="812">
        <v>32.5</v>
      </c>
      <c r="F580" s="811">
        <v>30.5</v>
      </c>
      <c r="G580" s="811">
        <v>7.5</v>
      </c>
      <c r="H580" s="807">
        <f t="shared" si="54"/>
        <v>0.54</v>
      </c>
      <c r="I580" s="710">
        <v>532</v>
      </c>
      <c r="J580" s="710">
        <f t="shared" si="58"/>
        <v>287.28000000000003</v>
      </c>
      <c r="K580" s="710">
        <f t="shared" si="56"/>
        <v>4336.0063359210617</v>
      </c>
      <c r="L580" s="656"/>
      <c r="M580" s="444" t="s">
        <v>1398</v>
      </c>
      <c r="N580" s="725">
        <v>42260</v>
      </c>
      <c r="O580" s="754">
        <v>1275</v>
      </c>
      <c r="P580" s="745">
        <v>9100</v>
      </c>
      <c r="Q580" s="8">
        <f t="shared" si="57"/>
        <v>11602500</v>
      </c>
    </row>
    <row r="581" spans="1:17" ht="15.75" customHeight="1">
      <c r="A581" s="709">
        <f t="shared" si="59"/>
        <v>30</v>
      </c>
      <c r="B581" s="296" t="s">
        <v>711</v>
      </c>
      <c r="C581" s="725">
        <v>42200</v>
      </c>
      <c r="D581" s="726" t="s">
        <v>900</v>
      </c>
      <c r="E581" s="812">
        <v>55</v>
      </c>
      <c r="F581" s="811">
        <v>41</v>
      </c>
      <c r="G581" s="811">
        <v>27</v>
      </c>
      <c r="H581" s="807">
        <f t="shared" si="54"/>
        <v>1.4</v>
      </c>
      <c r="I581" s="710">
        <v>156</v>
      </c>
      <c r="J581" s="710">
        <f t="shared" si="58"/>
        <v>218.39999999999998</v>
      </c>
      <c r="K581" s="710">
        <f t="shared" si="56"/>
        <v>11241.497907943492</v>
      </c>
      <c r="L581" s="656"/>
      <c r="M581" s="444" t="s">
        <v>1402</v>
      </c>
      <c r="N581" s="725">
        <v>42260</v>
      </c>
      <c r="O581" s="754">
        <v>3028</v>
      </c>
      <c r="P581" s="745">
        <v>9000</v>
      </c>
      <c r="Q581" s="8">
        <f t="shared" si="57"/>
        <v>27252000</v>
      </c>
    </row>
    <row r="582" spans="1:17" ht="15.75" customHeight="1">
      <c r="A582" s="709">
        <f t="shared" si="59"/>
        <v>31</v>
      </c>
      <c r="B582" s="296" t="s">
        <v>494</v>
      </c>
      <c r="C582" s="725">
        <v>42200</v>
      </c>
      <c r="D582" s="726" t="s">
        <v>901</v>
      </c>
      <c r="E582" s="812">
        <v>37.5</v>
      </c>
      <c r="F582" s="811">
        <v>25.3</v>
      </c>
      <c r="G582" s="811">
        <v>23.9</v>
      </c>
      <c r="H582" s="807">
        <f t="shared" si="54"/>
        <v>0.68</v>
      </c>
      <c r="I582" s="710">
        <v>1225</v>
      </c>
      <c r="J582" s="710">
        <f t="shared" si="58"/>
        <v>833.00000000000011</v>
      </c>
      <c r="K582" s="710">
        <f t="shared" si="56"/>
        <v>5460.1561267154111</v>
      </c>
      <c r="L582" s="656"/>
      <c r="M582" s="444" t="s">
        <v>1380</v>
      </c>
      <c r="N582" s="725">
        <v>42264</v>
      </c>
      <c r="O582" s="754">
        <v>11655</v>
      </c>
      <c r="P582" s="745">
        <v>7400</v>
      </c>
      <c r="Q582" s="8">
        <f t="shared" si="57"/>
        <v>86247000</v>
      </c>
    </row>
    <row r="583" spans="1:17" ht="15.75" customHeight="1">
      <c r="A583" s="709">
        <f t="shared" si="59"/>
        <v>32</v>
      </c>
      <c r="B583" s="296" t="s">
        <v>474</v>
      </c>
      <c r="C583" s="725">
        <v>42200</v>
      </c>
      <c r="D583" s="726" t="s">
        <v>902</v>
      </c>
      <c r="E583" s="812">
        <v>51</v>
      </c>
      <c r="F583" s="811">
        <v>37</v>
      </c>
      <c r="G583" s="811">
        <v>27</v>
      </c>
      <c r="H583" s="807">
        <f t="shared" si="54"/>
        <v>1.21</v>
      </c>
      <c r="I583" s="710">
        <v>342</v>
      </c>
      <c r="J583" s="710">
        <f t="shared" si="58"/>
        <v>413.82</v>
      </c>
      <c r="K583" s="710">
        <f t="shared" si="56"/>
        <v>9715.8660490083057</v>
      </c>
      <c r="L583" s="656"/>
      <c r="M583" s="444" t="s">
        <v>1398</v>
      </c>
      <c r="N583" s="725">
        <v>42264</v>
      </c>
      <c r="O583" s="754">
        <v>1871</v>
      </c>
      <c r="P583" s="745">
        <v>9100</v>
      </c>
      <c r="Q583" s="8">
        <f t="shared" si="57"/>
        <v>17026100</v>
      </c>
    </row>
    <row r="584" spans="1:17" ht="15.75" customHeight="1">
      <c r="A584" s="709">
        <f t="shared" si="59"/>
        <v>33</v>
      </c>
      <c r="B584" s="296" t="s">
        <v>903</v>
      </c>
      <c r="C584" s="725">
        <v>42200</v>
      </c>
      <c r="D584" s="726" t="s">
        <v>904</v>
      </c>
      <c r="E584" s="812">
        <v>103</v>
      </c>
      <c r="F584" s="811">
        <v>50</v>
      </c>
      <c r="G584" s="811">
        <v>80</v>
      </c>
      <c r="H584" s="807">
        <f t="shared" si="54"/>
        <v>4.1399999999999997</v>
      </c>
      <c r="I584" s="710">
        <v>300</v>
      </c>
      <c r="J584" s="710">
        <f t="shared" si="58"/>
        <v>1242</v>
      </c>
      <c r="K584" s="710">
        <f t="shared" si="56"/>
        <v>33242.715242061473</v>
      </c>
      <c r="L584" s="656"/>
      <c r="M584" s="444" t="s">
        <v>1402</v>
      </c>
      <c r="N584" s="725">
        <v>42264</v>
      </c>
      <c r="O584" s="754">
        <v>2553</v>
      </c>
      <c r="P584" s="745">
        <v>9000</v>
      </c>
      <c r="Q584" s="8">
        <f t="shared" si="57"/>
        <v>22977000</v>
      </c>
    </row>
    <row r="585" spans="1:17" ht="15.75" customHeight="1">
      <c r="A585" s="709">
        <f t="shared" si="59"/>
        <v>34</v>
      </c>
      <c r="B585" s="296" t="s">
        <v>728</v>
      </c>
      <c r="C585" s="725">
        <v>42200</v>
      </c>
      <c r="D585" s="726" t="s">
        <v>905</v>
      </c>
      <c r="E585" s="812">
        <v>80</v>
      </c>
      <c r="F585" s="811">
        <v>212</v>
      </c>
      <c r="G585" s="811"/>
      <c r="H585" s="807">
        <f t="shared" si="54"/>
        <v>1.7</v>
      </c>
      <c r="I585" s="710">
        <v>200</v>
      </c>
      <c r="J585" s="710">
        <f t="shared" si="58"/>
        <v>340</v>
      </c>
      <c r="K585" s="710">
        <f t="shared" si="56"/>
        <v>13650.390316788527</v>
      </c>
      <c r="L585" s="656"/>
      <c r="M585" s="444" t="s">
        <v>1398</v>
      </c>
      <c r="N585" s="725">
        <v>42267</v>
      </c>
      <c r="O585" s="754">
        <v>1169</v>
      </c>
      <c r="P585" s="745">
        <v>9100</v>
      </c>
      <c r="Q585" s="8">
        <f t="shared" si="57"/>
        <v>10637900</v>
      </c>
    </row>
    <row r="586" spans="1:17" ht="15.75" customHeight="1">
      <c r="A586" s="709">
        <f t="shared" si="59"/>
        <v>35</v>
      </c>
      <c r="B586" s="296" t="s">
        <v>1751</v>
      </c>
      <c r="C586" s="725">
        <v>42200</v>
      </c>
      <c r="D586" s="726" t="s">
        <v>905</v>
      </c>
      <c r="E586" s="812">
        <v>145</v>
      </c>
      <c r="F586" s="811">
        <v>111</v>
      </c>
      <c r="G586" s="811"/>
      <c r="H586" s="807">
        <f t="shared" si="54"/>
        <v>1.61</v>
      </c>
      <c r="I586" s="710">
        <v>150</v>
      </c>
      <c r="J586" s="710">
        <f t="shared" si="58"/>
        <v>241.50000000000003</v>
      </c>
      <c r="K586" s="710">
        <f t="shared" si="56"/>
        <v>12927.722594135019</v>
      </c>
      <c r="L586" s="656"/>
      <c r="M586" s="444" t="s">
        <v>1402</v>
      </c>
      <c r="N586" s="725">
        <v>42267</v>
      </c>
      <c r="O586" s="754">
        <v>1716</v>
      </c>
      <c r="P586" s="745">
        <v>9000</v>
      </c>
      <c r="Q586" s="8">
        <f t="shared" si="57"/>
        <v>15444000</v>
      </c>
    </row>
    <row r="587" spans="1:17" ht="15.75" customHeight="1">
      <c r="A587" s="709">
        <f t="shared" si="59"/>
        <v>36</v>
      </c>
      <c r="B587" s="296" t="s">
        <v>1752</v>
      </c>
      <c r="C587" s="725">
        <v>42200</v>
      </c>
      <c r="D587" s="726" t="s">
        <v>905</v>
      </c>
      <c r="E587" s="812">
        <v>110</v>
      </c>
      <c r="F587" s="811">
        <v>144</v>
      </c>
      <c r="G587" s="811"/>
      <c r="H587" s="807">
        <f t="shared" si="54"/>
        <v>1.58</v>
      </c>
      <c r="I587" s="710">
        <v>75</v>
      </c>
      <c r="J587" s="710">
        <f t="shared" si="58"/>
        <v>118.5</v>
      </c>
      <c r="K587" s="710">
        <f t="shared" si="56"/>
        <v>12686.833353250515</v>
      </c>
      <c r="L587" s="656"/>
      <c r="M587" s="444" t="s">
        <v>1357</v>
      </c>
      <c r="N587" s="725">
        <v>42270</v>
      </c>
      <c r="O587" s="754">
        <v>1936</v>
      </c>
      <c r="P587" s="745">
        <v>7300</v>
      </c>
      <c r="Q587" s="8">
        <f t="shared" si="57"/>
        <v>14132800</v>
      </c>
    </row>
    <row r="588" spans="1:17" ht="15.75" customHeight="1">
      <c r="A588" s="709">
        <f t="shared" si="59"/>
        <v>37</v>
      </c>
      <c r="B588" s="296" t="s">
        <v>1704</v>
      </c>
      <c r="C588" s="725">
        <v>42200</v>
      </c>
      <c r="D588" s="726" t="s">
        <v>905</v>
      </c>
      <c r="E588" s="812">
        <v>105</v>
      </c>
      <c r="F588" s="811">
        <v>158</v>
      </c>
      <c r="G588" s="811"/>
      <c r="H588" s="807">
        <f t="shared" si="54"/>
        <v>1.66</v>
      </c>
      <c r="I588" s="710">
        <v>25</v>
      </c>
      <c r="J588" s="710">
        <f t="shared" si="58"/>
        <v>41.5</v>
      </c>
      <c r="K588" s="710">
        <f t="shared" si="56"/>
        <v>13329.204662275855</v>
      </c>
      <c r="L588" s="656"/>
      <c r="M588" s="444" t="s">
        <v>1402</v>
      </c>
      <c r="N588" s="725">
        <v>42270</v>
      </c>
      <c r="O588" s="754">
        <v>3662</v>
      </c>
      <c r="P588" s="745">
        <v>9000</v>
      </c>
      <c r="Q588" s="8">
        <f t="shared" si="57"/>
        <v>32958000</v>
      </c>
    </row>
    <row r="589" spans="1:17" ht="15.75" customHeight="1">
      <c r="A589" s="709">
        <f t="shared" si="59"/>
        <v>38</v>
      </c>
      <c r="B589" s="296" t="s">
        <v>668</v>
      </c>
      <c r="C589" s="725">
        <v>42200</v>
      </c>
      <c r="D589" s="726" t="s">
        <v>905</v>
      </c>
      <c r="E589" s="812">
        <v>115</v>
      </c>
      <c r="F589" s="811">
        <v>194</v>
      </c>
      <c r="G589" s="811"/>
      <c r="H589" s="807">
        <f t="shared" si="54"/>
        <v>2.23</v>
      </c>
      <c r="I589" s="710">
        <v>25</v>
      </c>
      <c r="J589" s="710">
        <f t="shared" si="58"/>
        <v>55.75</v>
      </c>
      <c r="K589" s="710">
        <f t="shared" si="56"/>
        <v>17906.100239081421</v>
      </c>
      <c r="L589" s="656"/>
      <c r="M589" s="444" t="s">
        <v>1357</v>
      </c>
      <c r="N589" s="725">
        <v>42272</v>
      </c>
      <c r="O589" s="754">
        <v>1936</v>
      </c>
      <c r="P589" s="745">
        <v>7300</v>
      </c>
      <c r="Q589" s="8">
        <f t="shared" si="57"/>
        <v>14132800</v>
      </c>
    </row>
    <row r="590" spans="1:17" ht="15.75" customHeight="1">
      <c r="A590" s="709">
        <f t="shared" si="59"/>
        <v>39</v>
      </c>
      <c r="B590" s="296" t="s">
        <v>1753</v>
      </c>
      <c r="C590" s="725">
        <v>42200</v>
      </c>
      <c r="D590" s="726" t="s">
        <v>905</v>
      </c>
      <c r="E590" s="812">
        <v>125</v>
      </c>
      <c r="F590" s="811">
        <v>146</v>
      </c>
      <c r="G590" s="811"/>
      <c r="H590" s="807">
        <f t="shared" si="54"/>
        <v>1.83</v>
      </c>
      <c r="I590" s="710">
        <v>50</v>
      </c>
      <c r="J590" s="710">
        <f t="shared" si="58"/>
        <v>91.5</v>
      </c>
      <c r="K590" s="710">
        <f t="shared" si="56"/>
        <v>14694.24369395471</v>
      </c>
      <c r="L590" s="656"/>
      <c r="M590" s="444" t="s">
        <v>1380</v>
      </c>
      <c r="N590" s="725">
        <v>42272</v>
      </c>
      <c r="O590" s="754">
        <v>739</v>
      </c>
      <c r="P590" s="745">
        <v>9800</v>
      </c>
      <c r="Q590" s="8">
        <f t="shared" si="57"/>
        <v>7242200</v>
      </c>
    </row>
    <row r="591" spans="1:17" ht="15.75" customHeight="1">
      <c r="A591" s="709">
        <f t="shared" si="59"/>
        <v>40</v>
      </c>
      <c r="B591" s="296" t="s">
        <v>1754</v>
      </c>
      <c r="C591" s="725">
        <v>42200</v>
      </c>
      <c r="D591" s="726" t="s">
        <v>905</v>
      </c>
      <c r="E591" s="812">
        <v>115</v>
      </c>
      <c r="F591" s="811">
        <v>196</v>
      </c>
      <c r="G591" s="811"/>
      <c r="H591" s="807">
        <f t="shared" si="54"/>
        <v>2.25</v>
      </c>
      <c r="I591" s="710">
        <v>25</v>
      </c>
      <c r="J591" s="710">
        <f t="shared" si="58"/>
        <v>56.25</v>
      </c>
      <c r="K591" s="710">
        <f t="shared" si="56"/>
        <v>18066.693066337757</v>
      </c>
      <c r="L591" s="656"/>
      <c r="M591" s="444"/>
      <c r="N591" s="725"/>
      <c r="O591" s="754"/>
      <c r="P591" s="745"/>
      <c r="Q591" s="8"/>
    </row>
    <row r="592" spans="1:17" ht="15.75" customHeight="1">
      <c r="A592" s="709">
        <f t="shared" si="59"/>
        <v>41</v>
      </c>
      <c r="B592" s="296" t="s">
        <v>1755</v>
      </c>
      <c r="C592" s="725">
        <v>42200</v>
      </c>
      <c r="D592" s="726" t="s">
        <v>905</v>
      </c>
      <c r="E592" s="812">
        <v>125</v>
      </c>
      <c r="F592" s="811">
        <v>122</v>
      </c>
      <c r="G592" s="811"/>
      <c r="H592" s="807">
        <f t="shared" si="54"/>
        <v>1.53</v>
      </c>
      <c r="I592" s="710">
        <v>247</v>
      </c>
      <c r="J592" s="710">
        <f t="shared" si="58"/>
        <v>377.91</v>
      </c>
      <c r="K592" s="710">
        <f t="shared" si="56"/>
        <v>12285.351285109675</v>
      </c>
      <c r="L592" s="656"/>
      <c r="M592" s="803" t="s">
        <v>1852</v>
      </c>
      <c r="N592" s="804"/>
      <c r="O592" s="805"/>
      <c r="P592" s="530"/>
      <c r="Q592" s="530">
        <f>SUM(Q552:Q591)</f>
        <v>768073800</v>
      </c>
    </row>
    <row r="593" spans="1:17" ht="15.75" customHeight="1">
      <c r="A593" s="709">
        <f t="shared" si="59"/>
        <v>42</v>
      </c>
      <c r="B593" s="296" t="s">
        <v>741</v>
      </c>
      <c r="C593" s="725">
        <v>42200</v>
      </c>
      <c r="D593" s="726" t="s">
        <v>905</v>
      </c>
      <c r="E593" s="812">
        <v>85</v>
      </c>
      <c r="F593" s="811">
        <v>116</v>
      </c>
      <c r="G593" s="811"/>
      <c r="H593" s="807">
        <f t="shared" si="54"/>
        <v>0.99</v>
      </c>
      <c r="I593" s="710">
        <v>240</v>
      </c>
      <c r="J593" s="710">
        <f t="shared" si="58"/>
        <v>237.6</v>
      </c>
      <c r="K593" s="710">
        <f t="shared" si="56"/>
        <v>7949.3449491886131</v>
      </c>
      <c r="L593" s="656"/>
      <c r="M593" s="296" t="s">
        <v>1455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09">
        <f t="shared" si="59"/>
        <v>43</v>
      </c>
      <c r="B594" s="296" t="s">
        <v>687</v>
      </c>
      <c r="C594" s="725">
        <v>42200</v>
      </c>
      <c r="D594" s="726" t="s">
        <v>905</v>
      </c>
      <c r="E594" s="812">
        <v>95</v>
      </c>
      <c r="F594" s="811">
        <v>138</v>
      </c>
      <c r="G594" s="811"/>
      <c r="H594" s="807">
        <f t="shared" si="54"/>
        <v>1.31</v>
      </c>
      <c r="I594" s="710">
        <v>280</v>
      </c>
      <c r="J594" s="710">
        <f t="shared" si="58"/>
        <v>366.8</v>
      </c>
      <c r="K594" s="710">
        <f t="shared" si="56"/>
        <v>10518.830185289984</v>
      </c>
      <c r="L594" s="656"/>
      <c r="M594" s="296" t="s">
        <v>1460</v>
      </c>
      <c r="N594" s="727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09">
        <f t="shared" si="59"/>
        <v>44</v>
      </c>
      <c r="B595" s="296" t="s">
        <v>906</v>
      </c>
      <c r="C595" s="725">
        <v>42202</v>
      </c>
      <c r="D595" s="726" t="s">
        <v>907</v>
      </c>
      <c r="E595" s="812">
        <v>43.5</v>
      </c>
      <c r="F595" s="811">
        <v>31</v>
      </c>
      <c r="G595" s="811">
        <v>24.8</v>
      </c>
      <c r="H595" s="807">
        <f t="shared" si="54"/>
        <v>0.91</v>
      </c>
      <c r="I595" s="710">
        <v>250</v>
      </c>
      <c r="J595" s="710">
        <f t="shared" si="58"/>
        <v>227.5</v>
      </c>
      <c r="K595" s="710">
        <f t="shared" si="56"/>
        <v>7306.9736401632708</v>
      </c>
      <c r="L595" s="656"/>
      <c r="M595" s="188" t="s">
        <v>1871</v>
      </c>
      <c r="N595" s="725">
        <v>42186</v>
      </c>
      <c r="O595" s="745">
        <v>1000</v>
      </c>
      <c r="P595" s="745">
        <v>9800</v>
      </c>
      <c r="Q595" s="8">
        <f t="shared" ref="Q595:Q596" si="63">ROUND(O595*P595,0)</f>
        <v>9800000</v>
      </c>
    </row>
    <row r="596" spans="1:17" ht="15.75" customHeight="1">
      <c r="A596" s="709">
        <f t="shared" si="59"/>
        <v>45</v>
      </c>
      <c r="B596" s="296" t="s">
        <v>906</v>
      </c>
      <c r="C596" s="725">
        <v>42202</v>
      </c>
      <c r="D596" s="726" t="s">
        <v>907</v>
      </c>
      <c r="E596" s="812">
        <v>43.5</v>
      </c>
      <c r="F596" s="811">
        <v>31</v>
      </c>
      <c r="G596" s="811">
        <v>24.8</v>
      </c>
      <c r="H596" s="807">
        <f t="shared" si="54"/>
        <v>0.91</v>
      </c>
      <c r="I596" s="710">
        <v>252</v>
      </c>
      <c r="J596" s="710">
        <f t="shared" si="58"/>
        <v>229.32000000000002</v>
      </c>
      <c r="K596" s="710">
        <f t="shared" si="56"/>
        <v>7306.9736401632708</v>
      </c>
      <c r="L596" s="656"/>
      <c r="M596" s="296" t="s">
        <v>2017</v>
      </c>
      <c r="N596" s="725">
        <v>42186</v>
      </c>
      <c r="O596" s="745">
        <v>1000</v>
      </c>
      <c r="P596" s="745">
        <v>11000</v>
      </c>
      <c r="Q596" s="8">
        <f t="shared" si="63"/>
        <v>11000000</v>
      </c>
    </row>
    <row r="597" spans="1:17" ht="15.75" customHeight="1">
      <c r="A597" s="709">
        <f t="shared" si="59"/>
        <v>46</v>
      </c>
      <c r="B597" s="296" t="s">
        <v>614</v>
      </c>
      <c r="C597" s="725">
        <v>42202</v>
      </c>
      <c r="D597" s="726" t="s">
        <v>907</v>
      </c>
      <c r="E597" s="812">
        <v>36.5</v>
      </c>
      <c r="F597" s="811">
        <v>20.5</v>
      </c>
      <c r="G597" s="811">
        <v>32</v>
      </c>
      <c r="H597" s="807">
        <f t="shared" si="54"/>
        <v>0.66</v>
      </c>
      <c r="I597" s="710">
        <v>247</v>
      </c>
      <c r="J597" s="710">
        <f t="shared" si="58"/>
        <v>163.02000000000001</v>
      </c>
      <c r="K597" s="710">
        <f t="shared" si="56"/>
        <v>5299.563299459076</v>
      </c>
      <c r="L597" s="656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09">
        <f t="shared" si="59"/>
        <v>47</v>
      </c>
      <c r="B598" s="296" t="s">
        <v>614</v>
      </c>
      <c r="C598" s="725">
        <v>42202</v>
      </c>
      <c r="D598" s="726" t="s">
        <v>907</v>
      </c>
      <c r="E598" s="812">
        <v>36.5</v>
      </c>
      <c r="F598" s="811">
        <v>20.5</v>
      </c>
      <c r="G598" s="811">
        <v>32</v>
      </c>
      <c r="H598" s="807">
        <f t="shared" si="54"/>
        <v>0.66</v>
      </c>
      <c r="I598" s="710">
        <v>248</v>
      </c>
      <c r="J598" s="710">
        <f t="shared" si="58"/>
        <v>163.68</v>
      </c>
      <c r="K598" s="710">
        <f t="shared" si="56"/>
        <v>5299.563299459076</v>
      </c>
      <c r="L598" s="656"/>
      <c r="M598" s="188" t="s">
        <v>337</v>
      </c>
      <c r="N598" s="727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09">
        <f t="shared" si="59"/>
        <v>48</v>
      </c>
      <c r="B599" s="296" t="s">
        <v>616</v>
      </c>
      <c r="C599" s="725">
        <v>42202</v>
      </c>
      <c r="D599" s="726" t="s">
        <v>907</v>
      </c>
      <c r="E599" s="812">
        <v>37.5</v>
      </c>
      <c r="F599" s="811">
        <v>22.8</v>
      </c>
      <c r="G599" s="811">
        <v>27</v>
      </c>
      <c r="H599" s="807">
        <f t="shared" si="54"/>
        <v>0.66</v>
      </c>
      <c r="I599" s="710">
        <v>503</v>
      </c>
      <c r="J599" s="710">
        <f t="shared" si="58"/>
        <v>331.98</v>
      </c>
      <c r="K599" s="710">
        <f t="shared" si="56"/>
        <v>5299.563299459076</v>
      </c>
      <c r="L599" s="656"/>
      <c r="M599" s="444" t="s">
        <v>356</v>
      </c>
      <c r="N599" s="725">
        <v>42186</v>
      </c>
      <c r="O599" s="754">
        <v>150</v>
      </c>
      <c r="P599" s="745">
        <v>18181</v>
      </c>
      <c r="Q599" s="8">
        <f t="shared" si="62"/>
        <v>2727150</v>
      </c>
    </row>
    <row r="600" spans="1:17" ht="15.75" customHeight="1">
      <c r="A600" s="709">
        <f t="shared" si="59"/>
        <v>49</v>
      </c>
      <c r="B600" s="296" t="s">
        <v>616</v>
      </c>
      <c r="C600" s="725">
        <v>42202</v>
      </c>
      <c r="D600" s="726" t="s">
        <v>907</v>
      </c>
      <c r="E600" s="812">
        <v>37.5</v>
      </c>
      <c r="F600" s="811">
        <v>22.8</v>
      </c>
      <c r="G600" s="811">
        <v>27</v>
      </c>
      <c r="H600" s="807">
        <f t="shared" si="54"/>
        <v>0.66</v>
      </c>
      <c r="I600" s="710">
        <v>495</v>
      </c>
      <c r="J600" s="710">
        <f t="shared" si="58"/>
        <v>326.7</v>
      </c>
      <c r="K600" s="710">
        <f t="shared" si="56"/>
        <v>5299.563299459076</v>
      </c>
      <c r="L600" s="656"/>
      <c r="M600" s="444"/>
      <c r="N600" s="725"/>
      <c r="O600" s="754"/>
      <c r="P600" s="745"/>
      <c r="Q600" s="8"/>
    </row>
    <row r="601" spans="1:17" ht="15.75" customHeight="1">
      <c r="A601" s="709">
        <f t="shared" si="59"/>
        <v>50</v>
      </c>
      <c r="B601" s="296" t="s">
        <v>614</v>
      </c>
      <c r="C601" s="725">
        <v>42202</v>
      </c>
      <c r="D601" s="726" t="s">
        <v>907</v>
      </c>
      <c r="E601" s="812">
        <v>36.5</v>
      </c>
      <c r="F601" s="811">
        <v>20.5</v>
      </c>
      <c r="G601" s="811">
        <v>32</v>
      </c>
      <c r="H601" s="807">
        <f t="shared" si="54"/>
        <v>0.66</v>
      </c>
      <c r="I601" s="710">
        <v>268</v>
      </c>
      <c r="J601" s="710">
        <f t="shared" si="58"/>
        <v>176.88</v>
      </c>
      <c r="K601" s="710">
        <f t="shared" si="56"/>
        <v>5299.563299459076</v>
      </c>
      <c r="L601" s="656"/>
      <c r="M601" s="803" t="s">
        <v>1853</v>
      </c>
      <c r="N601" s="804"/>
      <c r="O601" s="805"/>
      <c r="P601" s="530"/>
      <c r="Q601" s="530">
        <f>SUM(Q593:Q600)</f>
        <v>42018750</v>
      </c>
    </row>
    <row r="602" spans="1:17" ht="15.75" customHeight="1">
      <c r="A602" s="709">
        <f t="shared" si="59"/>
        <v>51</v>
      </c>
      <c r="B602" s="296" t="s">
        <v>614</v>
      </c>
      <c r="C602" s="725">
        <v>42202</v>
      </c>
      <c r="D602" s="726" t="s">
        <v>907</v>
      </c>
      <c r="E602" s="812">
        <v>36.5</v>
      </c>
      <c r="F602" s="811">
        <v>20.5</v>
      </c>
      <c r="G602" s="811">
        <v>32</v>
      </c>
      <c r="H602" s="807">
        <f t="shared" si="54"/>
        <v>0.66</v>
      </c>
      <c r="I602" s="710">
        <v>273</v>
      </c>
      <c r="J602" s="710">
        <f t="shared" si="58"/>
        <v>180.18</v>
      </c>
      <c r="K602" s="710">
        <f t="shared" si="56"/>
        <v>5299.563299459076</v>
      </c>
      <c r="L602" s="656"/>
      <c r="M602" s="444" t="s">
        <v>1854</v>
      </c>
      <c r="N602" s="725"/>
      <c r="O602" s="754"/>
      <c r="P602" s="745"/>
      <c r="Q602" s="8">
        <f>Q592</f>
        <v>768073800</v>
      </c>
    </row>
    <row r="603" spans="1:17" ht="15.75" customHeight="1">
      <c r="A603" s="709">
        <f t="shared" si="59"/>
        <v>52</v>
      </c>
      <c r="B603" s="296" t="s">
        <v>1756</v>
      </c>
      <c r="C603" s="725">
        <v>42202</v>
      </c>
      <c r="D603" s="726" t="s">
        <v>908</v>
      </c>
      <c r="E603" s="812">
        <v>100</v>
      </c>
      <c r="F603" s="811">
        <v>158</v>
      </c>
      <c r="G603" s="811"/>
      <c r="H603" s="807">
        <f t="shared" si="54"/>
        <v>1.58</v>
      </c>
      <c r="I603" s="710">
        <v>25</v>
      </c>
      <c r="J603" s="710">
        <f t="shared" si="58"/>
        <v>39.5</v>
      </c>
      <c r="K603" s="710">
        <f t="shared" si="56"/>
        <v>12686.833353250515</v>
      </c>
      <c r="L603" s="656"/>
      <c r="M603" s="444" t="s">
        <v>1855</v>
      </c>
      <c r="N603" s="725"/>
      <c r="O603" s="754"/>
      <c r="P603" s="745"/>
      <c r="Q603" s="8">
        <f>Q601</f>
        <v>42018750</v>
      </c>
    </row>
    <row r="604" spans="1:17" ht="15.75" customHeight="1">
      <c r="A604" s="709">
        <f t="shared" si="59"/>
        <v>53</v>
      </c>
      <c r="B604" s="296" t="s">
        <v>1741</v>
      </c>
      <c r="C604" s="725">
        <v>42202</v>
      </c>
      <c r="D604" s="726" t="s">
        <v>908</v>
      </c>
      <c r="E604" s="812">
        <v>85</v>
      </c>
      <c r="F604" s="811">
        <v>130</v>
      </c>
      <c r="G604" s="811"/>
      <c r="H604" s="807">
        <f t="shared" si="54"/>
        <v>1.1100000000000001</v>
      </c>
      <c r="I604" s="710">
        <v>45</v>
      </c>
      <c r="J604" s="710">
        <f t="shared" si="58"/>
        <v>49.95</v>
      </c>
      <c r="K604" s="710">
        <f t="shared" si="56"/>
        <v>8912.9019127266274</v>
      </c>
      <c r="L604" s="656"/>
      <c r="M604" s="444" t="s">
        <v>1857</v>
      </c>
      <c r="N604" s="725"/>
      <c r="O604" s="754"/>
      <c r="P604" s="745"/>
      <c r="Q604" s="8">
        <v>15740000</v>
      </c>
    </row>
    <row r="605" spans="1:17" ht="15.75" customHeight="1">
      <c r="A605" s="709">
        <f t="shared" si="59"/>
        <v>54</v>
      </c>
      <c r="B605" s="296" t="s">
        <v>1736</v>
      </c>
      <c r="C605" s="725">
        <v>42202</v>
      </c>
      <c r="D605" s="726" t="s">
        <v>908</v>
      </c>
      <c r="E605" s="812">
        <v>100</v>
      </c>
      <c r="F605" s="811">
        <v>180</v>
      </c>
      <c r="G605" s="811"/>
      <c r="H605" s="807">
        <f t="shared" si="54"/>
        <v>1.8</v>
      </c>
      <c r="I605" s="710">
        <v>25</v>
      </c>
      <c r="J605" s="710">
        <f t="shared" si="58"/>
        <v>45</v>
      </c>
      <c r="K605" s="710">
        <f t="shared" si="56"/>
        <v>14453.354453070206</v>
      </c>
      <c r="L605" s="656"/>
      <c r="M605" s="444" t="s">
        <v>1856</v>
      </c>
      <c r="N605" s="725"/>
      <c r="O605" s="754"/>
      <c r="P605" s="745"/>
      <c r="Q605" s="8">
        <v>30750000</v>
      </c>
    </row>
    <row r="606" spans="1:17" ht="15.75" customHeight="1">
      <c r="A606" s="709">
        <f t="shared" si="59"/>
        <v>55</v>
      </c>
      <c r="B606" s="296" t="s">
        <v>690</v>
      </c>
      <c r="C606" s="725">
        <v>42202</v>
      </c>
      <c r="D606" s="726" t="s">
        <v>908</v>
      </c>
      <c r="E606" s="812">
        <v>130</v>
      </c>
      <c r="F606" s="811">
        <v>154</v>
      </c>
      <c r="G606" s="811"/>
      <c r="H606" s="807">
        <f t="shared" si="54"/>
        <v>2</v>
      </c>
      <c r="I606" s="710">
        <v>25</v>
      </c>
      <c r="J606" s="710">
        <f t="shared" si="58"/>
        <v>50</v>
      </c>
      <c r="K606" s="710">
        <f t="shared" si="56"/>
        <v>16059.282725633562</v>
      </c>
      <c r="L606" s="656"/>
      <c r="M606" s="444" t="s">
        <v>1869</v>
      </c>
      <c r="N606" s="725"/>
      <c r="O606" s="754"/>
      <c r="P606" s="745"/>
      <c r="Q606" s="8">
        <v>103590000</v>
      </c>
    </row>
    <row r="607" spans="1:17" ht="15.75" customHeight="1">
      <c r="A607" s="709">
        <f t="shared" si="59"/>
        <v>56</v>
      </c>
      <c r="B607" s="296" t="s">
        <v>1705</v>
      </c>
      <c r="C607" s="725">
        <v>42202</v>
      </c>
      <c r="D607" s="726" t="s">
        <v>908</v>
      </c>
      <c r="E607" s="812">
        <v>85</v>
      </c>
      <c r="F607" s="811">
        <v>107</v>
      </c>
      <c r="G607" s="811"/>
      <c r="H607" s="807">
        <f t="shared" si="54"/>
        <v>0.91</v>
      </c>
      <c r="I607" s="710">
        <v>100</v>
      </c>
      <c r="J607" s="710">
        <f t="shared" si="58"/>
        <v>91</v>
      </c>
      <c r="K607" s="710">
        <f t="shared" si="56"/>
        <v>7306.9736401632708</v>
      </c>
      <c r="L607" s="656"/>
      <c r="M607" s="296"/>
      <c r="N607" s="725"/>
      <c r="O607" s="754"/>
      <c r="P607" s="745"/>
      <c r="Q607" s="8"/>
    </row>
    <row r="608" spans="1:17" ht="15.75" customHeight="1">
      <c r="A608" s="709">
        <f t="shared" si="59"/>
        <v>57</v>
      </c>
      <c r="B608" s="296" t="s">
        <v>1757</v>
      </c>
      <c r="C608" s="725">
        <v>42202</v>
      </c>
      <c r="D608" s="726" t="s">
        <v>908</v>
      </c>
      <c r="E608" s="812">
        <v>85</v>
      </c>
      <c r="F608" s="811">
        <v>114</v>
      </c>
      <c r="G608" s="811"/>
      <c r="H608" s="807">
        <f t="shared" si="54"/>
        <v>0.97</v>
      </c>
      <c r="I608" s="710">
        <v>220</v>
      </c>
      <c r="J608" s="710">
        <f t="shared" si="58"/>
        <v>213.4</v>
      </c>
      <c r="K608" s="710">
        <f t="shared" si="56"/>
        <v>7788.7521219322771</v>
      </c>
      <c r="L608" s="656"/>
      <c r="M608" s="803" t="s">
        <v>1866</v>
      </c>
      <c r="N608" s="804"/>
      <c r="O608" s="805"/>
      <c r="P608" s="530"/>
      <c r="Q608" s="530">
        <f>SUM(Q602:Q606)</f>
        <v>960172550</v>
      </c>
    </row>
    <row r="609" spans="1:17" ht="15.75" customHeight="1">
      <c r="A609" s="709">
        <f t="shared" si="59"/>
        <v>58</v>
      </c>
      <c r="B609" s="296" t="s">
        <v>1758</v>
      </c>
      <c r="C609" s="725">
        <v>42202</v>
      </c>
      <c r="D609" s="726" t="s">
        <v>908</v>
      </c>
      <c r="E609" s="812">
        <v>85</v>
      </c>
      <c r="F609" s="811">
        <v>180</v>
      </c>
      <c r="G609" s="811"/>
      <c r="H609" s="807">
        <f t="shared" si="54"/>
        <v>1.53</v>
      </c>
      <c r="I609" s="710">
        <v>160</v>
      </c>
      <c r="J609" s="710">
        <f t="shared" si="58"/>
        <v>244.8</v>
      </c>
      <c r="K609" s="710">
        <f t="shared" si="56"/>
        <v>12285.351285109675</v>
      </c>
      <c r="L609" s="656"/>
      <c r="M609" s="445"/>
      <c r="N609" s="733"/>
      <c r="O609" s="755"/>
      <c r="P609" s="723"/>
      <c r="Q609" s="735"/>
    </row>
    <row r="610" spans="1:17" ht="15.75" customHeight="1">
      <c r="A610" s="709">
        <f t="shared" si="59"/>
        <v>59</v>
      </c>
      <c r="B610" s="296" t="s">
        <v>1759</v>
      </c>
      <c r="C610" s="725">
        <v>42202</v>
      </c>
      <c r="D610" s="726" t="s">
        <v>908</v>
      </c>
      <c r="E610" s="812">
        <v>90</v>
      </c>
      <c r="F610" s="811">
        <v>126</v>
      </c>
      <c r="G610" s="811"/>
      <c r="H610" s="807">
        <f t="shared" si="54"/>
        <v>1.1299999999999999</v>
      </c>
      <c r="I610" s="710">
        <v>270</v>
      </c>
      <c r="J610" s="710">
        <f t="shared" si="58"/>
        <v>305.09999999999997</v>
      </c>
      <c r="K610" s="710">
        <f t="shared" si="56"/>
        <v>9073.4947399829616</v>
      </c>
      <c r="L610" s="656"/>
      <c r="M610" s="445"/>
      <c r="N610" s="733"/>
      <c r="O610" s="755"/>
      <c r="P610" s="723"/>
      <c r="Q610" s="735"/>
    </row>
    <row r="611" spans="1:17" ht="15.75" customHeight="1">
      <c r="A611" s="709">
        <f t="shared" si="59"/>
        <v>60</v>
      </c>
      <c r="B611" s="296" t="s">
        <v>1760</v>
      </c>
      <c r="C611" s="725">
        <v>42202</v>
      </c>
      <c r="D611" s="726" t="s">
        <v>908</v>
      </c>
      <c r="E611" s="812">
        <v>120</v>
      </c>
      <c r="F611" s="811">
        <v>110</v>
      </c>
      <c r="G611" s="811"/>
      <c r="H611" s="807">
        <f t="shared" si="54"/>
        <v>1.32</v>
      </c>
      <c r="I611" s="710">
        <v>190</v>
      </c>
      <c r="J611" s="710">
        <f t="shared" si="58"/>
        <v>250.8</v>
      </c>
      <c r="K611" s="710">
        <f t="shared" si="56"/>
        <v>10599.126598918152</v>
      </c>
      <c r="L611" s="656"/>
      <c r="M611" s="1101" t="s">
        <v>1867</v>
      </c>
      <c r="N611" s="1102"/>
      <c r="O611" s="1102"/>
      <c r="P611" s="1103"/>
      <c r="Q611" s="808">
        <f>Q608/J881</f>
        <v>8029.6413628167811</v>
      </c>
    </row>
    <row r="612" spans="1:17" ht="15.75" customHeight="1">
      <c r="A612" s="709">
        <f t="shared" si="59"/>
        <v>61</v>
      </c>
      <c r="B612" s="296" t="s">
        <v>413</v>
      </c>
      <c r="C612" s="725">
        <v>42205</v>
      </c>
      <c r="D612" s="726" t="s">
        <v>909</v>
      </c>
      <c r="E612" s="812">
        <v>49</v>
      </c>
      <c r="F612" s="811">
        <v>38</v>
      </c>
      <c r="G612" s="811">
        <v>12</v>
      </c>
      <c r="H612" s="807">
        <f t="shared" si="54"/>
        <v>0.95</v>
      </c>
      <c r="I612" s="710">
        <v>311</v>
      </c>
      <c r="J612" s="710">
        <f t="shared" si="58"/>
        <v>295.45</v>
      </c>
      <c r="K612" s="710">
        <f t="shared" si="56"/>
        <v>7628.159294675942</v>
      </c>
      <c r="L612" s="656"/>
      <c r="M612" s="292"/>
      <c r="N612" s="701"/>
    </row>
    <row r="613" spans="1:17" ht="15.75" customHeight="1">
      <c r="A613" s="709">
        <f t="shared" si="59"/>
        <v>62</v>
      </c>
      <c r="B613" s="296" t="s">
        <v>413</v>
      </c>
      <c r="C613" s="725">
        <v>42205</v>
      </c>
      <c r="D613" s="726" t="s">
        <v>909</v>
      </c>
      <c r="E613" s="812">
        <v>49</v>
      </c>
      <c r="F613" s="811">
        <v>38</v>
      </c>
      <c r="G613" s="811">
        <v>12</v>
      </c>
      <c r="H613" s="807">
        <f t="shared" si="54"/>
        <v>0.95</v>
      </c>
      <c r="I613" s="710">
        <v>497</v>
      </c>
      <c r="J613" s="710">
        <f t="shared" si="58"/>
        <v>472.15</v>
      </c>
      <c r="K613" s="710">
        <f t="shared" si="56"/>
        <v>7628.159294675942</v>
      </c>
      <c r="L613" s="656"/>
      <c r="M613" s="292"/>
      <c r="N613" s="701"/>
    </row>
    <row r="614" spans="1:17" ht="15.75" customHeight="1">
      <c r="A614" s="709">
        <f t="shared" si="59"/>
        <v>63</v>
      </c>
      <c r="B614" s="296" t="s">
        <v>910</v>
      </c>
      <c r="C614" s="725">
        <v>42205</v>
      </c>
      <c r="D614" s="726" t="s">
        <v>911</v>
      </c>
      <c r="E614" s="812">
        <v>37.200000000000003</v>
      </c>
      <c r="F614" s="811">
        <v>25.1</v>
      </c>
      <c r="G614" s="811">
        <v>23.9</v>
      </c>
      <c r="H614" s="807">
        <f t="shared" si="54"/>
        <v>0.67</v>
      </c>
      <c r="I614" s="710">
        <v>574</v>
      </c>
      <c r="J614" s="710">
        <f t="shared" si="58"/>
        <v>384.58000000000004</v>
      </c>
      <c r="K614" s="710">
        <f t="shared" si="56"/>
        <v>5379.859713087244</v>
      </c>
      <c r="L614" s="656"/>
      <c r="M614" s="292"/>
      <c r="N614" s="701"/>
    </row>
    <row r="615" spans="1:17" ht="15.75" customHeight="1">
      <c r="A615" s="709">
        <f t="shared" si="59"/>
        <v>64</v>
      </c>
      <c r="B615" s="296" t="s">
        <v>910</v>
      </c>
      <c r="C615" s="725">
        <v>42205</v>
      </c>
      <c r="D615" s="726" t="s">
        <v>911</v>
      </c>
      <c r="E615" s="812">
        <v>37.200000000000003</v>
      </c>
      <c r="F615" s="811">
        <v>25.1</v>
      </c>
      <c r="G615" s="811">
        <v>23.9</v>
      </c>
      <c r="H615" s="807">
        <f t="shared" si="54"/>
        <v>0.67</v>
      </c>
      <c r="I615" s="710">
        <v>588</v>
      </c>
      <c r="J615" s="710">
        <f t="shared" si="58"/>
        <v>393.96000000000004</v>
      </c>
      <c r="K615" s="710">
        <f t="shared" si="56"/>
        <v>5379.859713087244</v>
      </c>
      <c r="L615" s="656"/>
      <c r="M615" s="292"/>
      <c r="N615" s="701"/>
    </row>
    <row r="616" spans="1:17" ht="15.75" customHeight="1">
      <c r="A616" s="709">
        <f t="shared" si="59"/>
        <v>65</v>
      </c>
      <c r="B616" s="296" t="s">
        <v>830</v>
      </c>
      <c r="C616" s="725">
        <v>42205</v>
      </c>
      <c r="D616" s="726" t="s">
        <v>912</v>
      </c>
      <c r="E616" s="812">
        <v>55</v>
      </c>
      <c r="F616" s="811">
        <v>41.5</v>
      </c>
      <c r="G616" s="811">
        <v>27</v>
      </c>
      <c r="H616" s="807">
        <f t="shared" ref="H616:H689" si="64">IF(G616&lt;&gt;"",ROUND(((E616+F616)*2+5)*(F616+G616+3)/10000,2),ROUND(E616*F616/10000,2))</f>
        <v>1.42</v>
      </c>
      <c r="I616" s="710">
        <v>280</v>
      </c>
      <c r="J616" s="710">
        <f t="shared" si="58"/>
        <v>397.59999999999997</v>
      </c>
      <c r="K616" s="710">
        <f t="shared" ref="K616:K679" si="65">H616*$Q$611</f>
        <v>11402.090735199828</v>
      </c>
      <c r="L616" s="656"/>
      <c r="M616" s="292"/>
      <c r="N616" s="701"/>
    </row>
    <row r="617" spans="1:17" ht="15.75" customHeight="1">
      <c r="A617" s="709">
        <f t="shared" si="59"/>
        <v>66</v>
      </c>
      <c r="B617" s="296" t="s">
        <v>852</v>
      </c>
      <c r="C617" s="725">
        <v>42205</v>
      </c>
      <c r="D617" s="726" t="s">
        <v>913</v>
      </c>
      <c r="E617" s="812">
        <v>61</v>
      </c>
      <c r="F617" s="811">
        <v>49</v>
      </c>
      <c r="G617" s="811">
        <v>33</v>
      </c>
      <c r="H617" s="807">
        <f t="shared" si="64"/>
        <v>1.91</v>
      </c>
      <c r="I617" s="710">
        <v>465</v>
      </c>
      <c r="J617" s="710">
        <f t="shared" ref="J617:J690" si="66">H617*I617</f>
        <v>888.15</v>
      </c>
      <c r="K617" s="710">
        <f t="shared" si="65"/>
        <v>15336.615002980052</v>
      </c>
      <c r="L617" s="656"/>
      <c r="M617" s="292"/>
      <c r="N617" s="701"/>
    </row>
    <row r="618" spans="1:17" ht="15.75" customHeight="1">
      <c r="A618" s="709">
        <f t="shared" si="59"/>
        <v>67</v>
      </c>
      <c r="B618" s="296" t="s">
        <v>849</v>
      </c>
      <c r="C618" s="725">
        <v>42205</v>
      </c>
      <c r="D618" s="726" t="s">
        <v>913</v>
      </c>
      <c r="E618" s="812">
        <v>58.5</v>
      </c>
      <c r="F618" s="811">
        <v>45</v>
      </c>
      <c r="G618" s="811">
        <v>31</v>
      </c>
      <c r="H618" s="807">
        <f t="shared" si="64"/>
        <v>1.67</v>
      </c>
      <c r="I618" s="710">
        <v>92</v>
      </c>
      <c r="J618" s="710">
        <f t="shared" si="66"/>
        <v>153.63999999999999</v>
      </c>
      <c r="K618" s="710">
        <f t="shared" si="65"/>
        <v>13409.501075904023</v>
      </c>
      <c r="L618" s="656"/>
      <c r="M618" s="292"/>
      <c r="N618" s="701"/>
    </row>
    <row r="619" spans="1:17" ht="15.75" customHeight="1">
      <c r="A619" s="709">
        <f t="shared" si="59"/>
        <v>68</v>
      </c>
      <c r="B619" s="296" t="s">
        <v>853</v>
      </c>
      <c r="C619" s="725">
        <v>42205</v>
      </c>
      <c r="D619" s="726" t="s">
        <v>913</v>
      </c>
      <c r="E619" s="812">
        <v>65</v>
      </c>
      <c r="F619" s="811">
        <v>52</v>
      </c>
      <c r="G619" s="811">
        <v>34.5</v>
      </c>
      <c r="H619" s="807">
        <f t="shared" si="64"/>
        <v>2.14</v>
      </c>
      <c r="I619" s="710">
        <v>268</v>
      </c>
      <c r="J619" s="710">
        <f t="shared" si="66"/>
        <v>573.52</v>
      </c>
      <c r="K619" s="710">
        <f t="shared" si="65"/>
        <v>17183.432516427914</v>
      </c>
      <c r="L619" s="656"/>
      <c r="M619" s="292"/>
      <c r="N619" s="701"/>
    </row>
    <row r="620" spans="1:17" ht="15.75" customHeight="1">
      <c r="A620" s="709">
        <f t="shared" si="59"/>
        <v>69</v>
      </c>
      <c r="B620" s="296" t="s">
        <v>914</v>
      </c>
      <c r="C620" s="725">
        <v>42205</v>
      </c>
      <c r="D620" s="726" t="s">
        <v>915</v>
      </c>
      <c r="E620" s="812">
        <v>80</v>
      </c>
      <c r="F620" s="811">
        <v>56</v>
      </c>
      <c r="G620" s="811">
        <v>42</v>
      </c>
      <c r="H620" s="807">
        <f t="shared" si="64"/>
        <v>2.8</v>
      </c>
      <c r="I620" s="710">
        <v>80</v>
      </c>
      <c r="J620" s="710">
        <f t="shared" si="66"/>
        <v>224</v>
      </c>
      <c r="K620" s="710">
        <f t="shared" si="65"/>
        <v>22482.995815886985</v>
      </c>
      <c r="L620" s="656"/>
      <c r="M620" s="292"/>
      <c r="N620" s="701"/>
    </row>
    <row r="621" spans="1:17" ht="15.75" customHeight="1">
      <c r="A621" s="709">
        <f t="shared" si="59"/>
        <v>70</v>
      </c>
      <c r="B621" s="296" t="s">
        <v>1674</v>
      </c>
      <c r="C621" s="725">
        <v>42205</v>
      </c>
      <c r="D621" s="726" t="s">
        <v>915</v>
      </c>
      <c r="E621" s="812">
        <v>35</v>
      </c>
      <c r="F621" s="811">
        <v>35</v>
      </c>
      <c r="G621" s="811"/>
      <c r="H621" s="807">
        <f t="shared" si="64"/>
        <v>0.12</v>
      </c>
      <c r="I621" s="710">
        <v>160</v>
      </c>
      <c r="J621" s="710">
        <f t="shared" si="66"/>
        <v>19.2</v>
      </c>
      <c r="K621" s="710">
        <f t="shared" si="65"/>
        <v>963.55696353801375</v>
      </c>
      <c r="L621" s="656"/>
      <c r="M621" s="292"/>
      <c r="N621" s="701"/>
    </row>
    <row r="622" spans="1:17" ht="15.75" customHeight="1">
      <c r="A622" s="709">
        <f t="shared" si="59"/>
        <v>71</v>
      </c>
      <c r="B622" s="296" t="s">
        <v>916</v>
      </c>
      <c r="C622" s="725">
        <v>42205</v>
      </c>
      <c r="D622" s="726" t="s">
        <v>917</v>
      </c>
      <c r="E622" s="812">
        <v>80</v>
      </c>
      <c r="F622" s="811">
        <v>60</v>
      </c>
      <c r="G622" s="811">
        <v>20</v>
      </c>
      <c r="H622" s="807">
        <f t="shared" si="64"/>
        <v>2.37</v>
      </c>
      <c r="I622" s="710">
        <v>300</v>
      </c>
      <c r="J622" s="710">
        <f t="shared" si="66"/>
        <v>711</v>
      </c>
      <c r="K622" s="710">
        <f t="shared" si="65"/>
        <v>19030.250029875773</v>
      </c>
      <c r="L622" s="656"/>
      <c r="M622" s="292"/>
      <c r="N622" s="701"/>
    </row>
    <row r="623" spans="1:17" ht="15.75" customHeight="1">
      <c r="A623" s="709">
        <f t="shared" si="59"/>
        <v>72</v>
      </c>
      <c r="B623" s="296" t="s">
        <v>1664</v>
      </c>
      <c r="C623" s="725">
        <v>42205</v>
      </c>
      <c r="D623" s="726" t="s">
        <v>917</v>
      </c>
      <c r="E623" s="812">
        <v>40</v>
      </c>
      <c r="F623" s="811">
        <v>20</v>
      </c>
      <c r="G623" s="811"/>
      <c r="H623" s="807">
        <f t="shared" si="64"/>
        <v>0.08</v>
      </c>
      <c r="I623" s="710">
        <v>600</v>
      </c>
      <c r="J623" s="710">
        <f t="shared" si="66"/>
        <v>48</v>
      </c>
      <c r="K623" s="710">
        <f t="shared" si="65"/>
        <v>642.3713090253425</v>
      </c>
      <c r="L623" s="656"/>
      <c r="M623" s="292"/>
      <c r="N623" s="701"/>
    </row>
    <row r="624" spans="1:17" ht="15.75" customHeight="1">
      <c r="A624" s="709">
        <f t="shared" si="59"/>
        <v>73</v>
      </c>
      <c r="B624" s="296" t="s">
        <v>398</v>
      </c>
      <c r="C624" s="725">
        <v>42205</v>
      </c>
      <c r="D624" s="726" t="s">
        <v>918</v>
      </c>
      <c r="E624" s="812">
        <v>52</v>
      </c>
      <c r="F624" s="811">
        <v>24.5</v>
      </c>
      <c r="G624" s="811">
        <v>24.5</v>
      </c>
      <c r="H624" s="807">
        <f t="shared" si="64"/>
        <v>0.82</v>
      </c>
      <c r="I624" s="710">
        <v>607</v>
      </c>
      <c r="J624" s="710">
        <f t="shared" si="66"/>
        <v>497.73999999999995</v>
      </c>
      <c r="K624" s="710">
        <f t="shared" si="65"/>
        <v>6584.3059175097605</v>
      </c>
      <c r="L624" s="656"/>
      <c r="M624" s="292"/>
      <c r="N624" s="701"/>
    </row>
    <row r="625" spans="1:14" ht="15.75" customHeight="1">
      <c r="A625" s="709">
        <f t="shared" si="59"/>
        <v>74</v>
      </c>
      <c r="B625" s="296" t="s">
        <v>501</v>
      </c>
      <c r="C625" s="725">
        <v>42205</v>
      </c>
      <c r="D625" s="726" t="s">
        <v>918</v>
      </c>
      <c r="E625" s="812">
        <v>55</v>
      </c>
      <c r="F625" s="811">
        <v>45</v>
      </c>
      <c r="G625" s="811">
        <v>29</v>
      </c>
      <c r="H625" s="807">
        <f t="shared" si="64"/>
        <v>1.58</v>
      </c>
      <c r="I625" s="710">
        <v>310</v>
      </c>
      <c r="J625" s="710">
        <f t="shared" si="66"/>
        <v>489.8</v>
      </c>
      <c r="K625" s="710">
        <f t="shared" si="65"/>
        <v>12686.833353250515</v>
      </c>
      <c r="L625" s="656"/>
      <c r="M625" s="292"/>
      <c r="N625" s="701"/>
    </row>
    <row r="626" spans="1:14" ht="15.75" customHeight="1">
      <c r="A626" s="709">
        <f t="shared" si="59"/>
        <v>75</v>
      </c>
      <c r="B626" s="296" t="s">
        <v>919</v>
      </c>
      <c r="C626" s="725">
        <v>42205</v>
      </c>
      <c r="D626" s="726" t="s">
        <v>918</v>
      </c>
      <c r="E626" s="812">
        <v>50</v>
      </c>
      <c r="F626" s="811">
        <v>25</v>
      </c>
      <c r="G626" s="811">
        <v>30</v>
      </c>
      <c r="H626" s="807">
        <f t="shared" si="64"/>
        <v>0.9</v>
      </c>
      <c r="I626" s="710">
        <v>295</v>
      </c>
      <c r="J626" s="710">
        <f t="shared" si="66"/>
        <v>265.5</v>
      </c>
      <c r="K626" s="710">
        <f t="shared" si="65"/>
        <v>7226.6772265351028</v>
      </c>
      <c r="L626" s="656"/>
      <c r="M626" s="292"/>
      <c r="N626" s="701"/>
    </row>
    <row r="627" spans="1:14" ht="15.75" customHeight="1">
      <c r="A627" s="709">
        <f t="shared" si="59"/>
        <v>76</v>
      </c>
      <c r="B627" s="296" t="s">
        <v>1761</v>
      </c>
      <c r="C627" s="725">
        <v>42205</v>
      </c>
      <c r="D627" s="726" t="s">
        <v>920</v>
      </c>
      <c r="E627" s="812">
        <v>110</v>
      </c>
      <c r="F627" s="811">
        <v>132</v>
      </c>
      <c r="G627" s="811"/>
      <c r="H627" s="807">
        <f t="shared" si="64"/>
        <v>1.45</v>
      </c>
      <c r="I627" s="710">
        <v>40</v>
      </c>
      <c r="J627" s="710">
        <f t="shared" si="66"/>
        <v>58</v>
      </c>
      <c r="K627" s="710">
        <f t="shared" si="65"/>
        <v>11642.979976084333</v>
      </c>
      <c r="L627" s="656"/>
      <c r="M627" s="292"/>
      <c r="N627" s="701"/>
    </row>
    <row r="628" spans="1:14" ht="15.75" customHeight="1">
      <c r="A628" s="709">
        <f t="shared" si="59"/>
        <v>77</v>
      </c>
      <c r="B628" s="296" t="s">
        <v>742</v>
      </c>
      <c r="C628" s="725">
        <v>42205</v>
      </c>
      <c r="D628" s="726" t="s">
        <v>920</v>
      </c>
      <c r="E628" s="812">
        <v>140</v>
      </c>
      <c r="F628" s="811">
        <v>140</v>
      </c>
      <c r="G628" s="811"/>
      <c r="H628" s="807">
        <f t="shared" si="64"/>
        <v>1.96</v>
      </c>
      <c r="I628" s="710">
        <v>65</v>
      </c>
      <c r="J628" s="710">
        <f t="shared" si="66"/>
        <v>127.39999999999999</v>
      </c>
      <c r="K628" s="710">
        <f t="shared" si="65"/>
        <v>15738.09707112089</v>
      </c>
      <c r="L628" s="656"/>
      <c r="M628" s="292"/>
      <c r="N628" s="701"/>
    </row>
    <row r="629" spans="1:14" ht="15.75" customHeight="1">
      <c r="A629" s="709">
        <f t="shared" si="59"/>
        <v>78</v>
      </c>
      <c r="B629" s="296" t="s">
        <v>1762</v>
      </c>
      <c r="C629" s="725">
        <v>42205</v>
      </c>
      <c r="D629" s="726" t="s">
        <v>920</v>
      </c>
      <c r="E629" s="812">
        <v>100</v>
      </c>
      <c r="F629" s="811">
        <v>137</v>
      </c>
      <c r="G629" s="811"/>
      <c r="H629" s="807">
        <f t="shared" si="64"/>
        <v>1.37</v>
      </c>
      <c r="I629" s="710">
        <v>35</v>
      </c>
      <c r="J629" s="710">
        <f t="shared" si="66"/>
        <v>47.95</v>
      </c>
      <c r="K629" s="710">
        <f t="shared" si="65"/>
        <v>11000.60866705899</v>
      </c>
      <c r="L629" s="656"/>
      <c r="M629" s="292"/>
      <c r="N629" s="701"/>
    </row>
    <row r="630" spans="1:14" ht="15.75" customHeight="1">
      <c r="A630" s="709">
        <f t="shared" si="59"/>
        <v>79</v>
      </c>
      <c r="B630" s="296" t="s">
        <v>1763</v>
      </c>
      <c r="C630" s="725">
        <v>42205</v>
      </c>
      <c r="D630" s="726" t="s">
        <v>920</v>
      </c>
      <c r="E630" s="812">
        <v>95</v>
      </c>
      <c r="F630" s="811">
        <v>135</v>
      </c>
      <c r="G630" s="811"/>
      <c r="H630" s="807">
        <f t="shared" si="64"/>
        <v>1.28</v>
      </c>
      <c r="I630" s="710">
        <v>35</v>
      </c>
      <c r="J630" s="710">
        <f t="shared" si="66"/>
        <v>44.800000000000004</v>
      </c>
      <c r="K630" s="710">
        <f t="shared" si="65"/>
        <v>10277.94094440548</v>
      </c>
      <c r="L630" s="656"/>
      <c r="M630" s="292"/>
      <c r="N630" s="701"/>
    </row>
    <row r="631" spans="1:14" ht="15.75" customHeight="1">
      <c r="A631" s="709">
        <f t="shared" si="59"/>
        <v>80</v>
      </c>
      <c r="B631" s="296" t="s">
        <v>1764</v>
      </c>
      <c r="C631" s="725">
        <v>42205</v>
      </c>
      <c r="D631" s="726" t="s">
        <v>920</v>
      </c>
      <c r="E631" s="812">
        <v>140</v>
      </c>
      <c r="F631" s="811">
        <v>152</v>
      </c>
      <c r="G631" s="811"/>
      <c r="H631" s="807">
        <f t="shared" si="64"/>
        <v>2.13</v>
      </c>
      <c r="I631" s="710">
        <v>335</v>
      </c>
      <c r="J631" s="710">
        <f t="shared" si="66"/>
        <v>713.55</v>
      </c>
      <c r="K631" s="710">
        <f t="shared" si="65"/>
        <v>17103.136102799745</v>
      </c>
      <c r="L631" s="656"/>
      <c r="M631" s="292"/>
      <c r="N631" s="701"/>
    </row>
    <row r="632" spans="1:14" ht="15.75" customHeight="1">
      <c r="A632" s="709">
        <f t="shared" si="59"/>
        <v>81</v>
      </c>
      <c r="B632" s="296" t="s">
        <v>1760</v>
      </c>
      <c r="C632" s="725">
        <v>42205</v>
      </c>
      <c r="D632" s="726" t="s">
        <v>920</v>
      </c>
      <c r="E632" s="812">
        <v>120</v>
      </c>
      <c r="F632" s="811">
        <v>110</v>
      </c>
      <c r="G632" s="811"/>
      <c r="H632" s="807">
        <f t="shared" si="64"/>
        <v>1.32</v>
      </c>
      <c r="I632" s="710">
        <v>25</v>
      </c>
      <c r="J632" s="710">
        <f t="shared" si="66"/>
        <v>33</v>
      </c>
      <c r="K632" s="710">
        <f t="shared" si="65"/>
        <v>10599.126598918152</v>
      </c>
      <c r="L632" s="656"/>
      <c r="M632" s="292"/>
      <c r="N632" s="701"/>
    </row>
    <row r="633" spans="1:14" ht="15.75" customHeight="1">
      <c r="A633" s="709">
        <f t="shared" si="59"/>
        <v>82</v>
      </c>
      <c r="B633" s="296" t="s">
        <v>1765</v>
      </c>
      <c r="C633" s="725">
        <v>42205</v>
      </c>
      <c r="D633" s="726" t="s">
        <v>920</v>
      </c>
      <c r="E633" s="812">
        <v>85</v>
      </c>
      <c r="F633" s="811">
        <v>122.5</v>
      </c>
      <c r="G633" s="811"/>
      <c r="H633" s="807">
        <f t="shared" si="64"/>
        <v>1.04</v>
      </c>
      <c r="I633" s="710">
        <v>600</v>
      </c>
      <c r="J633" s="710">
        <f t="shared" si="66"/>
        <v>624</v>
      </c>
      <c r="K633" s="710">
        <f t="shared" si="65"/>
        <v>8350.8270173294532</v>
      </c>
      <c r="L633" s="656"/>
      <c r="M633" s="292"/>
      <c r="N633" s="701"/>
    </row>
    <row r="634" spans="1:14" ht="15.75" customHeight="1">
      <c r="A634" s="709">
        <f t="shared" si="59"/>
        <v>83</v>
      </c>
      <c r="B634" s="296" t="s">
        <v>695</v>
      </c>
      <c r="C634" s="725">
        <v>42205</v>
      </c>
      <c r="D634" s="726" t="s">
        <v>920</v>
      </c>
      <c r="E634" s="812">
        <v>105</v>
      </c>
      <c r="F634" s="811">
        <v>168</v>
      </c>
      <c r="G634" s="811"/>
      <c r="H634" s="807">
        <f t="shared" si="64"/>
        <v>1.76</v>
      </c>
      <c r="I634" s="710">
        <v>63</v>
      </c>
      <c r="J634" s="710">
        <f t="shared" si="66"/>
        <v>110.88</v>
      </c>
      <c r="K634" s="710">
        <f t="shared" si="65"/>
        <v>14132.168798557535</v>
      </c>
      <c r="L634" s="656"/>
      <c r="M634" s="292"/>
      <c r="N634" s="701"/>
    </row>
    <row r="635" spans="1:14" ht="15.75" customHeight="1">
      <c r="A635" s="709">
        <f t="shared" si="59"/>
        <v>84</v>
      </c>
      <c r="B635" s="296" t="s">
        <v>720</v>
      </c>
      <c r="C635" s="725">
        <v>42205</v>
      </c>
      <c r="D635" s="726" t="s">
        <v>920</v>
      </c>
      <c r="E635" s="812">
        <v>90</v>
      </c>
      <c r="F635" s="811">
        <v>194</v>
      </c>
      <c r="G635" s="811"/>
      <c r="H635" s="807">
        <f t="shared" si="64"/>
        <v>1.75</v>
      </c>
      <c r="I635" s="710">
        <v>84</v>
      </c>
      <c r="J635" s="710">
        <f t="shared" si="66"/>
        <v>147</v>
      </c>
      <c r="K635" s="710">
        <f t="shared" si="65"/>
        <v>14051.872384929367</v>
      </c>
      <c r="L635" s="656"/>
      <c r="M635" s="292"/>
      <c r="N635" s="701"/>
    </row>
    <row r="636" spans="1:14" ht="15.75" customHeight="1">
      <c r="A636" s="709">
        <f t="shared" si="59"/>
        <v>85</v>
      </c>
      <c r="B636" s="296" t="s">
        <v>722</v>
      </c>
      <c r="C636" s="725">
        <v>42205</v>
      </c>
      <c r="D636" s="726" t="s">
        <v>920</v>
      </c>
      <c r="E636" s="812">
        <v>90</v>
      </c>
      <c r="F636" s="811">
        <v>160</v>
      </c>
      <c r="G636" s="811"/>
      <c r="H636" s="807">
        <f t="shared" si="64"/>
        <v>1.44</v>
      </c>
      <c r="I636" s="710">
        <v>57</v>
      </c>
      <c r="J636" s="710">
        <f t="shared" si="66"/>
        <v>82.08</v>
      </c>
      <c r="K636" s="710">
        <f t="shared" si="65"/>
        <v>11562.683562456165</v>
      </c>
      <c r="L636" s="656"/>
      <c r="M636" s="292"/>
      <c r="N636" s="701"/>
    </row>
    <row r="637" spans="1:14" ht="15.75" customHeight="1">
      <c r="A637" s="709">
        <f t="shared" si="59"/>
        <v>86</v>
      </c>
      <c r="B637" s="296" t="s">
        <v>921</v>
      </c>
      <c r="C637" s="725">
        <v>42205</v>
      </c>
      <c r="D637" s="726" t="s">
        <v>922</v>
      </c>
      <c r="E637" s="812">
        <v>47</v>
      </c>
      <c r="F637" s="811">
        <v>47</v>
      </c>
      <c r="G637" s="811">
        <v>52</v>
      </c>
      <c r="H637" s="807">
        <f t="shared" si="64"/>
        <v>1.97</v>
      </c>
      <c r="I637" s="710">
        <v>31</v>
      </c>
      <c r="J637" s="710">
        <f t="shared" si="66"/>
        <v>61.07</v>
      </c>
      <c r="K637" s="710">
        <f t="shared" si="65"/>
        <v>15818.393484749058</v>
      </c>
      <c r="L637" s="656"/>
      <c r="M637" s="292"/>
      <c r="N637" s="701"/>
    </row>
    <row r="638" spans="1:14" ht="15.75" customHeight="1">
      <c r="A638" s="709">
        <f t="shared" si="59"/>
        <v>87</v>
      </c>
      <c r="B638" s="296" t="s">
        <v>923</v>
      </c>
      <c r="C638" s="725">
        <v>42205</v>
      </c>
      <c r="D638" s="726" t="s">
        <v>922</v>
      </c>
      <c r="E638" s="812">
        <v>58</v>
      </c>
      <c r="F638" s="811">
        <v>57</v>
      </c>
      <c r="G638" s="811">
        <v>80</v>
      </c>
      <c r="H638" s="807">
        <f t="shared" si="64"/>
        <v>3.29</v>
      </c>
      <c r="I638" s="710">
        <v>23</v>
      </c>
      <c r="J638" s="710">
        <f t="shared" si="66"/>
        <v>75.67</v>
      </c>
      <c r="K638" s="710">
        <f t="shared" si="65"/>
        <v>26417.520083667208</v>
      </c>
      <c r="L638" s="656"/>
      <c r="M638" s="292"/>
      <c r="N638" s="701"/>
    </row>
    <row r="639" spans="1:14" ht="15.75" customHeight="1">
      <c r="A639" s="709">
        <f t="shared" si="59"/>
        <v>88</v>
      </c>
      <c r="B639" s="296" t="s">
        <v>924</v>
      </c>
      <c r="C639" s="725">
        <v>42205</v>
      </c>
      <c r="D639" s="726" t="s">
        <v>922</v>
      </c>
      <c r="E639" s="812">
        <v>142</v>
      </c>
      <c r="F639" s="811">
        <v>75</v>
      </c>
      <c r="G639" s="811">
        <v>58</v>
      </c>
      <c r="H639" s="807">
        <f t="shared" si="64"/>
        <v>5.97</v>
      </c>
      <c r="I639" s="710">
        <v>100</v>
      </c>
      <c r="J639" s="710">
        <f t="shared" si="66"/>
        <v>597</v>
      </c>
      <c r="K639" s="710">
        <f t="shared" si="65"/>
        <v>47936.958936016184</v>
      </c>
      <c r="L639" s="656"/>
      <c r="M639" s="292"/>
      <c r="N639" s="701"/>
    </row>
    <row r="640" spans="1:14" ht="15.75" customHeight="1">
      <c r="A640" s="709">
        <f t="shared" si="59"/>
        <v>89</v>
      </c>
      <c r="B640" s="296" t="s">
        <v>925</v>
      </c>
      <c r="C640" s="725">
        <v>42205</v>
      </c>
      <c r="D640" s="726" t="s">
        <v>922</v>
      </c>
      <c r="E640" s="812">
        <v>58</v>
      </c>
      <c r="F640" s="811">
        <v>57</v>
      </c>
      <c r="G640" s="811">
        <v>108</v>
      </c>
      <c r="H640" s="807">
        <f t="shared" si="64"/>
        <v>3.95</v>
      </c>
      <c r="I640" s="710">
        <v>10</v>
      </c>
      <c r="J640" s="710">
        <f t="shared" si="66"/>
        <v>39.5</v>
      </c>
      <c r="K640" s="710">
        <f t="shared" si="65"/>
        <v>31717.083383126286</v>
      </c>
      <c r="L640" s="656"/>
      <c r="M640" s="292"/>
      <c r="N640" s="701"/>
    </row>
    <row r="641" spans="1:14" ht="15.75" customHeight="1">
      <c r="A641" s="709">
        <f t="shared" si="59"/>
        <v>90</v>
      </c>
      <c r="B641" s="296" t="s">
        <v>926</v>
      </c>
      <c r="C641" s="725">
        <v>42205</v>
      </c>
      <c r="D641" s="726" t="s">
        <v>922</v>
      </c>
      <c r="E641" s="812">
        <v>67</v>
      </c>
      <c r="F641" s="811">
        <v>62</v>
      </c>
      <c r="G641" s="811">
        <v>114</v>
      </c>
      <c r="H641" s="807">
        <f t="shared" si="64"/>
        <v>4.71</v>
      </c>
      <c r="I641" s="710">
        <v>26</v>
      </c>
      <c r="J641" s="710">
        <f t="shared" si="66"/>
        <v>122.46</v>
      </c>
      <c r="K641" s="710">
        <f t="shared" si="65"/>
        <v>37819.610818867041</v>
      </c>
      <c r="L641" s="656"/>
      <c r="M641" s="292"/>
      <c r="N641" s="701"/>
    </row>
    <row r="642" spans="1:14" ht="15.75" customHeight="1">
      <c r="A642" s="709">
        <f t="shared" si="59"/>
        <v>91</v>
      </c>
      <c r="B642" s="296" t="s">
        <v>927</v>
      </c>
      <c r="C642" s="725">
        <v>42205</v>
      </c>
      <c r="D642" s="726" t="s">
        <v>922</v>
      </c>
      <c r="E642" s="812">
        <v>124</v>
      </c>
      <c r="F642" s="811">
        <v>54</v>
      </c>
      <c r="G642" s="811">
        <v>180</v>
      </c>
      <c r="H642" s="807">
        <f t="shared" si="64"/>
        <v>8.56</v>
      </c>
      <c r="I642" s="710">
        <v>116</v>
      </c>
      <c r="J642" s="710">
        <f t="shared" si="66"/>
        <v>992.96</v>
      </c>
      <c r="K642" s="710">
        <f t="shared" si="65"/>
        <v>68733.730065711658</v>
      </c>
      <c r="L642" s="656"/>
      <c r="M642" s="292"/>
      <c r="N642" s="701"/>
    </row>
    <row r="643" spans="1:14" ht="15.75" customHeight="1">
      <c r="A643" s="709">
        <f t="shared" si="59"/>
        <v>92</v>
      </c>
      <c r="B643" s="188" t="s">
        <v>1766</v>
      </c>
      <c r="C643" s="725">
        <v>42206</v>
      </c>
      <c r="D643" s="726" t="s">
        <v>928</v>
      </c>
      <c r="E643" s="812">
        <v>110</v>
      </c>
      <c r="F643" s="811">
        <v>114</v>
      </c>
      <c r="G643" s="811"/>
      <c r="H643" s="807">
        <f t="shared" si="64"/>
        <v>1.25</v>
      </c>
      <c r="I643" s="710">
        <v>550</v>
      </c>
      <c r="J643" s="710">
        <f t="shared" si="66"/>
        <v>687.5</v>
      </c>
      <c r="K643" s="710">
        <f t="shared" si="65"/>
        <v>10037.051703520976</v>
      </c>
      <c r="L643" s="656"/>
      <c r="M643" s="292"/>
      <c r="N643" s="701"/>
    </row>
    <row r="644" spans="1:14" ht="15.75" customHeight="1">
      <c r="A644" s="709">
        <f t="shared" si="59"/>
        <v>93</v>
      </c>
      <c r="B644" s="40" t="s">
        <v>1806</v>
      </c>
      <c r="C644" s="725">
        <v>42206</v>
      </c>
      <c r="D644" s="726" t="s">
        <v>928</v>
      </c>
      <c r="E644" s="812">
        <v>100</v>
      </c>
      <c r="F644" s="811">
        <v>122</v>
      </c>
      <c r="G644" s="811"/>
      <c r="H644" s="807">
        <f t="shared" si="64"/>
        <v>1.22</v>
      </c>
      <c r="I644" s="710">
        <v>200</v>
      </c>
      <c r="J644" s="710">
        <f t="shared" si="66"/>
        <v>244</v>
      </c>
      <c r="K644" s="710">
        <f t="shared" si="65"/>
        <v>9796.1624626364719</v>
      </c>
      <c r="L644" s="656"/>
      <c r="M644" s="292"/>
      <c r="N644" s="701"/>
    </row>
    <row r="645" spans="1:14" ht="15.75" customHeight="1">
      <c r="A645" s="709">
        <f t="shared" si="59"/>
        <v>94</v>
      </c>
      <c r="B645" s="188" t="s">
        <v>1741</v>
      </c>
      <c r="C645" s="725">
        <v>42206</v>
      </c>
      <c r="D645" s="726" t="s">
        <v>928</v>
      </c>
      <c r="E645" s="812">
        <v>85</v>
      </c>
      <c r="F645" s="811">
        <v>130</v>
      </c>
      <c r="G645" s="811"/>
      <c r="H645" s="807">
        <f t="shared" si="64"/>
        <v>1.1100000000000001</v>
      </c>
      <c r="I645" s="710">
        <v>270</v>
      </c>
      <c r="J645" s="710">
        <f t="shared" si="66"/>
        <v>299.70000000000005</v>
      </c>
      <c r="K645" s="710">
        <f t="shared" si="65"/>
        <v>8912.9019127266274</v>
      </c>
      <c r="L645" s="656"/>
      <c r="M645" s="292"/>
      <c r="N645" s="701"/>
    </row>
    <row r="646" spans="1:14" ht="15.75" customHeight="1">
      <c r="A646" s="709">
        <f t="shared" si="59"/>
        <v>95</v>
      </c>
      <c r="B646" s="188" t="s">
        <v>725</v>
      </c>
      <c r="C646" s="725">
        <v>42206</v>
      </c>
      <c r="D646" s="726" t="s">
        <v>928</v>
      </c>
      <c r="E646" s="812">
        <v>145</v>
      </c>
      <c r="F646" s="811">
        <v>114</v>
      </c>
      <c r="G646" s="811"/>
      <c r="H646" s="807">
        <f t="shared" si="64"/>
        <v>1.65</v>
      </c>
      <c r="I646" s="710">
        <v>500</v>
      </c>
      <c r="J646" s="710">
        <f t="shared" si="66"/>
        <v>825</v>
      </c>
      <c r="K646" s="710">
        <f t="shared" si="65"/>
        <v>13248.908248647687</v>
      </c>
      <c r="L646" s="656"/>
      <c r="M646" s="292"/>
      <c r="N646" s="701"/>
    </row>
    <row r="647" spans="1:14" ht="15.75" customHeight="1">
      <c r="A647" s="709">
        <f t="shared" si="59"/>
        <v>96</v>
      </c>
      <c r="B647" s="191" t="s">
        <v>672</v>
      </c>
      <c r="C647" s="725">
        <v>42206</v>
      </c>
      <c r="D647" s="726" t="s">
        <v>928</v>
      </c>
      <c r="E647" s="812">
        <v>85</v>
      </c>
      <c r="F647" s="811">
        <v>177</v>
      </c>
      <c r="G647" s="811"/>
      <c r="H647" s="807">
        <f t="shared" si="64"/>
        <v>1.5</v>
      </c>
      <c r="I647" s="710">
        <v>60</v>
      </c>
      <c r="J647" s="710">
        <f t="shared" si="66"/>
        <v>90</v>
      </c>
      <c r="K647" s="710">
        <f t="shared" si="65"/>
        <v>12044.462044225173</v>
      </c>
      <c r="L647" s="656"/>
      <c r="M647" s="292"/>
      <c r="N647" s="701"/>
    </row>
    <row r="648" spans="1:14" ht="15.75" customHeight="1">
      <c r="A648" s="709">
        <f t="shared" si="59"/>
        <v>97</v>
      </c>
      <c r="B648" s="191" t="s">
        <v>1845</v>
      </c>
      <c r="C648" s="725">
        <v>42206</v>
      </c>
      <c r="D648" s="726" t="s">
        <v>928</v>
      </c>
      <c r="E648" s="812">
        <v>105</v>
      </c>
      <c r="F648" s="811">
        <v>93</v>
      </c>
      <c r="G648" s="811"/>
      <c r="H648" s="807">
        <f t="shared" si="64"/>
        <v>0.98</v>
      </c>
      <c r="I648" s="710">
        <v>50</v>
      </c>
      <c r="J648" s="710">
        <f t="shared" si="66"/>
        <v>49</v>
      </c>
      <c r="K648" s="710">
        <f t="shared" si="65"/>
        <v>7869.0485355604451</v>
      </c>
      <c r="L648" s="656"/>
      <c r="M648" s="292"/>
      <c r="N648" s="701"/>
    </row>
    <row r="649" spans="1:14" ht="15.75" customHeight="1">
      <c r="A649" s="709">
        <f t="shared" si="59"/>
        <v>98</v>
      </c>
      <c r="B649" s="191" t="s">
        <v>1709</v>
      </c>
      <c r="C649" s="725">
        <v>42206</v>
      </c>
      <c r="D649" s="726" t="s">
        <v>928</v>
      </c>
      <c r="E649" s="812">
        <v>125</v>
      </c>
      <c r="F649" s="811">
        <v>67</v>
      </c>
      <c r="G649" s="811"/>
      <c r="H649" s="807">
        <f t="shared" si="64"/>
        <v>0.84</v>
      </c>
      <c r="I649" s="710">
        <v>80</v>
      </c>
      <c r="J649" s="710">
        <f t="shared" si="66"/>
        <v>67.2</v>
      </c>
      <c r="K649" s="710">
        <f t="shared" si="65"/>
        <v>6744.8987447660957</v>
      </c>
      <c r="L649" s="656"/>
      <c r="M649" s="292"/>
      <c r="N649" s="701"/>
    </row>
    <row r="650" spans="1:14" ht="15.75" customHeight="1">
      <c r="A650" s="709">
        <f t="shared" si="59"/>
        <v>99</v>
      </c>
      <c r="B650" s="188" t="s">
        <v>1769</v>
      </c>
      <c r="C650" s="725">
        <v>42206</v>
      </c>
      <c r="D650" s="726" t="s">
        <v>928</v>
      </c>
      <c r="E650" s="812">
        <v>100</v>
      </c>
      <c r="F650" s="811">
        <v>156</v>
      </c>
      <c r="G650" s="811"/>
      <c r="H650" s="807">
        <f t="shared" si="64"/>
        <v>1.56</v>
      </c>
      <c r="I650" s="710">
        <v>120</v>
      </c>
      <c r="J650" s="710">
        <f t="shared" si="66"/>
        <v>187.20000000000002</v>
      </c>
      <c r="K650" s="710">
        <f t="shared" si="65"/>
        <v>12526.240525994179</v>
      </c>
      <c r="L650" s="656"/>
      <c r="M650" s="292"/>
      <c r="N650" s="701"/>
    </row>
    <row r="651" spans="1:14" ht="15.75" customHeight="1">
      <c r="A651" s="709">
        <f t="shared" si="59"/>
        <v>100</v>
      </c>
      <c r="B651" s="296" t="s">
        <v>929</v>
      </c>
      <c r="C651" s="725">
        <v>42208</v>
      </c>
      <c r="D651" s="726" t="s">
        <v>930</v>
      </c>
      <c r="E651" s="812">
        <v>49.5</v>
      </c>
      <c r="F651" s="811">
        <v>38.4</v>
      </c>
      <c r="G651" s="811">
        <v>32.5</v>
      </c>
      <c r="H651" s="807">
        <f t="shared" si="64"/>
        <v>1.34</v>
      </c>
      <c r="I651" s="710">
        <v>301</v>
      </c>
      <c r="J651" s="710">
        <f t="shared" si="66"/>
        <v>403.34000000000003</v>
      </c>
      <c r="K651" s="710">
        <f t="shared" si="65"/>
        <v>10759.719426174488</v>
      </c>
      <c r="L651" s="656"/>
      <c r="M651" s="292"/>
      <c r="N651" s="701"/>
    </row>
    <row r="652" spans="1:14" ht="15.75" customHeight="1">
      <c r="A652" s="709">
        <f t="shared" si="59"/>
        <v>101</v>
      </c>
      <c r="B652" s="296" t="s">
        <v>931</v>
      </c>
      <c r="C652" s="725">
        <v>42208</v>
      </c>
      <c r="D652" s="726" t="s">
        <v>930</v>
      </c>
      <c r="E652" s="812">
        <v>35</v>
      </c>
      <c r="F652" s="812">
        <v>35</v>
      </c>
      <c r="G652" s="811">
        <v>29</v>
      </c>
      <c r="H652" s="807">
        <f t="shared" si="64"/>
        <v>0.97</v>
      </c>
      <c r="I652" s="710">
        <v>200</v>
      </c>
      <c r="J652" s="710">
        <f t="shared" si="66"/>
        <v>194</v>
      </c>
      <c r="K652" s="710">
        <f t="shared" si="65"/>
        <v>7788.7521219322771</v>
      </c>
      <c r="L652" s="656"/>
      <c r="M652" s="292"/>
      <c r="N652" s="701"/>
    </row>
    <row r="653" spans="1:14" ht="15.75" customHeight="1">
      <c r="A653" s="709">
        <f t="shared" si="59"/>
        <v>102</v>
      </c>
      <c r="B653" s="296" t="s">
        <v>540</v>
      </c>
      <c r="C653" s="725">
        <v>42208</v>
      </c>
      <c r="D653" s="726" t="s">
        <v>930</v>
      </c>
      <c r="E653" s="812">
        <v>42</v>
      </c>
      <c r="F653" s="811">
        <v>26</v>
      </c>
      <c r="G653" s="811">
        <v>33</v>
      </c>
      <c r="H653" s="807">
        <f t="shared" si="64"/>
        <v>0.87</v>
      </c>
      <c r="I653" s="710">
        <v>204</v>
      </c>
      <c r="J653" s="710">
        <f t="shared" si="66"/>
        <v>177.48</v>
      </c>
      <c r="K653" s="710">
        <f t="shared" si="65"/>
        <v>6985.7879856505997</v>
      </c>
      <c r="L653" s="656"/>
      <c r="M653" s="292"/>
      <c r="N653" s="701"/>
    </row>
    <row r="654" spans="1:14" ht="15.75" customHeight="1">
      <c r="A654" s="709">
        <f t="shared" si="59"/>
        <v>103</v>
      </c>
      <c r="B654" s="296" t="s">
        <v>781</v>
      </c>
      <c r="C654" s="725">
        <v>42208</v>
      </c>
      <c r="D654" s="726" t="s">
        <v>932</v>
      </c>
      <c r="E654" s="812">
        <v>57</v>
      </c>
      <c r="F654" s="811">
        <v>36</v>
      </c>
      <c r="G654" s="811">
        <v>34</v>
      </c>
      <c r="H654" s="807">
        <f t="shared" si="64"/>
        <v>1.39</v>
      </c>
      <c r="I654" s="710">
        <v>500</v>
      </c>
      <c r="J654" s="710">
        <f t="shared" si="66"/>
        <v>695</v>
      </c>
      <c r="K654" s="710">
        <f t="shared" si="65"/>
        <v>11161.201494315324</v>
      </c>
      <c r="L654" s="656"/>
      <c r="M654" s="292"/>
      <c r="N654" s="701"/>
    </row>
    <row r="655" spans="1:14" ht="15.75" customHeight="1">
      <c r="A655" s="709">
        <f t="shared" si="59"/>
        <v>104</v>
      </c>
      <c r="B655" s="296" t="s">
        <v>1767</v>
      </c>
      <c r="C655" s="725">
        <v>42208</v>
      </c>
      <c r="D655" s="726" t="s">
        <v>933</v>
      </c>
      <c r="E655" s="812">
        <v>135</v>
      </c>
      <c r="F655" s="811">
        <v>184</v>
      </c>
      <c r="G655" s="811"/>
      <c r="H655" s="807">
        <f t="shared" si="64"/>
        <v>2.48</v>
      </c>
      <c r="I655" s="710">
        <v>100</v>
      </c>
      <c r="J655" s="710">
        <f t="shared" si="66"/>
        <v>248</v>
      </c>
      <c r="K655" s="710">
        <f t="shared" si="65"/>
        <v>19913.510579785616</v>
      </c>
      <c r="L655" s="656"/>
      <c r="M655" s="292"/>
      <c r="N655" s="701"/>
    </row>
    <row r="656" spans="1:14" ht="15.75" customHeight="1">
      <c r="A656" s="709">
        <f t="shared" si="59"/>
        <v>105</v>
      </c>
      <c r="B656" s="296" t="s">
        <v>1768</v>
      </c>
      <c r="C656" s="725">
        <v>42208</v>
      </c>
      <c r="D656" s="726" t="s">
        <v>932</v>
      </c>
      <c r="E656" s="812">
        <v>100</v>
      </c>
      <c r="F656" s="811">
        <v>163</v>
      </c>
      <c r="G656" s="811"/>
      <c r="H656" s="807">
        <f t="shared" si="64"/>
        <v>1.63</v>
      </c>
      <c r="I656" s="710">
        <v>100</v>
      </c>
      <c r="J656" s="710">
        <f t="shared" si="66"/>
        <v>163</v>
      </c>
      <c r="K656" s="710">
        <f t="shared" si="65"/>
        <v>13088.315421391353</v>
      </c>
      <c r="L656" s="656"/>
      <c r="M656" s="292"/>
      <c r="N656" s="701"/>
    </row>
    <row r="657" spans="1:14" ht="15.75" customHeight="1">
      <c r="A657" s="709">
        <f t="shared" si="59"/>
        <v>106</v>
      </c>
      <c r="B657" s="296" t="s">
        <v>694</v>
      </c>
      <c r="C657" s="725">
        <v>42208</v>
      </c>
      <c r="D657" s="726" t="s">
        <v>933</v>
      </c>
      <c r="E657" s="812">
        <v>105</v>
      </c>
      <c r="F657" s="811">
        <v>140</v>
      </c>
      <c r="G657" s="811"/>
      <c r="H657" s="807">
        <f t="shared" si="64"/>
        <v>1.47</v>
      </c>
      <c r="I657" s="710">
        <v>70</v>
      </c>
      <c r="J657" s="710">
        <f t="shared" si="66"/>
        <v>102.89999999999999</v>
      </c>
      <c r="K657" s="710">
        <f t="shared" si="65"/>
        <v>11803.572803340669</v>
      </c>
      <c r="L657" s="656"/>
      <c r="M657" s="292"/>
      <c r="N657" s="701"/>
    </row>
    <row r="658" spans="1:14" ht="15.75" customHeight="1">
      <c r="A658" s="709">
        <f t="shared" si="59"/>
        <v>107</v>
      </c>
      <c r="B658" s="296" t="s">
        <v>1769</v>
      </c>
      <c r="C658" s="725">
        <v>42208</v>
      </c>
      <c r="D658" s="726" t="s">
        <v>932</v>
      </c>
      <c r="E658" s="812">
        <v>100</v>
      </c>
      <c r="F658" s="811">
        <v>156</v>
      </c>
      <c r="G658" s="811"/>
      <c r="H658" s="807">
        <f t="shared" si="64"/>
        <v>1.56</v>
      </c>
      <c r="I658" s="710">
        <v>25</v>
      </c>
      <c r="J658" s="710">
        <f t="shared" si="66"/>
        <v>39</v>
      </c>
      <c r="K658" s="710">
        <f t="shared" si="65"/>
        <v>12526.240525994179</v>
      </c>
      <c r="L658" s="656"/>
      <c r="M658" s="292"/>
      <c r="N658" s="701"/>
    </row>
    <row r="659" spans="1:14" ht="15.75" customHeight="1">
      <c r="A659" s="709">
        <f t="shared" si="59"/>
        <v>108</v>
      </c>
      <c r="B659" s="296" t="s">
        <v>1770</v>
      </c>
      <c r="C659" s="725">
        <v>42208</v>
      </c>
      <c r="D659" s="726" t="s">
        <v>933</v>
      </c>
      <c r="E659" s="812">
        <v>80</v>
      </c>
      <c r="F659" s="811">
        <v>182</v>
      </c>
      <c r="G659" s="811"/>
      <c r="H659" s="807">
        <f t="shared" si="64"/>
        <v>1.46</v>
      </c>
      <c r="I659" s="710">
        <v>50</v>
      </c>
      <c r="J659" s="710">
        <f t="shared" si="66"/>
        <v>73</v>
      </c>
      <c r="K659" s="710">
        <f t="shared" si="65"/>
        <v>11723.276389712501</v>
      </c>
      <c r="L659" s="656"/>
      <c r="M659" s="292"/>
      <c r="N659" s="701"/>
    </row>
    <row r="660" spans="1:14" ht="15.75" customHeight="1">
      <c r="A660" s="709">
        <f t="shared" si="59"/>
        <v>109</v>
      </c>
      <c r="B660" s="296" t="s">
        <v>1771</v>
      </c>
      <c r="C660" s="725">
        <v>42208</v>
      </c>
      <c r="D660" s="726" t="s">
        <v>932</v>
      </c>
      <c r="E660" s="812">
        <v>34</v>
      </c>
      <c r="F660" s="811">
        <v>38</v>
      </c>
      <c r="G660" s="811"/>
      <c r="H660" s="807">
        <f t="shared" si="64"/>
        <v>0.13</v>
      </c>
      <c r="I660" s="710">
        <v>575</v>
      </c>
      <c r="J660" s="710">
        <f t="shared" si="66"/>
        <v>74.75</v>
      </c>
      <c r="K660" s="710">
        <f t="shared" si="65"/>
        <v>1043.8533771661816</v>
      </c>
      <c r="L660" s="656"/>
      <c r="M660" s="292"/>
      <c r="N660" s="701"/>
    </row>
    <row r="661" spans="1:14" ht="15.75" customHeight="1">
      <c r="A661" s="709">
        <f t="shared" si="59"/>
        <v>110</v>
      </c>
      <c r="B661" s="296" t="s">
        <v>1772</v>
      </c>
      <c r="C661" s="725">
        <v>42208</v>
      </c>
      <c r="D661" s="726" t="s">
        <v>933</v>
      </c>
      <c r="E661" s="812">
        <v>100</v>
      </c>
      <c r="F661" s="811">
        <v>100</v>
      </c>
      <c r="G661" s="811"/>
      <c r="H661" s="807">
        <f t="shared" si="64"/>
        <v>1</v>
      </c>
      <c r="I661" s="710">
        <v>500</v>
      </c>
      <c r="J661" s="710">
        <f t="shared" si="66"/>
        <v>500</v>
      </c>
      <c r="K661" s="710">
        <f t="shared" si="65"/>
        <v>8029.6413628167811</v>
      </c>
      <c r="L661" s="656"/>
      <c r="M661" s="292"/>
      <c r="N661" s="701"/>
    </row>
    <row r="662" spans="1:14" ht="15.75" customHeight="1">
      <c r="A662" s="709">
        <f t="shared" si="59"/>
        <v>111</v>
      </c>
      <c r="B662" s="296" t="s">
        <v>1766</v>
      </c>
      <c r="C662" s="725">
        <v>42208</v>
      </c>
      <c r="D662" s="726" t="s">
        <v>932</v>
      </c>
      <c r="E662" s="812">
        <v>110</v>
      </c>
      <c r="F662" s="811">
        <v>114</v>
      </c>
      <c r="G662" s="811"/>
      <c r="H662" s="807">
        <f t="shared" si="64"/>
        <v>1.25</v>
      </c>
      <c r="I662" s="710">
        <v>900</v>
      </c>
      <c r="J662" s="710">
        <f t="shared" si="66"/>
        <v>1125</v>
      </c>
      <c r="K662" s="710">
        <f t="shared" si="65"/>
        <v>10037.051703520976</v>
      </c>
      <c r="L662" s="656"/>
      <c r="M662" s="292"/>
      <c r="N662" s="701"/>
    </row>
    <row r="663" spans="1:14" ht="15.75" customHeight="1">
      <c r="A663" s="709">
        <f t="shared" si="59"/>
        <v>112</v>
      </c>
      <c r="B663" s="296" t="s">
        <v>746</v>
      </c>
      <c r="C663" s="725">
        <v>42209</v>
      </c>
      <c r="D663" s="726" t="s">
        <v>934</v>
      </c>
      <c r="E663" s="812">
        <v>125</v>
      </c>
      <c r="F663" s="811">
        <v>185</v>
      </c>
      <c r="G663" s="811"/>
      <c r="H663" s="807">
        <f t="shared" si="64"/>
        <v>2.31</v>
      </c>
      <c r="I663" s="710">
        <v>1000</v>
      </c>
      <c r="J663" s="710">
        <f t="shared" si="66"/>
        <v>2310</v>
      </c>
      <c r="K663" s="710">
        <f t="shared" si="65"/>
        <v>18548.471548106765</v>
      </c>
      <c r="L663" s="656"/>
      <c r="M663" s="292"/>
      <c r="N663" s="701"/>
    </row>
    <row r="664" spans="1:14" ht="15.75" customHeight="1">
      <c r="A664" s="709">
        <f t="shared" si="59"/>
        <v>113</v>
      </c>
      <c r="B664" s="296" t="s">
        <v>1766</v>
      </c>
      <c r="C664" s="725">
        <v>42209</v>
      </c>
      <c r="D664" s="726" t="s">
        <v>934</v>
      </c>
      <c r="E664" s="812">
        <v>110</v>
      </c>
      <c r="F664" s="811">
        <v>114</v>
      </c>
      <c r="G664" s="811"/>
      <c r="H664" s="807">
        <f t="shared" si="64"/>
        <v>1.25</v>
      </c>
      <c r="I664" s="710">
        <v>550</v>
      </c>
      <c r="J664" s="710">
        <f t="shared" si="66"/>
        <v>687.5</v>
      </c>
      <c r="K664" s="710">
        <f t="shared" si="65"/>
        <v>10037.051703520976</v>
      </c>
      <c r="L664" s="656"/>
      <c r="M664" s="292"/>
      <c r="N664" s="701"/>
    </row>
    <row r="665" spans="1:14" ht="15.75" customHeight="1">
      <c r="A665" s="709">
        <f t="shared" si="59"/>
        <v>114</v>
      </c>
      <c r="B665" s="296" t="s">
        <v>781</v>
      </c>
      <c r="C665" s="725">
        <v>42209</v>
      </c>
      <c r="D665" s="726" t="s">
        <v>935</v>
      </c>
      <c r="E665" s="812">
        <v>57</v>
      </c>
      <c r="F665" s="811">
        <v>36</v>
      </c>
      <c r="G665" s="811">
        <v>34</v>
      </c>
      <c r="H665" s="807">
        <f t="shared" si="64"/>
        <v>1.39</v>
      </c>
      <c r="I665" s="710">
        <v>498</v>
      </c>
      <c r="J665" s="710">
        <f t="shared" si="66"/>
        <v>692.21999999999991</v>
      </c>
      <c r="K665" s="710">
        <f t="shared" si="65"/>
        <v>11161.201494315324</v>
      </c>
      <c r="L665" s="656"/>
      <c r="M665" s="292"/>
      <c r="N665" s="701"/>
    </row>
    <row r="666" spans="1:14" ht="15.75" customHeight="1">
      <c r="A666" s="709">
        <f t="shared" si="59"/>
        <v>115</v>
      </c>
      <c r="B666" s="296" t="s">
        <v>398</v>
      </c>
      <c r="C666" s="725">
        <v>42209</v>
      </c>
      <c r="D666" s="726" t="s">
        <v>936</v>
      </c>
      <c r="E666" s="812">
        <v>52</v>
      </c>
      <c r="F666" s="811">
        <v>24.5</v>
      </c>
      <c r="G666" s="811">
        <v>24.5</v>
      </c>
      <c r="H666" s="807">
        <f t="shared" si="64"/>
        <v>0.82</v>
      </c>
      <c r="I666" s="710">
        <v>600</v>
      </c>
      <c r="J666" s="710">
        <f t="shared" si="66"/>
        <v>491.99999999999994</v>
      </c>
      <c r="K666" s="710">
        <f t="shared" si="65"/>
        <v>6584.3059175097605</v>
      </c>
      <c r="L666" s="656"/>
      <c r="M666" s="292"/>
      <c r="N666" s="701"/>
    </row>
    <row r="667" spans="1:14" ht="15.75" customHeight="1">
      <c r="A667" s="709">
        <f t="shared" si="59"/>
        <v>116</v>
      </c>
      <c r="B667" s="296" t="s">
        <v>446</v>
      </c>
      <c r="C667" s="725">
        <v>42209</v>
      </c>
      <c r="D667" s="726" t="s">
        <v>936</v>
      </c>
      <c r="E667" s="812">
        <v>52</v>
      </c>
      <c r="F667" s="811">
        <v>26.5</v>
      </c>
      <c r="G667" s="811">
        <v>26.5</v>
      </c>
      <c r="H667" s="807">
        <f t="shared" si="64"/>
        <v>0.91</v>
      </c>
      <c r="I667" s="710">
        <v>299</v>
      </c>
      <c r="J667" s="710">
        <f t="shared" si="66"/>
        <v>272.09000000000003</v>
      </c>
      <c r="K667" s="710">
        <f t="shared" si="65"/>
        <v>7306.9736401632708</v>
      </c>
      <c r="L667" s="656"/>
      <c r="M667" s="292"/>
      <c r="N667" s="701"/>
    </row>
    <row r="668" spans="1:14" ht="15.75" customHeight="1">
      <c r="A668" s="709">
        <f t="shared" si="59"/>
        <v>117</v>
      </c>
      <c r="B668" s="296" t="s">
        <v>501</v>
      </c>
      <c r="C668" s="725">
        <v>42209</v>
      </c>
      <c r="D668" s="726" t="s">
        <v>936</v>
      </c>
      <c r="E668" s="812">
        <v>55</v>
      </c>
      <c r="F668" s="811">
        <v>45</v>
      </c>
      <c r="G668" s="811">
        <v>29</v>
      </c>
      <c r="H668" s="807">
        <f t="shared" si="64"/>
        <v>1.58</v>
      </c>
      <c r="I668" s="710">
        <v>614</v>
      </c>
      <c r="J668" s="710">
        <f t="shared" si="66"/>
        <v>970.12</v>
      </c>
      <c r="K668" s="710">
        <f t="shared" si="65"/>
        <v>12686.833353250515</v>
      </c>
      <c r="L668" s="656"/>
      <c r="M668" s="292"/>
      <c r="N668" s="701"/>
    </row>
    <row r="669" spans="1:14" ht="15.75" customHeight="1">
      <c r="A669" s="709">
        <f t="shared" si="59"/>
        <v>118</v>
      </c>
      <c r="B669" s="296" t="s">
        <v>398</v>
      </c>
      <c r="C669" s="725">
        <v>42209</v>
      </c>
      <c r="D669" s="726" t="s">
        <v>937</v>
      </c>
      <c r="E669" s="812">
        <v>52</v>
      </c>
      <c r="F669" s="811">
        <v>24.5</v>
      </c>
      <c r="G669" s="811">
        <v>24.5</v>
      </c>
      <c r="H669" s="807">
        <f t="shared" si="64"/>
        <v>0.82</v>
      </c>
      <c r="I669" s="710">
        <v>460</v>
      </c>
      <c r="J669" s="710">
        <f t="shared" si="66"/>
        <v>377.2</v>
      </c>
      <c r="K669" s="710">
        <f t="shared" si="65"/>
        <v>6584.3059175097605</v>
      </c>
      <c r="L669" s="656"/>
      <c r="M669" s="292"/>
      <c r="N669" s="701"/>
    </row>
    <row r="670" spans="1:14" ht="15.75" customHeight="1">
      <c r="A670" s="709">
        <f t="shared" si="59"/>
        <v>119</v>
      </c>
      <c r="B670" s="296" t="s">
        <v>510</v>
      </c>
      <c r="C670" s="725">
        <v>42212</v>
      </c>
      <c r="D670" s="726" t="s">
        <v>938</v>
      </c>
      <c r="E670" s="812">
        <v>55.8</v>
      </c>
      <c r="F670" s="811">
        <v>35.5</v>
      </c>
      <c r="G670" s="811">
        <v>20.3</v>
      </c>
      <c r="H670" s="807">
        <f t="shared" si="64"/>
        <v>1.1000000000000001</v>
      </c>
      <c r="I670" s="710">
        <v>48</v>
      </c>
      <c r="J670" s="710">
        <f t="shared" si="66"/>
        <v>52.800000000000004</v>
      </c>
      <c r="K670" s="710">
        <f t="shared" si="65"/>
        <v>8832.6054990984594</v>
      </c>
      <c r="L670" s="656"/>
      <c r="M670" s="292"/>
      <c r="N670" s="701"/>
    </row>
    <row r="671" spans="1:14" ht="15.75" customHeight="1">
      <c r="A671" s="709">
        <f t="shared" si="59"/>
        <v>120</v>
      </c>
      <c r="B671" s="296" t="s">
        <v>512</v>
      </c>
      <c r="C671" s="725">
        <v>42212</v>
      </c>
      <c r="D671" s="726" t="s">
        <v>938</v>
      </c>
      <c r="E671" s="812">
        <v>55.8</v>
      </c>
      <c r="F671" s="811">
        <v>35.5</v>
      </c>
      <c r="G671" s="811">
        <v>21.5</v>
      </c>
      <c r="H671" s="807">
        <f t="shared" si="64"/>
        <v>1.1299999999999999</v>
      </c>
      <c r="I671" s="710">
        <v>150</v>
      </c>
      <c r="J671" s="710">
        <f t="shared" si="66"/>
        <v>169.49999999999997</v>
      </c>
      <c r="K671" s="710">
        <f t="shared" si="65"/>
        <v>9073.4947399829616</v>
      </c>
      <c r="L671" s="656"/>
      <c r="M671" s="292"/>
      <c r="N671" s="701"/>
    </row>
    <row r="672" spans="1:14" ht="15.75" customHeight="1">
      <c r="A672" s="709">
        <f t="shared" si="59"/>
        <v>121</v>
      </c>
      <c r="B672" s="296" t="s">
        <v>513</v>
      </c>
      <c r="C672" s="725">
        <v>42212</v>
      </c>
      <c r="D672" s="726" t="s">
        <v>938</v>
      </c>
      <c r="E672" s="812">
        <v>55.8</v>
      </c>
      <c r="F672" s="811">
        <v>35.5</v>
      </c>
      <c r="G672" s="811">
        <v>22.8</v>
      </c>
      <c r="H672" s="807">
        <f t="shared" ref="H672:H675" si="67">IF(G672&lt;&gt;"",ROUND(((E672+F672)*2+5)*(F672+G672+3)/10000,2),ROUND(E672*F672/10000,2))</f>
        <v>1.1499999999999999</v>
      </c>
      <c r="I672" s="710">
        <v>450</v>
      </c>
      <c r="J672" s="710">
        <f t="shared" ref="J672:J675" si="68">H672*I672</f>
        <v>517.5</v>
      </c>
      <c r="K672" s="710">
        <f t="shared" si="65"/>
        <v>9234.0875672392976</v>
      </c>
      <c r="L672" s="656"/>
      <c r="M672" s="292"/>
      <c r="N672" s="701"/>
    </row>
    <row r="673" spans="1:14" ht="15.75" customHeight="1">
      <c r="A673" s="709">
        <f t="shared" si="59"/>
        <v>122</v>
      </c>
      <c r="B673" s="296" t="s">
        <v>514</v>
      </c>
      <c r="C673" s="725">
        <v>42212</v>
      </c>
      <c r="D673" s="726" t="s">
        <v>938</v>
      </c>
      <c r="E673" s="812">
        <v>55.8</v>
      </c>
      <c r="F673" s="811">
        <v>35.5</v>
      </c>
      <c r="G673" s="811">
        <v>12.7</v>
      </c>
      <c r="H673" s="807">
        <f t="shared" si="67"/>
        <v>0.96</v>
      </c>
      <c r="I673" s="710">
        <v>390</v>
      </c>
      <c r="J673" s="710">
        <f t="shared" si="68"/>
        <v>374.4</v>
      </c>
      <c r="K673" s="710">
        <f t="shared" si="65"/>
        <v>7708.45570830411</v>
      </c>
      <c r="L673" s="656"/>
      <c r="M673" s="292"/>
      <c r="N673" s="701"/>
    </row>
    <row r="674" spans="1:14" ht="15.75" customHeight="1">
      <c r="A674" s="709">
        <f t="shared" si="59"/>
        <v>123</v>
      </c>
      <c r="B674" s="296" t="s">
        <v>510</v>
      </c>
      <c r="C674" s="725">
        <v>42212</v>
      </c>
      <c r="D674" s="726" t="s">
        <v>938</v>
      </c>
      <c r="E674" s="812">
        <v>55.8</v>
      </c>
      <c r="F674" s="811">
        <v>35.5</v>
      </c>
      <c r="G674" s="811">
        <v>20.3</v>
      </c>
      <c r="H674" s="807">
        <f t="shared" si="67"/>
        <v>1.1000000000000001</v>
      </c>
      <c r="I674" s="710">
        <v>80</v>
      </c>
      <c r="J674" s="710">
        <f t="shared" si="68"/>
        <v>88</v>
      </c>
      <c r="K674" s="710">
        <f t="shared" si="65"/>
        <v>8832.6054990984594</v>
      </c>
      <c r="L674" s="656"/>
      <c r="M674" s="292"/>
      <c r="N674" s="701"/>
    </row>
    <row r="675" spans="1:14" ht="15.75" customHeight="1">
      <c r="A675" s="709">
        <f t="shared" si="59"/>
        <v>124</v>
      </c>
      <c r="B675" s="296" t="s">
        <v>512</v>
      </c>
      <c r="C675" s="725">
        <v>42212</v>
      </c>
      <c r="D675" s="726" t="s">
        <v>938</v>
      </c>
      <c r="E675" s="812">
        <v>55.8</v>
      </c>
      <c r="F675" s="811">
        <v>35.5</v>
      </c>
      <c r="G675" s="811">
        <v>21.5</v>
      </c>
      <c r="H675" s="807">
        <f t="shared" si="67"/>
        <v>1.1299999999999999</v>
      </c>
      <c r="I675" s="710">
        <v>470</v>
      </c>
      <c r="J675" s="710">
        <f t="shared" si="68"/>
        <v>531.09999999999991</v>
      </c>
      <c r="K675" s="710">
        <f t="shared" si="65"/>
        <v>9073.4947399829616</v>
      </c>
      <c r="L675" s="656"/>
      <c r="M675" s="292"/>
      <c r="N675" s="701"/>
    </row>
    <row r="676" spans="1:14" ht="15.75" customHeight="1">
      <c r="A676" s="709">
        <f t="shared" si="59"/>
        <v>125</v>
      </c>
      <c r="B676" s="296" t="s">
        <v>513</v>
      </c>
      <c r="C676" s="725">
        <v>42212</v>
      </c>
      <c r="D676" s="726" t="s">
        <v>938</v>
      </c>
      <c r="E676" s="812">
        <v>55.8</v>
      </c>
      <c r="F676" s="811">
        <v>35.5</v>
      </c>
      <c r="G676" s="811">
        <v>22.8</v>
      </c>
      <c r="H676" s="807">
        <f t="shared" si="64"/>
        <v>1.1499999999999999</v>
      </c>
      <c r="I676" s="710">
        <v>350</v>
      </c>
      <c r="J676" s="710">
        <f t="shared" si="66"/>
        <v>402.49999999999994</v>
      </c>
      <c r="K676" s="710">
        <f t="shared" si="65"/>
        <v>9234.0875672392976</v>
      </c>
      <c r="L676" s="656"/>
      <c r="M676" s="292"/>
      <c r="N676" s="701"/>
    </row>
    <row r="677" spans="1:14" ht="15.75" customHeight="1">
      <c r="A677" s="709">
        <f t="shared" si="59"/>
        <v>126</v>
      </c>
      <c r="B677" s="296" t="s">
        <v>514</v>
      </c>
      <c r="C677" s="725">
        <v>42212</v>
      </c>
      <c r="D677" s="726" t="s">
        <v>938</v>
      </c>
      <c r="E677" s="812">
        <v>55.8</v>
      </c>
      <c r="F677" s="811">
        <v>35.5</v>
      </c>
      <c r="G677" s="811">
        <v>12.7</v>
      </c>
      <c r="H677" s="807">
        <f t="shared" si="64"/>
        <v>0.96</v>
      </c>
      <c r="I677" s="710">
        <v>251</v>
      </c>
      <c r="J677" s="710">
        <f t="shared" si="66"/>
        <v>240.95999999999998</v>
      </c>
      <c r="K677" s="710">
        <f t="shared" si="65"/>
        <v>7708.45570830411</v>
      </c>
      <c r="L677" s="656"/>
      <c r="M677" s="292"/>
      <c r="N677" s="701"/>
    </row>
    <row r="678" spans="1:14" ht="15.75" customHeight="1">
      <c r="A678" s="709">
        <f t="shared" si="59"/>
        <v>127</v>
      </c>
      <c r="B678" s="296" t="s">
        <v>510</v>
      </c>
      <c r="C678" s="725">
        <v>42212</v>
      </c>
      <c r="D678" s="726" t="s">
        <v>938</v>
      </c>
      <c r="E678" s="812">
        <v>55.8</v>
      </c>
      <c r="F678" s="811">
        <v>35.5</v>
      </c>
      <c r="G678" s="811">
        <v>20.3</v>
      </c>
      <c r="H678" s="807">
        <f t="shared" ref="H678:H679" si="69">IF(G678&lt;&gt;"",ROUND(((E678+F678)*2+5)*(F678+G678+3)/10000,2),ROUND(E678*F678/10000,2))</f>
        <v>1.1000000000000001</v>
      </c>
      <c r="I678" s="710">
        <v>150</v>
      </c>
      <c r="J678" s="710">
        <f t="shared" ref="J678:J679" si="70">H678*I678</f>
        <v>165</v>
      </c>
      <c r="K678" s="710">
        <f t="shared" si="65"/>
        <v>8832.6054990984594</v>
      </c>
      <c r="L678" s="656"/>
      <c r="M678" s="292"/>
      <c r="N678" s="701"/>
    </row>
    <row r="679" spans="1:14" ht="15.75" customHeight="1">
      <c r="A679" s="709">
        <f t="shared" si="59"/>
        <v>128</v>
      </c>
      <c r="B679" s="296" t="s">
        <v>512</v>
      </c>
      <c r="C679" s="725">
        <v>42212</v>
      </c>
      <c r="D679" s="726" t="s">
        <v>938</v>
      </c>
      <c r="E679" s="812">
        <v>55.8</v>
      </c>
      <c r="F679" s="811">
        <v>35.5</v>
      </c>
      <c r="G679" s="811">
        <v>21.5</v>
      </c>
      <c r="H679" s="807">
        <f t="shared" si="69"/>
        <v>1.1299999999999999</v>
      </c>
      <c r="I679" s="710">
        <v>200</v>
      </c>
      <c r="J679" s="710">
        <f t="shared" si="70"/>
        <v>225.99999999999997</v>
      </c>
      <c r="K679" s="710">
        <f t="shared" si="65"/>
        <v>9073.4947399829616</v>
      </c>
      <c r="L679" s="656"/>
      <c r="M679" s="292"/>
      <c r="N679" s="701"/>
    </row>
    <row r="680" spans="1:14" ht="15.75" customHeight="1">
      <c r="A680" s="709">
        <f t="shared" si="59"/>
        <v>129</v>
      </c>
      <c r="B680" s="296" t="s">
        <v>682</v>
      </c>
      <c r="C680" s="725">
        <v>42212</v>
      </c>
      <c r="D680" s="726" t="s">
        <v>939</v>
      </c>
      <c r="E680" s="812">
        <v>33.700000000000003</v>
      </c>
      <c r="F680" s="811">
        <v>22.7</v>
      </c>
      <c r="G680" s="811">
        <v>19.3</v>
      </c>
      <c r="H680" s="807">
        <f t="shared" si="64"/>
        <v>0.53</v>
      </c>
      <c r="I680" s="710">
        <v>222</v>
      </c>
      <c r="J680" s="710">
        <f t="shared" si="66"/>
        <v>117.66000000000001</v>
      </c>
      <c r="K680" s="710">
        <f t="shared" ref="K680:K743" si="71">H680*$Q$611</f>
        <v>4255.7099222928946</v>
      </c>
      <c r="L680" s="656"/>
      <c r="M680" s="292"/>
      <c r="N680" s="701"/>
    </row>
    <row r="681" spans="1:14" ht="15.75" customHeight="1">
      <c r="A681" s="709">
        <f t="shared" si="59"/>
        <v>130</v>
      </c>
      <c r="B681" s="296" t="s">
        <v>910</v>
      </c>
      <c r="C681" s="725">
        <v>42212</v>
      </c>
      <c r="D681" s="726" t="s">
        <v>939</v>
      </c>
      <c r="E681" s="812">
        <v>37.200000000000003</v>
      </c>
      <c r="F681" s="811">
        <v>25.1</v>
      </c>
      <c r="G681" s="811">
        <v>23.9</v>
      </c>
      <c r="H681" s="807">
        <f t="shared" si="64"/>
        <v>0.67</v>
      </c>
      <c r="I681" s="710">
        <v>494</v>
      </c>
      <c r="J681" s="710">
        <f t="shared" si="66"/>
        <v>330.98</v>
      </c>
      <c r="K681" s="710">
        <f t="shared" si="71"/>
        <v>5379.859713087244</v>
      </c>
      <c r="L681" s="656"/>
      <c r="M681" s="292"/>
      <c r="N681" s="701"/>
    </row>
    <row r="682" spans="1:14" ht="15.75" customHeight="1">
      <c r="A682" s="709">
        <f t="shared" si="59"/>
        <v>131</v>
      </c>
      <c r="B682" s="40" t="s">
        <v>1692</v>
      </c>
      <c r="C682" s="725">
        <v>42214</v>
      </c>
      <c r="D682" s="726" t="s">
        <v>940</v>
      </c>
      <c r="E682" s="812">
        <v>23.8</v>
      </c>
      <c r="F682" s="811">
        <v>33.799999999999997</v>
      </c>
      <c r="G682" s="811"/>
      <c r="H682" s="807">
        <f t="shared" si="64"/>
        <v>0.08</v>
      </c>
      <c r="I682" s="710">
        <v>400</v>
      </c>
      <c r="J682" s="710">
        <f t="shared" si="66"/>
        <v>32</v>
      </c>
      <c r="K682" s="710">
        <f t="shared" si="71"/>
        <v>642.3713090253425</v>
      </c>
      <c r="L682" s="656"/>
      <c r="M682" s="292"/>
      <c r="N682" s="701"/>
    </row>
    <row r="683" spans="1:14" ht="15.75" customHeight="1">
      <c r="A683" s="709">
        <f t="shared" si="59"/>
        <v>132</v>
      </c>
      <c r="B683" s="296" t="s">
        <v>892</v>
      </c>
      <c r="C683" s="725">
        <v>42216</v>
      </c>
      <c r="D683" s="726" t="s">
        <v>941</v>
      </c>
      <c r="E683" s="812">
        <v>42</v>
      </c>
      <c r="F683" s="811">
        <v>26</v>
      </c>
      <c r="G683" s="811">
        <v>15</v>
      </c>
      <c r="H683" s="807">
        <f t="shared" si="64"/>
        <v>0.62</v>
      </c>
      <c r="I683" s="710">
        <v>308</v>
      </c>
      <c r="J683" s="710">
        <f t="shared" si="66"/>
        <v>190.96</v>
      </c>
      <c r="K683" s="710">
        <f t="shared" si="71"/>
        <v>4978.377644946404</v>
      </c>
      <c r="L683" s="656"/>
      <c r="M683" s="292"/>
      <c r="N683" s="701"/>
    </row>
    <row r="684" spans="1:14" ht="15.75" customHeight="1">
      <c r="A684" s="709">
        <f t="shared" si="59"/>
        <v>133</v>
      </c>
      <c r="B684" s="296" t="s">
        <v>596</v>
      </c>
      <c r="C684" s="725">
        <v>42216</v>
      </c>
      <c r="D684" s="726" t="s">
        <v>942</v>
      </c>
      <c r="E684" s="812">
        <v>58</v>
      </c>
      <c r="F684" s="811">
        <v>43</v>
      </c>
      <c r="G684" s="811">
        <v>31</v>
      </c>
      <c r="H684" s="807">
        <f t="shared" si="64"/>
        <v>1.59</v>
      </c>
      <c r="I684" s="710">
        <v>196</v>
      </c>
      <c r="J684" s="710">
        <f t="shared" si="66"/>
        <v>311.64000000000004</v>
      </c>
      <c r="K684" s="710">
        <f t="shared" si="71"/>
        <v>12767.129766878683</v>
      </c>
      <c r="L684" s="656"/>
      <c r="M684" s="292"/>
      <c r="N684" s="701"/>
    </row>
    <row r="685" spans="1:14" ht="15.75" customHeight="1">
      <c r="A685" s="709">
        <f t="shared" si="59"/>
        <v>134</v>
      </c>
      <c r="B685" s="296" t="s">
        <v>1675</v>
      </c>
      <c r="C685" s="725">
        <v>42216</v>
      </c>
      <c r="D685" s="726" t="s">
        <v>942</v>
      </c>
      <c r="E685" s="812">
        <v>57</v>
      </c>
      <c r="F685" s="811">
        <v>42</v>
      </c>
      <c r="G685" s="811"/>
      <c r="H685" s="807">
        <f t="shared" si="64"/>
        <v>0.24</v>
      </c>
      <c r="I685" s="710">
        <v>500</v>
      </c>
      <c r="J685" s="710">
        <f t="shared" si="66"/>
        <v>120</v>
      </c>
      <c r="K685" s="710">
        <f t="shared" si="71"/>
        <v>1927.1139270760275</v>
      </c>
      <c r="L685" s="656"/>
      <c r="M685" s="292"/>
      <c r="N685" s="701"/>
    </row>
    <row r="686" spans="1:14" ht="15.75" customHeight="1">
      <c r="A686" s="709">
        <f t="shared" si="59"/>
        <v>135</v>
      </c>
      <c r="B686" s="296" t="s">
        <v>943</v>
      </c>
      <c r="C686" s="725">
        <v>42216</v>
      </c>
      <c r="D686" s="726" t="s">
        <v>944</v>
      </c>
      <c r="E686" s="812">
        <v>54.5</v>
      </c>
      <c r="F686" s="811">
        <v>46.5</v>
      </c>
      <c r="G686" s="811">
        <v>48.5</v>
      </c>
      <c r="H686" s="807">
        <f t="shared" si="64"/>
        <v>2.0299999999999998</v>
      </c>
      <c r="I686" s="710">
        <v>61</v>
      </c>
      <c r="J686" s="710">
        <f t="shared" si="66"/>
        <v>123.82999999999998</v>
      </c>
      <c r="K686" s="710">
        <f t="shared" si="71"/>
        <v>16300.171966518064</v>
      </c>
      <c r="L686" s="656"/>
      <c r="M686" s="292"/>
      <c r="N686" s="701"/>
    </row>
    <row r="687" spans="1:14" ht="15.75" customHeight="1">
      <c r="A687" s="709">
        <f t="shared" si="59"/>
        <v>136</v>
      </c>
      <c r="B687" s="296" t="s">
        <v>539</v>
      </c>
      <c r="C687" s="725">
        <v>42216</v>
      </c>
      <c r="D687" s="726" t="s">
        <v>944</v>
      </c>
      <c r="E687" s="812">
        <v>39.5</v>
      </c>
      <c r="F687" s="811">
        <v>32.299999999999997</v>
      </c>
      <c r="G687" s="811">
        <v>27.7</v>
      </c>
      <c r="H687" s="807">
        <f t="shared" si="64"/>
        <v>0.94</v>
      </c>
      <c r="I687" s="710">
        <v>316</v>
      </c>
      <c r="J687" s="710">
        <f t="shared" si="66"/>
        <v>297.03999999999996</v>
      </c>
      <c r="K687" s="710">
        <f t="shared" si="71"/>
        <v>7547.862881047774</v>
      </c>
      <c r="L687" s="656"/>
      <c r="M687" s="292"/>
      <c r="N687" s="701"/>
    </row>
    <row r="688" spans="1:14" ht="15.75" customHeight="1">
      <c r="A688" s="709">
        <f t="shared" si="59"/>
        <v>137</v>
      </c>
      <c r="B688" s="296" t="s">
        <v>439</v>
      </c>
      <c r="C688" s="725">
        <v>42219</v>
      </c>
      <c r="D688" s="726" t="s">
        <v>945</v>
      </c>
      <c r="E688" s="812">
        <v>51.5</v>
      </c>
      <c r="F688" s="811">
        <v>28.5</v>
      </c>
      <c r="G688" s="811">
        <v>7.2</v>
      </c>
      <c r="H688" s="807">
        <f t="shared" si="64"/>
        <v>0.64</v>
      </c>
      <c r="I688" s="710">
        <v>517</v>
      </c>
      <c r="J688" s="710">
        <f t="shared" si="66"/>
        <v>330.88</v>
      </c>
      <c r="K688" s="710">
        <f t="shared" si="71"/>
        <v>5138.97047220274</v>
      </c>
      <c r="L688" s="656"/>
      <c r="M688" s="292"/>
      <c r="N688" s="701"/>
    </row>
    <row r="689" spans="1:14" ht="15.75" customHeight="1">
      <c r="A689" s="709">
        <f t="shared" si="59"/>
        <v>138</v>
      </c>
      <c r="B689" s="296" t="s">
        <v>522</v>
      </c>
      <c r="C689" s="725">
        <v>42219</v>
      </c>
      <c r="D689" s="726" t="s">
        <v>945</v>
      </c>
      <c r="E689" s="812">
        <v>32.5</v>
      </c>
      <c r="F689" s="811">
        <v>30.5</v>
      </c>
      <c r="G689" s="811">
        <v>7.5</v>
      </c>
      <c r="H689" s="807">
        <f t="shared" si="64"/>
        <v>0.54</v>
      </c>
      <c r="I689" s="710">
        <v>296</v>
      </c>
      <c r="J689" s="710">
        <f t="shared" si="66"/>
        <v>159.84</v>
      </c>
      <c r="K689" s="710">
        <f t="shared" si="71"/>
        <v>4336.0063359210617</v>
      </c>
      <c r="L689" s="656"/>
      <c r="M689" s="292"/>
      <c r="N689" s="701"/>
    </row>
    <row r="690" spans="1:14" ht="15.75" customHeight="1">
      <c r="A690" s="709">
        <f t="shared" si="59"/>
        <v>139</v>
      </c>
      <c r="B690" s="296" t="s">
        <v>441</v>
      </c>
      <c r="C690" s="725">
        <v>42219</v>
      </c>
      <c r="D690" s="726" t="s">
        <v>945</v>
      </c>
      <c r="E690" s="812">
        <v>22</v>
      </c>
      <c r="F690" s="811">
        <v>22</v>
      </c>
      <c r="G690" s="811">
        <v>29.5</v>
      </c>
      <c r="H690" s="807">
        <f t="shared" ref="H690:H753" si="72">IF(G690&lt;&gt;"",ROUND(((E690+F690)*2+5)*(F690+G690+3)/10000,2),ROUND(E690*F690/10000,2))</f>
        <v>0.51</v>
      </c>
      <c r="I690" s="710">
        <v>518</v>
      </c>
      <c r="J690" s="710">
        <f t="shared" si="66"/>
        <v>264.18</v>
      </c>
      <c r="K690" s="710">
        <f t="shared" si="71"/>
        <v>4095.1170950365586</v>
      </c>
      <c r="L690" s="656"/>
      <c r="M690" s="292"/>
      <c r="N690" s="701"/>
    </row>
    <row r="691" spans="1:14" ht="15.75" customHeight="1">
      <c r="A691" s="709">
        <f t="shared" si="59"/>
        <v>140</v>
      </c>
      <c r="B691" s="296" t="s">
        <v>946</v>
      </c>
      <c r="C691" s="725">
        <v>42219</v>
      </c>
      <c r="D691" s="726" t="s">
        <v>945</v>
      </c>
      <c r="E691" s="812">
        <v>29</v>
      </c>
      <c r="F691" s="811">
        <v>29</v>
      </c>
      <c r="G691" s="811">
        <v>29.5</v>
      </c>
      <c r="H691" s="807">
        <f t="shared" si="72"/>
        <v>0.74</v>
      </c>
      <c r="I691" s="710">
        <v>514</v>
      </c>
      <c r="J691" s="710">
        <f t="shared" ref="J691:J754" si="73">H691*I691</f>
        <v>380.36</v>
      </c>
      <c r="K691" s="710">
        <f t="shared" si="71"/>
        <v>5941.9346084844183</v>
      </c>
      <c r="L691" s="656"/>
      <c r="M691" s="292"/>
      <c r="N691" s="701"/>
    </row>
    <row r="692" spans="1:14" ht="15.75" customHeight="1">
      <c r="A692" s="709">
        <f t="shared" si="59"/>
        <v>141</v>
      </c>
      <c r="B692" s="296" t="s">
        <v>947</v>
      </c>
      <c r="C692" s="725">
        <v>42219</v>
      </c>
      <c r="D692" s="726" t="s">
        <v>945</v>
      </c>
      <c r="E692" s="812">
        <v>104</v>
      </c>
      <c r="F692" s="811">
        <v>50</v>
      </c>
      <c r="G692" s="811">
        <v>25</v>
      </c>
      <c r="H692" s="807">
        <f t="shared" si="72"/>
        <v>2.44</v>
      </c>
      <c r="I692" s="710">
        <v>106</v>
      </c>
      <c r="J692" s="710">
        <f t="shared" si="73"/>
        <v>258.64</v>
      </c>
      <c r="K692" s="710">
        <f t="shared" si="71"/>
        <v>19592.324925272944</v>
      </c>
      <c r="L692" s="656"/>
      <c r="M692" s="292"/>
      <c r="N692" s="701"/>
    </row>
    <row r="693" spans="1:14" ht="15.75" customHeight="1">
      <c r="A693" s="709">
        <f t="shared" si="59"/>
        <v>142</v>
      </c>
      <c r="B693" s="296" t="s">
        <v>948</v>
      </c>
      <c r="C693" s="725">
        <v>42219</v>
      </c>
      <c r="D693" s="726" t="s">
        <v>945</v>
      </c>
      <c r="E693" s="812">
        <v>38.1</v>
      </c>
      <c r="F693" s="811">
        <v>34.299999999999997</v>
      </c>
      <c r="G693" s="811">
        <v>7.5</v>
      </c>
      <c r="H693" s="807">
        <f t="shared" si="72"/>
        <v>0.67</v>
      </c>
      <c r="I693" s="710">
        <v>116</v>
      </c>
      <c r="J693" s="710">
        <f t="shared" si="73"/>
        <v>77.72</v>
      </c>
      <c r="K693" s="710">
        <f t="shared" si="71"/>
        <v>5379.859713087244</v>
      </c>
      <c r="L693" s="656"/>
      <c r="M693" s="292"/>
      <c r="N693" s="701"/>
    </row>
    <row r="694" spans="1:14" ht="15.75" customHeight="1">
      <c r="A694" s="709">
        <f t="shared" si="59"/>
        <v>143</v>
      </c>
      <c r="B694" s="296" t="s">
        <v>602</v>
      </c>
      <c r="C694" s="725">
        <v>42219</v>
      </c>
      <c r="D694" s="726" t="s">
        <v>949</v>
      </c>
      <c r="E694" s="812">
        <v>46</v>
      </c>
      <c r="F694" s="811">
        <v>42</v>
      </c>
      <c r="G694" s="811">
        <v>24.5</v>
      </c>
      <c r="H694" s="807">
        <f t="shared" si="72"/>
        <v>1.26</v>
      </c>
      <c r="I694" s="710">
        <v>1131</v>
      </c>
      <c r="J694" s="710">
        <f t="shared" si="73"/>
        <v>1425.06</v>
      </c>
      <c r="K694" s="710">
        <f t="shared" si="71"/>
        <v>10117.348117149144</v>
      </c>
      <c r="L694" s="656"/>
      <c r="M694" s="292"/>
      <c r="N694" s="701"/>
    </row>
    <row r="695" spans="1:14" ht="15.75" customHeight="1">
      <c r="A695" s="709">
        <f t="shared" si="59"/>
        <v>144</v>
      </c>
      <c r="B695" s="296" t="s">
        <v>951</v>
      </c>
      <c r="C695" s="725">
        <v>42219</v>
      </c>
      <c r="D695" s="726" t="s">
        <v>949</v>
      </c>
      <c r="E695" s="812">
        <v>46</v>
      </c>
      <c r="F695" s="811">
        <v>40</v>
      </c>
      <c r="G695" s="811">
        <v>28</v>
      </c>
      <c r="H695" s="807">
        <f t="shared" si="72"/>
        <v>1.26</v>
      </c>
      <c r="I695" s="710">
        <v>210</v>
      </c>
      <c r="J695" s="710">
        <f t="shared" si="73"/>
        <v>264.60000000000002</v>
      </c>
      <c r="K695" s="710">
        <f t="shared" si="71"/>
        <v>10117.348117149144</v>
      </c>
      <c r="L695" s="656"/>
      <c r="M695" s="292"/>
      <c r="N695" s="701"/>
    </row>
    <row r="696" spans="1:14" ht="15.75" customHeight="1">
      <c r="A696" s="709">
        <f t="shared" si="59"/>
        <v>145</v>
      </c>
      <c r="B696" s="296" t="s">
        <v>952</v>
      </c>
      <c r="C696" s="725">
        <v>42222</v>
      </c>
      <c r="D696" s="726" t="s">
        <v>953</v>
      </c>
      <c r="E696" s="812">
        <v>80</v>
      </c>
      <c r="F696" s="811">
        <v>60</v>
      </c>
      <c r="G696" s="811">
        <v>50</v>
      </c>
      <c r="H696" s="807">
        <f t="shared" si="72"/>
        <v>3.22</v>
      </c>
      <c r="I696" s="710">
        <v>157</v>
      </c>
      <c r="J696" s="710">
        <f t="shared" si="73"/>
        <v>505.54</v>
      </c>
      <c r="K696" s="710">
        <f t="shared" si="71"/>
        <v>25855.445188270038</v>
      </c>
      <c r="L696" s="656"/>
      <c r="M696" s="292"/>
      <c r="N696" s="701"/>
    </row>
    <row r="697" spans="1:14" ht="15.75" customHeight="1">
      <c r="A697" s="709">
        <f t="shared" si="59"/>
        <v>146</v>
      </c>
      <c r="B697" s="296" t="s">
        <v>398</v>
      </c>
      <c r="C697" s="725">
        <v>42223</v>
      </c>
      <c r="D697" s="726" t="s">
        <v>955</v>
      </c>
      <c r="E697" s="812">
        <v>52</v>
      </c>
      <c r="F697" s="811">
        <v>24.5</v>
      </c>
      <c r="G697" s="811">
        <v>24.5</v>
      </c>
      <c r="H697" s="807">
        <f t="shared" si="72"/>
        <v>0.82</v>
      </c>
      <c r="I697" s="710">
        <v>922</v>
      </c>
      <c r="J697" s="710">
        <f t="shared" si="73"/>
        <v>756.04</v>
      </c>
      <c r="K697" s="710">
        <f t="shared" si="71"/>
        <v>6584.3059175097605</v>
      </c>
      <c r="L697" s="656"/>
      <c r="M697" s="292"/>
      <c r="N697" s="701"/>
    </row>
    <row r="698" spans="1:14" ht="15.75" customHeight="1">
      <c r="A698" s="709">
        <f t="shared" si="59"/>
        <v>147</v>
      </c>
      <c r="B698" s="296" t="s">
        <v>446</v>
      </c>
      <c r="C698" s="725">
        <v>42223</v>
      </c>
      <c r="D698" s="726" t="s">
        <v>955</v>
      </c>
      <c r="E698" s="812">
        <v>52</v>
      </c>
      <c r="F698" s="811">
        <v>26.5</v>
      </c>
      <c r="G698" s="811">
        <v>26.5</v>
      </c>
      <c r="H698" s="807">
        <f t="shared" si="72"/>
        <v>0.91</v>
      </c>
      <c r="I698" s="710">
        <v>307</v>
      </c>
      <c r="J698" s="710">
        <f t="shared" si="73"/>
        <v>279.37</v>
      </c>
      <c r="K698" s="710">
        <f t="shared" si="71"/>
        <v>7306.9736401632708</v>
      </c>
      <c r="L698" s="656"/>
      <c r="M698" s="292"/>
      <c r="N698" s="701"/>
    </row>
    <row r="699" spans="1:14" ht="15.75" customHeight="1">
      <c r="A699" s="709">
        <f t="shared" si="59"/>
        <v>148</v>
      </c>
      <c r="B699" s="296" t="s">
        <v>2010</v>
      </c>
      <c r="C699" s="725">
        <v>42223</v>
      </c>
      <c r="D699" s="726" t="s">
        <v>956</v>
      </c>
      <c r="E699" s="812">
        <v>41</v>
      </c>
      <c r="F699" s="811">
        <v>41</v>
      </c>
      <c r="G699" s="811">
        <v>25</v>
      </c>
      <c r="H699" s="807">
        <f t="shared" si="72"/>
        <v>1.17</v>
      </c>
      <c r="I699" s="710">
        <v>1667</v>
      </c>
      <c r="J699" s="710">
        <f t="shared" si="73"/>
        <v>1950.3899999999999</v>
      </c>
      <c r="K699" s="710">
        <f t="shared" si="71"/>
        <v>9394.6803944956337</v>
      </c>
      <c r="L699" s="656"/>
      <c r="M699" s="292"/>
      <c r="N699" s="701"/>
    </row>
    <row r="700" spans="1:14" ht="15.75" customHeight="1">
      <c r="A700" s="709">
        <f t="shared" si="59"/>
        <v>149</v>
      </c>
      <c r="B700" s="296" t="s">
        <v>1773</v>
      </c>
      <c r="C700" s="725">
        <v>42223</v>
      </c>
      <c r="D700" s="726" t="s">
        <v>958</v>
      </c>
      <c r="E700" s="812">
        <v>85</v>
      </c>
      <c r="F700" s="811">
        <v>118</v>
      </c>
      <c r="G700" s="811"/>
      <c r="H700" s="807">
        <f t="shared" si="72"/>
        <v>1</v>
      </c>
      <c r="I700" s="710">
        <v>450</v>
      </c>
      <c r="J700" s="710">
        <f t="shared" si="73"/>
        <v>450</v>
      </c>
      <c r="K700" s="710">
        <f t="shared" si="71"/>
        <v>8029.6413628167811</v>
      </c>
      <c r="L700" s="656"/>
      <c r="M700" s="292"/>
      <c r="N700" s="701"/>
    </row>
    <row r="701" spans="1:14" ht="15.75" customHeight="1">
      <c r="A701" s="709">
        <f t="shared" si="59"/>
        <v>150</v>
      </c>
      <c r="B701" s="296" t="s">
        <v>1774</v>
      </c>
      <c r="C701" s="725">
        <v>42223</v>
      </c>
      <c r="D701" s="726" t="s">
        <v>958</v>
      </c>
      <c r="E701" s="812">
        <v>95</v>
      </c>
      <c r="F701" s="811">
        <v>189</v>
      </c>
      <c r="G701" s="811"/>
      <c r="H701" s="807">
        <f t="shared" si="72"/>
        <v>1.8</v>
      </c>
      <c r="I701" s="710">
        <v>58</v>
      </c>
      <c r="J701" s="710">
        <f t="shared" si="73"/>
        <v>104.4</v>
      </c>
      <c r="K701" s="710">
        <f t="shared" si="71"/>
        <v>14453.354453070206</v>
      </c>
      <c r="L701" s="656"/>
      <c r="M701" s="292"/>
      <c r="N701" s="701"/>
    </row>
    <row r="702" spans="1:14" ht="15.75" customHeight="1">
      <c r="A702" s="709">
        <f t="shared" si="59"/>
        <v>151</v>
      </c>
      <c r="B702" s="296" t="s">
        <v>1727</v>
      </c>
      <c r="C702" s="725">
        <v>42223</v>
      </c>
      <c r="D702" s="726" t="s">
        <v>958</v>
      </c>
      <c r="E702" s="812">
        <v>120</v>
      </c>
      <c r="F702" s="811">
        <v>156</v>
      </c>
      <c r="G702" s="811"/>
      <c r="H702" s="807">
        <f t="shared" si="72"/>
        <v>1.87</v>
      </c>
      <c r="I702" s="710">
        <v>10</v>
      </c>
      <c r="J702" s="710">
        <f t="shared" si="73"/>
        <v>18.700000000000003</v>
      </c>
      <c r="K702" s="710">
        <f t="shared" si="71"/>
        <v>15015.429348467382</v>
      </c>
      <c r="L702" s="656"/>
      <c r="M702" s="292"/>
      <c r="N702" s="701"/>
    </row>
    <row r="703" spans="1:14" ht="15.75" customHeight="1">
      <c r="A703" s="709">
        <f t="shared" si="59"/>
        <v>152</v>
      </c>
      <c r="B703" s="296" t="s">
        <v>1728</v>
      </c>
      <c r="C703" s="725">
        <v>42223</v>
      </c>
      <c r="D703" s="726" t="s">
        <v>958</v>
      </c>
      <c r="E703" s="812">
        <v>110</v>
      </c>
      <c r="F703" s="811">
        <v>156</v>
      </c>
      <c r="G703" s="811"/>
      <c r="H703" s="807">
        <f t="shared" si="72"/>
        <v>1.72</v>
      </c>
      <c r="I703" s="710">
        <v>10</v>
      </c>
      <c r="J703" s="710">
        <f t="shared" si="73"/>
        <v>17.2</v>
      </c>
      <c r="K703" s="710">
        <f t="shared" si="71"/>
        <v>13810.983144044863</v>
      </c>
      <c r="L703" s="656"/>
      <c r="M703" s="292"/>
      <c r="N703" s="701"/>
    </row>
    <row r="704" spans="1:14" ht="15.75" customHeight="1">
      <c r="A704" s="709">
        <f t="shared" si="59"/>
        <v>153</v>
      </c>
      <c r="B704" s="296" t="s">
        <v>1704</v>
      </c>
      <c r="C704" s="725">
        <v>42223</v>
      </c>
      <c r="D704" s="726" t="s">
        <v>958</v>
      </c>
      <c r="E704" s="812">
        <v>105</v>
      </c>
      <c r="F704" s="811">
        <v>158</v>
      </c>
      <c r="G704" s="811"/>
      <c r="H704" s="807">
        <f t="shared" si="72"/>
        <v>1.66</v>
      </c>
      <c r="I704" s="710">
        <v>10</v>
      </c>
      <c r="J704" s="710">
        <f t="shared" si="73"/>
        <v>16.599999999999998</v>
      </c>
      <c r="K704" s="710">
        <f t="shared" si="71"/>
        <v>13329.204662275855</v>
      </c>
      <c r="L704" s="656"/>
      <c r="M704" s="292"/>
      <c r="N704" s="701"/>
    </row>
    <row r="705" spans="1:14" ht="15.75" customHeight="1">
      <c r="A705" s="709">
        <f t="shared" si="59"/>
        <v>154</v>
      </c>
      <c r="B705" s="296" t="s">
        <v>1756</v>
      </c>
      <c r="C705" s="725">
        <v>42223</v>
      </c>
      <c r="D705" s="726" t="s">
        <v>958</v>
      </c>
      <c r="E705" s="812">
        <v>100</v>
      </c>
      <c r="F705" s="811">
        <v>158</v>
      </c>
      <c r="G705" s="811"/>
      <c r="H705" s="807">
        <f t="shared" si="72"/>
        <v>1.58</v>
      </c>
      <c r="I705" s="710">
        <v>10</v>
      </c>
      <c r="J705" s="710">
        <f t="shared" si="73"/>
        <v>15.8</v>
      </c>
      <c r="K705" s="710">
        <f t="shared" si="71"/>
        <v>12686.833353250515</v>
      </c>
      <c r="L705" s="656"/>
      <c r="M705" s="292"/>
      <c r="N705" s="701"/>
    </row>
    <row r="706" spans="1:14" ht="15.75" customHeight="1">
      <c r="A706" s="709">
        <f t="shared" si="59"/>
        <v>155</v>
      </c>
      <c r="B706" s="296" t="s">
        <v>1741</v>
      </c>
      <c r="C706" s="725">
        <v>42223</v>
      </c>
      <c r="D706" s="726" t="s">
        <v>958</v>
      </c>
      <c r="E706" s="812">
        <v>85</v>
      </c>
      <c r="F706" s="811">
        <v>130</v>
      </c>
      <c r="G706" s="811"/>
      <c r="H706" s="807">
        <f t="shared" si="72"/>
        <v>1.1100000000000001</v>
      </c>
      <c r="I706" s="710">
        <v>10</v>
      </c>
      <c r="J706" s="710">
        <f t="shared" si="73"/>
        <v>11.100000000000001</v>
      </c>
      <c r="K706" s="710">
        <f t="shared" si="71"/>
        <v>8912.9019127266274</v>
      </c>
      <c r="L706" s="656"/>
      <c r="M706" s="292"/>
      <c r="N706" s="701"/>
    </row>
    <row r="707" spans="1:14" ht="15.75" customHeight="1">
      <c r="A707" s="709">
        <f t="shared" si="59"/>
        <v>156</v>
      </c>
      <c r="B707" s="296" t="s">
        <v>668</v>
      </c>
      <c r="C707" s="725">
        <v>42223</v>
      </c>
      <c r="D707" s="726" t="s">
        <v>958</v>
      </c>
      <c r="E707" s="812">
        <v>115</v>
      </c>
      <c r="F707" s="811">
        <v>194</v>
      </c>
      <c r="G707" s="811"/>
      <c r="H707" s="807">
        <f t="shared" si="72"/>
        <v>2.23</v>
      </c>
      <c r="I707" s="710">
        <v>40</v>
      </c>
      <c r="J707" s="710">
        <f t="shared" si="73"/>
        <v>89.2</v>
      </c>
      <c r="K707" s="710">
        <f t="shared" si="71"/>
        <v>17906.100239081421</v>
      </c>
      <c r="L707" s="656"/>
      <c r="M707" s="292"/>
      <c r="N707" s="701"/>
    </row>
    <row r="708" spans="1:14" ht="15.75" customHeight="1">
      <c r="A708" s="709">
        <f t="shared" si="59"/>
        <v>157</v>
      </c>
      <c r="B708" s="296" t="s">
        <v>1736</v>
      </c>
      <c r="C708" s="725">
        <v>42223</v>
      </c>
      <c r="D708" s="726" t="s">
        <v>958</v>
      </c>
      <c r="E708" s="812">
        <v>100</v>
      </c>
      <c r="F708" s="811">
        <v>180</v>
      </c>
      <c r="G708" s="811"/>
      <c r="H708" s="807">
        <f t="shared" si="72"/>
        <v>1.8</v>
      </c>
      <c r="I708" s="710">
        <v>10</v>
      </c>
      <c r="J708" s="710">
        <f t="shared" si="73"/>
        <v>18</v>
      </c>
      <c r="K708" s="710">
        <f t="shared" si="71"/>
        <v>14453.354453070206</v>
      </c>
      <c r="L708" s="656"/>
      <c r="M708" s="292"/>
      <c r="N708" s="701"/>
    </row>
    <row r="709" spans="1:14" ht="15.75" customHeight="1">
      <c r="A709" s="709">
        <f t="shared" si="59"/>
        <v>158</v>
      </c>
      <c r="B709" s="296" t="s">
        <v>1775</v>
      </c>
      <c r="C709" s="725">
        <v>42223</v>
      </c>
      <c r="D709" s="726" t="s">
        <v>958</v>
      </c>
      <c r="E709" s="812">
        <v>110</v>
      </c>
      <c r="F709" s="811">
        <v>194</v>
      </c>
      <c r="G709" s="811"/>
      <c r="H709" s="807">
        <f t="shared" si="72"/>
        <v>2.13</v>
      </c>
      <c r="I709" s="710">
        <v>10</v>
      </c>
      <c r="J709" s="710">
        <f t="shared" si="73"/>
        <v>21.299999999999997</v>
      </c>
      <c r="K709" s="710">
        <f t="shared" si="71"/>
        <v>17103.136102799745</v>
      </c>
      <c r="L709" s="656"/>
      <c r="M709" s="292"/>
      <c r="N709" s="701"/>
    </row>
    <row r="710" spans="1:14" ht="15.75" customHeight="1">
      <c r="A710" s="709">
        <f t="shared" si="59"/>
        <v>159</v>
      </c>
      <c r="B710" s="296" t="s">
        <v>454</v>
      </c>
      <c r="C710" s="725">
        <v>42223</v>
      </c>
      <c r="D710" s="726" t="s">
        <v>959</v>
      </c>
      <c r="E710" s="812">
        <v>103</v>
      </c>
      <c r="F710" s="811">
        <v>50</v>
      </c>
      <c r="G710" s="811">
        <v>180</v>
      </c>
      <c r="H710" s="807">
        <f t="shared" si="72"/>
        <v>7.25</v>
      </c>
      <c r="I710" s="710">
        <v>277</v>
      </c>
      <c r="J710" s="710">
        <f t="shared" si="73"/>
        <v>2008.25</v>
      </c>
      <c r="K710" s="710">
        <f t="shared" si="71"/>
        <v>58214.899880421661</v>
      </c>
      <c r="L710" s="656"/>
      <c r="M710" s="292"/>
      <c r="N710" s="701"/>
    </row>
    <row r="711" spans="1:14" ht="15.75" customHeight="1">
      <c r="A711" s="709">
        <f t="shared" si="59"/>
        <v>160</v>
      </c>
      <c r="B711" s="296" t="s">
        <v>741</v>
      </c>
      <c r="C711" s="725">
        <v>42227</v>
      </c>
      <c r="D711" s="726" t="s">
        <v>960</v>
      </c>
      <c r="E711" s="812">
        <v>85</v>
      </c>
      <c r="F711" s="811">
        <v>116</v>
      </c>
      <c r="G711" s="811"/>
      <c r="H711" s="807">
        <f t="shared" si="72"/>
        <v>0.99</v>
      </c>
      <c r="I711" s="710">
        <v>140</v>
      </c>
      <c r="J711" s="710">
        <f t="shared" si="73"/>
        <v>138.6</v>
      </c>
      <c r="K711" s="710">
        <f t="shared" si="71"/>
        <v>7949.3449491886131</v>
      </c>
      <c r="L711" s="656"/>
      <c r="M711" s="292"/>
      <c r="N711" s="701"/>
    </row>
    <row r="712" spans="1:14" ht="15.75" customHeight="1">
      <c r="A712" s="709">
        <f t="shared" si="59"/>
        <v>161</v>
      </c>
      <c r="B712" s="296" t="s">
        <v>692</v>
      </c>
      <c r="C712" s="725">
        <v>42227</v>
      </c>
      <c r="D712" s="726" t="s">
        <v>960</v>
      </c>
      <c r="E712" s="812">
        <v>105</v>
      </c>
      <c r="F712" s="811">
        <v>170</v>
      </c>
      <c r="G712" s="811"/>
      <c r="H712" s="807">
        <f t="shared" si="72"/>
        <v>1.79</v>
      </c>
      <c r="I712" s="710">
        <v>60</v>
      </c>
      <c r="J712" s="710">
        <f t="shared" si="73"/>
        <v>107.4</v>
      </c>
      <c r="K712" s="710">
        <f t="shared" si="71"/>
        <v>14373.058039442038</v>
      </c>
      <c r="L712" s="656"/>
      <c r="M712" s="292"/>
      <c r="N712" s="701"/>
    </row>
    <row r="713" spans="1:14" ht="15.75" customHeight="1">
      <c r="A713" s="709">
        <f t="shared" si="59"/>
        <v>162</v>
      </c>
      <c r="B713" s="296" t="s">
        <v>694</v>
      </c>
      <c r="C713" s="725">
        <v>42227</v>
      </c>
      <c r="D713" s="726" t="s">
        <v>960</v>
      </c>
      <c r="E713" s="812">
        <v>105</v>
      </c>
      <c r="F713" s="811">
        <v>140</v>
      </c>
      <c r="G713" s="811"/>
      <c r="H713" s="807">
        <f t="shared" si="72"/>
        <v>1.47</v>
      </c>
      <c r="I713" s="710">
        <v>25</v>
      </c>
      <c r="J713" s="710">
        <f t="shared" si="73"/>
        <v>36.75</v>
      </c>
      <c r="K713" s="710">
        <f t="shared" si="71"/>
        <v>11803.572803340669</v>
      </c>
      <c r="L713" s="656"/>
      <c r="M713" s="292"/>
      <c r="N713" s="701"/>
    </row>
    <row r="714" spans="1:14" ht="15.75" customHeight="1">
      <c r="A714" s="709">
        <f t="shared" si="59"/>
        <v>163</v>
      </c>
      <c r="B714" s="296" t="s">
        <v>1776</v>
      </c>
      <c r="C714" s="725">
        <v>42227</v>
      </c>
      <c r="D714" s="726" t="s">
        <v>960</v>
      </c>
      <c r="E714" s="812">
        <v>100</v>
      </c>
      <c r="F714" s="811">
        <v>132</v>
      </c>
      <c r="G714" s="811"/>
      <c r="H714" s="807">
        <f t="shared" si="72"/>
        <v>1.32</v>
      </c>
      <c r="I714" s="710">
        <v>300</v>
      </c>
      <c r="J714" s="710">
        <f t="shared" si="73"/>
        <v>396</v>
      </c>
      <c r="K714" s="710">
        <f t="shared" si="71"/>
        <v>10599.126598918152</v>
      </c>
      <c r="L714" s="656"/>
      <c r="M714" s="292"/>
      <c r="N714" s="701"/>
    </row>
    <row r="715" spans="1:14" ht="15.75" customHeight="1">
      <c r="A715" s="709">
        <f t="shared" si="59"/>
        <v>164</v>
      </c>
      <c r="B715" s="296" t="s">
        <v>1777</v>
      </c>
      <c r="C715" s="725">
        <v>42227</v>
      </c>
      <c r="D715" s="726" t="s">
        <v>960</v>
      </c>
      <c r="E715" s="812">
        <v>85</v>
      </c>
      <c r="F715" s="811">
        <v>186</v>
      </c>
      <c r="G715" s="811"/>
      <c r="H715" s="807">
        <f t="shared" si="72"/>
        <v>1.58</v>
      </c>
      <c r="I715" s="710">
        <v>305</v>
      </c>
      <c r="J715" s="710">
        <f t="shared" si="73"/>
        <v>481.90000000000003</v>
      </c>
      <c r="K715" s="710">
        <f t="shared" si="71"/>
        <v>12686.833353250515</v>
      </c>
      <c r="L715" s="656"/>
      <c r="M715" s="292"/>
      <c r="N715" s="701"/>
    </row>
    <row r="716" spans="1:14" ht="15.75" customHeight="1">
      <c r="A716" s="709">
        <f t="shared" si="59"/>
        <v>165</v>
      </c>
      <c r="B716" s="296" t="s">
        <v>1713</v>
      </c>
      <c r="C716" s="725">
        <v>42227</v>
      </c>
      <c r="D716" s="726" t="s">
        <v>960</v>
      </c>
      <c r="E716" s="812">
        <v>80</v>
      </c>
      <c r="F716" s="811">
        <v>181</v>
      </c>
      <c r="G716" s="811"/>
      <c r="H716" s="807">
        <f t="shared" si="72"/>
        <v>1.45</v>
      </c>
      <c r="I716" s="710">
        <v>920</v>
      </c>
      <c r="J716" s="710">
        <f t="shared" si="73"/>
        <v>1334</v>
      </c>
      <c r="K716" s="710">
        <f t="shared" si="71"/>
        <v>11642.979976084333</v>
      </c>
      <c r="L716" s="656"/>
      <c r="M716" s="292"/>
      <c r="N716" s="701"/>
    </row>
    <row r="717" spans="1:14" ht="15.75" customHeight="1">
      <c r="A717" s="709">
        <f t="shared" si="59"/>
        <v>166</v>
      </c>
      <c r="B717" s="296" t="s">
        <v>1778</v>
      </c>
      <c r="C717" s="725">
        <v>42227</v>
      </c>
      <c r="D717" s="726" t="s">
        <v>960</v>
      </c>
      <c r="E717" s="812">
        <v>85</v>
      </c>
      <c r="F717" s="811">
        <v>138</v>
      </c>
      <c r="G717" s="811"/>
      <c r="H717" s="807">
        <f t="shared" si="72"/>
        <v>1.17</v>
      </c>
      <c r="I717" s="710">
        <v>124</v>
      </c>
      <c r="J717" s="710">
        <f t="shared" si="73"/>
        <v>145.07999999999998</v>
      </c>
      <c r="K717" s="710">
        <f t="shared" si="71"/>
        <v>9394.6803944956337</v>
      </c>
      <c r="L717" s="656"/>
      <c r="M717" s="292"/>
      <c r="N717" s="701"/>
    </row>
    <row r="718" spans="1:14" ht="15.75" customHeight="1">
      <c r="A718" s="709">
        <f t="shared" ref="A718:A781" si="74">IF(B718&lt;&gt;"",A717+1,"")</f>
        <v>167</v>
      </c>
      <c r="B718" s="296" t="s">
        <v>1779</v>
      </c>
      <c r="C718" s="725">
        <v>42227</v>
      </c>
      <c r="D718" s="726" t="s">
        <v>960</v>
      </c>
      <c r="E718" s="812">
        <v>120</v>
      </c>
      <c r="F718" s="811">
        <v>115.5</v>
      </c>
      <c r="G718" s="811"/>
      <c r="H718" s="807">
        <f t="shared" si="72"/>
        <v>1.39</v>
      </c>
      <c r="I718" s="710">
        <v>50</v>
      </c>
      <c r="J718" s="710">
        <f t="shared" si="73"/>
        <v>69.5</v>
      </c>
      <c r="K718" s="710">
        <f t="shared" si="71"/>
        <v>11161.201494315324</v>
      </c>
      <c r="L718" s="656"/>
      <c r="M718" s="292"/>
      <c r="N718" s="701"/>
    </row>
    <row r="719" spans="1:14" ht="15.75" customHeight="1">
      <c r="A719" s="709">
        <f t="shared" si="74"/>
        <v>168</v>
      </c>
      <c r="B719" s="296" t="s">
        <v>1780</v>
      </c>
      <c r="C719" s="725">
        <v>42227</v>
      </c>
      <c r="D719" s="726" t="s">
        <v>960</v>
      </c>
      <c r="E719" s="812">
        <v>100</v>
      </c>
      <c r="F719" s="811">
        <v>87</v>
      </c>
      <c r="G719" s="811"/>
      <c r="H719" s="807">
        <f t="shared" si="72"/>
        <v>0.87</v>
      </c>
      <c r="I719" s="710">
        <v>100</v>
      </c>
      <c r="J719" s="710">
        <f t="shared" si="73"/>
        <v>87</v>
      </c>
      <c r="K719" s="710">
        <f t="shared" si="71"/>
        <v>6985.7879856505997</v>
      </c>
      <c r="L719" s="656"/>
      <c r="M719" s="292"/>
      <c r="N719" s="701"/>
    </row>
    <row r="720" spans="1:14" ht="15.75" customHeight="1">
      <c r="A720" s="709">
        <f t="shared" si="74"/>
        <v>169</v>
      </c>
      <c r="B720" s="296" t="s">
        <v>1140</v>
      </c>
      <c r="C720" s="725">
        <v>42227</v>
      </c>
      <c r="D720" s="726" t="s">
        <v>961</v>
      </c>
      <c r="E720" s="812">
        <v>45</v>
      </c>
      <c r="F720" s="811">
        <v>37</v>
      </c>
      <c r="G720" s="811">
        <v>27.5</v>
      </c>
      <c r="H720" s="807">
        <f t="shared" si="72"/>
        <v>1.1399999999999999</v>
      </c>
      <c r="I720" s="710">
        <v>803</v>
      </c>
      <c r="J720" s="710">
        <f t="shared" si="73"/>
        <v>915.42</v>
      </c>
      <c r="K720" s="710">
        <f t="shared" si="71"/>
        <v>9153.7911536111296</v>
      </c>
      <c r="L720" s="656"/>
      <c r="M720" s="292"/>
      <c r="N720" s="701"/>
    </row>
    <row r="721" spans="1:14" ht="15.75" customHeight="1">
      <c r="A721" s="709">
        <f t="shared" si="74"/>
        <v>170</v>
      </c>
      <c r="B721" s="296" t="s">
        <v>1140</v>
      </c>
      <c r="C721" s="725">
        <v>42227</v>
      </c>
      <c r="D721" s="726" t="s">
        <v>961</v>
      </c>
      <c r="E721" s="812">
        <v>45</v>
      </c>
      <c r="F721" s="811">
        <v>37</v>
      </c>
      <c r="G721" s="811">
        <v>27.5</v>
      </c>
      <c r="H721" s="807">
        <f t="shared" si="72"/>
        <v>1.1399999999999999</v>
      </c>
      <c r="I721" s="710">
        <v>50</v>
      </c>
      <c r="J721" s="710">
        <f t="shared" si="73"/>
        <v>56.999999999999993</v>
      </c>
      <c r="K721" s="710">
        <f t="shared" si="71"/>
        <v>9153.7911536111296</v>
      </c>
      <c r="L721" s="656"/>
      <c r="M721" s="292"/>
      <c r="N721" s="701"/>
    </row>
    <row r="722" spans="1:14" ht="15.75" customHeight="1">
      <c r="A722" s="709">
        <f t="shared" si="74"/>
        <v>171</v>
      </c>
      <c r="B722" s="296" t="s">
        <v>1654</v>
      </c>
      <c r="C722" s="725">
        <v>42227</v>
      </c>
      <c r="D722" s="726" t="s">
        <v>961</v>
      </c>
      <c r="E722" s="812">
        <v>50</v>
      </c>
      <c r="F722" s="811">
        <v>20</v>
      </c>
      <c r="G722" s="811"/>
      <c r="H722" s="807">
        <f t="shared" si="72"/>
        <v>0.1</v>
      </c>
      <c r="I722" s="710">
        <v>1706</v>
      </c>
      <c r="J722" s="710">
        <f t="shared" si="73"/>
        <v>170.60000000000002</v>
      </c>
      <c r="K722" s="710">
        <f t="shared" si="71"/>
        <v>802.96413628167818</v>
      </c>
      <c r="L722" s="656"/>
      <c r="M722" s="292"/>
      <c r="N722" s="701"/>
    </row>
    <row r="723" spans="1:14" ht="15.75" customHeight="1">
      <c r="A723" s="709">
        <f t="shared" si="74"/>
        <v>172</v>
      </c>
      <c r="B723" s="296" t="s">
        <v>962</v>
      </c>
      <c r="C723" s="725">
        <v>42227</v>
      </c>
      <c r="D723" s="726" t="s">
        <v>963</v>
      </c>
      <c r="E723" s="812">
        <v>50</v>
      </c>
      <c r="F723" s="811">
        <v>40</v>
      </c>
      <c r="G723" s="811">
        <v>27</v>
      </c>
      <c r="H723" s="807">
        <f t="shared" si="72"/>
        <v>1.3</v>
      </c>
      <c r="I723" s="710">
        <v>301</v>
      </c>
      <c r="J723" s="710">
        <f t="shared" si="73"/>
        <v>391.3</v>
      </c>
      <c r="K723" s="710">
        <f t="shared" si="71"/>
        <v>10438.533771661816</v>
      </c>
      <c r="L723" s="656"/>
      <c r="M723" s="292"/>
      <c r="N723" s="701"/>
    </row>
    <row r="724" spans="1:14" ht="15.75" customHeight="1">
      <c r="A724" s="709">
        <f t="shared" si="74"/>
        <v>173</v>
      </c>
      <c r="B724" s="296" t="s">
        <v>962</v>
      </c>
      <c r="C724" s="725">
        <v>42227</v>
      </c>
      <c r="D724" s="726" t="s">
        <v>963</v>
      </c>
      <c r="E724" s="812">
        <v>50</v>
      </c>
      <c r="F724" s="811">
        <v>40</v>
      </c>
      <c r="G724" s="811">
        <v>27</v>
      </c>
      <c r="H724" s="807">
        <f t="shared" si="72"/>
        <v>1.3</v>
      </c>
      <c r="I724" s="710">
        <v>990</v>
      </c>
      <c r="J724" s="710">
        <f t="shared" si="73"/>
        <v>1287</v>
      </c>
      <c r="K724" s="710">
        <f t="shared" si="71"/>
        <v>10438.533771661816</v>
      </c>
      <c r="L724" s="656"/>
      <c r="M724" s="292"/>
      <c r="N724" s="701"/>
    </row>
    <row r="725" spans="1:14" ht="15.75" customHeight="1">
      <c r="A725" s="709">
        <f t="shared" si="74"/>
        <v>174</v>
      </c>
      <c r="B725" s="296" t="s">
        <v>965</v>
      </c>
      <c r="C725" s="725">
        <v>42229</v>
      </c>
      <c r="D725" s="726" t="s">
        <v>966</v>
      </c>
      <c r="E725" s="812">
        <v>60</v>
      </c>
      <c r="F725" s="811">
        <v>45</v>
      </c>
      <c r="G725" s="811">
        <v>33</v>
      </c>
      <c r="H725" s="807">
        <f t="shared" si="72"/>
        <v>1.74</v>
      </c>
      <c r="I725" s="710">
        <v>309</v>
      </c>
      <c r="J725" s="710">
        <f t="shared" si="73"/>
        <v>537.66</v>
      </c>
      <c r="K725" s="710">
        <f t="shared" si="71"/>
        <v>13971.575971301199</v>
      </c>
      <c r="L725" s="656"/>
      <c r="M725" s="292"/>
      <c r="N725" s="701"/>
    </row>
    <row r="726" spans="1:14" ht="15.75" customHeight="1">
      <c r="A726" s="709">
        <f t="shared" si="74"/>
        <v>175</v>
      </c>
      <c r="B726" s="296" t="s">
        <v>910</v>
      </c>
      <c r="C726" s="725">
        <v>42229</v>
      </c>
      <c r="D726" s="726" t="s">
        <v>968</v>
      </c>
      <c r="E726" s="812">
        <v>37.200000000000003</v>
      </c>
      <c r="F726" s="811">
        <v>25.1</v>
      </c>
      <c r="G726" s="811">
        <v>23.9</v>
      </c>
      <c r="H726" s="807">
        <f t="shared" si="72"/>
        <v>0.67</v>
      </c>
      <c r="I726" s="710">
        <v>311</v>
      </c>
      <c r="J726" s="710">
        <f t="shared" si="73"/>
        <v>208.37</v>
      </c>
      <c r="K726" s="710">
        <f t="shared" si="71"/>
        <v>5379.859713087244</v>
      </c>
      <c r="L726" s="656"/>
      <c r="M726" s="292"/>
      <c r="N726" s="701"/>
    </row>
    <row r="727" spans="1:14" ht="15.75" customHeight="1">
      <c r="A727" s="709">
        <f t="shared" si="74"/>
        <v>176</v>
      </c>
      <c r="B727" s="296" t="s">
        <v>760</v>
      </c>
      <c r="C727" s="725">
        <v>42229</v>
      </c>
      <c r="D727" s="726" t="s">
        <v>969</v>
      </c>
      <c r="E727" s="812">
        <v>52</v>
      </c>
      <c r="F727" s="811">
        <v>28</v>
      </c>
      <c r="G727" s="811">
        <v>28</v>
      </c>
      <c r="H727" s="807">
        <f t="shared" si="72"/>
        <v>0.97</v>
      </c>
      <c r="I727" s="710">
        <v>512</v>
      </c>
      <c r="J727" s="710">
        <f t="shared" si="73"/>
        <v>496.64</v>
      </c>
      <c r="K727" s="710">
        <f t="shared" si="71"/>
        <v>7788.7521219322771</v>
      </c>
      <c r="L727" s="656"/>
      <c r="M727" s="292"/>
      <c r="N727" s="701"/>
    </row>
    <row r="728" spans="1:14" ht="15.75" customHeight="1">
      <c r="A728" s="709">
        <f t="shared" si="74"/>
        <v>177</v>
      </c>
      <c r="B728" s="296" t="s">
        <v>1753</v>
      </c>
      <c r="C728" s="725">
        <v>42229</v>
      </c>
      <c r="D728" s="726" t="s">
        <v>970</v>
      </c>
      <c r="E728" s="812">
        <v>125</v>
      </c>
      <c r="F728" s="811">
        <v>146</v>
      </c>
      <c r="G728" s="811"/>
      <c r="H728" s="807">
        <f t="shared" si="72"/>
        <v>1.83</v>
      </c>
      <c r="I728" s="710">
        <v>50</v>
      </c>
      <c r="J728" s="710">
        <f t="shared" si="73"/>
        <v>91.5</v>
      </c>
      <c r="K728" s="710">
        <f t="shared" si="71"/>
        <v>14694.24369395471</v>
      </c>
      <c r="L728" s="656"/>
      <c r="M728" s="292"/>
      <c r="N728" s="701"/>
    </row>
    <row r="729" spans="1:14" ht="15.75" customHeight="1">
      <c r="A729" s="709">
        <f t="shared" si="74"/>
        <v>178</v>
      </c>
      <c r="B729" s="296" t="s">
        <v>748</v>
      </c>
      <c r="C729" s="725">
        <v>42229</v>
      </c>
      <c r="D729" s="726" t="s">
        <v>970</v>
      </c>
      <c r="E729" s="812">
        <v>115</v>
      </c>
      <c r="F729" s="811">
        <v>163</v>
      </c>
      <c r="G729" s="811"/>
      <c r="H729" s="807">
        <f t="shared" si="72"/>
        <v>1.87</v>
      </c>
      <c r="I729" s="710">
        <v>100</v>
      </c>
      <c r="J729" s="710">
        <f t="shared" si="73"/>
        <v>187</v>
      </c>
      <c r="K729" s="710">
        <f t="shared" si="71"/>
        <v>15015.429348467382</v>
      </c>
      <c r="L729" s="656"/>
      <c r="M729" s="292"/>
      <c r="N729" s="701"/>
    </row>
    <row r="730" spans="1:14" ht="15.75" customHeight="1">
      <c r="A730" s="709">
        <f t="shared" si="74"/>
        <v>179</v>
      </c>
      <c r="B730" s="296" t="s">
        <v>728</v>
      </c>
      <c r="C730" s="725">
        <v>42234</v>
      </c>
      <c r="D730" s="726" t="s">
        <v>971</v>
      </c>
      <c r="E730" s="812">
        <v>80</v>
      </c>
      <c r="F730" s="811">
        <v>212</v>
      </c>
      <c r="G730" s="811"/>
      <c r="H730" s="807">
        <f t="shared" si="72"/>
        <v>1.7</v>
      </c>
      <c r="I730" s="710">
        <v>600</v>
      </c>
      <c r="J730" s="710">
        <f t="shared" si="73"/>
        <v>1020</v>
      </c>
      <c r="K730" s="710">
        <f t="shared" si="71"/>
        <v>13650.390316788527</v>
      </c>
      <c r="L730" s="656"/>
      <c r="M730" s="292"/>
      <c r="N730" s="701"/>
    </row>
    <row r="731" spans="1:14" ht="15.75" customHeight="1">
      <c r="A731" s="709">
        <f t="shared" si="74"/>
        <v>180</v>
      </c>
      <c r="B731" s="296" t="s">
        <v>747</v>
      </c>
      <c r="C731" s="725">
        <v>42234</v>
      </c>
      <c r="D731" s="726" t="s">
        <v>971</v>
      </c>
      <c r="E731" s="812">
        <v>73</v>
      </c>
      <c r="F731" s="811">
        <v>73</v>
      </c>
      <c r="G731" s="811"/>
      <c r="H731" s="807">
        <f t="shared" si="72"/>
        <v>0.53</v>
      </c>
      <c r="I731" s="710">
        <v>300</v>
      </c>
      <c r="J731" s="710">
        <f t="shared" si="73"/>
        <v>159</v>
      </c>
      <c r="K731" s="710">
        <f t="shared" si="71"/>
        <v>4255.7099222928946</v>
      </c>
      <c r="L731" s="656"/>
      <c r="M731" s="292"/>
      <c r="N731" s="701"/>
    </row>
    <row r="732" spans="1:14" ht="15.75" customHeight="1">
      <c r="A732" s="709">
        <f t="shared" si="74"/>
        <v>181</v>
      </c>
      <c r="B732" s="296" t="s">
        <v>1781</v>
      </c>
      <c r="C732" s="725">
        <v>42234</v>
      </c>
      <c r="D732" s="726" t="s">
        <v>971</v>
      </c>
      <c r="E732" s="812">
        <v>85</v>
      </c>
      <c r="F732" s="811">
        <v>220</v>
      </c>
      <c r="G732" s="811"/>
      <c r="H732" s="807">
        <f t="shared" si="72"/>
        <v>1.87</v>
      </c>
      <c r="I732" s="710">
        <v>200</v>
      </c>
      <c r="J732" s="710">
        <f t="shared" si="73"/>
        <v>374</v>
      </c>
      <c r="K732" s="710">
        <f t="shared" si="71"/>
        <v>15015.429348467382</v>
      </c>
      <c r="L732" s="656"/>
      <c r="M732" s="292"/>
      <c r="N732" s="701"/>
    </row>
    <row r="733" spans="1:14" ht="15.75" customHeight="1">
      <c r="A733" s="709">
        <f t="shared" si="74"/>
        <v>182</v>
      </c>
      <c r="B733" s="296" t="s">
        <v>409</v>
      </c>
      <c r="C733" s="725">
        <v>42234</v>
      </c>
      <c r="D733" s="726" t="s">
        <v>973</v>
      </c>
      <c r="E733" s="812">
        <v>36.5</v>
      </c>
      <c r="F733" s="811">
        <v>27.3</v>
      </c>
      <c r="G733" s="811">
        <v>25.5</v>
      </c>
      <c r="H733" s="807">
        <f t="shared" si="72"/>
        <v>0.74</v>
      </c>
      <c r="I733" s="710">
        <v>1280</v>
      </c>
      <c r="J733" s="710">
        <f t="shared" si="73"/>
        <v>947.2</v>
      </c>
      <c r="K733" s="710">
        <f t="shared" si="71"/>
        <v>5941.9346084844183</v>
      </c>
      <c r="L733" s="656"/>
      <c r="M733" s="292"/>
      <c r="N733" s="701"/>
    </row>
    <row r="734" spans="1:14" ht="15.75" customHeight="1">
      <c r="A734" s="709">
        <f t="shared" si="74"/>
        <v>183</v>
      </c>
      <c r="B734" s="296" t="s">
        <v>494</v>
      </c>
      <c r="C734" s="725">
        <v>42235</v>
      </c>
      <c r="D734" s="726" t="s">
        <v>972</v>
      </c>
      <c r="E734" s="812">
        <v>37.5</v>
      </c>
      <c r="F734" s="811">
        <v>25.3</v>
      </c>
      <c r="G734" s="811">
        <v>23.9</v>
      </c>
      <c r="H734" s="807">
        <f t="shared" si="72"/>
        <v>0.68</v>
      </c>
      <c r="I734" s="710">
        <v>710</v>
      </c>
      <c r="J734" s="710">
        <f t="shared" si="73"/>
        <v>482.8</v>
      </c>
      <c r="K734" s="710">
        <f t="shared" si="71"/>
        <v>5460.1561267154111</v>
      </c>
      <c r="L734" s="656"/>
      <c r="M734" s="292"/>
      <c r="N734" s="701"/>
    </row>
    <row r="735" spans="1:14" ht="15.75" customHeight="1">
      <c r="A735" s="709">
        <f t="shared" si="74"/>
        <v>184</v>
      </c>
      <c r="B735" s="296" t="s">
        <v>595</v>
      </c>
      <c r="C735" s="725">
        <v>42236</v>
      </c>
      <c r="D735" s="726" t="s">
        <v>974</v>
      </c>
      <c r="E735" s="812">
        <v>43</v>
      </c>
      <c r="F735" s="811">
        <v>27.5</v>
      </c>
      <c r="G735" s="811">
        <v>33</v>
      </c>
      <c r="H735" s="807">
        <f t="shared" si="72"/>
        <v>0.93</v>
      </c>
      <c r="I735" s="710">
        <v>169</v>
      </c>
      <c r="J735" s="710">
        <f t="shared" si="73"/>
        <v>157.17000000000002</v>
      </c>
      <c r="K735" s="710">
        <f t="shared" si="71"/>
        <v>7467.5664674196069</v>
      </c>
      <c r="L735" s="656"/>
      <c r="M735" s="292"/>
      <c r="N735" s="701"/>
    </row>
    <row r="736" spans="1:14" ht="15.75" customHeight="1">
      <c r="A736" s="709">
        <f t="shared" si="74"/>
        <v>185</v>
      </c>
      <c r="B736" s="296" t="s">
        <v>539</v>
      </c>
      <c r="C736" s="725">
        <v>42236</v>
      </c>
      <c r="D736" s="726" t="s">
        <v>974</v>
      </c>
      <c r="E736" s="812">
        <v>39.5</v>
      </c>
      <c r="F736" s="811">
        <v>32.299999999999997</v>
      </c>
      <c r="G736" s="811">
        <v>27.7</v>
      </c>
      <c r="H736" s="807">
        <f t="shared" si="72"/>
        <v>0.94</v>
      </c>
      <c r="I736" s="710">
        <v>315</v>
      </c>
      <c r="J736" s="710">
        <f t="shared" si="73"/>
        <v>296.09999999999997</v>
      </c>
      <c r="K736" s="710">
        <f t="shared" si="71"/>
        <v>7547.862881047774</v>
      </c>
      <c r="L736" s="656"/>
      <c r="M736" s="292"/>
      <c r="N736" s="701"/>
    </row>
    <row r="737" spans="1:14" ht="15.75" customHeight="1">
      <c r="A737" s="709">
        <f t="shared" si="74"/>
        <v>186</v>
      </c>
      <c r="B737" s="296" t="s">
        <v>906</v>
      </c>
      <c r="C737" s="725">
        <v>42236</v>
      </c>
      <c r="D737" s="726" t="s">
        <v>975</v>
      </c>
      <c r="E737" s="812">
        <v>43.5</v>
      </c>
      <c r="F737" s="811">
        <v>31</v>
      </c>
      <c r="G737" s="811">
        <v>24.8</v>
      </c>
      <c r="H737" s="807">
        <f t="shared" si="72"/>
        <v>0.91</v>
      </c>
      <c r="I737" s="710">
        <v>320</v>
      </c>
      <c r="J737" s="710">
        <f t="shared" si="73"/>
        <v>291.2</v>
      </c>
      <c r="K737" s="710">
        <f t="shared" si="71"/>
        <v>7306.9736401632708</v>
      </c>
      <c r="L737" s="656"/>
      <c r="M737" s="292"/>
      <c r="N737" s="701"/>
    </row>
    <row r="738" spans="1:14" ht="15.75" customHeight="1">
      <c r="A738" s="709">
        <f t="shared" si="74"/>
        <v>187</v>
      </c>
      <c r="B738" s="296" t="s">
        <v>614</v>
      </c>
      <c r="C738" s="725">
        <v>42236</v>
      </c>
      <c r="D738" s="726" t="s">
        <v>975</v>
      </c>
      <c r="E738" s="812">
        <v>36.5</v>
      </c>
      <c r="F738" s="811">
        <v>20.5</v>
      </c>
      <c r="G738" s="811">
        <v>32</v>
      </c>
      <c r="H738" s="807">
        <f t="shared" si="72"/>
        <v>0.66</v>
      </c>
      <c r="I738" s="710">
        <v>356</v>
      </c>
      <c r="J738" s="710">
        <f t="shared" si="73"/>
        <v>234.96</v>
      </c>
      <c r="K738" s="710">
        <f t="shared" si="71"/>
        <v>5299.563299459076</v>
      </c>
      <c r="L738" s="656"/>
      <c r="M738" s="292"/>
      <c r="N738" s="701"/>
    </row>
    <row r="739" spans="1:14" ht="15.75" customHeight="1">
      <c r="A739" s="709">
        <f t="shared" si="74"/>
        <v>188</v>
      </c>
      <c r="B739" s="296" t="s">
        <v>977</v>
      </c>
      <c r="C739" s="725">
        <v>42236</v>
      </c>
      <c r="D739" s="726" t="s">
        <v>978</v>
      </c>
      <c r="E739" s="812">
        <v>83</v>
      </c>
      <c r="F739" s="811">
        <v>57</v>
      </c>
      <c r="G739" s="811">
        <v>43</v>
      </c>
      <c r="H739" s="807">
        <f t="shared" si="72"/>
        <v>2.94</v>
      </c>
      <c r="I739" s="710">
        <v>31</v>
      </c>
      <c r="J739" s="710">
        <f t="shared" si="73"/>
        <v>91.14</v>
      </c>
      <c r="K739" s="710">
        <f t="shared" si="71"/>
        <v>23607.145606681337</v>
      </c>
      <c r="L739" s="656"/>
      <c r="M739" s="292"/>
      <c r="N739" s="701"/>
    </row>
    <row r="740" spans="1:14" ht="15.75" customHeight="1">
      <c r="A740" s="709">
        <f t="shared" si="74"/>
        <v>189</v>
      </c>
      <c r="B740" s="296" t="s">
        <v>979</v>
      </c>
      <c r="C740" s="725">
        <v>42236</v>
      </c>
      <c r="D740" s="726" t="s">
        <v>978</v>
      </c>
      <c r="E740" s="812">
        <v>58.4</v>
      </c>
      <c r="F740" s="811">
        <v>35.5</v>
      </c>
      <c r="G740" s="811">
        <v>21.5</v>
      </c>
      <c r="H740" s="807">
        <f t="shared" si="72"/>
        <v>1.1599999999999999</v>
      </c>
      <c r="I740" s="710">
        <v>60</v>
      </c>
      <c r="J740" s="710">
        <f t="shared" si="73"/>
        <v>69.599999999999994</v>
      </c>
      <c r="K740" s="710">
        <f t="shared" si="71"/>
        <v>9314.3839808674657</v>
      </c>
      <c r="L740" s="656"/>
      <c r="M740" s="292"/>
      <c r="N740" s="701"/>
    </row>
    <row r="741" spans="1:14" ht="15.75" customHeight="1">
      <c r="A741" s="709">
        <f t="shared" si="74"/>
        <v>190</v>
      </c>
      <c r="B741" s="296" t="s">
        <v>1661</v>
      </c>
      <c r="C741" s="725">
        <v>42236</v>
      </c>
      <c r="D741" s="726" t="s">
        <v>978</v>
      </c>
      <c r="E741" s="812">
        <v>30</v>
      </c>
      <c r="F741" s="811">
        <v>20</v>
      </c>
      <c r="G741" s="811"/>
      <c r="H741" s="807">
        <f t="shared" si="72"/>
        <v>0.06</v>
      </c>
      <c r="I741" s="710">
        <v>120</v>
      </c>
      <c r="J741" s="710">
        <f t="shared" si="73"/>
        <v>7.1999999999999993</v>
      </c>
      <c r="K741" s="710">
        <f t="shared" si="71"/>
        <v>481.77848176900687</v>
      </c>
      <c r="L741" s="656"/>
      <c r="M741" s="292"/>
      <c r="N741" s="701"/>
    </row>
    <row r="742" spans="1:14" ht="15.75" customHeight="1">
      <c r="A742" s="709">
        <f t="shared" si="74"/>
        <v>191</v>
      </c>
      <c r="B742" s="296" t="s">
        <v>746</v>
      </c>
      <c r="C742" s="725">
        <v>42236</v>
      </c>
      <c r="D742" s="726" t="s">
        <v>980</v>
      </c>
      <c r="E742" s="812">
        <v>125</v>
      </c>
      <c r="F742" s="811">
        <v>185</v>
      </c>
      <c r="G742" s="811"/>
      <c r="H742" s="807">
        <f t="shared" si="72"/>
        <v>2.31</v>
      </c>
      <c r="I742" s="710">
        <v>1000</v>
      </c>
      <c r="J742" s="710">
        <f t="shared" si="73"/>
        <v>2310</v>
      </c>
      <c r="K742" s="710">
        <f t="shared" si="71"/>
        <v>18548.471548106765</v>
      </c>
      <c r="L742" s="656"/>
      <c r="M742" s="292"/>
      <c r="N742" s="701"/>
    </row>
    <row r="743" spans="1:14" ht="15.75" customHeight="1">
      <c r="A743" s="709">
        <f t="shared" si="74"/>
        <v>192</v>
      </c>
      <c r="B743" s="296" t="s">
        <v>745</v>
      </c>
      <c r="C743" s="725">
        <v>42236</v>
      </c>
      <c r="D743" s="726" t="s">
        <v>980</v>
      </c>
      <c r="E743" s="812">
        <v>85</v>
      </c>
      <c r="F743" s="811">
        <v>125</v>
      </c>
      <c r="G743" s="811"/>
      <c r="H743" s="807">
        <f t="shared" si="72"/>
        <v>1.06</v>
      </c>
      <c r="I743" s="710">
        <v>400</v>
      </c>
      <c r="J743" s="710">
        <f t="shared" si="73"/>
        <v>424</v>
      </c>
      <c r="K743" s="710">
        <f t="shared" si="71"/>
        <v>8511.4198445857892</v>
      </c>
      <c r="L743" s="656"/>
      <c r="M743" s="292"/>
      <c r="N743" s="701"/>
    </row>
    <row r="744" spans="1:14" ht="15.75" customHeight="1">
      <c r="A744" s="709">
        <f t="shared" si="74"/>
        <v>193</v>
      </c>
      <c r="B744" s="296" t="s">
        <v>745</v>
      </c>
      <c r="C744" s="725">
        <v>42238</v>
      </c>
      <c r="D744" s="726" t="s">
        <v>981</v>
      </c>
      <c r="E744" s="812">
        <v>85</v>
      </c>
      <c r="F744" s="811">
        <v>125</v>
      </c>
      <c r="G744" s="811"/>
      <c r="H744" s="807">
        <f t="shared" si="72"/>
        <v>1.06</v>
      </c>
      <c r="I744" s="710">
        <v>600</v>
      </c>
      <c r="J744" s="710">
        <f t="shared" si="73"/>
        <v>636</v>
      </c>
      <c r="K744" s="710">
        <f t="shared" ref="K744:K807" si="75">H744*$Q$611</f>
        <v>8511.4198445857892</v>
      </c>
      <c r="L744" s="656"/>
      <c r="M744" s="292"/>
      <c r="N744" s="701"/>
    </row>
    <row r="745" spans="1:14" ht="15.75" customHeight="1">
      <c r="A745" s="709">
        <f t="shared" si="74"/>
        <v>194</v>
      </c>
      <c r="B745" s="296" t="s">
        <v>1766</v>
      </c>
      <c r="C745" s="725">
        <v>42238</v>
      </c>
      <c r="D745" s="726" t="s">
        <v>981</v>
      </c>
      <c r="E745" s="812">
        <v>110</v>
      </c>
      <c r="F745" s="811">
        <v>114</v>
      </c>
      <c r="G745" s="811"/>
      <c r="H745" s="807">
        <f t="shared" si="72"/>
        <v>1.25</v>
      </c>
      <c r="I745" s="710">
        <v>1000</v>
      </c>
      <c r="J745" s="710">
        <f t="shared" si="73"/>
        <v>1250</v>
      </c>
      <c r="K745" s="710">
        <f t="shared" si="75"/>
        <v>10037.051703520976</v>
      </c>
      <c r="L745" s="656"/>
      <c r="M745" s="292"/>
      <c r="N745" s="701"/>
    </row>
    <row r="746" spans="1:14" ht="15.75" customHeight="1">
      <c r="A746" s="709">
        <f t="shared" si="74"/>
        <v>195</v>
      </c>
      <c r="B746" s="296" t="s">
        <v>602</v>
      </c>
      <c r="C746" s="725">
        <v>42238</v>
      </c>
      <c r="D746" s="726" t="s">
        <v>982</v>
      </c>
      <c r="E746" s="812">
        <v>46</v>
      </c>
      <c r="F746" s="811">
        <v>42</v>
      </c>
      <c r="G746" s="811">
        <v>24.5</v>
      </c>
      <c r="H746" s="807">
        <f t="shared" si="72"/>
        <v>1.26</v>
      </c>
      <c r="I746" s="710">
        <v>868</v>
      </c>
      <c r="J746" s="710">
        <f t="shared" si="73"/>
        <v>1093.68</v>
      </c>
      <c r="K746" s="710">
        <f t="shared" si="75"/>
        <v>10117.348117149144</v>
      </c>
      <c r="L746" s="656"/>
      <c r="M746" s="292"/>
      <c r="N746" s="701"/>
    </row>
    <row r="747" spans="1:14" ht="15.75" customHeight="1">
      <c r="A747" s="709">
        <f t="shared" si="74"/>
        <v>196</v>
      </c>
      <c r="B747" s="296" t="s">
        <v>424</v>
      </c>
      <c r="C747" s="725">
        <v>42238</v>
      </c>
      <c r="D747" s="726" t="s">
        <v>982</v>
      </c>
      <c r="E747" s="812">
        <v>46</v>
      </c>
      <c r="F747" s="811">
        <v>42</v>
      </c>
      <c r="G747" s="811">
        <v>13</v>
      </c>
      <c r="H747" s="807">
        <f t="shared" si="72"/>
        <v>1.05</v>
      </c>
      <c r="I747" s="710">
        <v>1027</v>
      </c>
      <c r="J747" s="710">
        <f t="shared" si="73"/>
        <v>1078.3500000000001</v>
      </c>
      <c r="K747" s="710">
        <f t="shared" si="75"/>
        <v>8431.1234309576212</v>
      </c>
      <c r="L747" s="656"/>
      <c r="M747" s="292"/>
      <c r="N747" s="701"/>
    </row>
    <row r="748" spans="1:14" ht="15.75" customHeight="1">
      <c r="A748" s="709">
        <f t="shared" si="74"/>
        <v>197</v>
      </c>
      <c r="B748" s="296" t="s">
        <v>983</v>
      </c>
      <c r="C748" s="725">
        <v>42238</v>
      </c>
      <c r="D748" s="726" t="s">
        <v>982</v>
      </c>
      <c r="E748" s="812">
        <v>52</v>
      </c>
      <c r="F748" s="811">
        <v>42</v>
      </c>
      <c r="G748" s="811">
        <v>24.5</v>
      </c>
      <c r="H748" s="807">
        <f t="shared" si="72"/>
        <v>1.34</v>
      </c>
      <c r="I748" s="710">
        <v>252</v>
      </c>
      <c r="J748" s="710">
        <f t="shared" si="73"/>
        <v>337.68</v>
      </c>
      <c r="K748" s="710">
        <f t="shared" si="75"/>
        <v>10759.719426174488</v>
      </c>
      <c r="L748" s="656"/>
      <c r="M748" s="292"/>
      <c r="N748" s="701"/>
    </row>
    <row r="749" spans="1:14" ht="15.75" customHeight="1">
      <c r="A749" s="709">
        <f t="shared" si="74"/>
        <v>198</v>
      </c>
      <c r="B749" s="296" t="s">
        <v>602</v>
      </c>
      <c r="C749" s="725">
        <v>42238</v>
      </c>
      <c r="D749" s="726" t="s">
        <v>982</v>
      </c>
      <c r="E749" s="812">
        <v>46</v>
      </c>
      <c r="F749" s="811">
        <v>42</v>
      </c>
      <c r="G749" s="811">
        <v>24.5</v>
      </c>
      <c r="H749" s="807">
        <f t="shared" si="72"/>
        <v>1.26</v>
      </c>
      <c r="I749" s="710">
        <v>480</v>
      </c>
      <c r="J749" s="710">
        <f t="shared" si="73"/>
        <v>604.79999999999995</v>
      </c>
      <c r="K749" s="710">
        <f t="shared" si="75"/>
        <v>10117.348117149144</v>
      </c>
      <c r="L749" s="656"/>
      <c r="M749" s="292"/>
      <c r="N749" s="701"/>
    </row>
    <row r="750" spans="1:14" ht="15.75" customHeight="1">
      <c r="A750" s="709">
        <f t="shared" si="74"/>
        <v>199</v>
      </c>
      <c r="B750" s="296" t="s">
        <v>1766</v>
      </c>
      <c r="C750" s="725">
        <v>42240</v>
      </c>
      <c r="D750" s="726" t="s">
        <v>984</v>
      </c>
      <c r="E750" s="812">
        <v>110</v>
      </c>
      <c r="F750" s="811">
        <v>114</v>
      </c>
      <c r="G750" s="811"/>
      <c r="H750" s="807">
        <f t="shared" si="72"/>
        <v>1.25</v>
      </c>
      <c r="I750" s="710">
        <v>1000</v>
      </c>
      <c r="J750" s="710">
        <f t="shared" si="73"/>
        <v>1250</v>
      </c>
      <c r="K750" s="710">
        <f t="shared" si="75"/>
        <v>10037.051703520976</v>
      </c>
      <c r="L750" s="656"/>
      <c r="M750" s="292"/>
      <c r="N750" s="701"/>
    </row>
    <row r="751" spans="1:14" ht="15.75" customHeight="1">
      <c r="A751" s="709">
        <f t="shared" si="74"/>
        <v>200</v>
      </c>
      <c r="B751" s="296" t="s">
        <v>747</v>
      </c>
      <c r="C751" s="725">
        <v>42240</v>
      </c>
      <c r="D751" s="726" t="s">
        <v>984</v>
      </c>
      <c r="E751" s="812">
        <v>73</v>
      </c>
      <c r="F751" s="811">
        <v>73</v>
      </c>
      <c r="G751" s="811"/>
      <c r="H751" s="807">
        <f t="shared" si="72"/>
        <v>0.53</v>
      </c>
      <c r="I751" s="710">
        <v>600</v>
      </c>
      <c r="J751" s="710">
        <f t="shared" si="73"/>
        <v>318</v>
      </c>
      <c r="K751" s="710">
        <f t="shared" si="75"/>
        <v>4255.7099222928946</v>
      </c>
      <c r="L751" s="656"/>
      <c r="M751" s="292"/>
      <c r="N751" s="701"/>
    </row>
    <row r="752" spans="1:14" ht="15.75" customHeight="1">
      <c r="A752" s="709">
        <f t="shared" si="74"/>
        <v>201</v>
      </c>
      <c r="B752" s="296" t="s">
        <v>494</v>
      </c>
      <c r="C752" s="725">
        <v>42240</v>
      </c>
      <c r="D752" s="726" t="s">
        <v>985</v>
      </c>
      <c r="E752" s="812">
        <v>37.5</v>
      </c>
      <c r="F752" s="811">
        <v>25.3</v>
      </c>
      <c r="G752" s="811">
        <v>23.9</v>
      </c>
      <c r="H752" s="807">
        <f t="shared" si="72"/>
        <v>0.68</v>
      </c>
      <c r="I752" s="710">
        <v>1000</v>
      </c>
      <c r="J752" s="710">
        <f t="shared" si="73"/>
        <v>680</v>
      </c>
      <c r="K752" s="710">
        <f t="shared" si="75"/>
        <v>5460.1561267154111</v>
      </c>
      <c r="L752" s="656"/>
      <c r="M752" s="292"/>
      <c r="N752" s="701"/>
    </row>
    <row r="753" spans="1:14" ht="15.75" customHeight="1">
      <c r="A753" s="709">
        <f t="shared" si="74"/>
        <v>202</v>
      </c>
      <c r="B753" s="296" t="s">
        <v>986</v>
      </c>
      <c r="C753" s="725">
        <v>42241</v>
      </c>
      <c r="D753" s="726" t="s">
        <v>987</v>
      </c>
      <c r="E753" s="812">
        <v>45.5</v>
      </c>
      <c r="F753" s="811">
        <v>34.5</v>
      </c>
      <c r="G753" s="811">
        <v>7.2</v>
      </c>
      <c r="H753" s="807">
        <f t="shared" si="72"/>
        <v>0.74</v>
      </c>
      <c r="I753" s="710">
        <v>306</v>
      </c>
      <c r="J753" s="710">
        <f t="shared" si="73"/>
        <v>226.44</v>
      </c>
      <c r="K753" s="710">
        <f t="shared" si="75"/>
        <v>5941.9346084844183</v>
      </c>
      <c r="L753" s="656"/>
      <c r="M753" s="292"/>
      <c r="N753" s="701"/>
    </row>
    <row r="754" spans="1:14" ht="15.75" customHeight="1">
      <c r="A754" s="709">
        <f t="shared" si="74"/>
        <v>203</v>
      </c>
      <c r="B754" s="296" t="s">
        <v>948</v>
      </c>
      <c r="C754" s="725">
        <v>42241</v>
      </c>
      <c r="D754" s="726" t="s">
        <v>987</v>
      </c>
      <c r="E754" s="812">
        <v>38.1</v>
      </c>
      <c r="F754" s="811">
        <v>34.299999999999997</v>
      </c>
      <c r="G754" s="811">
        <v>7.5</v>
      </c>
      <c r="H754" s="807">
        <f t="shared" ref="H754:H817" si="76">IF(G754&lt;&gt;"",ROUND(((E754+F754)*2+5)*(F754+G754+3)/10000,2),ROUND(E754*F754/10000,2))</f>
        <v>0.67</v>
      </c>
      <c r="I754" s="710">
        <v>200</v>
      </c>
      <c r="J754" s="710">
        <f t="shared" si="73"/>
        <v>134</v>
      </c>
      <c r="K754" s="710">
        <f t="shared" si="75"/>
        <v>5379.859713087244</v>
      </c>
      <c r="L754" s="656"/>
      <c r="M754" s="292"/>
      <c r="N754" s="701"/>
    </row>
    <row r="755" spans="1:14" ht="15.75" customHeight="1">
      <c r="A755" s="709">
        <f t="shared" si="74"/>
        <v>204</v>
      </c>
      <c r="B755" s="296" t="s">
        <v>494</v>
      </c>
      <c r="C755" s="725">
        <v>42242</v>
      </c>
      <c r="D755" s="726" t="s">
        <v>988</v>
      </c>
      <c r="E755" s="812">
        <v>37.5</v>
      </c>
      <c r="F755" s="811">
        <v>25.3</v>
      </c>
      <c r="G755" s="811">
        <v>23.9</v>
      </c>
      <c r="H755" s="807">
        <f t="shared" si="76"/>
        <v>0.68</v>
      </c>
      <c r="I755" s="710">
        <v>1082</v>
      </c>
      <c r="J755" s="710">
        <f t="shared" ref="J755:J818" si="77">H755*I755</f>
        <v>735.7600000000001</v>
      </c>
      <c r="K755" s="710">
        <f t="shared" si="75"/>
        <v>5460.1561267154111</v>
      </c>
      <c r="L755" s="656"/>
      <c r="M755" s="292"/>
      <c r="N755" s="701"/>
    </row>
    <row r="756" spans="1:14" ht="15.75" customHeight="1">
      <c r="A756" s="709">
        <f t="shared" si="74"/>
        <v>205</v>
      </c>
      <c r="B756" s="296" t="s">
        <v>413</v>
      </c>
      <c r="C756" s="725">
        <v>42242</v>
      </c>
      <c r="D756" s="726" t="s">
        <v>989</v>
      </c>
      <c r="E756" s="812">
        <v>49</v>
      </c>
      <c r="F756" s="811">
        <v>38</v>
      </c>
      <c r="G756" s="811">
        <v>12</v>
      </c>
      <c r="H756" s="807">
        <f t="shared" si="76"/>
        <v>0.95</v>
      </c>
      <c r="I756" s="710">
        <v>409</v>
      </c>
      <c r="J756" s="710">
        <f t="shared" si="77"/>
        <v>388.54999999999995</v>
      </c>
      <c r="K756" s="710">
        <f t="shared" si="75"/>
        <v>7628.159294675942</v>
      </c>
      <c r="L756" s="656"/>
      <c r="M756" s="292"/>
      <c r="N756" s="701"/>
    </row>
    <row r="757" spans="1:14" ht="15.75" customHeight="1">
      <c r="A757" s="709">
        <f t="shared" si="74"/>
        <v>206</v>
      </c>
      <c r="B757" s="296" t="s">
        <v>413</v>
      </c>
      <c r="C757" s="725">
        <v>42242</v>
      </c>
      <c r="D757" s="726" t="s">
        <v>989</v>
      </c>
      <c r="E757" s="812">
        <v>49</v>
      </c>
      <c r="F757" s="811">
        <v>38</v>
      </c>
      <c r="G757" s="811">
        <v>12</v>
      </c>
      <c r="H757" s="807">
        <f t="shared" si="76"/>
        <v>0.95</v>
      </c>
      <c r="I757" s="710">
        <v>200</v>
      </c>
      <c r="J757" s="710">
        <f t="shared" si="77"/>
        <v>190</v>
      </c>
      <c r="K757" s="710">
        <f t="shared" si="75"/>
        <v>7628.159294675942</v>
      </c>
      <c r="L757" s="656"/>
      <c r="M757" s="292"/>
      <c r="N757" s="701"/>
    </row>
    <row r="758" spans="1:14" ht="15.75" customHeight="1">
      <c r="A758" s="709">
        <f t="shared" si="74"/>
        <v>207</v>
      </c>
      <c r="B758" s="296" t="s">
        <v>2010</v>
      </c>
      <c r="C758" s="725">
        <v>42242</v>
      </c>
      <c r="D758" s="726" t="s">
        <v>990</v>
      </c>
      <c r="E758" s="812">
        <v>41</v>
      </c>
      <c r="F758" s="811">
        <v>41</v>
      </c>
      <c r="G758" s="811">
        <v>25</v>
      </c>
      <c r="H758" s="807">
        <f t="shared" si="76"/>
        <v>1.17</v>
      </c>
      <c r="I758" s="710">
        <v>10</v>
      </c>
      <c r="J758" s="710">
        <f t="shared" si="77"/>
        <v>11.7</v>
      </c>
      <c r="K758" s="710">
        <f t="shared" si="75"/>
        <v>9394.6803944956337</v>
      </c>
      <c r="L758" s="656"/>
      <c r="M758" s="292"/>
      <c r="N758" s="701"/>
    </row>
    <row r="759" spans="1:14" ht="15.75" customHeight="1">
      <c r="A759" s="709">
        <f t="shared" si="74"/>
        <v>208</v>
      </c>
      <c r="B759" s="296" t="s">
        <v>1948</v>
      </c>
      <c r="C759" s="725">
        <v>42242</v>
      </c>
      <c r="D759" s="726" t="s">
        <v>990</v>
      </c>
      <c r="E759" s="812">
        <v>43</v>
      </c>
      <c r="F759" s="811">
        <v>42</v>
      </c>
      <c r="G759" s="811">
        <v>26</v>
      </c>
      <c r="H759" s="807">
        <f t="shared" si="76"/>
        <v>1.24</v>
      </c>
      <c r="I759" s="710">
        <v>10</v>
      </c>
      <c r="J759" s="710">
        <f t="shared" si="77"/>
        <v>12.4</v>
      </c>
      <c r="K759" s="710">
        <f t="shared" si="75"/>
        <v>9956.7552898928079</v>
      </c>
      <c r="L759" s="656"/>
      <c r="M759" s="292"/>
      <c r="N759" s="701"/>
    </row>
    <row r="760" spans="1:14" ht="15.75" customHeight="1">
      <c r="A760" s="709">
        <f t="shared" si="74"/>
        <v>209</v>
      </c>
      <c r="B760" s="296" t="s">
        <v>1949</v>
      </c>
      <c r="C760" s="725">
        <v>42242</v>
      </c>
      <c r="D760" s="726" t="s">
        <v>990</v>
      </c>
      <c r="E760" s="812">
        <v>49</v>
      </c>
      <c r="F760" s="811">
        <v>47</v>
      </c>
      <c r="G760" s="811">
        <v>27</v>
      </c>
      <c r="H760" s="807">
        <f t="shared" si="76"/>
        <v>1.52</v>
      </c>
      <c r="I760" s="710">
        <v>10</v>
      </c>
      <c r="J760" s="710">
        <f t="shared" si="77"/>
        <v>15.2</v>
      </c>
      <c r="K760" s="710">
        <f t="shared" si="75"/>
        <v>12205.054871481507</v>
      </c>
      <c r="L760" s="656"/>
      <c r="M760" s="292"/>
      <c r="N760" s="701"/>
    </row>
    <row r="761" spans="1:14" ht="15.75" customHeight="1">
      <c r="A761" s="709">
        <f t="shared" si="74"/>
        <v>210</v>
      </c>
      <c r="B761" s="296" t="s">
        <v>1950</v>
      </c>
      <c r="C761" s="725">
        <v>42242</v>
      </c>
      <c r="D761" s="726" t="s">
        <v>990</v>
      </c>
      <c r="E761" s="812">
        <v>38</v>
      </c>
      <c r="F761" s="811">
        <v>37</v>
      </c>
      <c r="G761" s="811">
        <v>30</v>
      </c>
      <c r="H761" s="807">
        <f t="shared" si="76"/>
        <v>1.0900000000000001</v>
      </c>
      <c r="I761" s="710">
        <v>10</v>
      </c>
      <c r="J761" s="710">
        <f t="shared" si="77"/>
        <v>10.9</v>
      </c>
      <c r="K761" s="710">
        <f t="shared" si="75"/>
        <v>8752.3090854702914</v>
      </c>
      <c r="L761" s="656"/>
      <c r="M761" s="292"/>
      <c r="N761" s="701"/>
    </row>
    <row r="762" spans="1:14" ht="15.75" customHeight="1">
      <c r="A762" s="709">
        <f t="shared" si="74"/>
        <v>211</v>
      </c>
      <c r="B762" s="296" t="s">
        <v>1951</v>
      </c>
      <c r="C762" s="725">
        <v>42242</v>
      </c>
      <c r="D762" s="726" t="s">
        <v>990</v>
      </c>
      <c r="E762" s="812">
        <v>40</v>
      </c>
      <c r="F762" s="811">
        <v>39</v>
      </c>
      <c r="G762" s="811">
        <v>32</v>
      </c>
      <c r="H762" s="807">
        <f t="shared" si="76"/>
        <v>1.21</v>
      </c>
      <c r="I762" s="710">
        <v>10</v>
      </c>
      <c r="J762" s="710">
        <f t="shared" si="77"/>
        <v>12.1</v>
      </c>
      <c r="K762" s="710">
        <f t="shared" si="75"/>
        <v>9715.8660490083057</v>
      </c>
      <c r="L762" s="656"/>
      <c r="M762" s="292"/>
      <c r="N762" s="701"/>
    </row>
    <row r="763" spans="1:14" ht="15.75" customHeight="1">
      <c r="A763" s="709">
        <f t="shared" si="74"/>
        <v>212</v>
      </c>
      <c r="B763" s="296" t="s">
        <v>1952</v>
      </c>
      <c r="C763" s="725">
        <v>42242</v>
      </c>
      <c r="D763" s="726" t="s">
        <v>990</v>
      </c>
      <c r="E763" s="812">
        <v>42</v>
      </c>
      <c r="F763" s="811">
        <v>41</v>
      </c>
      <c r="G763" s="811">
        <v>34</v>
      </c>
      <c r="H763" s="807">
        <f t="shared" si="76"/>
        <v>1.33</v>
      </c>
      <c r="I763" s="710">
        <v>10</v>
      </c>
      <c r="J763" s="710">
        <f t="shared" si="77"/>
        <v>13.3</v>
      </c>
      <c r="K763" s="710">
        <f t="shared" si="75"/>
        <v>10679.42301254632</v>
      </c>
      <c r="L763" s="656"/>
      <c r="M763" s="292"/>
      <c r="N763" s="701"/>
    </row>
    <row r="764" spans="1:14" ht="15.75" customHeight="1">
      <c r="A764" s="709">
        <f t="shared" si="74"/>
        <v>213</v>
      </c>
      <c r="B764" s="296" t="s">
        <v>2011</v>
      </c>
      <c r="C764" s="725">
        <v>42242</v>
      </c>
      <c r="D764" s="726" t="s">
        <v>990</v>
      </c>
      <c r="E764" s="812">
        <v>63</v>
      </c>
      <c r="F764" s="811">
        <v>53</v>
      </c>
      <c r="G764" s="811">
        <v>32</v>
      </c>
      <c r="H764" s="807">
        <f t="shared" si="76"/>
        <v>2.09</v>
      </c>
      <c r="I764" s="710">
        <v>10</v>
      </c>
      <c r="J764" s="710">
        <f t="shared" si="77"/>
        <v>20.9</v>
      </c>
      <c r="K764" s="710">
        <f t="shared" si="75"/>
        <v>16781.950448287073</v>
      </c>
      <c r="L764" s="656"/>
      <c r="M764" s="292"/>
      <c r="N764" s="701"/>
    </row>
    <row r="765" spans="1:14" ht="15.75" customHeight="1">
      <c r="A765" s="709">
        <f t="shared" si="74"/>
        <v>214</v>
      </c>
      <c r="B765" s="296" t="s">
        <v>2010</v>
      </c>
      <c r="C765" s="725">
        <v>42242</v>
      </c>
      <c r="D765" s="726" t="s">
        <v>991</v>
      </c>
      <c r="E765" s="812">
        <v>41</v>
      </c>
      <c r="F765" s="811">
        <v>41</v>
      </c>
      <c r="G765" s="811">
        <v>25</v>
      </c>
      <c r="H765" s="807">
        <f t="shared" si="76"/>
        <v>1.17</v>
      </c>
      <c r="I765" s="710">
        <v>10</v>
      </c>
      <c r="J765" s="710">
        <f t="shared" si="77"/>
        <v>11.7</v>
      </c>
      <c r="K765" s="710">
        <f t="shared" si="75"/>
        <v>9394.6803944956337</v>
      </c>
      <c r="L765" s="656"/>
      <c r="M765" s="292"/>
      <c r="N765" s="701"/>
    </row>
    <row r="766" spans="1:14" ht="15.75" customHeight="1">
      <c r="A766" s="709">
        <f t="shared" si="74"/>
        <v>215</v>
      </c>
      <c r="B766" s="296" t="s">
        <v>1948</v>
      </c>
      <c r="C766" s="725">
        <v>42242</v>
      </c>
      <c r="D766" s="726" t="s">
        <v>991</v>
      </c>
      <c r="E766" s="812">
        <v>43</v>
      </c>
      <c r="F766" s="811">
        <v>42</v>
      </c>
      <c r="G766" s="811">
        <v>26</v>
      </c>
      <c r="H766" s="807">
        <f t="shared" si="76"/>
        <v>1.24</v>
      </c>
      <c r="I766" s="710">
        <v>10</v>
      </c>
      <c r="J766" s="710">
        <f t="shared" si="77"/>
        <v>12.4</v>
      </c>
      <c r="K766" s="710">
        <f t="shared" si="75"/>
        <v>9956.7552898928079</v>
      </c>
      <c r="L766" s="656"/>
      <c r="M766" s="292"/>
      <c r="N766" s="701"/>
    </row>
    <row r="767" spans="1:14" ht="15.75" customHeight="1">
      <c r="A767" s="709">
        <f t="shared" si="74"/>
        <v>216</v>
      </c>
      <c r="B767" s="296" t="s">
        <v>1949</v>
      </c>
      <c r="C767" s="725">
        <v>42242</v>
      </c>
      <c r="D767" s="726" t="s">
        <v>991</v>
      </c>
      <c r="E767" s="812">
        <v>49</v>
      </c>
      <c r="F767" s="811">
        <v>47</v>
      </c>
      <c r="G767" s="811">
        <v>27</v>
      </c>
      <c r="H767" s="807">
        <f t="shared" si="76"/>
        <v>1.52</v>
      </c>
      <c r="I767" s="710">
        <v>10</v>
      </c>
      <c r="J767" s="710">
        <f t="shared" si="77"/>
        <v>15.2</v>
      </c>
      <c r="K767" s="710">
        <f t="shared" si="75"/>
        <v>12205.054871481507</v>
      </c>
      <c r="L767" s="656"/>
      <c r="M767" s="292"/>
      <c r="N767" s="701"/>
    </row>
    <row r="768" spans="1:14" ht="15.75" customHeight="1">
      <c r="A768" s="709">
        <f t="shared" si="74"/>
        <v>217</v>
      </c>
      <c r="B768" s="296" t="s">
        <v>1950</v>
      </c>
      <c r="C768" s="725">
        <v>42242</v>
      </c>
      <c r="D768" s="726" t="s">
        <v>991</v>
      </c>
      <c r="E768" s="812">
        <v>38</v>
      </c>
      <c r="F768" s="811">
        <v>37</v>
      </c>
      <c r="G768" s="811">
        <v>30</v>
      </c>
      <c r="H768" s="807">
        <f t="shared" si="76"/>
        <v>1.0900000000000001</v>
      </c>
      <c r="I768" s="710">
        <v>10</v>
      </c>
      <c r="J768" s="710">
        <f t="shared" si="77"/>
        <v>10.9</v>
      </c>
      <c r="K768" s="710">
        <f t="shared" si="75"/>
        <v>8752.3090854702914</v>
      </c>
      <c r="L768" s="656"/>
      <c r="M768" s="292"/>
      <c r="N768" s="701"/>
    </row>
    <row r="769" spans="1:14" ht="15.75" customHeight="1">
      <c r="A769" s="709">
        <f t="shared" si="74"/>
        <v>218</v>
      </c>
      <c r="B769" s="296" t="s">
        <v>1951</v>
      </c>
      <c r="C769" s="725">
        <v>42242</v>
      </c>
      <c r="D769" s="726" t="s">
        <v>991</v>
      </c>
      <c r="E769" s="812">
        <v>40</v>
      </c>
      <c r="F769" s="811">
        <v>39</v>
      </c>
      <c r="G769" s="811">
        <v>32</v>
      </c>
      <c r="H769" s="807">
        <f t="shared" si="76"/>
        <v>1.21</v>
      </c>
      <c r="I769" s="710">
        <v>10</v>
      </c>
      <c r="J769" s="710">
        <f t="shared" si="77"/>
        <v>12.1</v>
      </c>
      <c r="K769" s="710">
        <f t="shared" si="75"/>
        <v>9715.8660490083057</v>
      </c>
      <c r="L769" s="656"/>
      <c r="M769" s="292"/>
      <c r="N769" s="701"/>
    </row>
    <row r="770" spans="1:14" ht="15.75" customHeight="1">
      <c r="A770" s="709">
        <f t="shared" si="74"/>
        <v>219</v>
      </c>
      <c r="B770" s="296" t="s">
        <v>1952</v>
      </c>
      <c r="C770" s="725">
        <v>42242</v>
      </c>
      <c r="D770" s="726" t="s">
        <v>991</v>
      </c>
      <c r="E770" s="812">
        <v>42</v>
      </c>
      <c r="F770" s="811">
        <v>41</v>
      </c>
      <c r="G770" s="811">
        <v>34</v>
      </c>
      <c r="H770" s="807">
        <f t="shared" si="76"/>
        <v>1.33</v>
      </c>
      <c r="I770" s="710">
        <v>10</v>
      </c>
      <c r="J770" s="710">
        <f t="shared" si="77"/>
        <v>13.3</v>
      </c>
      <c r="K770" s="710">
        <f t="shared" si="75"/>
        <v>10679.42301254632</v>
      </c>
      <c r="L770" s="656"/>
      <c r="M770" s="292"/>
      <c r="N770" s="701"/>
    </row>
    <row r="771" spans="1:14" ht="15.75" customHeight="1">
      <c r="A771" s="709">
        <f t="shared" si="74"/>
        <v>220</v>
      </c>
      <c r="B771" s="296" t="s">
        <v>2011</v>
      </c>
      <c r="C771" s="725">
        <v>42242</v>
      </c>
      <c r="D771" s="726" t="s">
        <v>991</v>
      </c>
      <c r="E771" s="812">
        <v>63</v>
      </c>
      <c r="F771" s="811">
        <v>53</v>
      </c>
      <c r="G771" s="811">
        <v>32</v>
      </c>
      <c r="H771" s="807">
        <f t="shared" si="76"/>
        <v>2.09</v>
      </c>
      <c r="I771" s="710">
        <v>10</v>
      </c>
      <c r="J771" s="710">
        <f t="shared" si="77"/>
        <v>20.9</v>
      </c>
      <c r="K771" s="710">
        <f t="shared" si="75"/>
        <v>16781.950448287073</v>
      </c>
      <c r="L771" s="656"/>
      <c r="M771" s="292"/>
      <c r="N771" s="701"/>
    </row>
    <row r="772" spans="1:14" ht="15.75" customHeight="1">
      <c r="A772" s="709">
        <f t="shared" si="74"/>
        <v>221</v>
      </c>
      <c r="B772" s="188" t="s">
        <v>2012</v>
      </c>
      <c r="C772" s="725">
        <v>42243</v>
      </c>
      <c r="D772" s="726" t="s">
        <v>992</v>
      </c>
      <c r="E772" s="812">
        <v>20</v>
      </c>
      <c r="F772" s="811">
        <v>16.5</v>
      </c>
      <c r="G772" s="811">
        <v>9</v>
      </c>
      <c r="H772" s="807">
        <f t="shared" si="76"/>
        <v>0.22</v>
      </c>
      <c r="I772" s="710">
        <v>2000</v>
      </c>
      <c r="J772" s="710">
        <f t="shared" si="77"/>
        <v>440</v>
      </c>
      <c r="K772" s="710">
        <f t="shared" si="75"/>
        <v>1766.5210998196919</v>
      </c>
      <c r="L772" s="656"/>
      <c r="M772" s="292"/>
      <c r="N772" s="701"/>
    </row>
    <row r="773" spans="1:14" ht="15.75" customHeight="1">
      <c r="A773" s="709">
        <f t="shared" si="74"/>
        <v>222</v>
      </c>
      <c r="B773" s="296" t="s">
        <v>1955</v>
      </c>
      <c r="C773" s="725">
        <v>42243</v>
      </c>
      <c r="D773" s="726" t="s">
        <v>992</v>
      </c>
      <c r="E773" s="812">
        <v>31</v>
      </c>
      <c r="F773" s="811">
        <v>25.3</v>
      </c>
      <c r="G773" s="811">
        <v>9</v>
      </c>
      <c r="H773" s="807">
        <f t="shared" si="76"/>
        <v>0.44</v>
      </c>
      <c r="I773" s="710">
        <v>500</v>
      </c>
      <c r="J773" s="710">
        <f t="shared" si="77"/>
        <v>220</v>
      </c>
      <c r="K773" s="710">
        <f t="shared" si="75"/>
        <v>3533.0421996393839</v>
      </c>
      <c r="L773" s="656"/>
      <c r="M773" s="292"/>
      <c r="N773" s="701"/>
    </row>
    <row r="774" spans="1:14" ht="15.75" customHeight="1">
      <c r="A774" s="709">
        <f t="shared" si="74"/>
        <v>223</v>
      </c>
      <c r="B774" s="296" t="s">
        <v>398</v>
      </c>
      <c r="C774" s="725">
        <v>42243</v>
      </c>
      <c r="D774" s="726" t="s">
        <v>993</v>
      </c>
      <c r="E774" s="812">
        <v>52</v>
      </c>
      <c r="F774" s="811">
        <v>24.5</v>
      </c>
      <c r="G774" s="811">
        <v>24.5</v>
      </c>
      <c r="H774" s="807">
        <f t="shared" si="76"/>
        <v>0.82</v>
      </c>
      <c r="I774" s="710">
        <v>608</v>
      </c>
      <c r="J774" s="710">
        <f t="shared" si="77"/>
        <v>498.55999999999995</v>
      </c>
      <c r="K774" s="710">
        <f t="shared" si="75"/>
        <v>6584.3059175097605</v>
      </c>
      <c r="L774" s="656"/>
      <c r="M774" s="292"/>
      <c r="N774" s="701"/>
    </row>
    <row r="775" spans="1:14" ht="15.75" customHeight="1">
      <c r="A775" s="709">
        <f t="shared" si="74"/>
        <v>224</v>
      </c>
      <c r="B775" s="296" t="s">
        <v>446</v>
      </c>
      <c r="C775" s="725">
        <v>42243</v>
      </c>
      <c r="D775" s="726" t="s">
        <v>993</v>
      </c>
      <c r="E775" s="812">
        <v>52</v>
      </c>
      <c r="F775" s="811">
        <v>26.5</v>
      </c>
      <c r="G775" s="811">
        <v>26.5</v>
      </c>
      <c r="H775" s="807">
        <f t="shared" si="76"/>
        <v>0.91</v>
      </c>
      <c r="I775" s="710">
        <v>329</v>
      </c>
      <c r="J775" s="710">
        <f t="shared" si="77"/>
        <v>299.39</v>
      </c>
      <c r="K775" s="710">
        <f t="shared" si="75"/>
        <v>7306.9736401632708</v>
      </c>
      <c r="L775" s="656"/>
      <c r="M775" s="292"/>
      <c r="N775" s="701"/>
    </row>
    <row r="776" spans="1:14" ht="15.75" customHeight="1">
      <c r="A776" s="709">
        <f t="shared" si="74"/>
        <v>225</v>
      </c>
      <c r="B776" s="296" t="s">
        <v>994</v>
      </c>
      <c r="C776" s="725">
        <v>42243</v>
      </c>
      <c r="D776" s="726" t="s">
        <v>993</v>
      </c>
      <c r="E776" s="812">
        <v>48</v>
      </c>
      <c r="F776" s="811">
        <v>40</v>
      </c>
      <c r="G776" s="811">
        <v>29</v>
      </c>
      <c r="H776" s="807">
        <f t="shared" si="76"/>
        <v>1.3</v>
      </c>
      <c r="I776" s="710">
        <v>312</v>
      </c>
      <c r="J776" s="710">
        <f t="shared" si="77"/>
        <v>405.6</v>
      </c>
      <c r="K776" s="710">
        <f t="shared" si="75"/>
        <v>10438.533771661816</v>
      </c>
      <c r="L776" s="656"/>
      <c r="M776" s="292"/>
      <c r="N776" s="701"/>
    </row>
    <row r="777" spans="1:14" ht="15.75" customHeight="1">
      <c r="A777" s="709">
        <f t="shared" si="74"/>
        <v>226</v>
      </c>
      <c r="B777" s="296" t="s">
        <v>995</v>
      </c>
      <c r="C777" s="725">
        <v>42243</v>
      </c>
      <c r="D777" s="726" t="s">
        <v>993</v>
      </c>
      <c r="E777" s="812">
        <v>52</v>
      </c>
      <c r="F777" s="811">
        <v>43</v>
      </c>
      <c r="G777" s="811">
        <v>30</v>
      </c>
      <c r="H777" s="807">
        <f t="shared" si="76"/>
        <v>1.48</v>
      </c>
      <c r="I777" s="710">
        <v>309</v>
      </c>
      <c r="J777" s="710">
        <f t="shared" si="77"/>
        <v>457.32</v>
      </c>
      <c r="K777" s="710">
        <f t="shared" si="75"/>
        <v>11883.869216968837</v>
      </c>
      <c r="L777" s="656"/>
      <c r="M777" s="292"/>
      <c r="N777" s="701"/>
    </row>
    <row r="778" spans="1:14" ht="15.75" customHeight="1">
      <c r="A778" s="709">
        <f t="shared" si="74"/>
        <v>227</v>
      </c>
      <c r="B778" s="296" t="s">
        <v>2010</v>
      </c>
      <c r="C778" s="725">
        <v>42243</v>
      </c>
      <c r="D778" s="726" t="s">
        <v>996</v>
      </c>
      <c r="E778" s="812">
        <v>41</v>
      </c>
      <c r="F778" s="811">
        <v>41</v>
      </c>
      <c r="G778" s="811">
        <v>25</v>
      </c>
      <c r="H778" s="807">
        <f t="shared" si="76"/>
        <v>1.17</v>
      </c>
      <c r="I778" s="710">
        <v>2000</v>
      </c>
      <c r="J778" s="710">
        <f t="shared" si="77"/>
        <v>2340</v>
      </c>
      <c r="K778" s="710">
        <f t="shared" si="75"/>
        <v>9394.6803944956337</v>
      </c>
      <c r="L778" s="656"/>
      <c r="M778" s="292"/>
      <c r="N778" s="701"/>
    </row>
    <row r="779" spans="1:14" ht="15.75" customHeight="1">
      <c r="A779" s="709">
        <f t="shared" si="74"/>
        <v>228</v>
      </c>
      <c r="B779" s="296" t="s">
        <v>451</v>
      </c>
      <c r="C779" s="725">
        <v>42244</v>
      </c>
      <c r="D779" s="726" t="s">
        <v>997</v>
      </c>
      <c r="E779" s="812">
        <v>49.5</v>
      </c>
      <c r="F779" s="811">
        <v>38.5</v>
      </c>
      <c r="G779" s="811">
        <v>32.5</v>
      </c>
      <c r="H779" s="807">
        <f t="shared" si="76"/>
        <v>1.34</v>
      </c>
      <c r="I779" s="710">
        <v>307</v>
      </c>
      <c r="J779" s="710">
        <f t="shared" si="77"/>
        <v>411.38000000000005</v>
      </c>
      <c r="K779" s="710">
        <f t="shared" si="75"/>
        <v>10759.719426174488</v>
      </c>
      <c r="L779" s="656"/>
      <c r="M779" s="292"/>
      <c r="N779" s="701"/>
    </row>
    <row r="780" spans="1:14" ht="15.75" customHeight="1">
      <c r="A780" s="709">
        <f t="shared" si="74"/>
        <v>229</v>
      </c>
      <c r="B780" s="296" t="s">
        <v>998</v>
      </c>
      <c r="C780" s="725">
        <v>42244</v>
      </c>
      <c r="D780" s="726" t="s">
        <v>997</v>
      </c>
      <c r="E780" s="812">
        <v>68</v>
      </c>
      <c r="F780" s="811">
        <v>35</v>
      </c>
      <c r="G780" s="811">
        <v>18</v>
      </c>
      <c r="H780" s="807">
        <f t="shared" si="76"/>
        <v>1.18</v>
      </c>
      <c r="I780" s="710">
        <v>50</v>
      </c>
      <c r="J780" s="710">
        <f t="shared" si="77"/>
        <v>59</v>
      </c>
      <c r="K780" s="710">
        <f t="shared" si="75"/>
        <v>9474.9768081238017</v>
      </c>
      <c r="L780" s="656"/>
      <c r="M780" s="292"/>
      <c r="N780" s="701"/>
    </row>
    <row r="781" spans="1:14" ht="15.75" customHeight="1">
      <c r="A781" s="709">
        <f t="shared" si="74"/>
        <v>230</v>
      </c>
      <c r="B781" s="296" t="s">
        <v>999</v>
      </c>
      <c r="C781" s="725">
        <v>42244</v>
      </c>
      <c r="D781" s="726" t="s">
        <v>1000</v>
      </c>
      <c r="E781" s="812">
        <v>40</v>
      </c>
      <c r="F781" s="811">
        <v>30</v>
      </c>
      <c r="G781" s="811">
        <v>18.5</v>
      </c>
      <c r="H781" s="807">
        <f t="shared" si="76"/>
        <v>0.75</v>
      </c>
      <c r="I781" s="710">
        <v>217</v>
      </c>
      <c r="J781" s="710">
        <f t="shared" si="77"/>
        <v>162.75</v>
      </c>
      <c r="K781" s="710">
        <f t="shared" si="75"/>
        <v>6022.2310221125863</v>
      </c>
      <c r="L781" s="656"/>
      <c r="M781" s="292"/>
      <c r="N781" s="701"/>
    </row>
    <row r="782" spans="1:14" ht="15.75" customHeight="1">
      <c r="A782" s="709">
        <f t="shared" ref="A782:A845" si="78">IF(B782&lt;&gt;"",A781+1,"")</f>
        <v>231</v>
      </c>
      <c r="B782" s="296" t="s">
        <v>1948</v>
      </c>
      <c r="C782" s="725">
        <v>42244</v>
      </c>
      <c r="D782" s="726" t="s">
        <v>1001</v>
      </c>
      <c r="E782" s="812">
        <v>43</v>
      </c>
      <c r="F782" s="811">
        <v>42</v>
      </c>
      <c r="G782" s="811">
        <v>26</v>
      </c>
      <c r="H782" s="807">
        <f t="shared" si="76"/>
        <v>1.24</v>
      </c>
      <c r="I782" s="710">
        <v>34</v>
      </c>
      <c r="J782" s="710">
        <f t="shared" si="77"/>
        <v>42.16</v>
      </c>
      <c r="K782" s="710">
        <f t="shared" si="75"/>
        <v>9956.7552898928079</v>
      </c>
      <c r="L782" s="656"/>
      <c r="M782" s="292"/>
      <c r="N782" s="701"/>
    </row>
    <row r="783" spans="1:14" ht="15.75" customHeight="1">
      <c r="A783" s="709">
        <f t="shared" si="78"/>
        <v>232</v>
      </c>
      <c r="B783" s="296" t="s">
        <v>1950</v>
      </c>
      <c r="C783" s="725">
        <v>42244</v>
      </c>
      <c r="D783" s="726" t="s">
        <v>1001</v>
      </c>
      <c r="E783" s="812">
        <v>38</v>
      </c>
      <c r="F783" s="811">
        <v>37</v>
      </c>
      <c r="G783" s="811">
        <v>30</v>
      </c>
      <c r="H783" s="807">
        <f t="shared" si="76"/>
        <v>1.0900000000000001</v>
      </c>
      <c r="I783" s="710">
        <v>34</v>
      </c>
      <c r="J783" s="710">
        <f t="shared" si="77"/>
        <v>37.06</v>
      </c>
      <c r="K783" s="710">
        <f t="shared" si="75"/>
        <v>8752.3090854702914</v>
      </c>
      <c r="L783" s="656"/>
      <c r="M783" s="292"/>
      <c r="N783" s="701"/>
    </row>
    <row r="784" spans="1:14" ht="15.75" customHeight="1">
      <c r="A784" s="709">
        <f t="shared" si="78"/>
        <v>233</v>
      </c>
      <c r="B784" s="296" t="s">
        <v>1951</v>
      </c>
      <c r="C784" s="725">
        <v>42244</v>
      </c>
      <c r="D784" s="726" t="s">
        <v>1001</v>
      </c>
      <c r="E784" s="812">
        <v>40</v>
      </c>
      <c r="F784" s="811">
        <v>39</v>
      </c>
      <c r="G784" s="811">
        <v>32</v>
      </c>
      <c r="H784" s="807">
        <f t="shared" si="76"/>
        <v>1.21</v>
      </c>
      <c r="I784" s="710">
        <v>20</v>
      </c>
      <c r="J784" s="710">
        <f t="shared" si="77"/>
        <v>24.2</v>
      </c>
      <c r="K784" s="710">
        <f t="shared" si="75"/>
        <v>9715.8660490083057</v>
      </c>
      <c r="L784" s="656"/>
      <c r="M784" s="292"/>
      <c r="N784" s="701"/>
    </row>
    <row r="785" spans="1:14" ht="15.75" customHeight="1">
      <c r="A785" s="709">
        <f t="shared" si="78"/>
        <v>234</v>
      </c>
      <c r="B785" s="296" t="s">
        <v>2011</v>
      </c>
      <c r="C785" s="725">
        <v>42244</v>
      </c>
      <c r="D785" s="726" t="s">
        <v>1001</v>
      </c>
      <c r="E785" s="812">
        <v>63</v>
      </c>
      <c r="F785" s="811">
        <v>53</v>
      </c>
      <c r="G785" s="811">
        <v>32</v>
      </c>
      <c r="H785" s="807">
        <f t="shared" si="76"/>
        <v>2.09</v>
      </c>
      <c r="I785" s="710">
        <v>14</v>
      </c>
      <c r="J785" s="710">
        <f t="shared" si="77"/>
        <v>29.259999999999998</v>
      </c>
      <c r="K785" s="710">
        <f t="shared" si="75"/>
        <v>16781.950448287073</v>
      </c>
      <c r="L785" s="656"/>
      <c r="M785" s="292"/>
      <c r="N785" s="701"/>
    </row>
    <row r="786" spans="1:14" ht="15.75" customHeight="1">
      <c r="A786" s="709">
        <f t="shared" si="78"/>
        <v>235</v>
      </c>
      <c r="B786" s="296" t="s">
        <v>746</v>
      </c>
      <c r="C786" s="725">
        <v>42245</v>
      </c>
      <c r="D786" s="726" t="s">
        <v>1002</v>
      </c>
      <c r="E786" s="812">
        <v>125</v>
      </c>
      <c r="F786" s="811">
        <v>185</v>
      </c>
      <c r="G786" s="811"/>
      <c r="H786" s="807">
        <f t="shared" si="76"/>
        <v>2.31</v>
      </c>
      <c r="I786" s="710">
        <v>500</v>
      </c>
      <c r="J786" s="710">
        <f t="shared" si="77"/>
        <v>1155</v>
      </c>
      <c r="K786" s="710">
        <f t="shared" si="75"/>
        <v>18548.471548106765</v>
      </c>
      <c r="L786" s="656"/>
      <c r="M786" s="292"/>
      <c r="N786" s="701"/>
    </row>
    <row r="787" spans="1:14" ht="15.75" customHeight="1">
      <c r="A787" s="709">
        <f t="shared" si="78"/>
        <v>236</v>
      </c>
      <c r="B787" s="296" t="s">
        <v>1952</v>
      </c>
      <c r="C787" s="725">
        <v>42245</v>
      </c>
      <c r="D787" s="726" t="s">
        <v>1004</v>
      </c>
      <c r="E787" s="812">
        <v>42</v>
      </c>
      <c r="F787" s="811">
        <v>41</v>
      </c>
      <c r="G787" s="811">
        <v>34</v>
      </c>
      <c r="H787" s="807">
        <f t="shared" si="76"/>
        <v>1.33</v>
      </c>
      <c r="I787" s="710">
        <v>50</v>
      </c>
      <c r="J787" s="710">
        <f t="shared" si="77"/>
        <v>66.5</v>
      </c>
      <c r="K787" s="710">
        <f t="shared" si="75"/>
        <v>10679.42301254632</v>
      </c>
      <c r="L787" s="656"/>
      <c r="M787" s="292"/>
      <c r="N787" s="701"/>
    </row>
    <row r="788" spans="1:14" ht="15.75" customHeight="1">
      <c r="A788" s="709">
        <f t="shared" si="78"/>
        <v>237</v>
      </c>
      <c r="B788" s="296" t="s">
        <v>2011</v>
      </c>
      <c r="C788" s="725">
        <v>42245</v>
      </c>
      <c r="D788" s="726" t="s">
        <v>1004</v>
      </c>
      <c r="E788" s="812">
        <v>63</v>
      </c>
      <c r="F788" s="811">
        <v>53</v>
      </c>
      <c r="G788" s="811">
        <v>32</v>
      </c>
      <c r="H788" s="807">
        <f t="shared" si="76"/>
        <v>2.09</v>
      </c>
      <c r="I788" s="710">
        <v>50</v>
      </c>
      <c r="J788" s="710">
        <f t="shared" si="77"/>
        <v>104.5</v>
      </c>
      <c r="K788" s="710">
        <f t="shared" si="75"/>
        <v>16781.950448287073</v>
      </c>
      <c r="L788" s="656"/>
      <c r="M788" s="292"/>
      <c r="N788" s="701"/>
    </row>
    <row r="789" spans="1:14" ht="15.75" customHeight="1">
      <c r="A789" s="709">
        <f t="shared" si="78"/>
        <v>238</v>
      </c>
      <c r="B789" s="296" t="s">
        <v>494</v>
      </c>
      <c r="C789" s="725">
        <v>42248</v>
      </c>
      <c r="D789" s="726" t="s">
        <v>1005</v>
      </c>
      <c r="E789" s="812">
        <v>37.5</v>
      </c>
      <c r="F789" s="811">
        <v>25.3</v>
      </c>
      <c r="G789" s="811">
        <v>23.9</v>
      </c>
      <c r="H789" s="807">
        <f t="shared" si="76"/>
        <v>0.68</v>
      </c>
      <c r="I789" s="710">
        <v>1226</v>
      </c>
      <c r="J789" s="710">
        <f t="shared" si="77"/>
        <v>833.68000000000006</v>
      </c>
      <c r="K789" s="710">
        <f t="shared" si="75"/>
        <v>5460.1561267154111</v>
      </c>
      <c r="L789" s="656"/>
      <c r="M789" s="292"/>
      <c r="N789" s="701"/>
    </row>
    <row r="790" spans="1:14" ht="15.75" customHeight="1">
      <c r="A790" s="709">
        <f t="shared" si="78"/>
        <v>239</v>
      </c>
      <c r="B790" s="296" t="s">
        <v>624</v>
      </c>
      <c r="C790" s="725">
        <v>42248</v>
      </c>
      <c r="D790" s="726" t="s">
        <v>1006</v>
      </c>
      <c r="E790" s="812">
        <v>142</v>
      </c>
      <c r="F790" s="811">
        <v>72</v>
      </c>
      <c r="G790" s="811">
        <v>58</v>
      </c>
      <c r="H790" s="807">
        <f t="shared" si="76"/>
        <v>5.76</v>
      </c>
      <c r="I790" s="710">
        <v>135</v>
      </c>
      <c r="J790" s="710">
        <f t="shared" si="77"/>
        <v>777.6</v>
      </c>
      <c r="K790" s="710">
        <f t="shared" si="75"/>
        <v>46250.734249824658</v>
      </c>
      <c r="L790" s="656"/>
      <c r="M790" s="292"/>
      <c r="N790" s="701"/>
    </row>
    <row r="791" spans="1:14" ht="15.75" customHeight="1">
      <c r="A791" s="709">
        <f t="shared" si="78"/>
        <v>240</v>
      </c>
      <c r="B791" s="296" t="s">
        <v>1007</v>
      </c>
      <c r="C791" s="725">
        <v>42248</v>
      </c>
      <c r="D791" s="726" t="s">
        <v>1006</v>
      </c>
      <c r="E791" s="812">
        <v>123</v>
      </c>
      <c r="F791" s="811">
        <v>54</v>
      </c>
      <c r="G791" s="811">
        <v>175</v>
      </c>
      <c r="H791" s="807">
        <f t="shared" si="76"/>
        <v>8.33</v>
      </c>
      <c r="I791" s="710">
        <v>25</v>
      </c>
      <c r="J791" s="710">
        <f t="shared" si="77"/>
        <v>208.25</v>
      </c>
      <c r="K791" s="710">
        <f t="shared" si="75"/>
        <v>66886.912552263791</v>
      </c>
      <c r="L791" s="656"/>
      <c r="M791" s="292"/>
      <c r="N791" s="701"/>
    </row>
    <row r="792" spans="1:14" ht="15.75" customHeight="1">
      <c r="A792" s="709">
        <f t="shared" si="78"/>
        <v>241</v>
      </c>
      <c r="B792" s="296" t="s">
        <v>1008</v>
      </c>
      <c r="C792" s="725">
        <v>42248</v>
      </c>
      <c r="D792" s="726" t="s">
        <v>1006</v>
      </c>
      <c r="E792" s="812">
        <v>58</v>
      </c>
      <c r="F792" s="811">
        <v>57</v>
      </c>
      <c r="G792" s="811">
        <v>61</v>
      </c>
      <c r="H792" s="807">
        <f t="shared" si="76"/>
        <v>2.84</v>
      </c>
      <c r="I792" s="710">
        <v>68</v>
      </c>
      <c r="J792" s="710">
        <f t="shared" si="77"/>
        <v>193.12</v>
      </c>
      <c r="K792" s="710">
        <f t="shared" si="75"/>
        <v>22804.181470399657</v>
      </c>
      <c r="L792" s="656"/>
      <c r="M792" s="292"/>
      <c r="N792" s="701"/>
    </row>
    <row r="793" spans="1:14" ht="15.75" customHeight="1">
      <c r="A793" s="709">
        <f t="shared" si="78"/>
        <v>242</v>
      </c>
      <c r="B793" s="296" t="s">
        <v>923</v>
      </c>
      <c r="C793" s="725">
        <v>42248</v>
      </c>
      <c r="D793" s="726" t="s">
        <v>1006</v>
      </c>
      <c r="E793" s="812">
        <v>58</v>
      </c>
      <c r="F793" s="811">
        <v>57</v>
      </c>
      <c r="G793" s="811">
        <v>80</v>
      </c>
      <c r="H793" s="807">
        <f t="shared" si="76"/>
        <v>3.29</v>
      </c>
      <c r="I793" s="710">
        <v>49</v>
      </c>
      <c r="J793" s="710">
        <f t="shared" si="77"/>
        <v>161.21</v>
      </c>
      <c r="K793" s="710">
        <f t="shared" si="75"/>
        <v>26417.520083667208</v>
      </c>
      <c r="L793" s="656"/>
      <c r="M793" s="292"/>
      <c r="N793" s="701"/>
    </row>
    <row r="794" spans="1:14" ht="15.75" customHeight="1">
      <c r="A794" s="709">
        <f t="shared" si="78"/>
        <v>243</v>
      </c>
      <c r="B794" s="296" t="s">
        <v>921</v>
      </c>
      <c r="C794" s="725">
        <v>42248</v>
      </c>
      <c r="D794" s="726" t="s">
        <v>1006</v>
      </c>
      <c r="E794" s="812">
        <v>47</v>
      </c>
      <c r="F794" s="811">
        <v>47</v>
      </c>
      <c r="G794" s="811">
        <v>52</v>
      </c>
      <c r="H794" s="807">
        <f t="shared" si="76"/>
        <v>1.97</v>
      </c>
      <c r="I794" s="710">
        <v>70</v>
      </c>
      <c r="J794" s="710">
        <f t="shared" si="77"/>
        <v>137.9</v>
      </c>
      <c r="K794" s="710">
        <f t="shared" si="75"/>
        <v>15818.393484749058</v>
      </c>
      <c r="L794" s="656"/>
      <c r="M794" s="292"/>
      <c r="N794" s="701"/>
    </row>
    <row r="795" spans="1:14" ht="15.75" customHeight="1">
      <c r="A795" s="709">
        <f t="shared" si="78"/>
        <v>244</v>
      </c>
      <c r="B795" s="296" t="s">
        <v>1009</v>
      </c>
      <c r="C795" s="725">
        <v>42248</v>
      </c>
      <c r="D795" s="726" t="s">
        <v>1006</v>
      </c>
      <c r="E795" s="812">
        <v>58</v>
      </c>
      <c r="F795" s="811">
        <v>57</v>
      </c>
      <c r="G795" s="811">
        <v>95</v>
      </c>
      <c r="H795" s="807">
        <f t="shared" si="76"/>
        <v>3.64</v>
      </c>
      <c r="I795" s="710">
        <v>45</v>
      </c>
      <c r="J795" s="710">
        <f t="shared" si="77"/>
        <v>163.80000000000001</v>
      </c>
      <c r="K795" s="710">
        <f t="shared" si="75"/>
        <v>29227.894560653083</v>
      </c>
      <c r="L795" s="656"/>
      <c r="M795" s="292"/>
      <c r="N795" s="701"/>
    </row>
    <row r="796" spans="1:14" ht="15.75" customHeight="1">
      <c r="A796" s="709">
        <f t="shared" si="78"/>
        <v>245</v>
      </c>
      <c r="B796" s="296" t="s">
        <v>1782</v>
      </c>
      <c r="C796" s="725">
        <v>42248</v>
      </c>
      <c r="D796" s="726" t="s">
        <v>1010</v>
      </c>
      <c r="E796" s="812">
        <v>80</v>
      </c>
      <c r="F796" s="811">
        <v>177</v>
      </c>
      <c r="G796" s="811"/>
      <c r="H796" s="807">
        <f t="shared" si="76"/>
        <v>1.42</v>
      </c>
      <c r="I796" s="710">
        <v>70</v>
      </c>
      <c r="J796" s="710">
        <f t="shared" si="77"/>
        <v>99.399999999999991</v>
      </c>
      <c r="K796" s="710">
        <f t="shared" si="75"/>
        <v>11402.090735199828</v>
      </c>
      <c r="L796" s="656"/>
      <c r="M796" s="292"/>
      <c r="N796" s="701"/>
    </row>
    <row r="797" spans="1:14" ht="15.75" customHeight="1">
      <c r="A797" s="709">
        <f t="shared" si="78"/>
        <v>246</v>
      </c>
      <c r="B797" s="296" t="s">
        <v>1761</v>
      </c>
      <c r="C797" s="725">
        <v>42248</v>
      </c>
      <c r="D797" s="726" t="s">
        <v>1010</v>
      </c>
      <c r="E797" s="812">
        <v>110</v>
      </c>
      <c r="F797" s="811">
        <v>132</v>
      </c>
      <c r="G797" s="811"/>
      <c r="H797" s="807">
        <f t="shared" si="76"/>
        <v>1.45</v>
      </c>
      <c r="I797" s="710">
        <v>50</v>
      </c>
      <c r="J797" s="710">
        <f t="shared" si="77"/>
        <v>72.5</v>
      </c>
      <c r="K797" s="710">
        <f t="shared" si="75"/>
        <v>11642.979976084333</v>
      </c>
      <c r="L797" s="656"/>
      <c r="M797" s="292"/>
      <c r="N797" s="701"/>
    </row>
    <row r="798" spans="1:14" ht="15.75" customHeight="1">
      <c r="A798" s="709">
        <f t="shared" si="78"/>
        <v>247</v>
      </c>
      <c r="B798" s="296" t="s">
        <v>1783</v>
      </c>
      <c r="C798" s="725">
        <v>42248</v>
      </c>
      <c r="D798" s="726" t="s">
        <v>1010</v>
      </c>
      <c r="E798" s="812">
        <v>135</v>
      </c>
      <c r="F798" s="811">
        <v>105</v>
      </c>
      <c r="G798" s="811"/>
      <c r="H798" s="807">
        <f t="shared" si="76"/>
        <v>1.42</v>
      </c>
      <c r="I798" s="710">
        <v>150</v>
      </c>
      <c r="J798" s="710">
        <f t="shared" si="77"/>
        <v>213</v>
      </c>
      <c r="K798" s="710">
        <f t="shared" si="75"/>
        <v>11402.090735199828</v>
      </c>
      <c r="L798" s="656"/>
      <c r="M798" s="292"/>
      <c r="N798" s="701"/>
    </row>
    <row r="799" spans="1:14" ht="15.75" customHeight="1">
      <c r="A799" s="709">
        <f t="shared" si="78"/>
        <v>248</v>
      </c>
      <c r="B799" s="296" t="s">
        <v>742</v>
      </c>
      <c r="C799" s="725">
        <v>42248</v>
      </c>
      <c r="D799" s="726" t="s">
        <v>1010</v>
      </c>
      <c r="E799" s="812">
        <v>140</v>
      </c>
      <c r="F799" s="811">
        <v>140</v>
      </c>
      <c r="G799" s="811"/>
      <c r="H799" s="807">
        <f t="shared" si="76"/>
        <v>1.96</v>
      </c>
      <c r="I799" s="710">
        <v>395</v>
      </c>
      <c r="J799" s="710">
        <f t="shared" si="77"/>
        <v>774.19999999999993</v>
      </c>
      <c r="K799" s="710">
        <f t="shared" si="75"/>
        <v>15738.09707112089</v>
      </c>
      <c r="L799" s="656"/>
      <c r="M799" s="292"/>
      <c r="N799" s="701"/>
    </row>
    <row r="800" spans="1:14" ht="15.75" customHeight="1">
      <c r="A800" s="709">
        <f t="shared" si="78"/>
        <v>249</v>
      </c>
      <c r="B800" s="296" t="s">
        <v>668</v>
      </c>
      <c r="C800" s="725">
        <v>42248</v>
      </c>
      <c r="D800" s="726" t="s">
        <v>1010</v>
      </c>
      <c r="E800" s="812">
        <v>115</v>
      </c>
      <c r="F800" s="811">
        <v>194</v>
      </c>
      <c r="G800" s="811"/>
      <c r="H800" s="807">
        <f t="shared" si="76"/>
        <v>2.23</v>
      </c>
      <c r="I800" s="710">
        <v>25</v>
      </c>
      <c r="J800" s="710">
        <f t="shared" si="77"/>
        <v>55.75</v>
      </c>
      <c r="K800" s="710">
        <f t="shared" si="75"/>
        <v>17906.100239081421</v>
      </c>
      <c r="L800" s="656"/>
      <c r="M800" s="292"/>
      <c r="N800" s="701"/>
    </row>
    <row r="801" spans="1:14" ht="15.75" customHeight="1">
      <c r="A801" s="709">
        <f t="shared" si="78"/>
        <v>250</v>
      </c>
      <c r="B801" s="296" t="s">
        <v>1741</v>
      </c>
      <c r="C801" s="725">
        <v>42248</v>
      </c>
      <c r="D801" s="726" t="s">
        <v>1010</v>
      </c>
      <c r="E801" s="812">
        <v>85</v>
      </c>
      <c r="F801" s="811">
        <v>130</v>
      </c>
      <c r="G801" s="811"/>
      <c r="H801" s="807">
        <f t="shared" si="76"/>
        <v>1.1100000000000001</v>
      </c>
      <c r="I801" s="710">
        <v>25</v>
      </c>
      <c r="J801" s="710">
        <f t="shared" si="77"/>
        <v>27.750000000000004</v>
      </c>
      <c r="K801" s="710">
        <f t="shared" si="75"/>
        <v>8912.9019127266274</v>
      </c>
      <c r="L801" s="656"/>
      <c r="M801" s="292"/>
      <c r="N801" s="701"/>
    </row>
    <row r="802" spans="1:14" ht="15.75" customHeight="1">
      <c r="A802" s="709">
        <f t="shared" si="78"/>
        <v>251</v>
      </c>
      <c r="B802" s="296" t="s">
        <v>741</v>
      </c>
      <c r="C802" s="725">
        <v>42248</v>
      </c>
      <c r="D802" s="726" t="s">
        <v>1010</v>
      </c>
      <c r="E802" s="812">
        <v>85</v>
      </c>
      <c r="F802" s="811">
        <v>116</v>
      </c>
      <c r="G802" s="811"/>
      <c r="H802" s="807">
        <f t="shared" si="76"/>
        <v>0.99</v>
      </c>
      <c r="I802" s="710">
        <v>140</v>
      </c>
      <c r="J802" s="710">
        <f t="shared" si="77"/>
        <v>138.6</v>
      </c>
      <c r="K802" s="710">
        <f t="shared" si="75"/>
        <v>7949.3449491886131</v>
      </c>
      <c r="L802" s="656"/>
      <c r="M802" s="292"/>
      <c r="N802" s="701"/>
    </row>
    <row r="803" spans="1:14" ht="15.75" customHeight="1">
      <c r="A803" s="709">
        <f t="shared" si="78"/>
        <v>252</v>
      </c>
      <c r="B803" s="296" t="s">
        <v>1784</v>
      </c>
      <c r="C803" s="725">
        <v>42248</v>
      </c>
      <c r="D803" s="726" t="s">
        <v>1010</v>
      </c>
      <c r="E803" s="812">
        <v>135</v>
      </c>
      <c r="F803" s="811">
        <v>88</v>
      </c>
      <c r="G803" s="811"/>
      <c r="H803" s="807">
        <f t="shared" si="76"/>
        <v>1.19</v>
      </c>
      <c r="I803" s="710">
        <v>50</v>
      </c>
      <c r="J803" s="710">
        <f t="shared" si="77"/>
        <v>59.5</v>
      </c>
      <c r="K803" s="710">
        <f t="shared" si="75"/>
        <v>9555.2732217519697</v>
      </c>
      <c r="L803" s="656"/>
      <c r="M803" s="292"/>
      <c r="N803" s="701"/>
    </row>
    <row r="804" spans="1:14" ht="15.75" customHeight="1">
      <c r="A804" s="709">
        <f t="shared" si="78"/>
        <v>253</v>
      </c>
      <c r="B804" s="296" t="s">
        <v>1785</v>
      </c>
      <c r="C804" s="725">
        <v>42248</v>
      </c>
      <c r="D804" s="726" t="s">
        <v>1010</v>
      </c>
      <c r="E804" s="812">
        <v>135</v>
      </c>
      <c r="F804" s="811">
        <v>106</v>
      </c>
      <c r="G804" s="811"/>
      <c r="H804" s="807">
        <f t="shared" si="76"/>
        <v>1.43</v>
      </c>
      <c r="I804" s="710">
        <v>35</v>
      </c>
      <c r="J804" s="710">
        <f t="shared" si="77"/>
        <v>50.05</v>
      </c>
      <c r="K804" s="710">
        <f t="shared" si="75"/>
        <v>11482.387148827996</v>
      </c>
      <c r="L804" s="656"/>
      <c r="M804" s="292"/>
      <c r="N804" s="701"/>
    </row>
    <row r="805" spans="1:14" ht="15.75" customHeight="1">
      <c r="A805" s="709">
        <f t="shared" si="78"/>
        <v>254</v>
      </c>
      <c r="B805" s="296" t="s">
        <v>1780</v>
      </c>
      <c r="C805" s="725">
        <v>42248</v>
      </c>
      <c r="D805" s="726" t="s">
        <v>1010</v>
      </c>
      <c r="E805" s="812">
        <v>100</v>
      </c>
      <c r="F805" s="811">
        <v>87</v>
      </c>
      <c r="G805" s="811"/>
      <c r="H805" s="807">
        <f t="shared" si="76"/>
        <v>0.87</v>
      </c>
      <c r="I805" s="710">
        <v>125</v>
      </c>
      <c r="J805" s="710">
        <f t="shared" si="77"/>
        <v>108.75</v>
      </c>
      <c r="K805" s="710">
        <f t="shared" si="75"/>
        <v>6985.7879856505997</v>
      </c>
      <c r="L805" s="656"/>
      <c r="M805" s="292"/>
      <c r="N805" s="701"/>
    </row>
    <row r="806" spans="1:14" ht="15.75" customHeight="1">
      <c r="A806" s="709">
        <f t="shared" si="78"/>
        <v>255</v>
      </c>
      <c r="B806" s="296" t="s">
        <v>1011</v>
      </c>
      <c r="C806" s="725">
        <v>42254</v>
      </c>
      <c r="D806" s="726" t="s">
        <v>1012</v>
      </c>
      <c r="E806" s="812">
        <v>50</v>
      </c>
      <c r="F806" s="811">
        <v>30</v>
      </c>
      <c r="G806" s="811">
        <v>50</v>
      </c>
      <c r="H806" s="807">
        <f t="shared" si="76"/>
        <v>1.37</v>
      </c>
      <c r="I806" s="710">
        <v>1013</v>
      </c>
      <c r="J806" s="710">
        <f t="shared" si="77"/>
        <v>1387.8100000000002</v>
      </c>
      <c r="K806" s="710">
        <f t="shared" si="75"/>
        <v>11000.60866705899</v>
      </c>
      <c r="L806" s="656"/>
      <c r="M806" s="292"/>
      <c r="N806" s="701"/>
    </row>
    <row r="807" spans="1:14" ht="15.75" customHeight="1">
      <c r="A807" s="709">
        <f t="shared" si="78"/>
        <v>256</v>
      </c>
      <c r="B807" s="296" t="s">
        <v>441</v>
      </c>
      <c r="C807" s="725">
        <v>42255</v>
      </c>
      <c r="D807" s="726" t="s">
        <v>1014</v>
      </c>
      <c r="E807" s="812">
        <v>22</v>
      </c>
      <c r="F807" s="811">
        <v>22</v>
      </c>
      <c r="G807" s="811">
        <v>29.5</v>
      </c>
      <c r="H807" s="807">
        <f t="shared" si="76"/>
        <v>0.51</v>
      </c>
      <c r="I807" s="710">
        <v>984</v>
      </c>
      <c r="J807" s="710">
        <f t="shared" si="77"/>
        <v>501.84000000000003</v>
      </c>
      <c r="K807" s="710">
        <f t="shared" si="75"/>
        <v>4095.1170950365586</v>
      </c>
      <c r="L807" s="656"/>
      <c r="M807" s="292"/>
      <c r="N807" s="701"/>
    </row>
    <row r="808" spans="1:14" ht="15.75" customHeight="1">
      <c r="A808" s="709">
        <f t="shared" si="78"/>
        <v>257</v>
      </c>
      <c r="B808" s="296" t="s">
        <v>1015</v>
      </c>
      <c r="C808" s="725">
        <v>42255</v>
      </c>
      <c r="D808" s="726" t="s">
        <v>1016</v>
      </c>
      <c r="E808" s="812">
        <v>58</v>
      </c>
      <c r="F808" s="811">
        <v>38</v>
      </c>
      <c r="G808" s="811">
        <v>40</v>
      </c>
      <c r="H808" s="807">
        <f t="shared" si="76"/>
        <v>1.6</v>
      </c>
      <c r="I808" s="710">
        <v>80</v>
      </c>
      <c r="J808" s="710">
        <f t="shared" si="77"/>
        <v>128</v>
      </c>
      <c r="K808" s="710">
        <f t="shared" ref="K808:K871" si="79">H808*$Q$611</f>
        <v>12847.426180506851</v>
      </c>
      <c r="L808" s="656"/>
      <c r="M808" s="292"/>
      <c r="N808" s="701"/>
    </row>
    <row r="809" spans="1:14" ht="15.75" customHeight="1">
      <c r="A809" s="709">
        <f t="shared" si="78"/>
        <v>258</v>
      </c>
      <c r="B809" s="296" t="s">
        <v>1786</v>
      </c>
      <c r="C809" s="725">
        <v>42255</v>
      </c>
      <c r="D809" s="726" t="s">
        <v>1017</v>
      </c>
      <c r="E809" s="812">
        <v>145</v>
      </c>
      <c r="F809" s="811">
        <v>184</v>
      </c>
      <c r="G809" s="811"/>
      <c r="H809" s="807">
        <f t="shared" si="76"/>
        <v>2.67</v>
      </c>
      <c r="I809" s="710">
        <v>50</v>
      </c>
      <c r="J809" s="710">
        <f t="shared" si="77"/>
        <v>133.5</v>
      </c>
      <c r="K809" s="710">
        <f t="shared" si="79"/>
        <v>21439.142438720806</v>
      </c>
      <c r="L809" s="656"/>
      <c r="M809" s="292"/>
      <c r="N809" s="701"/>
    </row>
    <row r="810" spans="1:14" ht="15.75" customHeight="1">
      <c r="A810" s="709">
        <f t="shared" si="78"/>
        <v>259</v>
      </c>
      <c r="B810" s="296" t="s">
        <v>1786</v>
      </c>
      <c r="C810" s="725">
        <v>42255</v>
      </c>
      <c r="D810" s="726" t="s">
        <v>1017</v>
      </c>
      <c r="E810" s="812">
        <v>145</v>
      </c>
      <c r="F810" s="811">
        <v>184</v>
      </c>
      <c r="G810" s="811"/>
      <c r="H810" s="807">
        <f t="shared" si="76"/>
        <v>2.67</v>
      </c>
      <c r="I810" s="710">
        <v>100</v>
      </c>
      <c r="J810" s="710">
        <f t="shared" si="77"/>
        <v>267</v>
      </c>
      <c r="K810" s="710">
        <f t="shared" si="79"/>
        <v>21439.142438720806</v>
      </c>
      <c r="L810" s="656"/>
      <c r="M810" s="292"/>
      <c r="N810" s="701"/>
    </row>
    <row r="811" spans="1:14" ht="15.75" customHeight="1">
      <c r="A811" s="709">
        <f t="shared" si="78"/>
        <v>260</v>
      </c>
      <c r="B811" s="296" t="s">
        <v>692</v>
      </c>
      <c r="C811" s="725">
        <v>42255</v>
      </c>
      <c r="D811" s="726" t="s">
        <v>1017</v>
      </c>
      <c r="E811" s="812">
        <v>105</v>
      </c>
      <c r="F811" s="811">
        <v>170</v>
      </c>
      <c r="G811" s="811"/>
      <c r="H811" s="807">
        <f t="shared" si="76"/>
        <v>1.79</v>
      </c>
      <c r="I811" s="710">
        <v>75</v>
      </c>
      <c r="J811" s="710">
        <f t="shared" si="77"/>
        <v>134.25</v>
      </c>
      <c r="K811" s="710">
        <f t="shared" si="79"/>
        <v>14373.058039442038</v>
      </c>
      <c r="L811" s="656"/>
      <c r="M811" s="292"/>
      <c r="N811" s="701"/>
    </row>
    <row r="812" spans="1:14" ht="15.75" customHeight="1">
      <c r="A812" s="709">
        <f t="shared" si="78"/>
        <v>261</v>
      </c>
      <c r="B812" s="296" t="s">
        <v>694</v>
      </c>
      <c r="C812" s="725">
        <v>42255</v>
      </c>
      <c r="D812" s="726" t="s">
        <v>1017</v>
      </c>
      <c r="E812" s="812">
        <v>105</v>
      </c>
      <c r="F812" s="811">
        <v>140</v>
      </c>
      <c r="G812" s="811"/>
      <c r="H812" s="807">
        <f t="shared" si="76"/>
        <v>1.47</v>
      </c>
      <c r="I812" s="710">
        <v>30</v>
      </c>
      <c r="J812" s="710">
        <f t="shared" si="77"/>
        <v>44.1</v>
      </c>
      <c r="K812" s="710">
        <f t="shared" si="79"/>
        <v>11803.572803340669</v>
      </c>
      <c r="L812" s="656"/>
      <c r="M812" s="292"/>
      <c r="N812" s="701"/>
    </row>
    <row r="813" spans="1:14" ht="15.75" customHeight="1">
      <c r="A813" s="709">
        <f t="shared" si="78"/>
        <v>262</v>
      </c>
      <c r="B813" s="296" t="s">
        <v>1700</v>
      </c>
      <c r="C813" s="725">
        <v>42255</v>
      </c>
      <c r="D813" s="726" t="s">
        <v>1017</v>
      </c>
      <c r="E813" s="812">
        <v>85</v>
      </c>
      <c r="F813" s="811">
        <v>210</v>
      </c>
      <c r="G813" s="811"/>
      <c r="H813" s="807">
        <f t="shared" si="76"/>
        <v>1.79</v>
      </c>
      <c r="I813" s="710">
        <v>50</v>
      </c>
      <c r="J813" s="710">
        <f t="shared" si="77"/>
        <v>89.5</v>
      </c>
      <c r="K813" s="710">
        <f t="shared" si="79"/>
        <v>14373.058039442038</v>
      </c>
      <c r="L813" s="656"/>
      <c r="M813" s="292"/>
      <c r="N813" s="701"/>
    </row>
    <row r="814" spans="1:14" ht="15.75" customHeight="1">
      <c r="A814" s="709">
        <f t="shared" si="78"/>
        <v>263</v>
      </c>
      <c r="B814" s="296" t="s">
        <v>1787</v>
      </c>
      <c r="C814" s="725">
        <v>42255</v>
      </c>
      <c r="D814" s="726" t="s">
        <v>1017</v>
      </c>
      <c r="E814" s="812">
        <v>45</v>
      </c>
      <c r="F814" s="811">
        <v>48</v>
      </c>
      <c r="G814" s="811"/>
      <c r="H814" s="807">
        <f t="shared" si="76"/>
        <v>0.22</v>
      </c>
      <c r="I814" s="710">
        <v>750</v>
      </c>
      <c r="J814" s="710">
        <f t="shared" si="77"/>
        <v>165</v>
      </c>
      <c r="K814" s="710">
        <f t="shared" si="79"/>
        <v>1766.5210998196919</v>
      </c>
      <c r="L814" s="656"/>
      <c r="M814" s="292"/>
      <c r="N814" s="701"/>
    </row>
    <row r="815" spans="1:14" ht="15.75" customHeight="1">
      <c r="A815" s="709">
        <f t="shared" si="78"/>
        <v>264</v>
      </c>
      <c r="B815" s="296" t="s">
        <v>1788</v>
      </c>
      <c r="C815" s="725">
        <v>42255</v>
      </c>
      <c r="D815" s="726" t="s">
        <v>1017</v>
      </c>
      <c r="E815" s="812">
        <v>125</v>
      </c>
      <c r="F815" s="811">
        <v>84</v>
      </c>
      <c r="G815" s="811"/>
      <c r="H815" s="807">
        <f t="shared" si="76"/>
        <v>1.05</v>
      </c>
      <c r="I815" s="710">
        <v>210</v>
      </c>
      <c r="J815" s="710">
        <f t="shared" si="77"/>
        <v>220.5</v>
      </c>
      <c r="K815" s="710">
        <f t="shared" si="79"/>
        <v>8431.1234309576212</v>
      </c>
      <c r="L815" s="656"/>
      <c r="M815" s="292"/>
      <c r="N815" s="701"/>
    </row>
    <row r="816" spans="1:14" ht="15.75" customHeight="1">
      <c r="A816" s="709">
        <f t="shared" si="78"/>
        <v>265</v>
      </c>
      <c r="B816" s="296" t="s">
        <v>1745</v>
      </c>
      <c r="C816" s="725">
        <v>42255</v>
      </c>
      <c r="D816" s="726" t="s">
        <v>1017</v>
      </c>
      <c r="E816" s="812">
        <v>100</v>
      </c>
      <c r="F816" s="811">
        <v>116</v>
      </c>
      <c r="G816" s="811"/>
      <c r="H816" s="807">
        <f t="shared" si="76"/>
        <v>1.1599999999999999</v>
      </c>
      <c r="I816" s="710">
        <v>185</v>
      </c>
      <c r="J816" s="710">
        <f t="shared" si="77"/>
        <v>214.6</v>
      </c>
      <c r="K816" s="710">
        <f t="shared" si="79"/>
        <v>9314.3839808674657</v>
      </c>
      <c r="L816" s="656"/>
      <c r="M816" s="292"/>
      <c r="N816" s="701"/>
    </row>
    <row r="817" spans="1:14" ht="15.75" customHeight="1">
      <c r="A817" s="709">
        <f t="shared" si="78"/>
        <v>266</v>
      </c>
      <c r="B817" s="296" t="s">
        <v>1789</v>
      </c>
      <c r="C817" s="725">
        <v>42255</v>
      </c>
      <c r="D817" s="726" t="s">
        <v>1017</v>
      </c>
      <c r="E817" s="812">
        <v>96</v>
      </c>
      <c r="F817" s="811">
        <v>113</v>
      </c>
      <c r="G817" s="811"/>
      <c r="H817" s="807">
        <f t="shared" si="76"/>
        <v>1.08</v>
      </c>
      <c r="I817" s="710">
        <v>185</v>
      </c>
      <c r="J817" s="710">
        <f t="shared" si="77"/>
        <v>199.8</v>
      </c>
      <c r="K817" s="710">
        <f t="shared" si="79"/>
        <v>8672.0126718421234</v>
      </c>
      <c r="L817" s="656"/>
      <c r="M817" s="292"/>
      <c r="N817" s="701"/>
    </row>
    <row r="818" spans="1:14" ht="15.75" customHeight="1">
      <c r="A818" s="709">
        <f t="shared" si="78"/>
        <v>267</v>
      </c>
      <c r="B818" s="296" t="s">
        <v>1018</v>
      </c>
      <c r="C818" s="725">
        <v>42256</v>
      </c>
      <c r="D818" s="726" t="s">
        <v>1019</v>
      </c>
      <c r="E818" s="812">
        <v>50</v>
      </c>
      <c r="F818" s="811">
        <v>35</v>
      </c>
      <c r="G818" s="811">
        <v>45</v>
      </c>
      <c r="H818" s="807">
        <f t="shared" ref="H818:H879" si="80">IF(G818&lt;&gt;"",ROUND(((E818+F818)*2+5)*(F818+G818+3)/10000,2),ROUND(E818*F818/10000,2))</f>
        <v>1.45</v>
      </c>
      <c r="I818" s="710">
        <v>300</v>
      </c>
      <c r="J818" s="710">
        <f t="shared" si="77"/>
        <v>435</v>
      </c>
      <c r="K818" s="710">
        <f t="shared" si="79"/>
        <v>11642.979976084333</v>
      </c>
      <c r="L818" s="656"/>
      <c r="M818" s="292"/>
      <c r="N818" s="701"/>
    </row>
    <row r="819" spans="1:14" ht="15.75" customHeight="1">
      <c r="A819" s="709">
        <f t="shared" si="78"/>
        <v>268</v>
      </c>
      <c r="B819" s="296" t="s">
        <v>1790</v>
      </c>
      <c r="C819" s="725">
        <v>42256</v>
      </c>
      <c r="D819" s="726" t="s">
        <v>1020</v>
      </c>
      <c r="E819" s="812">
        <v>90</v>
      </c>
      <c r="F819" s="811">
        <v>90</v>
      </c>
      <c r="G819" s="811"/>
      <c r="H819" s="807">
        <f t="shared" si="80"/>
        <v>0.81</v>
      </c>
      <c r="I819" s="710">
        <v>52</v>
      </c>
      <c r="J819" s="710">
        <f t="shared" ref="J819:J879" si="81">H819*I819</f>
        <v>42.120000000000005</v>
      </c>
      <c r="K819" s="710">
        <f t="shared" si="79"/>
        <v>6504.0095038815934</v>
      </c>
      <c r="L819" s="656"/>
      <c r="M819" s="292"/>
      <c r="N819" s="701"/>
    </row>
    <row r="820" spans="1:14" ht="15.75" customHeight="1">
      <c r="A820" s="709">
        <f t="shared" si="78"/>
        <v>269</v>
      </c>
      <c r="B820" s="296" t="s">
        <v>746</v>
      </c>
      <c r="C820" s="725">
        <v>42256</v>
      </c>
      <c r="D820" s="726" t="s">
        <v>1020</v>
      </c>
      <c r="E820" s="812">
        <v>125</v>
      </c>
      <c r="F820" s="811">
        <v>185</v>
      </c>
      <c r="G820" s="811"/>
      <c r="H820" s="807">
        <f t="shared" si="80"/>
        <v>2.31</v>
      </c>
      <c r="I820" s="710">
        <v>1000</v>
      </c>
      <c r="J820" s="710">
        <f t="shared" si="81"/>
        <v>2310</v>
      </c>
      <c r="K820" s="710">
        <f t="shared" si="79"/>
        <v>18548.471548106765</v>
      </c>
      <c r="L820" s="656"/>
      <c r="M820" s="292"/>
      <c r="N820" s="701"/>
    </row>
    <row r="821" spans="1:14" ht="15.75" customHeight="1">
      <c r="A821" s="709">
        <f t="shared" si="78"/>
        <v>270</v>
      </c>
      <c r="B821" s="296" t="s">
        <v>748</v>
      </c>
      <c r="C821" s="725">
        <v>42256</v>
      </c>
      <c r="D821" s="726" t="s">
        <v>1020</v>
      </c>
      <c r="E821" s="812">
        <v>115</v>
      </c>
      <c r="F821" s="811">
        <v>163</v>
      </c>
      <c r="G821" s="811"/>
      <c r="H821" s="807">
        <f t="shared" si="80"/>
        <v>1.87</v>
      </c>
      <c r="I821" s="710">
        <v>100</v>
      </c>
      <c r="J821" s="710">
        <f t="shared" si="81"/>
        <v>187</v>
      </c>
      <c r="K821" s="710">
        <f t="shared" si="79"/>
        <v>15015.429348467382</v>
      </c>
      <c r="L821" s="656"/>
      <c r="M821" s="292"/>
      <c r="N821" s="701"/>
    </row>
    <row r="822" spans="1:14" ht="15.75" customHeight="1">
      <c r="A822" s="709">
        <f t="shared" si="78"/>
        <v>271</v>
      </c>
      <c r="B822" s="296" t="s">
        <v>728</v>
      </c>
      <c r="C822" s="725">
        <v>42256</v>
      </c>
      <c r="D822" s="726" t="s">
        <v>1020</v>
      </c>
      <c r="E822" s="812">
        <v>80</v>
      </c>
      <c r="F822" s="811">
        <v>212</v>
      </c>
      <c r="G822" s="811"/>
      <c r="H822" s="807">
        <f t="shared" si="80"/>
        <v>1.7</v>
      </c>
      <c r="I822" s="710">
        <v>100</v>
      </c>
      <c r="J822" s="710">
        <f t="shared" si="81"/>
        <v>170</v>
      </c>
      <c r="K822" s="710">
        <f t="shared" si="79"/>
        <v>13650.390316788527</v>
      </c>
      <c r="L822" s="656"/>
      <c r="M822" s="292"/>
      <c r="N822" s="701"/>
    </row>
    <row r="823" spans="1:14" ht="15.75" customHeight="1">
      <c r="A823" s="709">
        <f t="shared" si="78"/>
        <v>272</v>
      </c>
      <c r="B823" s="296" t="s">
        <v>1791</v>
      </c>
      <c r="C823" s="725">
        <v>42257</v>
      </c>
      <c r="D823" s="726" t="s">
        <v>1021</v>
      </c>
      <c r="E823" s="812">
        <v>135</v>
      </c>
      <c r="F823" s="811">
        <v>206</v>
      </c>
      <c r="G823" s="811"/>
      <c r="H823" s="807">
        <f t="shared" si="80"/>
        <v>2.78</v>
      </c>
      <c r="I823" s="710">
        <v>500</v>
      </c>
      <c r="J823" s="710">
        <f t="shared" si="81"/>
        <v>1390</v>
      </c>
      <c r="K823" s="710">
        <f t="shared" si="79"/>
        <v>22322.402988630649</v>
      </c>
      <c r="L823" s="656"/>
      <c r="M823" s="292"/>
      <c r="N823" s="701"/>
    </row>
    <row r="824" spans="1:14" ht="15.75" customHeight="1">
      <c r="A824" s="709">
        <f t="shared" si="78"/>
        <v>273</v>
      </c>
      <c r="B824" s="296" t="s">
        <v>1792</v>
      </c>
      <c r="C824" s="725">
        <v>42257</v>
      </c>
      <c r="D824" s="726" t="s">
        <v>1021</v>
      </c>
      <c r="E824" s="812">
        <v>120</v>
      </c>
      <c r="F824" s="811">
        <v>66</v>
      </c>
      <c r="G824" s="811"/>
      <c r="H824" s="807">
        <f t="shared" si="80"/>
        <v>0.79</v>
      </c>
      <c r="I824" s="710">
        <v>2070</v>
      </c>
      <c r="J824" s="710">
        <f t="shared" si="81"/>
        <v>1635.3000000000002</v>
      </c>
      <c r="K824" s="710">
        <f t="shared" si="79"/>
        <v>6343.4166766252574</v>
      </c>
      <c r="L824" s="656"/>
      <c r="M824" s="292"/>
      <c r="N824" s="701"/>
    </row>
    <row r="825" spans="1:14" ht="15.75" customHeight="1">
      <c r="A825" s="709">
        <f t="shared" si="78"/>
        <v>274</v>
      </c>
      <c r="B825" s="296" t="s">
        <v>413</v>
      </c>
      <c r="C825" s="725">
        <v>42257</v>
      </c>
      <c r="D825" s="726" t="s">
        <v>1023</v>
      </c>
      <c r="E825" s="812">
        <v>49</v>
      </c>
      <c r="F825" s="811">
        <v>38</v>
      </c>
      <c r="G825" s="811">
        <v>12</v>
      </c>
      <c r="H825" s="807">
        <f t="shared" si="80"/>
        <v>0.95</v>
      </c>
      <c r="I825" s="710">
        <v>401</v>
      </c>
      <c r="J825" s="710">
        <f t="shared" si="81"/>
        <v>380.95</v>
      </c>
      <c r="K825" s="710">
        <f t="shared" si="79"/>
        <v>7628.159294675942</v>
      </c>
      <c r="L825" s="656"/>
      <c r="M825" s="292"/>
      <c r="N825" s="701"/>
    </row>
    <row r="826" spans="1:14" ht="15.75" customHeight="1">
      <c r="A826" s="709">
        <f t="shared" si="78"/>
        <v>275</v>
      </c>
      <c r="B826" s="296" t="s">
        <v>1024</v>
      </c>
      <c r="C826" s="725">
        <v>42257</v>
      </c>
      <c r="D826" s="726" t="s">
        <v>1023</v>
      </c>
      <c r="E826" s="812">
        <v>38</v>
      </c>
      <c r="F826" s="811">
        <v>24.5</v>
      </c>
      <c r="G826" s="811">
        <v>32.5</v>
      </c>
      <c r="H826" s="807">
        <f t="shared" si="80"/>
        <v>0.78</v>
      </c>
      <c r="I826" s="710">
        <v>34</v>
      </c>
      <c r="J826" s="710">
        <f t="shared" si="81"/>
        <v>26.52</v>
      </c>
      <c r="K826" s="710">
        <f t="shared" si="79"/>
        <v>6263.1202629970894</v>
      </c>
      <c r="L826" s="656"/>
      <c r="M826" s="292"/>
      <c r="N826" s="701"/>
    </row>
    <row r="827" spans="1:14" ht="15.75" customHeight="1">
      <c r="A827" s="709">
        <f t="shared" si="78"/>
        <v>276</v>
      </c>
      <c r="B827" s="296" t="s">
        <v>1011</v>
      </c>
      <c r="C827" s="725">
        <v>42258</v>
      </c>
      <c r="D827" s="726" t="s">
        <v>1025</v>
      </c>
      <c r="E827" s="812">
        <v>50</v>
      </c>
      <c r="F827" s="811">
        <v>30</v>
      </c>
      <c r="G827" s="811">
        <v>50</v>
      </c>
      <c r="H827" s="807">
        <f t="shared" si="80"/>
        <v>1.37</v>
      </c>
      <c r="I827" s="710">
        <v>1000</v>
      </c>
      <c r="J827" s="710">
        <f t="shared" si="81"/>
        <v>1370</v>
      </c>
      <c r="K827" s="710">
        <f t="shared" si="79"/>
        <v>11000.60866705899</v>
      </c>
      <c r="L827" s="656"/>
      <c r="M827" s="292"/>
      <c r="N827" s="701"/>
    </row>
    <row r="828" spans="1:14" ht="15.75" customHeight="1">
      <c r="A828" s="709">
        <f t="shared" si="78"/>
        <v>277</v>
      </c>
      <c r="B828" s="296" t="s">
        <v>1702</v>
      </c>
      <c r="C828" s="725">
        <v>42258</v>
      </c>
      <c r="D828" s="726" t="s">
        <v>1026</v>
      </c>
      <c r="E828" s="812">
        <v>110</v>
      </c>
      <c r="F828" s="811">
        <v>113</v>
      </c>
      <c r="G828" s="811"/>
      <c r="H828" s="807">
        <f t="shared" si="80"/>
        <v>1.24</v>
      </c>
      <c r="I828" s="710">
        <v>500</v>
      </c>
      <c r="J828" s="710">
        <f t="shared" si="81"/>
        <v>620</v>
      </c>
      <c r="K828" s="710">
        <f t="shared" si="79"/>
        <v>9956.7552898928079</v>
      </c>
      <c r="L828" s="656"/>
      <c r="M828" s="292"/>
      <c r="N828" s="701"/>
    </row>
    <row r="829" spans="1:14" ht="15.75" customHeight="1">
      <c r="A829" s="709">
        <f t="shared" si="78"/>
        <v>278</v>
      </c>
      <c r="B829" s="296" t="s">
        <v>398</v>
      </c>
      <c r="C829" s="725">
        <v>42259</v>
      </c>
      <c r="D829" s="726" t="s">
        <v>1027</v>
      </c>
      <c r="E829" s="812">
        <v>52</v>
      </c>
      <c r="F829" s="811">
        <v>24.5</v>
      </c>
      <c r="G829" s="811">
        <v>24.5</v>
      </c>
      <c r="H829" s="807">
        <f t="shared" si="80"/>
        <v>0.82</v>
      </c>
      <c r="I829" s="710">
        <v>931</v>
      </c>
      <c r="J829" s="710">
        <f t="shared" si="81"/>
        <v>763.42</v>
      </c>
      <c r="K829" s="710">
        <f t="shared" si="79"/>
        <v>6584.3059175097605</v>
      </c>
      <c r="L829" s="656"/>
      <c r="M829" s="292"/>
      <c r="N829" s="701"/>
    </row>
    <row r="830" spans="1:14" ht="15.75" customHeight="1">
      <c r="A830" s="709">
        <f t="shared" si="78"/>
        <v>279</v>
      </c>
      <c r="B830" s="296" t="s">
        <v>446</v>
      </c>
      <c r="C830" s="725">
        <v>42259</v>
      </c>
      <c r="D830" s="726" t="s">
        <v>1027</v>
      </c>
      <c r="E830" s="812">
        <v>52</v>
      </c>
      <c r="F830" s="811">
        <v>26.5</v>
      </c>
      <c r="G830" s="811">
        <v>26.5</v>
      </c>
      <c r="H830" s="807">
        <f t="shared" si="80"/>
        <v>0.91</v>
      </c>
      <c r="I830" s="710">
        <v>311</v>
      </c>
      <c r="J830" s="710">
        <f t="shared" si="81"/>
        <v>283.01</v>
      </c>
      <c r="K830" s="710">
        <f t="shared" si="79"/>
        <v>7306.9736401632708</v>
      </c>
      <c r="L830" s="656"/>
      <c r="M830" s="292"/>
      <c r="N830" s="701"/>
    </row>
    <row r="831" spans="1:14" ht="15.75" customHeight="1">
      <c r="A831" s="709">
        <f t="shared" si="78"/>
        <v>280</v>
      </c>
      <c r="B831" s="296" t="s">
        <v>401</v>
      </c>
      <c r="C831" s="725">
        <v>42259</v>
      </c>
      <c r="D831" s="726" t="s">
        <v>1027</v>
      </c>
      <c r="E831" s="812">
        <v>52</v>
      </c>
      <c r="F831" s="811">
        <v>32</v>
      </c>
      <c r="G831" s="811">
        <v>21</v>
      </c>
      <c r="H831" s="807">
        <f t="shared" si="80"/>
        <v>0.97</v>
      </c>
      <c r="I831" s="710">
        <v>311</v>
      </c>
      <c r="J831" s="710">
        <f t="shared" si="81"/>
        <v>301.67</v>
      </c>
      <c r="K831" s="710">
        <f t="shared" si="79"/>
        <v>7788.7521219322771</v>
      </c>
      <c r="L831" s="656"/>
      <c r="M831" s="292"/>
      <c r="N831" s="701"/>
    </row>
    <row r="832" spans="1:14" ht="15.75" customHeight="1">
      <c r="A832" s="709">
        <f t="shared" si="78"/>
        <v>281</v>
      </c>
      <c r="B832" s="296" t="s">
        <v>1948</v>
      </c>
      <c r="C832" s="725">
        <v>42259</v>
      </c>
      <c r="D832" s="726" t="s">
        <v>1028</v>
      </c>
      <c r="E832" s="812">
        <v>43</v>
      </c>
      <c r="F832" s="811">
        <v>42</v>
      </c>
      <c r="G832" s="811">
        <v>26</v>
      </c>
      <c r="H832" s="807">
        <f t="shared" si="80"/>
        <v>1.24</v>
      </c>
      <c r="I832" s="710">
        <v>1667</v>
      </c>
      <c r="J832" s="710">
        <f t="shared" si="81"/>
        <v>2067.08</v>
      </c>
      <c r="K832" s="710">
        <f t="shared" si="79"/>
        <v>9956.7552898928079</v>
      </c>
      <c r="L832" s="656"/>
      <c r="M832" s="292"/>
      <c r="N832" s="701"/>
    </row>
    <row r="833" spans="1:14" ht="15.75" customHeight="1">
      <c r="A833" s="709">
        <f t="shared" si="78"/>
        <v>282</v>
      </c>
      <c r="B833" s="296" t="s">
        <v>1766</v>
      </c>
      <c r="C833" s="725">
        <v>42259</v>
      </c>
      <c r="D833" s="726" t="s">
        <v>1029</v>
      </c>
      <c r="E833" s="812">
        <v>110</v>
      </c>
      <c r="F833" s="811">
        <v>114</v>
      </c>
      <c r="G833" s="811"/>
      <c r="H833" s="807">
        <f t="shared" si="80"/>
        <v>1.25</v>
      </c>
      <c r="I833" s="710">
        <v>1500</v>
      </c>
      <c r="J833" s="710">
        <f t="shared" si="81"/>
        <v>1875</v>
      </c>
      <c r="K833" s="710">
        <f t="shared" si="79"/>
        <v>10037.051703520976</v>
      </c>
      <c r="L833" s="656"/>
      <c r="M833" s="292"/>
      <c r="N833" s="701"/>
    </row>
    <row r="834" spans="1:14" ht="15.75" customHeight="1">
      <c r="A834" s="709">
        <f t="shared" si="78"/>
        <v>283</v>
      </c>
      <c r="B834" s="296" t="s">
        <v>1030</v>
      </c>
      <c r="C834" s="725">
        <v>42262</v>
      </c>
      <c r="D834" s="726" t="s">
        <v>1031</v>
      </c>
      <c r="E834" s="812">
        <v>55</v>
      </c>
      <c r="F834" s="811">
        <v>47</v>
      </c>
      <c r="G834" s="811">
        <v>27</v>
      </c>
      <c r="H834" s="807">
        <f t="shared" si="80"/>
        <v>1.61</v>
      </c>
      <c r="I834" s="710">
        <v>203</v>
      </c>
      <c r="J834" s="710">
        <f t="shared" si="81"/>
        <v>326.83000000000004</v>
      </c>
      <c r="K834" s="710">
        <f t="shared" si="79"/>
        <v>12927.722594135019</v>
      </c>
      <c r="L834" s="656"/>
      <c r="M834" s="292"/>
      <c r="N834" s="701"/>
    </row>
    <row r="835" spans="1:14" ht="15.75" customHeight="1">
      <c r="A835" s="709">
        <f t="shared" si="78"/>
        <v>284</v>
      </c>
      <c r="B835" s="296" t="s">
        <v>2010</v>
      </c>
      <c r="C835" s="725">
        <v>42262</v>
      </c>
      <c r="D835" s="726" t="s">
        <v>1032</v>
      </c>
      <c r="E835" s="812">
        <v>41</v>
      </c>
      <c r="F835" s="811">
        <v>41</v>
      </c>
      <c r="G835" s="811">
        <v>25</v>
      </c>
      <c r="H835" s="807">
        <f t="shared" si="80"/>
        <v>1.17</v>
      </c>
      <c r="I835" s="710">
        <v>110</v>
      </c>
      <c r="J835" s="710">
        <f t="shared" si="81"/>
        <v>128.69999999999999</v>
      </c>
      <c r="K835" s="710">
        <f t="shared" si="79"/>
        <v>9394.6803944956337</v>
      </c>
      <c r="L835" s="656"/>
      <c r="M835" s="292"/>
      <c r="N835" s="701"/>
    </row>
    <row r="836" spans="1:14" ht="15.75" customHeight="1">
      <c r="A836" s="709">
        <f t="shared" si="78"/>
        <v>285</v>
      </c>
      <c r="B836" s="296" t="s">
        <v>1948</v>
      </c>
      <c r="C836" s="725">
        <v>42262</v>
      </c>
      <c r="D836" s="726" t="s">
        <v>1032</v>
      </c>
      <c r="E836" s="812">
        <v>43</v>
      </c>
      <c r="F836" s="811">
        <v>42</v>
      </c>
      <c r="G836" s="811">
        <v>26</v>
      </c>
      <c r="H836" s="807">
        <f t="shared" si="80"/>
        <v>1.24</v>
      </c>
      <c r="I836" s="710">
        <v>10</v>
      </c>
      <c r="J836" s="710">
        <f t="shared" si="81"/>
        <v>12.4</v>
      </c>
      <c r="K836" s="710">
        <f t="shared" si="79"/>
        <v>9956.7552898928079</v>
      </c>
      <c r="L836" s="656"/>
      <c r="M836" s="292"/>
      <c r="N836" s="701"/>
    </row>
    <row r="837" spans="1:14" ht="15.75" customHeight="1">
      <c r="A837" s="709">
        <f t="shared" si="78"/>
        <v>286</v>
      </c>
      <c r="B837" s="296" t="s">
        <v>1949</v>
      </c>
      <c r="C837" s="725">
        <v>42262</v>
      </c>
      <c r="D837" s="726" t="s">
        <v>1032</v>
      </c>
      <c r="E837" s="812">
        <v>49</v>
      </c>
      <c r="F837" s="811">
        <v>47</v>
      </c>
      <c r="G837" s="811">
        <v>27</v>
      </c>
      <c r="H837" s="807">
        <f t="shared" si="80"/>
        <v>1.52</v>
      </c>
      <c r="I837" s="710">
        <v>10</v>
      </c>
      <c r="J837" s="710">
        <f t="shared" si="81"/>
        <v>15.2</v>
      </c>
      <c r="K837" s="710">
        <f t="shared" si="79"/>
        <v>12205.054871481507</v>
      </c>
      <c r="L837" s="656"/>
      <c r="M837" s="292"/>
      <c r="N837" s="701"/>
    </row>
    <row r="838" spans="1:14" ht="15.75" customHeight="1">
      <c r="A838" s="709">
        <f t="shared" si="78"/>
        <v>287</v>
      </c>
      <c r="B838" s="296" t="s">
        <v>1950</v>
      </c>
      <c r="C838" s="725">
        <v>42262</v>
      </c>
      <c r="D838" s="726" t="s">
        <v>1032</v>
      </c>
      <c r="E838" s="812">
        <v>38</v>
      </c>
      <c r="F838" s="811">
        <v>37</v>
      </c>
      <c r="G838" s="811">
        <v>30</v>
      </c>
      <c r="H838" s="807">
        <f t="shared" si="80"/>
        <v>1.0900000000000001</v>
      </c>
      <c r="I838" s="710">
        <v>10</v>
      </c>
      <c r="J838" s="710">
        <f t="shared" si="81"/>
        <v>10.9</v>
      </c>
      <c r="K838" s="710">
        <f t="shared" si="79"/>
        <v>8752.3090854702914</v>
      </c>
      <c r="L838" s="656"/>
      <c r="M838" s="292"/>
      <c r="N838" s="701"/>
    </row>
    <row r="839" spans="1:14" ht="15.75" customHeight="1">
      <c r="A839" s="709">
        <f t="shared" si="78"/>
        <v>288</v>
      </c>
      <c r="B839" s="296" t="s">
        <v>1951</v>
      </c>
      <c r="C839" s="725">
        <v>42262</v>
      </c>
      <c r="D839" s="726" t="s">
        <v>1032</v>
      </c>
      <c r="E839" s="812">
        <v>40</v>
      </c>
      <c r="F839" s="811">
        <v>39</v>
      </c>
      <c r="G839" s="811">
        <v>32</v>
      </c>
      <c r="H839" s="807">
        <f t="shared" si="80"/>
        <v>1.21</v>
      </c>
      <c r="I839" s="710">
        <v>10</v>
      </c>
      <c r="J839" s="710">
        <f t="shared" si="81"/>
        <v>12.1</v>
      </c>
      <c r="K839" s="710">
        <f t="shared" si="79"/>
        <v>9715.8660490083057</v>
      </c>
      <c r="L839" s="656"/>
      <c r="M839" s="292"/>
      <c r="N839" s="701"/>
    </row>
    <row r="840" spans="1:14" ht="15.75" customHeight="1">
      <c r="A840" s="709">
        <f t="shared" si="78"/>
        <v>289</v>
      </c>
      <c r="B840" s="296" t="s">
        <v>1952</v>
      </c>
      <c r="C840" s="725">
        <v>42262</v>
      </c>
      <c r="D840" s="726" t="s">
        <v>1032</v>
      </c>
      <c r="E840" s="812">
        <v>42</v>
      </c>
      <c r="F840" s="811">
        <v>41</v>
      </c>
      <c r="G840" s="811">
        <v>34</v>
      </c>
      <c r="H840" s="807">
        <f t="shared" si="80"/>
        <v>1.33</v>
      </c>
      <c r="I840" s="710">
        <v>10</v>
      </c>
      <c r="J840" s="710">
        <f t="shared" si="81"/>
        <v>13.3</v>
      </c>
      <c r="K840" s="710">
        <f t="shared" si="79"/>
        <v>10679.42301254632</v>
      </c>
      <c r="L840" s="656"/>
      <c r="M840" s="292"/>
      <c r="N840" s="701"/>
    </row>
    <row r="841" spans="1:14" ht="15.75" customHeight="1">
      <c r="A841" s="709">
        <f t="shared" si="78"/>
        <v>290</v>
      </c>
      <c r="B841" s="296" t="s">
        <v>2011</v>
      </c>
      <c r="C841" s="725">
        <v>42262</v>
      </c>
      <c r="D841" s="726" t="s">
        <v>1032</v>
      </c>
      <c r="E841" s="812">
        <v>63</v>
      </c>
      <c r="F841" s="811">
        <v>53</v>
      </c>
      <c r="G841" s="811">
        <v>32</v>
      </c>
      <c r="H841" s="807">
        <f t="shared" si="80"/>
        <v>2.09</v>
      </c>
      <c r="I841" s="710">
        <v>10</v>
      </c>
      <c r="J841" s="710">
        <f t="shared" si="81"/>
        <v>20.9</v>
      </c>
      <c r="K841" s="710">
        <f t="shared" si="79"/>
        <v>16781.950448287073</v>
      </c>
      <c r="L841" s="656"/>
      <c r="M841" s="292"/>
      <c r="N841" s="701"/>
    </row>
    <row r="842" spans="1:14" ht="15.75" customHeight="1">
      <c r="A842" s="709">
        <f t="shared" si="78"/>
        <v>291</v>
      </c>
      <c r="B842" s="296" t="s">
        <v>713</v>
      </c>
      <c r="C842" s="725">
        <v>42263</v>
      </c>
      <c r="D842" s="726" t="s">
        <v>1033</v>
      </c>
      <c r="E842" s="812">
        <v>60</v>
      </c>
      <c r="F842" s="811">
        <v>30</v>
      </c>
      <c r="G842" s="811">
        <v>25</v>
      </c>
      <c r="H842" s="807">
        <f t="shared" si="80"/>
        <v>1.07</v>
      </c>
      <c r="I842" s="710">
        <v>500</v>
      </c>
      <c r="J842" s="710">
        <f t="shared" si="81"/>
        <v>535</v>
      </c>
      <c r="K842" s="710">
        <f t="shared" si="79"/>
        <v>8591.7162582139572</v>
      </c>
      <c r="L842" s="656"/>
      <c r="M842" s="292"/>
      <c r="N842" s="701"/>
    </row>
    <row r="843" spans="1:14" ht="15.75" customHeight="1">
      <c r="A843" s="709">
        <f t="shared" si="78"/>
        <v>292</v>
      </c>
      <c r="B843" s="296" t="s">
        <v>1034</v>
      </c>
      <c r="C843" s="725">
        <v>42263</v>
      </c>
      <c r="D843" s="726" t="s">
        <v>1033</v>
      </c>
      <c r="E843" s="812">
        <v>60</v>
      </c>
      <c r="F843" s="811">
        <v>30</v>
      </c>
      <c r="G843" s="811">
        <v>32</v>
      </c>
      <c r="H843" s="807">
        <f t="shared" si="80"/>
        <v>1.2</v>
      </c>
      <c r="I843" s="710">
        <v>500</v>
      </c>
      <c r="J843" s="710">
        <f t="shared" si="81"/>
        <v>600</v>
      </c>
      <c r="K843" s="710">
        <f t="shared" si="79"/>
        <v>9635.5696353801377</v>
      </c>
      <c r="L843" s="656"/>
      <c r="M843" s="292"/>
      <c r="N843" s="701"/>
    </row>
    <row r="844" spans="1:14" ht="15.75" customHeight="1">
      <c r="A844" s="709">
        <f t="shared" si="78"/>
        <v>293</v>
      </c>
      <c r="B844" s="296" t="s">
        <v>1731</v>
      </c>
      <c r="C844" s="725">
        <v>42263</v>
      </c>
      <c r="D844" s="726" t="s">
        <v>1035</v>
      </c>
      <c r="E844" s="812">
        <v>46</v>
      </c>
      <c r="F844" s="811">
        <v>37</v>
      </c>
      <c r="G844" s="811"/>
      <c r="H844" s="807">
        <f t="shared" si="80"/>
        <v>0.17</v>
      </c>
      <c r="I844" s="710">
        <v>1000</v>
      </c>
      <c r="J844" s="710">
        <f t="shared" si="81"/>
        <v>170</v>
      </c>
      <c r="K844" s="710">
        <f t="shared" si="79"/>
        <v>1365.0390316788528</v>
      </c>
      <c r="L844" s="656"/>
      <c r="M844" s="292"/>
      <c r="N844" s="701"/>
    </row>
    <row r="845" spans="1:14" ht="15.75" customHeight="1">
      <c r="A845" s="709">
        <f t="shared" si="78"/>
        <v>294</v>
      </c>
      <c r="B845" s="296" t="s">
        <v>1793</v>
      </c>
      <c r="C845" s="725">
        <v>42263</v>
      </c>
      <c r="D845" s="726" t="s">
        <v>1035</v>
      </c>
      <c r="E845" s="812">
        <v>83</v>
      </c>
      <c r="F845" s="811">
        <v>19</v>
      </c>
      <c r="G845" s="811"/>
      <c r="H845" s="807">
        <f t="shared" si="80"/>
        <v>0.16</v>
      </c>
      <c r="I845" s="710">
        <v>1000</v>
      </c>
      <c r="J845" s="710">
        <f t="shared" si="81"/>
        <v>160</v>
      </c>
      <c r="K845" s="710">
        <f t="shared" si="79"/>
        <v>1284.742618050685</v>
      </c>
      <c r="L845" s="656"/>
      <c r="M845" s="292"/>
      <c r="N845" s="701"/>
    </row>
    <row r="846" spans="1:14" ht="15.75" customHeight="1">
      <c r="A846" s="709">
        <f t="shared" ref="A846:A879" si="82">IF(B846&lt;&gt;"",A845+1,"")</f>
        <v>295</v>
      </c>
      <c r="B846" s="296" t="s">
        <v>1794</v>
      </c>
      <c r="C846" s="725">
        <v>42263</v>
      </c>
      <c r="D846" s="726" t="s">
        <v>1035</v>
      </c>
      <c r="E846" s="812">
        <v>120</v>
      </c>
      <c r="F846" s="811">
        <v>39</v>
      </c>
      <c r="G846" s="811"/>
      <c r="H846" s="807">
        <f t="shared" si="80"/>
        <v>0.47</v>
      </c>
      <c r="I846" s="710">
        <v>500</v>
      </c>
      <c r="J846" s="710">
        <f t="shared" si="81"/>
        <v>235</v>
      </c>
      <c r="K846" s="710">
        <f t="shared" si="79"/>
        <v>3773.931440523887</v>
      </c>
      <c r="L846" s="656"/>
      <c r="M846" s="292"/>
      <c r="N846" s="701"/>
    </row>
    <row r="847" spans="1:14" ht="15.75" customHeight="1">
      <c r="A847" s="709">
        <f t="shared" si="82"/>
        <v>296</v>
      </c>
      <c r="B847" s="296" t="s">
        <v>1795</v>
      </c>
      <c r="C847" s="725">
        <v>42263</v>
      </c>
      <c r="D847" s="726" t="s">
        <v>1035</v>
      </c>
      <c r="E847" s="812">
        <v>75</v>
      </c>
      <c r="F847" s="811">
        <v>46</v>
      </c>
      <c r="G847" s="811"/>
      <c r="H847" s="807">
        <f t="shared" si="80"/>
        <v>0.35</v>
      </c>
      <c r="I847" s="710">
        <v>500</v>
      </c>
      <c r="J847" s="710">
        <f t="shared" si="81"/>
        <v>175</v>
      </c>
      <c r="K847" s="710">
        <f t="shared" si="79"/>
        <v>2810.3744769858731</v>
      </c>
      <c r="L847" s="656"/>
      <c r="M847" s="292"/>
      <c r="N847" s="701"/>
    </row>
    <row r="848" spans="1:14" ht="15.75" customHeight="1">
      <c r="A848" s="709">
        <f t="shared" si="82"/>
        <v>297</v>
      </c>
      <c r="B848" s="296" t="s">
        <v>1140</v>
      </c>
      <c r="C848" s="725">
        <v>42265</v>
      </c>
      <c r="D848" s="726" t="s">
        <v>1036</v>
      </c>
      <c r="E848" s="812">
        <v>45</v>
      </c>
      <c r="F848" s="811">
        <v>37</v>
      </c>
      <c r="G848" s="811">
        <v>27.5</v>
      </c>
      <c r="H848" s="807">
        <f t="shared" si="80"/>
        <v>1.1399999999999999</v>
      </c>
      <c r="I848" s="710">
        <v>810</v>
      </c>
      <c r="J848" s="710">
        <f t="shared" si="81"/>
        <v>923.4</v>
      </c>
      <c r="K848" s="710">
        <f t="shared" si="79"/>
        <v>9153.7911536111296</v>
      </c>
      <c r="L848" s="656"/>
      <c r="M848" s="292"/>
      <c r="N848" s="701"/>
    </row>
    <row r="849" spans="1:14" ht="15.75" customHeight="1">
      <c r="A849" s="709">
        <f t="shared" si="82"/>
        <v>298</v>
      </c>
      <c r="B849" s="296" t="s">
        <v>1140</v>
      </c>
      <c r="C849" s="725">
        <v>42265</v>
      </c>
      <c r="D849" s="726" t="s">
        <v>1036</v>
      </c>
      <c r="E849" s="812">
        <v>45</v>
      </c>
      <c r="F849" s="811">
        <v>37</v>
      </c>
      <c r="G849" s="811">
        <v>27.5</v>
      </c>
      <c r="H849" s="807">
        <f t="shared" si="80"/>
        <v>1.1399999999999999</v>
      </c>
      <c r="I849" s="710">
        <v>50</v>
      </c>
      <c r="J849" s="710">
        <f t="shared" si="81"/>
        <v>56.999999999999993</v>
      </c>
      <c r="K849" s="710">
        <f t="shared" si="79"/>
        <v>9153.7911536111296</v>
      </c>
      <c r="L849" s="656"/>
      <c r="M849" s="292"/>
      <c r="N849" s="701"/>
    </row>
    <row r="850" spans="1:14" ht="15.75" customHeight="1">
      <c r="A850" s="709">
        <f t="shared" si="82"/>
        <v>299</v>
      </c>
      <c r="B850" s="296" t="s">
        <v>1654</v>
      </c>
      <c r="C850" s="725">
        <v>42265</v>
      </c>
      <c r="D850" s="726" t="s">
        <v>1036</v>
      </c>
      <c r="E850" s="812">
        <v>50</v>
      </c>
      <c r="F850" s="811">
        <v>20</v>
      </c>
      <c r="G850" s="811"/>
      <c r="H850" s="807">
        <f t="shared" si="80"/>
        <v>0.1</v>
      </c>
      <c r="I850" s="710">
        <v>1720</v>
      </c>
      <c r="J850" s="710">
        <f t="shared" si="81"/>
        <v>172</v>
      </c>
      <c r="K850" s="710">
        <f t="shared" si="79"/>
        <v>802.96413628167818</v>
      </c>
      <c r="L850" s="656"/>
      <c r="M850" s="292"/>
      <c r="N850" s="701"/>
    </row>
    <row r="851" spans="1:14" ht="15.75" customHeight="1">
      <c r="A851" s="709">
        <f t="shared" si="82"/>
        <v>300</v>
      </c>
      <c r="B851" s="296" t="s">
        <v>1791</v>
      </c>
      <c r="C851" s="725">
        <v>42266</v>
      </c>
      <c r="D851" s="726" t="s">
        <v>1037</v>
      </c>
      <c r="E851" s="812">
        <v>135</v>
      </c>
      <c r="F851" s="811">
        <v>206</v>
      </c>
      <c r="G851" s="811"/>
      <c r="H851" s="807">
        <f t="shared" si="80"/>
        <v>2.78</v>
      </c>
      <c r="I851" s="710">
        <v>210</v>
      </c>
      <c r="J851" s="710">
        <f t="shared" si="81"/>
        <v>583.79999999999995</v>
      </c>
      <c r="K851" s="710">
        <f t="shared" si="79"/>
        <v>22322.402988630649</v>
      </c>
      <c r="L851" s="656"/>
      <c r="M851" s="292"/>
      <c r="N851" s="701"/>
    </row>
    <row r="852" spans="1:14" ht="15.75" customHeight="1">
      <c r="A852" s="709">
        <f t="shared" si="82"/>
        <v>301</v>
      </c>
      <c r="B852" s="296" t="s">
        <v>451</v>
      </c>
      <c r="C852" s="725">
        <v>42266</v>
      </c>
      <c r="D852" s="726" t="s">
        <v>1038</v>
      </c>
      <c r="E852" s="812">
        <v>49.5</v>
      </c>
      <c r="F852" s="811">
        <v>38.5</v>
      </c>
      <c r="G852" s="811">
        <v>32.5</v>
      </c>
      <c r="H852" s="807">
        <f t="shared" si="80"/>
        <v>1.34</v>
      </c>
      <c r="I852" s="710">
        <v>304</v>
      </c>
      <c r="J852" s="710">
        <f t="shared" si="81"/>
        <v>407.36</v>
      </c>
      <c r="K852" s="710">
        <f t="shared" si="79"/>
        <v>10759.719426174488</v>
      </c>
      <c r="L852" s="656"/>
      <c r="M852" s="292"/>
      <c r="N852" s="701"/>
    </row>
    <row r="853" spans="1:14" ht="15.75" customHeight="1">
      <c r="A853" s="709">
        <f t="shared" si="82"/>
        <v>302</v>
      </c>
      <c r="B853" s="296" t="s">
        <v>539</v>
      </c>
      <c r="C853" s="725">
        <v>42266</v>
      </c>
      <c r="D853" s="726" t="s">
        <v>1038</v>
      </c>
      <c r="E853" s="812">
        <v>39.5</v>
      </c>
      <c r="F853" s="811">
        <v>32.299999999999997</v>
      </c>
      <c r="G853" s="811">
        <v>27.7</v>
      </c>
      <c r="H853" s="807">
        <f t="shared" si="80"/>
        <v>0.94</v>
      </c>
      <c r="I853" s="710">
        <v>203</v>
      </c>
      <c r="J853" s="710">
        <f t="shared" si="81"/>
        <v>190.82</v>
      </c>
      <c r="K853" s="710">
        <f t="shared" si="79"/>
        <v>7547.862881047774</v>
      </c>
      <c r="L853" s="656"/>
      <c r="M853" s="292"/>
      <c r="N853" s="701"/>
    </row>
    <row r="854" spans="1:14" ht="15.75" customHeight="1">
      <c r="A854" s="709">
        <f t="shared" si="82"/>
        <v>303</v>
      </c>
      <c r="B854" s="296" t="s">
        <v>760</v>
      </c>
      <c r="C854" s="725">
        <v>42268</v>
      </c>
      <c r="D854" s="726" t="s">
        <v>1039</v>
      </c>
      <c r="E854" s="812">
        <v>52</v>
      </c>
      <c r="F854" s="811">
        <v>28</v>
      </c>
      <c r="G854" s="811">
        <v>28</v>
      </c>
      <c r="H854" s="807">
        <f t="shared" si="80"/>
        <v>0.97</v>
      </c>
      <c r="I854" s="710">
        <v>496</v>
      </c>
      <c r="J854" s="710">
        <f t="shared" si="81"/>
        <v>481.12</v>
      </c>
      <c r="K854" s="710">
        <f t="shared" si="79"/>
        <v>7788.7521219322771</v>
      </c>
      <c r="L854" s="656"/>
      <c r="M854" s="292"/>
      <c r="N854" s="701"/>
    </row>
    <row r="855" spans="1:14" ht="15.75" customHeight="1">
      <c r="A855" s="709">
        <f t="shared" si="82"/>
        <v>304</v>
      </c>
      <c r="B855" s="296" t="s">
        <v>2010</v>
      </c>
      <c r="C855" s="725">
        <v>42268</v>
      </c>
      <c r="D855" s="726" t="s">
        <v>1040</v>
      </c>
      <c r="E855" s="812">
        <v>41</v>
      </c>
      <c r="F855" s="811">
        <v>41</v>
      </c>
      <c r="G855" s="811">
        <v>25</v>
      </c>
      <c r="H855" s="807">
        <f t="shared" si="80"/>
        <v>1.17</v>
      </c>
      <c r="I855" s="710">
        <v>50</v>
      </c>
      <c r="J855" s="710">
        <f t="shared" si="81"/>
        <v>58.5</v>
      </c>
      <c r="K855" s="710">
        <f t="shared" si="79"/>
        <v>9394.6803944956337</v>
      </c>
      <c r="L855" s="656"/>
      <c r="M855" s="292"/>
      <c r="N855" s="701"/>
    </row>
    <row r="856" spans="1:14" ht="15.75" customHeight="1">
      <c r="A856" s="709">
        <f t="shared" si="82"/>
        <v>305</v>
      </c>
      <c r="B856" s="296" t="s">
        <v>1950</v>
      </c>
      <c r="C856" s="725">
        <v>42268</v>
      </c>
      <c r="D856" s="726" t="s">
        <v>1040</v>
      </c>
      <c r="E856" s="812">
        <v>38</v>
      </c>
      <c r="F856" s="811">
        <v>37</v>
      </c>
      <c r="G856" s="811">
        <v>30</v>
      </c>
      <c r="H856" s="807">
        <f t="shared" si="80"/>
        <v>1.0900000000000001</v>
      </c>
      <c r="I856" s="710">
        <v>50</v>
      </c>
      <c r="J856" s="710">
        <f t="shared" si="81"/>
        <v>54.500000000000007</v>
      </c>
      <c r="K856" s="710">
        <f t="shared" si="79"/>
        <v>8752.3090854702914</v>
      </c>
      <c r="L856" s="656"/>
      <c r="M856" s="292"/>
      <c r="N856" s="701"/>
    </row>
    <row r="857" spans="1:14" ht="15.75" customHeight="1">
      <c r="A857" s="709">
        <f t="shared" si="82"/>
        <v>306</v>
      </c>
      <c r="B857" s="296" t="s">
        <v>1951</v>
      </c>
      <c r="C857" s="725">
        <v>42268</v>
      </c>
      <c r="D857" s="726" t="s">
        <v>1040</v>
      </c>
      <c r="E857" s="812">
        <v>40</v>
      </c>
      <c r="F857" s="811">
        <v>39</v>
      </c>
      <c r="G857" s="811">
        <v>32</v>
      </c>
      <c r="H857" s="807">
        <f t="shared" si="80"/>
        <v>1.21</v>
      </c>
      <c r="I857" s="710">
        <v>50</v>
      </c>
      <c r="J857" s="710">
        <f t="shared" si="81"/>
        <v>60.5</v>
      </c>
      <c r="K857" s="710">
        <f t="shared" si="79"/>
        <v>9715.8660490083057</v>
      </c>
      <c r="L857" s="656"/>
      <c r="M857" s="292"/>
      <c r="N857" s="701"/>
    </row>
    <row r="858" spans="1:14" ht="15.75" customHeight="1">
      <c r="A858" s="709">
        <f t="shared" si="82"/>
        <v>307</v>
      </c>
      <c r="B858" s="296" t="s">
        <v>1766</v>
      </c>
      <c r="C858" s="725">
        <v>42268</v>
      </c>
      <c r="D858" s="726" t="s">
        <v>1041</v>
      </c>
      <c r="E858" s="812">
        <v>110</v>
      </c>
      <c r="F858" s="811">
        <v>114</v>
      </c>
      <c r="G858" s="811"/>
      <c r="H858" s="807">
        <f t="shared" si="80"/>
        <v>1.25</v>
      </c>
      <c r="I858" s="710">
        <v>1000</v>
      </c>
      <c r="J858" s="710">
        <f t="shared" si="81"/>
        <v>1250</v>
      </c>
      <c r="K858" s="710">
        <f t="shared" si="79"/>
        <v>10037.051703520976</v>
      </c>
      <c r="L858" s="656"/>
      <c r="M858" s="292"/>
      <c r="N858" s="701"/>
    </row>
    <row r="859" spans="1:14" ht="15.75" customHeight="1">
      <c r="A859" s="709">
        <f t="shared" si="82"/>
        <v>308</v>
      </c>
      <c r="B859" s="296" t="s">
        <v>1749</v>
      </c>
      <c r="C859" s="725">
        <v>42268</v>
      </c>
      <c r="D859" s="726" t="s">
        <v>1041</v>
      </c>
      <c r="E859" s="812">
        <v>125</v>
      </c>
      <c r="F859" s="811">
        <v>148</v>
      </c>
      <c r="G859" s="811"/>
      <c r="H859" s="807">
        <f t="shared" si="80"/>
        <v>1.85</v>
      </c>
      <c r="I859" s="710">
        <v>355</v>
      </c>
      <c r="J859" s="710">
        <f t="shared" si="81"/>
        <v>656.75</v>
      </c>
      <c r="K859" s="710">
        <f t="shared" si="79"/>
        <v>14854.836521211046</v>
      </c>
      <c r="L859" s="656"/>
      <c r="M859" s="292"/>
      <c r="N859" s="701"/>
    </row>
    <row r="860" spans="1:14" ht="15.75" customHeight="1">
      <c r="A860" s="709">
        <f t="shared" si="82"/>
        <v>309</v>
      </c>
      <c r="B860" s="296" t="s">
        <v>567</v>
      </c>
      <c r="C860" s="725">
        <v>42268</v>
      </c>
      <c r="D860" s="726" t="s">
        <v>1042</v>
      </c>
      <c r="E860" s="812">
        <v>76</v>
      </c>
      <c r="F860" s="811">
        <v>54</v>
      </c>
      <c r="G860" s="811">
        <v>136</v>
      </c>
      <c r="H860" s="807">
        <f t="shared" si="80"/>
        <v>5.1100000000000003</v>
      </c>
      <c r="I860" s="710">
        <v>21</v>
      </c>
      <c r="J860" s="710">
        <f t="shared" si="81"/>
        <v>107.31</v>
      </c>
      <c r="K860" s="710">
        <f t="shared" si="79"/>
        <v>41031.467363993754</v>
      </c>
      <c r="L860" s="656"/>
      <c r="M860" s="292"/>
      <c r="N860" s="701"/>
    </row>
    <row r="861" spans="1:14" ht="15.75" customHeight="1">
      <c r="A861" s="709">
        <f t="shared" si="82"/>
        <v>310</v>
      </c>
      <c r="B861" s="296" t="s">
        <v>1043</v>
      </c>
      <c r="C861" s="725">
        <v>42268</v>
      </c>
      <c r="D861" s="726" t="s">
        <v>1044</v>
      </c>
      <c r="E861" s="812">
        <v>51</v>
      </c>
      <c r="F861" s="811">
        <v>51</v>
      </c>
      <c r="G861" s="811">
        <v>65</v>
      </c>
      <c r="H861" s="807">
        <f t="shared" si="80"/>
        <v>2.4900000000000002</v>
      </c>
      <c r="I861" s="710">
        <v>50</v>
      </c>
      <c r="J861" s="710">
        <f t="shared" si="81"/>
        <v>124.50000000000001</v>
      </c>
      <c r="K861" s="710">
        <f t="shared" si="79"/>
        <v>19993.806993413786</v>
      </c>
      <c r="L861" s="656"/>
      <c r="M861" s="292"/>
      <c r="N861" s="701"/>
    </row>
    <row r="862" spans="1:14" ht="15.75" customHeight="1">
      <c r="A862" s="709">
        <f t="shared" si="82"/>
        <v>311</v>
      </c>
      <c r="B862" s="296" t="s">
        <v>1045</v>
      </c>
      <c r="C862" s="725">
        <v>42268</v>
      </c>
      <c r="D862" s="726" t="s">
        <v>1044</v>
      </c>
      <c r="E862" s="812">
        <v>51</v>
      </c>
      <c r="F862" s="811">
        <v>51</v>
      </c>
      <c r="G862" s="811">
        <v>104</v>
      </c>
      <c r="H862" s="807">
        <f t="shared" si="80"/>
        <v>3.3</v>
      </c>
      <c r="I862" s="710">
        <v>50</v>
      </c>
      <c r="J862" s="710">
        <f t="shared" si="81"/>
        <v>165</v>
      </c>
      <c r="K862" s="710">
        <f t="shared" si="79"/>
        <v>26497.816497295375</v>
      </c>
      <c r="L862" s="656"/>
      <c r="M862" s="292"/>
      <c r="N862" s="701"/>
    </row>
    <row r="863" spans="1:14" ht="15.75" customHeight="1">
      <c r="A863" s="709">
        <f t="shared" si="82"/>
        <v>312</v>
      </c>
      <c r="B863" s="296" t="s">
        <v>1046</v>
      </c>
      <c r="C863" s="725">
        <v>42268</v>
      </c>
      <c r="D863" s="726" t="s">
        <v>1044</v>
      </c>
      <c r="E863" s="812">
        <v>51</v>
      </c>
      <c r="F863" s="811">
        <v>41.5</v>
      </c>
      <c r="G863" s="811">
        <v>27</v>
      </c>
      <c r="H863" s="807">
        <f t="shared" si="80"/>
        <v>1.36</v>
      </c>
      <c r="I863" s="710">
        <v>20</v>
      </c>
      <c r="J863" s="710">
        <f t="shared" si="81"/>
        <v>27.200000000000003</v>
      </c>
      <c r="K863" s="710">
        <f t="shared" si="79"/>
        <v>10920.312253430822</v>
      </c>
      <c r="L863" s="656"/>
      <c r="M863" s="292"/>
      <c r="N863" s="701"/>
    </row>
    <row r="864" spans="1:14" ht="15.75" customHeight="1">
      <c r="A864" s="709">
        <f t="shared" si="82"/>
        <v>313</v>
      </c>
      <c r="B864" s="296" t="s">
        <v>1956</v>
      </c>
      <c r="C864" s="725">
        <v>42268</v>
      </c>
      <c r="D864" s="726" t="s">
        <v>1047</v>
      </c>
      <c r="E864" s="812">
        <v>29</v>
      </c>
      <c r="F864" s="811">
        <v>18</v>
      </c>
      <c r="G864" s="811">
        <v>18.8</v>
      </c>
      <c r="H864" s="807">
        <f t="shared" si="80"/>
        <v>0.39</v>
      </c>
      <c r="I864" s="710">
        <v>3200</v>
      </c>
      <c r="J864" s="710">
        <f t="shared" si="81"/>
        <v>1248</v>
      </c>
      <c r="K864" s="710">
        <f t="shared" si="79"/>
        <v>3131.5601314985447</v>
      </c>
      <c r="L864" s="656"/>
      <c r="M864" s="292"/>
      <c r="N864" s="701"/>
    </row>
    <row r="865" spans="1:17" ht="15.75" customHeight="1">
      <c r="A865" s="709">
        <f t="shared" si="82"/>
        <v>314</v>
      </c>
      <c r="B865" s="296" t="s">
        <v>999</v>
      </c>
      <c r="C865" s="725">
        <v>42269</v>
      </c>
      <c r="D865" s="726" t="s">
        <v>1048</v>
      </c>
      <c r="E865" s="812">
        <v>40</v>
      </c>
      <c r="F865" s="811">
        <v>30</v>
      </c>
      <c r="G865" s="811">
        <v>18.5</v>
      </c>
      <c r="H865" s="807">
        <f t="shared" si="80"/>
        <v>0.75</v>
      </c>
      <c r="I865" s="710">
        <v>300</v>
      </c>
      <c r="J865" s="710">
        <f t="shared" si="81"/>
        <v>225</v>
      </c>
      <c r="K865" s="710">
        <f t="shared" si="79"/>
        <v>6022.2310221125863</v>
      </c>
      <c r="L865" s="656"/>
      <c r="M865" s="292"/>
      <c r="N865" s="701"/>
    </row>
    <row r="866" spans="1:17" ht="15.75" customHeight="1">
      <c r="A866" s="709">
        <f t="shared" si="82"/>
        <v>315</v>
      </c>
      <c r="B866" s="296" t="s">
        <v>1049</v>
      </c>
      <c r="C866" s="725">
        <v>42270</v>
      </c>
      <c r="D866" s="726" t="s">
        <v>1050</v>
      </c>
      <c r="E866" s="812">
        <v>56</v>
      </c>
      <c r="F866" s="811">
        <v>32</v>
      </c>
      <c r="G866" s="811">
        <v>21</v>
      </c>
      <c r="H866" s="807">
        <f t="shared" si="80"/>
        <v>1.01</v>
      </c>
      <c r="I866" s="710">
        <v>555</v>
      </c>
      <c r="J866" s="710">
        <f t="shared" si="81"/>
        <v>560.54999999999995</v>
      </c>
      <c r="K866" s="710">
        <f t="shared" si="79"/>
        <v>8109.9377764449491</v>
      </c>
      <c r="L866" s="656"/>
      <c r="M866" s="292"/>
      <c r="N866" s="701"/>
    </row>
    <row r="867" spans="1:17" ht="15.75" customHeight="1">
      <c r="A867" s="709">
        <f t="shared" si="82"/>
        <v>316</v>
      </c>
      <c r="B867" s="296" t="s">
        <v>1052</v>
      </c>
      <c r="C867" s="725">
        <v>42270</v>
      </c>
      <c r="D867" s="726" t="s">
        <v>1053</v>
      </c>
      <c r="E867" s="812">
        <v>48</v>
      </c>
      <c r="F867" s="811">
        <v>23</v>
      </c>
      <c r="G867" s="811">
        <v>22</v>
      </c>
      <c r="H867" s="807">
        <f t="shared" si="80"/>
        <v>0.71</v>
      </c>
      <c r="I867" s="710">
        <v>1097</v>
      </c>
      <c r="J867" s="710">
        <f t="shared" si="81"/>
        <v>778.87</v>
      </c>
      <c r="K867" s="710">
        <f t="shared" si="79"/>
        <v>5701.0453675999142</v>
      </c>
      <c r="L867" s="656"/>
      <c r="M867" s="292"/>
      <c r="N867" s="701"/>
    </row>
    <row r="868" spans="1:17" ht="15.75" customHeight="1">
      <c r="A868" s="709">
        <f t="shared" si="82"/>
        <v>317</v>
      </c>
      <c r="B868" s="296" t="s">
        <v>1948</v>
      </c>
      <c r="C868" s="725">
        <v>42275</v>
      </c>
      <c r="D868" s="726" t="s">
        <v>1054</v>
      </c>
      <c r="E868" s="812">
        <v>43</v>
      </c>
      <c r="F868" s="811">
        <v>42</v>
      </c>
      <c r="G868" s="811">
        <v>26</v>
      </c>
      <c r="H868" s="807">
        <f t="shared" si="80"/>
        <v>1.24</v>
      </c>
      <c r="I868" s="710">
        <v>44</v>
      </c>
      <c r="J868" s="710">
        <f t="shared" si="81"/>
        <v>54.56</v>
      </c>
      <c r="K868" s="710">
        <f t="shared" si="79"/>
        <v>9956.7552898928079</v>
      </c>
      <c r="L868" s="656"/>
      <c r="M868" s="292"/>
      <c r="N868" s="701"/>
    </row>
    <row r="869" spans="1:17" ht="15.75" customHeight="1">
      <c r="A869" s="709">
        <f t="shared" si="82"/>
        <v>318</v>
      </c>
      <c r="B869" s="296" t="s">
        <v>2009</v>
      </c>
      <c r="C869" s="725">
        <v>42275</v>
      </c>
      <c r="D869" s="726" t="s">
        <v>1054</v>
      </c>
      <c r="E869" s="812">
        <v>41</v>
      </c>
      <c r="F869" s="811">
        <v>39</v>
      </c>
      <c r="G869" s="811">
        <v>20</v>
      </c>
      <c r="H869" s="807">
        <f t="shared" si="80"/>
        <v>1.02</v>
      </c>
      <c r="I869" s="710">
        <v>44</v>
      </c>
      <c r="J869" s="710">
        <f t="shared" si="81"/>
        <v>44.88</v>
      </c>
      <c r="K869" s="710">
        <f t="shared" si="79"/>
        <v>8190.2341900731171</v>
      </c>
      <c r="L869" s="656"/>
      <c r="M869" s="292"/>
      <c r="N869" s="701"/>
    </row>
    <row r="870" spans="1:17" ht="15.75" customHeight="1">
      <c r="A870" s="709">
        <f t="shared" si="82"/>
        <v>319</v>
      </c>
      <c r="B870" s="296" t="s">
        <v>1949</v>
      </c>
      <c r="C870" s="725">
        <v>42275</v>
      </c>
      <c r="D870" s="726" t="s">
        <v>1054</v>
      </c>
      <c r="E870" s="812">
        <v>49</v>
      </c>
      <c r="F870" s="811">
        <v>47</v>
      </c>
      <c r="G870" s="811">
        <v>27</v>
      </c>
      <c r="H870" s="807">
        <f t="shared" si="80"/>
        <v>1.52</v>
      </c>
      <c r="I870" s="710">
        <v>44</v>
      </c>
      <c r="J870" s="710">
        <f t="shared" si="81"/>
        <v>66.88</v>
      </c>
      <c r="K870" s="710">
        <f t="shared" si="79"/>
        <v>12205.054871481507</v>
      </c>
      <c r="L870" s="656"/>
      <c r="M870" s="292"/>
      <c r="N870" s="701"/>
    </row>
    <row r="871" spans="1:17" ht="15.75" customHeight="1">
      <c r="A871" s="709">
        <f t="shared" si="82"/>
        <v>320</v>
      </c>
      <c r="B871" s="296" t="s">
        <v>494</v>
      </c>
      <c r="C871" s="725">
        <v>42276</v>
      </c>
      <c r="D871" s="726" t="s">
        <v>1055</v>
      </c>
      <c r="E871" s="812">
        <v>37.5</v>
      </c>
      <c r="F871" s="811">
        <v>25.3</v>
      </c>
      <c r="G871" s="811">
        <v>23.9</v>
      </c>
      <c r="H871" s="807">
        <f t="shared" si="80"/>
        <v>0.68</v>
      </c>
      <c r="I871" s="710">
        <v>1018</v>
      </c>
      <c r="J871" s="710">
        <f t="shared" si="81"/>
        <v>692.24</v>
      </c>
      <c r="K871" s="710">
        <f t="shared" si="79"/>
        <v>5460.1561267154111</v>
      </c>
      <c r="L871" s="656"/>
      <c r="M871" s="292"/>
      <c r="N871" s="701"/>
    </row>
    <row r="872" spans="1:17" ht="15.75" customHeight="1">
      <c r="A872" s="709">
        <f t="shared" si="82"/>
        <v>321</v>
      </c>
      <c r="B872" s="296" t="s">
        <v>682</v>
      </c>
      <c r="C872" s="725">
        <v>42276</v>
      </c>
      <c r="D872" s="726" t="s">
        <v>1055</v>
      </c>
      <c r="E872" s="812">
        <v>33.700000000000003</v>
      </c>
      <c r="F872" s="811">
        <v>22.7</v>
      </c>
      <c r="G872" s="811">
        <v>19.3</v>
      </c>
      <c r="H872" s="807">
        <f t="shared" si="80"/>
        <v>0.53</v>
      </c>
      <c r="I872" s="710">
        <v>400</v>
      </c>
      <c r="J872" s="710">
        <f t="shared" si="81"/>
        <v>212</v>
      </c>
      <c r="K872" s="710">
        <f t="shared" ref="K872:K879" si="83">H872*$Q$611</f>
        <v>4255.7099222928946</v>
      </c>
      <c r="L872" s="656"/>
      <c r="M872" s="292"/>
      <c r="N872" s="701"/>
    </row>
    <row r="873" spans="1:17" ht="15.75" customHeight="1">
      <c r="A873" s="709">
        <f t="shared" si="82"/>
        <v>322</v>
      </c>
      <c r="B873" s="296" t="s">
        <v>398</v>
      </c>
      <c r="C873" s="725">
        <v>42276</v>
      </c>
      <c r="D873" s="726" t="s">
        <v>1056</v>
      </c>
      <c r="E873" s="812">
        <v>52</v>
      </c>
      <c r="F873" s="811">
        <v>24.5</v>
      </c>
      <c r="G873" s="811">
        <v>24.5</v>
      </c>
      <c r="H873" s="807">
        <f t="shared" si="80"/>
        <v>0.82</v>
      </c>
      <c r="I873" s="710">
        <v>1270</v>
      </c>
      <c r="J873" s="710">
        <f t="shared" si="81"/>
        <v>1041.3999999999999</v>
      </c>
      <c r="K873" s="710">
        <f t="shared" si="83"/>
        <v>6584.3059175097605</v>
      </c>
      <c r="L873" s="656"/>
      <c r="M873" s="292"/>
      <c r="N873" s="701"/>
    </row>
    <row r="874" spans="1:17" ht="15.75" customHeight="1">
      <c r="A874" s="709">
        <f t="shared" si="82"/>
        <v>323</v>
      </c>
      <c r="B874" s="296" t="s">
        <v>536</v>
      </c>
      <c r="C874" s="725">
        <v>42276</v>
      </c>
      <c r="D874" s="726" t="s">
        <v>1056</v>
      </c>
      <c r="E874" s="812">
        <v>61</v>
      </c>
      <c r="F874" s="811">
        <v>51</v>
      </c>
      <c r="G874" s="811">
        <v>30</v>
      </c>
      <c r="H874" s="807">
        <f t="shared" si="80"/>
        <v>1.92</v>
      </c>
      <c r="I874" s="710">
        <v>320</v>
      </c>
      <c r="J874" s="710">
        <f t="shared" si="81"/>
        <v>614.4</v>
      </c>
      <c r="K874" s="710">
        <f t="shared" si="83"/>
        <v>15416.91141660822</v>
      </c>
      <c r="L874" s="656"/>
      <c r="M874" s="292"/>
      <c r="N874" s="701"/>
    </row>
    <row r="875" spans="1:17" ht="15.75" customHeight="1">
      <c r="A875" s="709">
        <f t="shared" si="82"/>
        <v>324</v>
      </c>
      <c r="B875" s="296" t="s">
        <v>454</v>
      </c>
      <c r="C875" s="725">
        <v>42277</v>
      </c>
      <c r="D875" s="726" t="s">
        <v>1057</v>
      </c>
      <c r="E875" s="812">
        <v>103</v>
      </c>
      <c r="F875" s="811">
        <v>50</v>
      </c>
      <c r="G875" s="811">
        <v>180</v>
      </c>
      <c r="H875" s="807">
        <f t="shared" si="80"/>
        <v>7.25</v>
      </c>
      <c r="I875" s="710">
        <v>268</v>
      </c>
      <c r="J875" s="710">
        <f t="shared" si="81"/>
        <v>1943</v>
      </c>
      <c r="K875" s="710">
        <f t="shared" si="83"/>
        <v>58214.899880421661</v>
      </c>
      <c r="L875" s="656"/>
      <c r="M875" s="292"/>
      <c r="N875" s="701"/>
    </row>
    <row r="876" spans="1:17" ht="15.75" customHeight="1">
      <c r="A876" s="709">
        <f t="shared" si="82"/>
        <v>325</v>
      </c>
      <c r="B876" s="296" t="s">
        <v>1049</v>
      </c>
      <c r="C876" s="725">
        <v>42277</v>
      </c>
      <c r="D876" s="726" t="s">
        <v>1058</v>
      </c>
      <c r="E876" s="812">
        <v>56</v>
      </c>
      <c r="F876" s="811">
        <v>32</v>
      </c>
      <c r="G876" s="811">
        <v>21</v>
      </c>
      <c r="H876" s="807">
        <f t="shared" si="80"/>
        <v>1.01</v>
      </c>
      <c r="I876" s="710">
        <v>514</v>
      </c>
      <c r="J876" s="710">
        <f t="shared" si="81"/>
        <v>519.14</v>
      </c>
      <c r="K876" s="710">
        <f t="shared" si="83"/>
        <v>8109.9377764449491</v>
      </c>
      <c r="L876" s="656"/>
      <c r="M876" s="292"/>
      <c r="N876" s="701"/>
    </row>
    <row r="877" spans="1:17" ht="15.75" customHeight="1">
      <c r="A877" s="709">
        <f t="shared" si="82"/>
        <v>326</v>
      </c>
      <c r="B877" s="296" t="s">
        <v>1060</v>
      </c>
      <c r="C877" s="725">
        <v>42277</v>
      </c>
      <c r="D877" s="726" t="s">
        <v>1058</v>
      </c>
      <c r="E877" s="812">
        <v>56</v>
      </c>
      <c r="F877" s="811">
        <v>32</v>
      </c>
      <c r="G877" s="811">
        <v>30</v>
      </c>
      <c r="H877" s="807">
        <f t="shared" si="80"/>
        <v>1.18</v>
      </c>
      <c r="I877" s="710">
        <v>497</v>
      </c>
      <c r="J877" s="710">
        <f t="shared" si="81"/>
        <v>586.45999999999992</v>
      </c>
      <c r="K877" s="710">
        <f t="shared" si="83"/>
        <v>9474.9768081238017</v>
      </c>
      <c r="L877" s="656"/>
      <c r="M877" s="292"/>
      <c r="N877" s="701"/>
    </row>
    <row r="878" spans="1:17" ht="15.75" customHeight="1">
      <c r="A878" s="709">
        <f t="shared" si="82"/>
        <v>327</v>
      </c>
      <c r="B878" s="296" t="s">
        <v>1061</v>
      </c>
      <c r="C878" s="725">
        <v>42277</v>
      </c>
      <c r="D878" s="726" t="s">
        <v>1058</v>
      </c>
      <c r="E878" s="812">
        <v>56</v>
      </c>
      <c r="F878" s="811">
        <v>29</v>
      </c>
      <c r="G878" s="811">
        <v>26</v>
      </c>
      <c r="H878" s="807">
        <f t="shared" si="80"/>
        <v>1.02</v>
      </c>
      <c r="I878" s="710">
        <v>500</v>
      </c>
      <c r="J878" s="710">
        <f t="shared" si="81"/>
        <v>510</v>
      </c>
      <c r="K878" s="710">
        <f t="shared" si="83"/>
        <v>8190.2341900731171</v>
      </c>
      <c r="L878" s="656"/>
      <c r="M878" s="292"/>
      <c r="N878" s="701"/>
    </row>
    <row r="879" spans="1:17" ht="15.75" customHeight="1">
      <c r="A879" s="709">
        <f t="shared" si="82"/>
        <v>328</v>
      </c>
      <c r="B879" s="296" t="s">
        <v>1062</v>
      </c>
      <c r="C879" s="725">
        <v>42277</v>
      </c>
      <c r="D879" s="726" t="s">
        <v>1063</v>
      </c>
      <c r="E879" s="812">
        <v>36</v>
      </c>
      <c r="F879" s="811">
        <v>26</v>
      </c>
      <c r="G879" s="811">
        <v>26</v>
      </c>
      <c r="H879" s="807">
        <f t="shared" si="80"/>
        <v>0.71</v>
      </c>
      <c r="I879" s="710">
        <v>1000</v>
      </c>
      <c r="J879" s="710">
        <f t="shared" si="81"/>
        <v>710</v>
      </c>
      <c r="K879" s="710">
        <f t="shared" si="83"/>
        <v>5701.0453675999142</v>
      </c>
      <c r="L879" s="656"/>
      <c r="M879" s="292"/>
      <c r="N879" s="701"/>
    </row>
    <row r="880" spans="1:17" s="730" customFormat="1" ht="15.75" customHeight="1">
      <c r="A880" s="709" t="str">
        <f>IF(B880&lt;&gt;"",#REF!+1,"")</f>
        <v/>
      </c>
      <c r="B880" s="738"/>
      <c r="C880" s="725"/>
      <c r="D880" s="726"/>
      <c r="E880" s="812"/>
      <c r="F880" s="811"/>
      <c r="G880" s="811"/>
      <c r="H880" s="710"/>
      <c r="I880" s="256"/>
      <c r="J880" s="710"/>
      <c r="K880" s="710"/>
      <c r="L880" s="656"/>
      <c r="M880" s="292"/>
      <c r="N880" s="701"/>
      <c r="O880" s="751"/>
      <c r="P880" s="292"/>
      <c r="Q880" s="705"/>
    </row>
    <row r="881" spans="1:17" s="706" customFormat="1" ht="15.75" customHeight="1">
      <c r="A881" s="711"/>
      <c r="B881" s="712" t="s">
        <v>243</v>
      </c>
      <c r="C881" s="731"/>
      <c r="D881" s="732"/>
      <c r="E881" s="805"/>
      <c r="F881" s="805"/>
      <c r="G881" s="805"/>
      <c r="H881" s="808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0"/>
      <c r="M881" s="292"/>
      <c r="N881" s="701"/>
      <c r="O881" s="751"/>
      <c r="P881" s="292"/>
      <c r="Q881" s="887"/>
    </row>
    <row r="882" spans="1:17" s="706" customFormat="1">
      <c r="A882" s="713"/>
      <c r="B882" s="714"/>
      <c r="C882" s="701"/>
      <c r="D882" s="719"/>
      <c r="E882" s="809"/>
      <c r="F882" s="809"/>
      <c r="G882" s="809"/>
      <c r="H882" s="707"/>
      <c r="I882" s="707"/>
      <c r="J882" s="707"/>
      <c r="K882" s="707"/>
      <c r="L882" s="720"/>
      <c r="M882" s="292"/>
      <c r="N882" s="701"/>
      <c r="O882" s="751"/>
      <c r="P882" s="292"/>
      <c r="Q882" s="705"/>
    </row>
    <row r="883" spans="1:17" ht="18" hidden="1" customHeight="1">
      <c r="A883" s="563" t="str">
        <f>TH!$A$1</f>
        <v>Đơn vị: CÔNG TY TNHH SX TM KIM DUNG PHÁT</v>
      </c>
      <c r="B883" s="706"/>
      <c r="C883" s="701"/>
      <c r="H883" s="292"/>
      <c r="I883" s="591"/>
      <c r="J883" s="591"/>
      <c r="K883" s="292"/>
      <c r="L883" s="720"/>
      <c r="M883" s="292"/>
      <c r="N883" s="701"/>
    </row>
    <row r="884" spans="1:17" ht="18.75" customHeight="1">
      <c r="A884" s="707" t="s">
        <v>1851</v>
      </c>
      <c r="B884" s="707"/>
      <c r="C884" s="701"/>
      <c r="E884" s="809"/>
      <c r="F884" s="809"/>
      <c r="G884" s="809"/>
      <c r="H884" s="707"/>
      <c r="I884" s="707"/>
      <c r="J884" s="707"/>
      <c r="K884" s="707"/>
      <c r="L884" s="720"/>
      <c r="M884" s="292"/>
      <c r="N884" s="701"/>
    </row>
    <row r="885" spans="1:17" ht="18.75" customHeight="1">
      <c r="A885" s="707"/>
      <c r="B885" s="708"/>
      <c r="C885" s="701"/>
      <c r="E885" s="806"/>
      <c r="F885" s="806"/>
      <c r="G885" s="806"/>
      <c r="H885" s="708"/>
      <c r="I885" s="721"/>
      <c r="J885" s="721"/>
      <c r="K885" s="708"/>
      <c r="L885" s="720"/>
      <c r="M885" s="292"/>
      <c r="N885" s="701"/>
    </row>
    <row r="886" spans="1:17" s="442" customFormat="1" ht="21" customHeight="1">
      <c r="A886" s="1097" t="s">
        <v>35</v>
      </c>
      <c r="B886" s="1097" t="s">
        <v>239</v>
      </c>
      <c r="C886" s="1097" t="s">
        <v>1858</v>
      </c>
      <c r="D886" s="1097" t="s">
        <v>1859</v>
      </c>
      <c r="E886" s="1098" t="s">
        <v>1860</v>
      </c>
      <c r="F886" s="1099"/>
      <c r="G886" s="1099"/>
      <c r="H886" s="1100"/>
      <c r="I886" s="1097" t="s">
        <v>240</v>
      </c>
      <c r="J886" s="1104" t="s">
        <v>1870</v>
      </c>
      <c r="K886" s="1097" t="s">
        <v>1864</v>
      </c>
      <c r="L886" s="441"/>
      <c r="M886" s="1097" t="s">
        <v>239</v>
      </c>
      <c r="N886" s="1097" t="s">
        <v>1865</v>
      </c>
      <c r="O886" s="1097" t="s">
        <v>198</v>
      </c>
      <c r="P886" s="1097" t="s">
        <v>241</v>
      </c>
      <c r="Q886" s="1097" t="s">
        <v>242</v>
      </c>
    </row>
    <row r="887" spans="1:17" s="442" customFormat="1" ht="21" customHeight="1">
      <c r="A887" s="1097"/>
      <c r="B887" s="1097"/>
      <c r="C887" s="1097"/>
      <c r="D887" s="1097"/>
      <c r="E887" s="753" t="s">
        <v>1861</v>
      </c>
      <c r="F887" s="753" t="s">
        <v>1862</v>
      </c>
      <c r="G887" s="753" t="s">
        <v>1863</v>
      </c>
      <c r="H887" s="440" t="s">
        <v>1868</v>
      </c>
      <c r="I887" s="1097"/>
      <c r="J887" s="1105"/>
      <c r="K887" s="1097"/>
      <c r="L887" s="441"/>
      <c r="M887" s="1097"/>
      <c r="N887" s="1097"/>
      <c r="O887" s="1097"/>
      <c r="P887" s="1097"/>
      <c r="Q887" s="1097"/>
    </row>
    <row r="888" spans="1:17" ht="16.5" customHeight="1">
      <c r="A888" s="709">
        <v>1</v>
      </c>
      <c r="B888" s="296" t="s">
        <v>1948</v>
      </c>
      <c r="C888" s="725">
        <v>42278</v>
      </c>
      <c r="D888" s="726" t="s">
        <v>1065</v>
      </c>
      <c r="E888" s="812">
        <v>43</v>
      </c>
      <c r="F888" s="811">
        <v>42</v>
      </c>
      <c r="G888" s="811">
        <v>26</v>
      </c>
      <c r="H888" s="807">
        <f t="shared" ref="H888:H951" si="84">IF(G888&lt;&gt;"",ROUND(((E888+F888)*2+5)*(F888+G888+3)/10000,2),ROUND(E888*F888/10000,2))</f>
        <v>1.24</v>
      </c>
      <c r="I888" s="710">
        <v>20</v>
      </c>
      <c r="J888" s="710">
        <f t="shared" ref="J888" si="85">H888*I888</f>
        <v>24.8</v>
      </c>
      <c r="K888" s="710">
        <f t="shared" ref="K888:K919" si="86">H888*$Q$940</f>
        <v>9246.5105112078254</v>
      </c>
      <c r="L888" s="656"/>
      <c r="M888" s="188" t="s">
        <v>1445</v>
      </c>
      <c r="N888" s="727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09">
        <f t="shared" ref="A889:A1082" si="88">IF(B889&lt;&gt;"",A888+1,"")</f>
        <v>2</v>
      </c>
      <c r="B889" s="296" t="s">
        <v>1949</v>
      </c>
      <c r="C889" s="725">
        <v>42278</v>
      </c>
      <c r="D889" s="726" t="s">
        <v>1065</v>
      </c>
      <c r="E889" s="812">
        <v>49</v>
      </c>
      <c r="F889" s="811">
        <v>47</v>
      </c>
      <c r="G889" s="811">
        <v>27</v>
      </c>
      <c r="H889" s="807">
        <f t="shared" si="84"/>
        <v>1.52</v>
      </c>
      <c r="I889" s="710">
        <v>20</v>
      </c>
      <c r="J889" s="710">
        <f t="shared" ref="J889:J952" si="89">H889*I889</f>
        <v>30.4</v>
      </c>
      <c r="K889" s="710">
        <f t="shared" si="86"/>
        <v>11334.432239545076</v>
      </c>
      <c r="L889" s="656"/>
      <c r="M889" s="296" t="s">
        <v>1380</v>
      </c>
      <c r="N889" s="727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09">
        <f t="shared" si="88"/>
        <v>3</v>
      </c>
      <c r="B890" s="296" t="s">
        <v>1952</v>
      </c>
      <c r="C890" s="725">
        <v>42278</v>
      </c>
      <c r="D890" s="726" t="s">
        <v>1065</v>
      </c>
      <c r="E890" s="812">
        <v>42</v>
      </c>
      <c r="F890" s="811">
        <v>41</v>
      </c>
      <c r="G890" s="811">
        <v>34</v>
      </c>
      <c r="H890" s="807">
        <f t="shared" si="84"/>
        <v>1.33</v>
      </c>
      <c r="I890" s="710">
        <v>50</v>
      </c>
      <c r="J890" s="710">
        <f t="shared" si="89"/>
        <v>66.5</v>
      </c>
      <c r="K890" s="710">
        <f t="shared" si="86"/>
        <v>9917.6282096019422</v>
      </c>
      <c r="L890" s="656"/>
      <c r="M890" s="296" t="s">
        <v>1380</v>
      </c>
      <c r="N890" s="727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09">
        <f t="shared" si="88"/>
        <v>4</v>
      </c>
      <c r="B891" s="296" t="s">
        <v>413</v>
      </c>
      <c r="C891" s="725">
        <v>42279</v>
      </c>
      <c r="D891" s="726" t="s">
        <v>1066</v>
      </c>
      <c r="E891" s="812">
        <v>49</v>
      </c>
      <c r="F891" s="811">
        <v>38</v>
      </c>
      <c r="G891" s="811">
        <v>12</v>
      </c>
      <c r="H891" s="807">
        <f t="shared" si="84"/>
        <v>0.95</v>
      </c>
      <c r="I891" s="710">
        <v>298</v>
      </c>
      <c r="J891" s="710">
        <f t="shared" si="89"/>
        <v>283.09999999999997</v>
      </c>
      <c r="K891" s="710">
        <f t="shared" si="86"/>
        <v>7084.0201497156722</v>
      </c>
      <c r="L891" s="656"/>
      <c r="M891" s="188" t="s">
        <v>1445</v>
      </c>
      <c r="N891" s="727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09">
        <f t="shared" si="88"/>
        <v>5</v>
      </c>
      <c r="B892" s="296" t="s">
        <v>413</v>
      </c>
      <c r="C892" s="725">
        <v>42279</v>
      </c>
      <c r="D892" s="726" t="s">
        <v>1066</v>
      </c>
      <c r="E892" s="812">
        <v>49</v>
      </c>
      <c r="F892" s="811">
        <v>38</v>
      </c>
      <c r="G892" s="811">
        <v>12</v>
      </c>
      <c r="H892" s="807">
        <f t="shared" si="84"/>
        <v>0.95</v>
      </c>
      <c r="I892" s="710">
        <v>207</v>
      </c>
      <c r="J892" s="710">
        <f t="shared" si="89"/>
        <v>196.64999999999998</v>
      </c>
      <c r="K892" s="710">
        <f t="shared" si="86"/>
        <v>7084.0201497156722</v>
      </c>
      <c r="L892" s="656"/>
      <c r="M892" s="188" t="s">
        <v>1378</v>
      </c>
      <c r="N892" s="727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09">
        <f t="shared" si="88"/>
        <v>6</v>
      </c>
      <c r="B893" s="296" t="s">
        <v>595</v>
      </c>
      <c r="C893" s="725">
        <v>42279</v>
      </c>
      <c r="D893" s="726" t="s">
        <v>1067</v>
      </c>
      <c r="E893" s="812">
        <v>43</v>
      </c>
      <c r="F893" s="811">
        <v>27.5</v>
      </c>
      <c r="G893" s="811">
        <v>33</v>
      </c>
      <c r="H893" s="807">
        <f t="shared" si="84"/>
        <v>0.93</v>
      </c>
      <c r="I893" s="710">
        <v>238</v>
      </c>
      <c r="J893" s="710">
        <f t="shared" si="89"/>
        <v>221.34</v>
      </c>
      <c r="K893" s="710">
        <f t="shared" si="86"/>
        <v>6934.8828834058695</v>
      </c>
      <c r="L893" s="656"/>
      <c r="M893" s="443" t="s">
        <v>1937</v>
      </c>
      <c r="N893" s="727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09">
        <f t="shared" si="88"/>
        <v>7</v>
      </c>
      <c r="B894" s="296" t="s">
        <v>1948</v>
      </c>
      <c r="C894" s="725">
        <v>42280</v>
      </c>
      <c r="D894" s="726" t="s">
        <v>1068</v>
      </c>
      <c r="E894" s="812">
        <v>43</v>
      </c>
      <c r="F894" s="811">
        <v>42</v>
      </c>
      <c r="G894" s="811">
        <v>26</v>
      </c>
      <c r="H894" s="807">
        <f t="shared" si="84"/>
        <v>1.24</v>
      </c>
      <c r="I894" s="710">
        <v>2000</v>
      </c>
      <c r="J894" s="710">
        <f t="shared" si="89"/>
        <v>2480</v>
      </c>
      <c r="K894" s="710">
        <f t="shared" si="86"/>
        <v>9246.5105112078254</v>
      </c>
      <c r="L894" s="656"/>
      <c r="M894" s="296" t="s">
        <v>1357</v>
      </c>
      <c r="N894" s="727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09">
        <f t="shared" si="88"/>
        <v>8</v>
      </c>
      <c r="B895" s="296" t="s">
        <v>446</v>
      </c>
      <c r="C895" s="725">
        <v>42280</v>
      </c>
      <c r="D895" s="726" t="s">
        <v>1069</v>
      </c>
      <c r="E895" s="812">
        <v>52</v>
      </c>
      <c r="F895" s="811">
        <v>26.5</v>
      </c>
      <c r="G895" s="811">
        <v>26.5</v>
      </c>
      <c r="H895" s="807">
        <f t="shared" si="84"/>
        <v>0.91</v>
      </c>
      <c r="I895" s="710">
        <v>606</v>
      </c>
      <c r="J895" s="710">
        <f t="shared" si="89"/>
        <v>551.46</v>
      </c>
      <c r="K895" s="710">
        <f t="shared" si="86"/>
        <v>6785.7456170960659</v>
      </c>
      <c r="L895" s="656"/>
      <c r="M895" s="191" t="s">
        <v>1357</v>
      </c>
      <c r="N895" s="727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09">
        <f t="shared" si="88"/>
        <v>9</v>
      </c>
      <c r="B896" s="296" t="s">
        <v>501</v>
      </c>
      <c r="C896" s="725">
        <v>42280</v>
      </c>
      <c r="D896" s="726" t="s">
        <v>1069</v>
      </c>
      <c r="E896" s="812">
        <v>55</v>
      </c>
      <c r="F896" s="811">
        <v>45</v>
      </c>
      <c r="G896" s="811">
        <v>29</v>
      </c>
      <c r="H896" s="807">
        <f t="shared" si="84"/>
        <v>1.58</v>
      </c>
      <c r="I896" s="710">
        <v>513</v>
      </c>
      <c r="J896" s="710">
        <f t="shared" si="89"/>
        <v>810.54000000000008</v>
      </c>
      <c r="K896" s="710">
        <f t="shared" si="86"/>
        <v>11781.844038474488</v>
      </c>
      <c r="L896" s="656"/>
      <c r="M896" s="296" t="s">
        <v>1357</v>
      </c>
      <c r="N896" s="727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09">
        <f t="shared" si="88"/>
        <v>10</v>
      </c>
      <c r="B897" s="296" t="s">
        <v>1070</v>
      </c>
      <c r="C897" s="725">
        <v>42280</v>
      </c>
      <c r="D897" s="726" t="s">
        <v>1069</v>
      </c>
      <c r="E897" s="812">
        <v>46</v>
      </c>
      <c r="F897" s="811">
        <v>23.5</v>
      </c>
      <c r="G897" s="811">
        <v>30</v>
      </c>
      <c r="H897" s="807">
        <f t="shared" si="84"/>
        <v>0.81</v>
      </c>
      <c r="I897" s="710">
        <v>618</v>
      </c>
      <c r="J897" s="710">
        <f t="shared" si="89"/>
        <v>500.58000000000004</v>
      </c>
      <c r="K897" s="710">
        <f t="shared" si="86"/>
        <v>6040.0592855470477</v>
      </c>
      <c r="L897" s="656"/>
      <c r="M897" s="296" t="s">
        <v>1357</v>
      </c>
      <c r="N897" s="727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09">
        <f t="shared" si="88"/>
        <v>11</v>
      </c>
      <c r="B898" s="296" t="s">
        <v>1796</v>
      </c>
      <c r="C898" s="725">
        <v>42280</v>
      </c>
      <c r="D898" s="726" t="s">
        <v>1071</v>
      </c>
      <c r="E898" s="812">
        <v>37</v>
      </c>
      <c r="F898" s="811">
        <v>47</v>
      </c>
      <c r="G898" s="811"/>
      <c r="H898" s="807">
        <f t="shared" si="84"/>
        <v>0.17</v>
      </c>
      <c r="I898" s="710">
        <v>1000</v>
      </c>
      <c r="J898" s="710">
        <f t="shared" si="89"/>
        <v>170</v>
      </c>
      <c r="K898" s="710">
        <f t="shared" si="86"/>
        <v>1267.6667636333309</v>
      </c>
      <c r="L898" s="656"/>
      <c r="M898" s="296" t="s">
        <v>1497</v>
      </c>
      <c r="N898" s="727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09">
        <f t="shared" si="88"/>
        <v>12</v>
      </c>
      <c r="B899" s="296" t="s">
        <v>1797</v>
      </c>
      <c r="C899" s="725">
        <v>42280</v>
      </c>
      <c r="D899" s="726" t="s">
        <v>1071</v>
      </c>
      <c r="E899" s="812">
        <v>110</v>
      </c>
      <c r="F899" s="811">
        <v>102</v>
      </c>
      <c r="G899" s="811"/>
      <c r="H899" s="807">
        <f t="shared" si="84"/>
        <v>1.1200000000000001</v>
      </c>
      <c r="I899" s="710">
        <v>155</v>
      </c>
      <c r="J899" s="710">
        <f t="shared" si="89"/>
        <v>173.60000000000002</v>
      </c>
      <c r="K899" s="710">
        <f t="shared" si="86"/>
        <v>8351.6869133490036</v>
      </c>
      <c r="L899" s="656"/>
      <c r="M899" s="296" t="s">
        <v>1497</v>
      </c>
      <c r="N899" s="727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09">
        <f t="shared" si="88"/>
        <v>13</v>
      </c>
      <c r="B900" s="296" t="s">
        <v>1798</v>
      </c>
      <c r="C900" s="725">
        <v>42280</v>
      </c>
      <c r="D900" s="726" t="s">
        <v>1071</v>
      </c>
      <c r="E900" s="812">
        <v>80</v>
      </c>
      <c r="F900" s="811">
        <v>112</v>
      </c>
      <c r="G900" s="811"/>
      <c r="H900" s="807">
        <f t="shared" si="84"/>
        <v>0.9</v>
      </c>
      <c r="I900" s="710">
        <v>103</v>
      </c>
      <c r="J900" s="710">
        <f t="shared" si="89"/>
        <v>92.7</v>
      </c>
      <c r="K900" s="710">
        <f t="shared" si="86"/>
        <v>6711.1769839411636</v>
      </c>
      <c r="L900" s="656"/>
      <c r="M900" s="296" t="s">
        <v>1499</v>
      </c>
      <c r="N900" s="727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09">
        <f t="shared" si="88"/>
        <v>14</v>
      </c>
      <c r="B901" s="296" t="s">
        <v>1799</v>
      </c>
      <c r="C901" s="725">
        <v>42280</v>
      </c>
      <c r="D901" s="726" t="s">
        <v>1071</v>
      </c>
      <c r="E901" s="812">
        <v>85</v>
      </c>
      <c r="F901" s="811">
        <v>178</v>
      </c>
      <c r="G901" s="811"/>
      <c r="H901" s="807">
        <f t="shared" si="84"/>
        <v>1.51</v>
      </c>
      <c r="I901" s="710">
        <v>250</v>
      </c>
      <c r="J901" s="710">
        <f t="shared" si="89"/>
        <v>377.5</v>
      </c>
      <c r="K901" s="710">
        <f t="shared" si="86"/>
        <v>11259.863606390174</v>
      </c>
      <c r="L901" s="656"/>
      <c r="M901" s="296" t="s">
        <v>1357</v>
      </c>
      <c r="N901" s="727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09">
        <f t="shared" si="88"/>
        <v>15</v>
      </c>
      <c r="B902" s="296" t="s">
        <v>1800</v>
      </c>
      <c r="C902" s="725">
        <v>42280</v>
      </c>
      <c r="D902" s="726" t="s">
        <v>1071</v>
      </c>
      <c r="E902" s="812">
        <v>120</v>
      </c>
      <c r="F902" s="811">
        <v>196</v>
      </c>
      <c r="G902" s="811"/>
      <c r="H902" s="807">
        <f t="shared" si="84"/>
        <v>2.35</v>
      </c>
      <c r="I902" s="710">
        <v>59</v>
      </c>
      <c r="J902" s="710">
        <f t="shared" si="89"/>
        <v>138.65</v>
      </c>
      <c r="K902" s="710">
        <f t="shared" si="86"/>
        <v>17523.628791401927</v>
      </c>
      <c r="L902" s="656"/>
      <c r="M902" s="296" t="s">
        <v>1357</v>
      </c>
      <c r="N902" s="725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09">
        <f t="shared" si="88"/>
        <v>16</v>
      </c>
      <c r="B903" s="296" t="s">
        <v>1072</v>
      </c>
      <c r="C903" s="725">
        <v>42282</v>
      </c>
      <c r="D903" s="726" t="s">
        <v>1073</v>
      </c>
      <c r="E903" s="812">
        <v>46</v>
      </c>
      <c r="F903" s="811">
        <v>41</v>
      </c>
      <c r="G903" s="811">
        <v>25</v>
      </c>
      <c r="H903" s="807">
        <f t="shared" si="84"/>
        <v>1.24</v>
      </c>
      <c r="I903" s="710">
        <v>110</v>
      </c>
      <c r="J903" s="710">
        <f t="shared" si="89"/>
        <v>136.4</v>
      </c>
      <c r="K903" s="710">
        <f t="shared" si="86"/>
        <v>9246.5105112078254</v>
      </c>
      <c r="L903" s="656"/>
      <c r="M903" s="188" t="s">
        <v>1357</v>
      </c>
      <c r="N903" s="725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09">
        <f t="shared" si="88"/>
        <v>17</v>
      </c>
      <c r="B904" s="296" t="s">
        <v>602</v>
      </c>
      <c r="C904" s="725">
        <v>42282</v>
      </c>
      <c r="D904" s="726" t="s">
        <v>1073</v>
      </c>
      <c r="E904" s="812">
        <v>46</v>
      </c>
      <c r="F904" s="811">
        <v>42</v>
      </c>
      <c r="G904" s="811">
        <v>24.5</v>
      </c>
      <c r="H904" s="807">
        <f t="shared" si="84"/>
        <v>1.26</v>
      </c>
      <c r="I904" s="710">
        <v>967</v>
      </c>
      <c r="J904" s="710">
        <f t="shared" si="89"/>
        <v>1218.42</v>
      </c>
      <c r="K904" s="710">
        <f t="shared" si="86"/>
        <v>9395.6477775176299</v>
      </c>
      <c r="L904" s="656"/>
      <c r="M904" s="188" t="s">
        <v>1380</v>
      </c>
      <c r="N904" s="725">
        <v>42311</v>
      </c>
      <c r="O904" s="750">
        <v>5628</v>
      </c>
      <c r="P904" s="255">
        <v>7600</v>
      </c>
      <c r="Q904" s="8">
        <f t="shared" si="87"/>
        <v>42772800</v>
      </c>
    </row>
    <row r="905" spans="1:17" ht="16.5" customHeight="1">
      <c r="A905" s="709">
        <f t="shared" si="88"/>
        <v>18</v>
      </c>
      <c r="B905" s="296" t="s">
        <v>727</v>
      </c>
      <c r="C905" s="725">
        <v>42282</v>
      </c>
      <c r="D905" s="726" t="s">
        <v>1074</v>
      </c>
      <c r="E905" s="812">
        <v>120</v>
      </c>
      <c r="F905" s="811">
        <v>82</v>
      </c>
      <c r="G905" s="811"/>
      <c r="H905" s="807">
        <f t="shared" si="84"/>
        <v>0.98</v>
      </c>
      <c r="I905" s="710">
        <v>167</v>
      </c>
      <c r="J905" s="710">
        <f t="shared" si="89"/>
        <v>163.66</v>
      </c>
      <c r="K905" s="710">
        <f t="shared" si="86"/>
        <v>7307.7260491803781</v>
      </c>
      <c r="L905" s="656"/>
      <c r="M905" s="188" t="s">
        <v>1378</v>
      </c>
      <c r="N905" s="725">
        <v>42311</v>
      </c>
      <c r="O905" s="750">
        <v>2583</v>
      </c>
      <c r="P905" s="255">
        <v>9000</v>
      </c>
      <c r="Q905" s="8">
        <f t="shared" si="87"/>
        <v>23247000</v>
      </c>
    </row>
    <row r="906" spans="1:17" ht="16.5" customHeight="1">
      <c r="A906" s="709">
        <f t="shared" si="88"/>
        <v>19</v>
      </c>
      <c r="B906" s="296" t="s">
        <v>1780</v>
      </c>
      <c r="C906" s="725">
        <v>42282</v>
      </c>
      <c r="D906" s="726" t="s">
        <v>1074</v>
      </c>
      <c r="E906" s="812">
        <v>100</v>
      </c>
      <c r="F906" s="811">
        <v>87</v>
      </c>
      <c r="G906" s="811"/>
      <c r="H906" s="807">
        <f t="shared" si="84"/>
        <v>0.87</v>
      </c>
      <c r="I906" s="710">
        <v>105</v>
      </c>
      <c r="J906" s="710">
        <f t="shared" si="89"/>
        <v>91.35</v>
      </c>
      <c r="K906" s="710">
        <f t="shared" si="86"/>
        <v>6487.4710844764577</v>
      </c>
      <c r="L906" s="656"/>
      <c r="M906" s="188" t="s">
        <v>1357</v>
      </c>
      <c r="N906" s="725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09">
        <f t="shared" si="88"/>
        <v>20</v>
      </c>
      <c r="B907" s="296" t="s">
        <v>1777</v>
      </c>
      <c r="C907" s="725">
        <v>42282</v>
      </c>
      <c r="D907" s="726" t="s">
        <v>1074</v>
      </c>
      <c r="E907" s="812">
        <v>85</v>
      </c>
      <c r="F907" s="811">
        <v>186</v>
      </c>
      <c r="G907" s="811"/>
      <c r="H907" s="807">
        <f t="shared" si="84"/>
        <v>1.58</v>
      </c>
      <c r="I907" s="710">
        <v>147</v>
      </c>
      <c r="J907" s="710">
        <f t="shared" si="89"/>
        <v>232.26000000000002</v>
      </c>
      <c r="K907" s="710">
        <f t="shared" si="86"/>
        <v>11781.844038474488</v>
      </c>
      <c r="L907" s="656"/>
      <c r="M907" s="188" t="s">
        <v>1380</v>
      </c>
      <c r="N907" s="725">
        <v>42315</v>
      </c>
      <c r="O907" s="750">
        <v>6851</v>
      </c>
      <c r="P907" s="255">
        <v>7600</v>
      </c>
      <c r="Q907" s="8">
        <f t="shared" si="87"/>
        <v>52067600</v>
      </c>
    </row>
    <row r="908" spans="1:17" ht="16.5" customHeight="1">
      <c r="A908" s="709">
        <f t="shared" si="88"/>
        <v>21</v>
      </c>
      <c r="B908" s="296" t="s">
        <v>1801</v>
      </c>
      <c r="C908" s="725">
        <v>42282</v>
      </c>
      <c r="D908" s="726" t="s">
        <v>1074</v>
      </c>
      <c r="E908" s="812">
        <v>85</v>
      </c>
      <c r="F908" s="811">
        <v>94</v>
      </c>
      <c r="G908" s="811"/>
      <c r="H908" s="807">
        <f t="shared" si="84"/>
        <v>0.8</v>
      </c>
      <c r="I908" s="710">
        <v>100</v>
      </c>
      <c r="J908" s="710">
        <f t="shared" si="89"/>
        <v>80</v>
      </c>
      <c r="K908" s="710">
        <f t="shared" si="86"/>
        <v>5965.4906523921454</v>
      </c>
      <c r="L908" s="656"/>
      <c r="M908" s="296" t="s">
        <v>1357</v>
      </c>
      <c r="N908" s="725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09">
        <f t="shared" si="88"/>
        <v>22</v>
      </c>
      <c r="B909" s="296" t="s">
        <v>1747</v>
      </c>
      <c r="C909" s="725">
        <v>42282</v>
      </c>
      <c r="D909" s="726" t="s">
        <v>1074</v>
      </c>
      <c r="E909" s="812">
        <v>85</v>
      </c>
      <c r="F909" s="811">
        <v>84</v>
      </c>
      <c r="G909" s="811"/>
      <c r="H909" s="807">
        <f t="shared" si="84"/>
        <v>0.71</v>
      </c>
      <c r="I909" s="710">
        <v>110</v>
      </c>
      <c r="J909" s="710">
        <f t="shared" si="89"/>
        <v>78.099999999999994</v>
      </c>
      <c r="K909" s="710">
        <f t="shared" si="86"/>
        <v>5294.3729539980286</v>
      </c>
      <c r="L909" s="656"/>
      <c r="M909" s="296" t="s">
        <v>1497</v>
      </c>
      <c r="N909" s="725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09">
        <f t="shared" si="88"/>
        <v>23</v>
      </c>
      <c r="B910" s="296" t="s">
        <v>1075</v>
      </c>
      <c r="C910" s="725">
        <v>42283</v>
      </c>
      <c r="D910" s="726" t="s">
        <v>1076</v>
      </c>
      <c r="E910" s="812">
        <v>50</v>
      </c>
      <c r="F910" s="811">
        <v>29.5</v>
      </c>
      <c r="G910" s="811">
        <v>39.5</v>
      </c>
      <c r="H910" s="807">
        <f t="shared" si="84"/>
        <v>1.18</v>
      </c>
      <c r="I910" s="710">
        <v>998</v>
      </c>
      <c r="J910" s="710">
        <f t="shared" si="89"/>
        <v>1177.6399999999999</v>
      </c>
      <c r="K910" s="710">
        <f t="shared" si="86"/>
        <v>8799.0987122784136</v>
      </c>
      <c r="L910" s="656"/>
      <c r="M910" s="188" t="s">
        <v>1499</v>
      </c>
      <c r="N910" s="763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09">
        <f t="shared" si="88"/>
        <v>24</v>
      </c>
      <c r="B911" s="296" t="s">
        <v>409</v>
      </c>
      <c r="C911" s="725">
        <v>42283</v>
      </c>
      <c r="D911" s="726" t="s">
        <v>1077</v>
      </c>
      <c r="E911" s="812">
        <v>36.5</v>
      </c>
      <c r="F911" s="811">
        <v>27.3</v>
      </c>
      <c r="G911" s="811">
        <v>25.5</v>
      </c>
      <c r="H911" s="807">
        <f t="shared" si="84"/>
        <v>0.74</v>
      </c>
      <c r="I911" s="710">
        <v>4110</v>
      </c>
      <c r="J911" s="710">
        <f t="shared" si="89"/>
        <v>3041.4</v>
      </c>
      <c r="K911" s="710">
        <f t="shared" si="86"/>
        <v>5518.0788534627345</v>
      </c>
      <c r="L911" s="656"/>
      <c r="M911" s="296" t="s">
        <v>1499</v>
      </c>
      <c r="N911" s="763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09">
        <f t="shared" si="88"/>
        <v>25</v>
      </c>
      <c r="B912" s="296" t="s">
        <v>1948</v>
      </c>
      <c r="C912" s="725">
        <v>42285</v>
      </c>
      <c r="D912" s="726" t="s">
        <v>1078</v>
      </c>
      <c r="E912" s="812">
        <v>43</v>
      </c>
      <c r="F912" s="811">
        <v>42</v>
      </c>
      <c r="G912" s="811">
        <v>26</v>
      </c>
      <c r="H912" s="807">
        <f t="shared" si="84"/>
        <v>1.24</v>
      </c>
      <c r="I912" s="710">
        <v>20</v>
      </c>
      <c r="J912" s="710">
        <f t="shared" si="89"/>
        <v>24.8</v>
      </c>
      <c r="K912" s="710">
        <f t="shared" si="86"/>
        <v>9246.5105112078254</v>
      </c>
      <c r="L912" s="656"/>
      <c r="M912" s="188" t="s">
        <v>1380</v>
      </c>
      <c r="N912" s="763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09">
        <f t="shared" si="88"/>
        <v>26</v>
      </c>
      <c r="B913" s="296" t="s">
        <v>1949</v>
      </c>
      <c r="C913" s="725">
        <v>42285</v>
      </c>
      <c r="D913" s="726" t="s">
        <v>1078</v>
      </c>
      <c r="E913" s="812">
        <v>49</v>
      </c>
      <c r="F913" s="811">
        <v>47</v>
      </c>
      <c r="G913" s="811">
        <v>27</v>
      </c>
      <c r="H913" s="807">
        <f t="shared" si="84"/>
        <v>1.52</v>
      </c>
      <c r="I913" s="710">
        <v>20</v>
      </c>
      <c r="J913" s="710">
        <f t="shared" si="89"/>
        <v>30.4</v>
      </c>
      <c r="K913" s="710">
        <f t="shared" si="86"/>
        <v>11334.432239545076</v>
      </c>
      <c r="L913" s="656"/>
      <c r="M913" s="188" t="s">
        <v>1357</v>
      </c>
      <c r="N913" s="763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09">
        <f t="shared" si="88"/>
        <v>27</v>
      </c>
      <c r="B914" s="296" t="s">
        <v>1950</v>
      </c>
      <c r="C914" s="725">
        <v>42285</v>
      </c>
      <c r="D914" s="726" t="s">
        <v>1078</v>
      </c>
      <c r="E914" s="812">
        <v>38</v>
      </c>
      <c r="F914" s="811">
        <v>37</v>
      </c>
      <c r="G914" s="811">
        <v>30</v>
      </c>
      <c r="H914" s="807">
        <f t="shared" si="84"/>
        <v>1.0900000000000001</v>
      </c>
      <c r="I914" s="710">
        <v>50</v>
      </c>
      <c r="J914" s="710">
        <f t="shared" si="89"/>
        <v>54.500000000000007</v>
      </c>
      <c r="K914" s="710">
        <f t="shared" si="86"/>
        <v>8127.9810138842986</v>
      </c>
      <c r="L914" s="656"/>
      <c r="M914" s="188" t="s">
        <v>1357</v>
      </c>
      <c r="N914" s="727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09">
        <f t="shared" si="88"/>
        <v>28</v>
      </c>
      <c r="B915" s="296" t="s">
        <v>1951</v>
      </c>
      <c r="C915" s="725">
        <v>42285</v>
      </c>
      <c r="D915" s="726" t="s">
        <v>1078</v>
      </c>
      <c r="E915" s="812">
        <v>40</v>
      </c>
      <c r="F915" s="811">
        <v>39</v>
      </c>
      <c r="G915" s="811">
        <v>32</v>
      </c>
      <c r="H915" s="807">
        <f t="shared" si="84"/>
        <v>1.21</v>
      </c>
      <c r="I915" s="710">
        <v>20</v>
      </c>
      <c r="J915" s="710">
        <f t="shared" si="89"/>
        <v>24.2</v>
      </c>
      <c r="K915" s="710">
        <f t="shared" si="86"/>
        <v>9022.8046117431204</v>
      </c>
      <c r="L915" s="656"/>
      <c r="M915" s="444" t="s">
        <v>1380</v>
      </c>
      <c r="N915" s="727">
        <v>42325</v>
      </c>
      <c r="O915" s="754">
        <v>7534</v>
      </c>
      <c r="P915" s="745">
        <v>7600</v>
      </c>
      <c r="Q915" s="8">
        <f t="shared" si="87"/>
        <v>57258400</v>
      </c>
    </row>
    <row r="916" spans="1:17" ht="16.5" customHeight="1">
      <c r="A916" s="709">
        <f t="shared" si="88"/>
        <v>29</v>
      </c>
      <c r="B916" s="296" t="s">
        <v>1952</v>
      </c>
      <c r="C916" s="725">
        <v>42285</v>
      </c>
      <c r="D916" s="726" t="s">
        <v>1078</v>
      </c>
      <c r="E916" s="812">
        <v>42</v>
      </c>
      <c r="F916" s="811">
        <v>41</v>
      </c>
      <c r="G916" s="811">
        <v>34</v>
      </c>
      <c r="H916" s="807">
        <f t="shared" si="84"/>
        <v>1.33</v>
      </c>
      <c r="I916" s="710">
        <v>50</v>
      </c>
      <c r="J916" s="710">
        <f t="shared" si="89"/>
        <v>66.5</v>
      </c>
      <c r="K916" s="710">
        <f t="shared" si="86"/>
        <v>9917.6282096019422</v>
      </c>
      <c r="L916" s="656"/>
      <c r="M916" s="444" t="s">
        <v>1499</v>
      </c>
      <c r="N916" s="725">
        <v>42329</v>
      </c>
      <c r="O916" s="754">
        <v>1800</v>
      </c>
      <c r="P916" s="745">
        <v>9000</v>
      </c>
      <c r="Q916" s="8">
        <f t="shared" si="87"/>
        <v>16200000</v>
      </c>
    </row>
    <row r="917" spans="1:17" ht="16.5" customHeight="1">
      <c r="A917" s="709">
        <f t="shared" si="88"/>
        <v>30</v>
      </c>
      <c r="B917" s="296" t="s">
        <v>398</v>
      </c>
      <c r="C917" s="725">
        <v>42285</v>
      </c>
      <c r="D917" s="726" t="s">
        <v>1079</v>
      </c>
      <c r="E917" s="812">
        <v>52</v>
      </c>
      <c r="F917" s="811">
        <v>24.5</v>
      </c>
      <c r="G917" s="811">
        <v>24.5</v>
      </c>
      <c r="H917" s="807">
        <f t="shared" si="84"/>
        <v>0.82</v>
      </c>
      <c r="I917" s="710">
        <v>919</v>
      </c>
      <c r="J917" s="710">
        <f t="shared" si="89"/>
        <v>753.57999999999993</v>
      </c>
      <c r="K917" s="710">
        <f t="shared" si="86"/>
        <v>6114.6279187019491</v>
      </c>
      <c r="L917" s="656"/>
      <c r="M917" s="444" t="s">
        <v>1378</v>
      </c>
      <c r="N917" s="725">
        <v>42333</v>
      </c>
      <c r="O917" s="754">
        <v>7399</v>
      </c>
      <c r="P917" s="745">
        <v>9000</v>
      </c>
      <c r="Q917" s="8">
        <f t="shared" si="87"/>
        <v>66591000</v>
      </c>
    </row>
    <row r="918" spans="1:17" ht="16.5" customHeight="1">
      <c r="A918" s="709">
        <f t="shared" si="88"/>
        <v>31</v>
      </c>
      <c r="B918" s="296" t="s">
        <v>919</v>
      </c>
      <c r="C918" s="725">
        <v>42285</v>
      </c>
      <c r="D918" s="726" t="s">
        <v>1079</v>
      </c>
      <c r="E918" s="812">
        <v>50</v>
      </c>
      <c r="F918" s="811">
        <v>25</v>
      </c>
      <c r="G918" s="811">
        <v>30</v>
      </c>
      <c r="H918" s="807">
        <f t="shared" si="84"/>
        <v>0.9</v>
      </c>
      <c r="I918" s="710">
        <v>311</v>
      </c>
      <c r="J918" s="710">
        <f t="shared" si="89"/>
        <v>279.90000000000003</v>
      </c>
      <c r="K918" s="710">
        <f t="shared" si="86"/>
        <v>6711.1769839411636</v>
      </c>
      <c r="L918" s="656"/>
      <c r="M918" s="444" t="s">
        <v>1380</v>
      </c>
      <c r="N918" s="727">
        <v>42339</v>
      </c>
      <c r="O918" s="754">
        <v>1323</v>
      </c>
      <c r="P918" s="745">
        <v>8600</v>
      </c>
      <c r="Q918" s="8">
        <f t="shared" ref="Q918" si="90">ROUND(O918*P918,0)</f>
        <v>11377800</v>
      </c>
    </row>
    <row r="919" spans="1:17" ht="16.5" customHeight="1">
      <c r="A919" s="709">
        <f t="shared" si="88"/>
        <v>32</v>
      </c>
      <c r="B919" s="296" t="s">
        <v>518</v>
      </c>
      <c r="C919" s="725">
        <v>42286</v>
      </c>
      <c r="D919" s="726" t="s">
        <v>1080</v>
      </c>
      <c r="E919" s="812">
        <v>45</v>
      </c>
      <c r="F919" s="811">
        <v>35</v>
      </c>
      <c r="G919" s="811">
        <v>25</v>
      </c>
      <c r="H919" s="807">
        <f t="shared" si="84"/>
        <v>1.04</v>
      </c>
      <c r="I919" s="710">
        <v>485</v>
      </c>
      <c r="J919" s="710">
        <f t="shared" si="89"/>
        <v>504.40000000000003</v>
      </c>
      <c r="K919" s="710">
        <f t="shared" si="86"/>
        <v>7755.137848109789</v>
      </c>
      <c r="L919" s="656"/>
      <c r="M919" s="444"/>
      <c r="N919" s="725"/>
      <c r="O919" s="754"/>
      <c r="P919" s="745"/>
      <c r="Q919" s="8"/>
    </row>
    <row r="920" spans="1:17" ht="16.5" customHeight="1">
      <c r="A920" s="709">
        <f t="shared" si="88"/>
        <v>33</v>
      </c>
      <c r="B920" s="296" t="s">
        <v>1676</v>
      </c>
      <c r="C920" s="725">
        <v>42286</v>
      </c>
      <c r="D920" s="726" t="s">
        <v>1080</v>
      </c>
      <c r="E920" s="812">
        <v>43</v>
      </c>
      <c r="F920" s="811">
        <v>32</v>
      </c>
      <c r="G920" s="811"/>
      <c r="H920" s="807">
        <f t="shared" si="84"/>
        <v>0.14000000000000001</v>
      </c>
      <c r="I920" s="710">
        <v>1000</v>
      </c>
      <c r="J920" s="710">
        <f t="shared" si="89"/>
        <v>140</v>
      </c>
      <c r="K920" s="710">
        <f t="shared" ref="K920:K952" si="91">H920*$Q$940</f>
        <v>1043.9608641686254</v>
      </c>
      <c r="L920" s="656"/>
      <c r="M920" s="803" t="s">
        <v>1852</v>
      </c>
      <c r="N920" s="804"/>
      <c r="O920" s="805"/>
      <c r="P920" s="530"/>
      <c r="Q920" s="530">
        <f>SUM(Q888:Q919)</f>
        <v>1082763400</v>
      </c>
    </row>
    <row r="921" spans="1:17" ht="16.5" customHeight="1">
      <c r="A921" s="709">
        <f t="shared" si="88"/>
        <v>34</v>
      </c>
      <c r="B921" s="296" t="s">
        <v>952</v>
      </c>
      <c r="C921" s="725">
        <v>42286</v>
      </c>
      <c r="D921" s="726" t="s">
        <v>1081</v>
      </c>
      <c r="E921" s="812">
        <v>80</v>
      </c>
      <c r="F921" s="811">
        <v>60</v>
      </c>
      <c r="G921" s="811">
        <v>50</v>
      </c>
      <c r="H921" s="807">
        <f t="shared" si="84"/>
        <v>3.22</v>
      </c>
      <c r="I921" s="710">
        <v>157</v>
      </c>
      <c r="J921" s="710">
        <f t="shared" si="89"/>
        <v>505.54</v>
      </c>
      <c r="K921" s="710">
        <f t="shared" si="91"/>
        <v>24011.099875878386</v>
      </c>
      <c r="L921" s="656"/>
      <c r="M921" s="296" t="s">
        <v>1455</v>
      </c>
      <c r="N921" s="725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09">
        <f t="shared" si="88"/>
        <v>35</v>
      </c>
      <c r="B922" s="296" t="s">
        <v>1802</v>
      </c>
      <c r="C922" s="725">
        <v>42286</v>
      </c>
      <c r="D922" s="726" t="s">
        <v>1082</v>
      </c>
      <c r="E922" s="812">
        <v>125</v>
      </c>
      <c r="F922" s="811">
        <v>74</v>
      </c>
      <c r="G922" s="811"/>
      <c r="H922" s="807">
        <f t="shared" si="84"/>
        <v>0.93</v>
      </c>
      <c r="I922" s="710">
        <v>200</v>
      </c>
      <c r="J922" s="710">
        <f t="shared" si="89"/>
        <v>186</v>
      </c>
      <c r="K922" s="710">
        <f t="shared" si="91"/>
        <v>6934.8828834058695</v>
      </c>
      <c r="L922" s="656"/>
      <c r="M922" s="188" t="s">
        <v>1871</v>
      </c>
      <c r="N922" s="725">
        <v>42248</v>
      </c>
      <c r="O922" s="745">
        <v>500</v>
      </c>
      <c r="P922" s="745">
        <v>9800</v>
      </c>
      <c r="Q922" s="8">
        <f t="shared" ref="Q922:Q923" si="93">ROUND(O922*P922,0)</f>
        <v>4900000</v>
      </c>
    </row>
    <row r="923" spans="1:17" ht="16.5" customHeight="1">
      <c r="A923" s="709">
        <f t="shared" si="88"/>
        <v>36</v>
      </c>
      <c r="B923" s="296" t="s">
        <v>1803</v>
      </c>
      <c r="C923" s="725">
        <v>42286</v>
      </c>
      <c r="D923" s="726" t="s">
        <v>1082</v>
      </c>
      <c r="E923" s="812">
        <v>140</v>
      </c>
      <c r="F923" s="811">
        <v>176</v>
      </c>
      <c r="G923" s="811"/>
      <c r="H923" s="807">
        <f t="shared" si="84"/>
        <v>2.46</v>
      </c>
      <c r="I923" s="710">
        <v>10</v>
      </c>
      <c r="J923" s="710">
        <f t="shared" si="89"/>
        <v>24.6</v>
      </c>
      <c r="K923" s="710">
        <f t="shared" si="91"/>
        <v>18343.883756105846</v>
      </c>
      <c r="L923" s="656"/>
      <c r="M923" s="296" t="s">
        <v>2017</v>
      </c>
      <c r="N923" s="725">
        <v>42248</v>
      </c>
      <c r="O923" s="745">
        <v>1000</v>
      </c>
      <c r="P923" s="745">
        <v>11000</v>
      </c>
      <c r="Q923" s="8">
        <f t="shared" si="93"/>
        <v>11000000</v>
      </c>
    </row>
    <row r="924" spans="1:17" ht="16.5" customHeight="1">
      <c r="A924" s="709">
        <f t="shared" si="88"/>
        <v>37</v>
      </c>
      <c r="B924" s="296" t="s">
        <v>1804</v>
      </c>
      <c r="C924" s="725">
        <v>42286</v>
      </c>
      <c r="D924" s="726" t="s">
        <v>1082</v>
      </c>
      <c r="E924" s="812">
        <v>140</v>
      </c>
      <c r="F924" s="811">
        <v>179</v>
      </c>
      <c r="G924" s="811"/>
      <c r="H924" s="807">
        <f t="shared" si="84"/>
        <v>2.5099999999999998</v>
      </c>
      <c r="I924" s="710">
        <v>55</v>
      </c>
      <c r="J924" s="710">
        <f t="shared" si="89"/>
        <v>138.04999999999998</v>
      </c>
      <c r="K924" s="710">
        <f t="shared" si="91"/>
        <v>18716.726921880356</v>
      </c>
      <c r="L924" s="656"/>
      <c r="M924" s="188" t="s">
        <v>337</v>
      </c>
      <c r="N924" s="727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09">
        <f t="shared" si="88"/>
        <v>38</v>
      </c>
      <c r="B925" s="296" t="s">
        <v>742</v>
      </c>
      <c r="C925" s="725">
        <v>42286</v>
      </c>
      <c r="D925" s="726" t="s">
        <v>1082</v>
      </c>
      <c r="E925" s="812">
        <v>140</v>
      </c>
      <c r="F925" s="811">
        <v>140</v>
      </c>
      <c r="G925" s="811"/>
      <c r="H925" s="807">
        <f t="shared" si="84"/>
        <v>1.96</v>
      </c>
      <c r="I925" s="710">
        <v>105</v>
      </c>
      <c r="J925" s="710">
        <f t="shared" si="89"/>
        <v>205.79999999999998</v>
      </c>
      <c r="K925" s="710">
        <f t="shared" si="91"/>
        <v>14615.452098360756</v>
      </c>
      <c r="L925" s="656"/>
      <c r="M925" s="188" t="s">
        <v>337</v>
      </c>
      <c r="N925" s="725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09">
        <f t="shared" si="88"/>
        <v>39</v>
      </c>
      <c r="B926" s="296" t="s">
        <v>1083</v>
      </c>
      <c r="C926" s="725">
        <v>42287</v>
      </c>
      <c r="D926" s="726" t="s">
        <v>1084</v>
      </c>
      <c r="E926" s="812">
        <v>60</v>
      </c>
      <c r="F926" s="811">
        <v>40</v>
      </c>
      <c r="G926" s="811">
        <v>44</v>
      </c>
      <c r="H926" s="807">
        <f t="shared" si="84"/>
        <v>1.78</v>
      </c>
      <c r="I926" s="710">
        <v>710</v>
      </c>
      <c r="J926" s="710">
        <f t="shared" si="89"/>
        <v>1263.8</v>
      </c>
      <c r="K926" s="710">
        <f t="shared" si="91"/>
        <v>13273.216701572524</v>
      </c>
      <c r="L926" s="656"/>
      <c r="M926" s="188" t="s">
        <v>337</v>
      </c>
      <c r="N926" s="725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09">
        <f t="shared" si="88"/>
        <v>40</v>
      </c>
      <c r="B927" s="296" t="s">
        <v>1691</v>
      </c>
      <c r="C927" s="725">
        <v>42287</v>
      </c>
      <c r="D927" s="726" t="s">
        <v>1085</v>
      </c>
      <c r="E927" s="812">
        <v>26.5</v>
      </c>
      <c r="F927" s="811">
        <v>21</v>
      </c>
      <c r="G927" s="811"/>
      <c r="H927" s="807">
        <f t="shared" si="84"/>
        <v>0.06</v>
      </c>
      <c r="I927" s="710">
        <v>1000</v>
      </c>
      <c r="J927" s="710">
        <f t="shared" si="89"/>
        <v>60</v>
      </c>
      <c r="K927" s="710">
        <f t="shared" si="91"/>
        <v>447.41179892941091</v>
      </c>
      <c r="L927" s="656"/>
      <c r="M927" s="444" t="s">
        <v>356</v>
      </c>
      <c r="N927" s="725">
        <v>42278</v>
      </c>
      <c r="O927" s="754">
        <v>150</v>
      </c>
      <c r="P927" s="745">
        <v>18181</v>
      </c>
      <c r="Q927" s="8">
        <f t="shared" si="92"/>
        <v>2727150</v>
      </c>
    </row>
    <row r="928" spans="1:17" ht="16.5" customHeight="1">
      <c r="A928" s="709">
        <f t="shared" si="88"/>
        <v>41</v>
      </c>
      <c r="B928" s="296" t="s">
        <v>1692</v>
      </c>
      <c r="C928" s="725">
        <v>42287</v>
      </c>
      <c r="D928" s="726" t="s">
        <v>1085</v>
      </c>
      <c r="E928" s="812">
        <v>23.8</v>
      </c>
      <c r="F928" s="811">
        <v>33.799999999999997</v>
      </c>
      <c r="G928" s="811"/>
      <c r="H928" s="807">
        <f t="shared" si="84"/>
        <v>0.08</v>
      </c>
      <c r="I928" s="710">
        <v>1000</v>
      </c>
      <c r="J928" s="710">
        <f t="shared" si="89"/>
        <v>80</v>
      </c>
      <c r="K928" s="710">
        <f t="shared" si="91"/>
        <v>596.54906523921454</v>
      </c>
      <c r="L928" s="656"/>
      <c r="M928" s="444"/>
      <c r="N928" s="725"/>
      <c r="O928" s="754"/>
      <c r="P928" s="745"/>
      <c r="Q928" s="8"/>
    </row>
    <row r="929" spans="1:17" ht="16.5" customHeight="1">
      <c r="A929" s="709">
        <f t="shared" si="88"/>
        <v>42</v>
      </c>
      <c r="B929" s="296" t="s">
        <v>1805</v>
      </c>
      <c r="C929" s="725">
        <v>42287</v>
      </c>
      <c r="D929" s="726" t="s">
        <v>1086</v>
      </c>
      <c r="E929" s="812">
        <v>110</v>
      </c>
      <c r="F929" s="811">
        <v>116</v>
      </c>
      <c r="G929" s="811"/>
      <c r="H929" s="807">
        <f t="shared" si="84"/>
        <v>1.28</v>
      </c>
      <c r="I929" s="710">
        <v>65</v>
      </c>
      <c r="J929" s="710">
        <f t="shared" si="89"/>
        <v>83.2</v>
      </c>
      <c r="K929" s="710">
        <f t="shared" si="91"/>
        <v>9544.7850438274327</v>
      </c>
      <c r="L929" s="656"/>
      <c r="M929" s="803" t="s">
        <v>1853</v>
      </c>
      <c r="N929" s="804"/>
      <c r="O929" s="805"/>
      <c r="P929" s="530"/>
      <c r="Q929" s="530">
        <f>SUM(Q921:Q928)</f>
        <v>40729650</v>
      </c>
    </row>
    <row r="930" spans="1:17" ht="16.5" customHeight="1">
      <c r="A930" s="709">
        <f t="shared" si="88"/>
        <v>43</v>
      </c>
      <c r="B930" s="296" t="s">
        <v>1746</v>
      </c>
      <c r="C930" s="725">
        <v>42287</v>
      </c>
      <c r="D930" s="726" t="s">
        <v>1086</v>
      </c>
      <c r="E930" s="812">
        <v>95</v>
      </c>
      <c r="F930" s="811">
        <v>113</v>
      </c>
      <c r="G930" s="811"/>
      <c r="H930" s="807">
        <f t="shared" si="84"/>
        <v>1.07</v>
      </c>
      <c r="I930" s="710">
        <v>65</v>
      </c>
      <c r="J930" s="710">
        <f t="shared" si="89"/>
        <v>69.55</v>
      </c>
      <c r="K930" s="710">
        <f t="shared" si="91"/>
        <v>7978.843747574495</v>
      </c>
      <c r="L930" s="656"/>
      <c r="M930" s="444" t="s">
        <v>1854</v>
      </c>
      <c r="N930" s="725"/>
      <c r="O930" s="754"/>
      <c r="P930" s="745"/>
      <c r="Q930" s="8">
        <f>Q920</f>
        <v>1082763400</v>
      </c>
    </row>
    <row r="931" spans="1:17" ht="16.5" customHeight="1">
      <c r="A931" s="709">
        <f t="shared" si="88"/>
        <v>44</v>
      </c>
      <c r="B931" s="296" t="s">
        <v>1743</v>
      </c>
      <c r="C931" s="725">
        <v>42287</v>
      </c>
      <c r="D931" s="726" t="s">
        <v>1086</v>
      </c>
      <c r="E931" s="812">
        <v>100</v>
      </c>
      <c r="F931" s="811">
        <v>86</v>
      </c>
      <c r="G931" s="811"/>
      <c r="H931" s="807">
        <f t="shared" si="84"/>
        <v>0.86</v>
      </c>
      <c r="I931" s="710">
        <v>105</v>
      </c>
      <c r="J931" s="710">
        <f t="shared" si="89"/>
        <v>90.3</v>
      </c>
      <c r="K931" s="710">
        <f t="shared" si="91"/>
        <v>6412.9024513215563</v>
      </c>
      <c r="L931" s="656"/>
      <c r="M931" s="444" t="s">
        <v>1855</v>
      </c>
      <c r="N931" s="725"/>
      <c r="O931" s="754"/>
      <c r="P931" s="745"/>
      <c r="Q931" s="8">
        <f>Q929</f>
        <v>40729650</v>
      </c>
    </row>
    <row r="932" spans="1:17" ht="16.5" customHeight="1">
      <c r="A932" s="709">
        <f t="shared" si="88"/>
        <v>45</v>
      </c>
      <c r="B932" s="296" t="s">
        <v>1744</v>
      </c>
      <c r="C932" s="725">
        <v>42287</v>
      </c>
      <c r="D932" s="726" t="s">
        <v>1086</v>
      </c>
      <c r="E932" s="812">
        <v>95</v>
      </c>
      <c r="F932" s="811">
        <v>83</v>
      </c>
      <c r="G932" s="811"/>
      <c r="H932" s="807">
        <f t="shared" si="84"/>
        <v>0.79</v>
      </c>
      <c r="I932" s="710">
        <v>105</v>
      </c>
      <c r="J932" s="710">
        <f t="shared" si="89"/>
        <v>82.95</v>
      </c>
      <c r="K932" s="710">
        <f t="shared" si="91"/>
        <v>5890.9220192372441</v>
      </c>
      <c r="L932" s="656"/>
      <c r="M932" s="444" t="s">
        <v>1857</v>
      </c>
      <c r="N932" s="725"/>
      <c r="O932" s="754"/>
      <c r="P932" s="745"/>
      <c r="Q932" s="8">
        <v>18880000</v>
      </c>
    </row>
    <row r="933" spans="1:17" ht="16.5" customHeight="1">
      <c r="A933" s="709">
        <f t="shared" si="88"/>
        <v>46</v>
      </c>
      <c r="B933" s="296" t="s">
        <v>748</v>
      </c>
      <c r="C933" s="725">
        <v>42287</v>
      </c>
      <c r="D933" s="726" t="s">
        <v>1086</v>
      </c>
      <c r="E933" s="812">
        <v>115</v>
      </c>
      <c r="F933" s="811">
        <v>163</v>
      </c>
      <c r="G933" s="811"/>
      <c r="H933" s="807">
        <f t="shared" si="84"/>
        <v>1.87</v>
      </c>
      <c r="I933" s="710">
        <v>150</v>
      </c>
      <c r="J933" s="710">
        <f t="shared" si="89"/>
        <v>280.5</v>
      </c>
      <c r="K933" s="710">
        <f t="shared" si="91"/>
        <v>13944.334399966641</v>
      </c>
      <c r="L933" s="656"/>
      <c r="M933" s="444" t="s">
        <v>1856</v>
      </c>
      <c r="N933" s="725"/>
      <c r="O933" s="754"/>
      <c r="P933" s="745"/>
      <c r="Q933" s="8">
        <v>30750000</v>
      </c>
    </row>
    <row r="934" spans="1:17" ht="16.5" customHeight="1">
      <c r="A934" s="709">
        <f t="shared" si="88"/>
        <v>47</v>
      </c>
      <c r="B934" s="296" t="s">
        <v>728</v>
      </c>
      <c r="C934" s="725">
        <v>42287</v>
      </c>
      <c r="D934" s="726" t="s">
        <v>1086</v>
      </c>
      <c r="E934" s="812">
        <v>80</v>
      </c>
      <c r="F934" s="811">
        <v>212</v>
      </c>
      <c r="G934" s="811"/>
      <c r="H934" s="807">
        <f t="shared" si="84"/>
        <v>1.7</v>
      </c>
      <c r="I934" s="710">
        <v>300</v>
      </c>
      <c r="J934" s="710">
        <f t="shared" si="89"/>
        <v>510</v>
      </c>
      <c r="K934" s="710">
        <f t="shared" si="91"/>
        <v>12676.667636333308</v>
      </c>
      <c r="L934" s="656"/>
      <c r="M934" s="444" t="s">
        <v>1869</v>
      </c>
      <c r="N934" s="725"/>
      <c r="O934" s="754"/>
      <c r="P934" s="745"/>
      <c r="Q934" s="8">
        <v>103695000</v>
      </c>
    </row>
    <row r="935" spans="1:17" ht="16.5" customHeight="1">
      <c r="A935" s="709">
        <f t="shared" si="88"/>
        <v>48</v>
      </c>
      <c r="B935" s="296" t="s">
        <v>1806</v>
      </c>
      <c r="C935" s="725">
        <v>42289</v>
      </c>
      <c r="D935" s="726" t="s">
        <v>1087</v>
      </c>
      <c r="E935" s="812">
        <v>100</v>
      </c>
      <c r="F935" s="811">
        <v>122</v>
      </c>
      <c r="G935" s="811"/>
      <c r="H935" s="807">
        <f t="shared" si="84"/>
        <v>1.22</v>
      </c>
      <c r="I935" s="710">
        <v>220</v>
      </c>
      <c r="J935" s="710">
        <f t="shared" si="89"/>
        <v>268.39999999999998</v>
      </c>
      <c r="K935" s="710">
        <f t="shared" si="91"/>
        <v>9097.3732448980209</v>
      </c>
      <c r="L935" s="656"/>
      <c r="M935" s="296"/>
      <c r="N935" s="725"/>
      <c r="O935" s="754"/>
      <c r="P935" s="745"/>
      <c r="Q935" s="8"/>
    </row>
    <row r="936" spans="1:17" ht="16.5" customHeight="1">
      <c r="A936" s="709">
        <f t="shared" si="88"/>
        <v>49</v>
      </c>
      <c r="B936" s="296" t="s">
        <v>1782</v>
      </c>
      <c r="C936" s="725">
        <v>42289</v>
      </c>
      <c r="D936" s="726" t="s">
        <v>1087</v>
      </c>
      <c r="E936" s="812">
        <v>80</v>
      </c>
      <c r="F936" s="811">
        <v>177</v>
      </c>
      <c r="G936" s="811"/>
      <c r="H936" s="807">
        <f t="shared" si="84"/>
        <v>1.42</v>
      </c>
      <c r="I936" s="710">
        <v>140</v>
      </c>
      <c r="J936" s="710">
        <f t="shared" si="89"/>
        <v>198.79999999999998</v>
      </c>
      <c r="K936" s="710">
        <f t="shared" si="91"/>
        <v>10588.745907996057</v>
      </c>
      <c r="L936" s="656"/>
      <c r="M936" s="444"/>
      <c r="N936" s="725"/>
      <c r="O936" s="754"/>
      <c r="P936" s="745"/>
      <c r="Q936" s="8"/>
    </row>
    <row r="937" spans="1:17" ht="16.5" customHeight="1">
      <c r="A937" s="709">
        <f t="shared" si="88"/>
        <v>50</v>
      </c>
      <c r="B937" s="296" t="s">
        <v>1807</v>
      </c>
      <c r="C937" s="725">
        <v>42289</v>
      </c>
      <c r="D937" s="726" t="s">
        <v>1087</v>
      </c>
      <c r="E937" s="812">
        <v>80</v>
      </c>
      <c r="F937" s="811">
        <v>172</v>
      </c>
      <c r="G937" s="811"/>
      <c r="H937" s="807">
        <f t="shared" si="84"/>
        <v>1.38</v>
      </c>
      <c r="I937" s="710">
        <v>20</v>
      </c>
      <c r="J937" s="710">
        <f t="shared" si="89"/>
        <v>27.599999999999998</v>
      </c>
      <c r="K937" s="710">
        <f t="shared" si="91"/>
        <v>10290.47137537645</v>
      </c>
      <c r="L937" s="656"/>
      <c r="M937" s="803" t="s">
        <v>1866</v>
      </c>
      <c r="N937" s="804"/>
      <c r="O937" s="805"/>
      <c r="P937" s="530"/>
      <c r="Q937" s="530">
        <f>SUM(Q930:Q936)</f>
        <v>1276818050</v>
      </c>
    </row>
    <row r="938" spans="1:17" ht="16.5" customHeight="1">
      <c r="A938" s="709">
        <f t="shared" si="88"/>
        <v>51</v>
      </c>
      <c r="B938" s="296" t="s">
        <v>1761</v>
      </c>
      <c r="C938" s="725">
        <v>42289</v>
      </c>
      <c r="D938" s="726" t="s">
        <v>1087</v>
      </c>
      <c r="E938" s="812">
        <v>110</v>
      </c>
      <c r="F938" s="811">
        <v>132</v>
      </c>
      <c r="G938" s="811"/>
      <c r="H938" s="807">
        <f t="shared" si="84"/>
        <v>1.45</v>
      </c>
      <c r="I938" s="710">
        <v>102</v>
      </c>
      <c r="J938" s="710">
        <f t="shared" si="89"/>
        <v>147.9</v>
      </c>
      <c r="K938" s="710">
        <f t="shared" si="91"/>
        <v>10812.451807460764</v>
      </c>
      <c r="L938" s="656"/>
      <c r="M938" s="445"/>
      <c r="N938" s="733"/>
      <c r="O938" s="755"/>
      <c r="P938" s="723"/>
      <c r="Q938" s="735"/>
    </row>
    <row r="939" spans="1:17" ht="16.5" customHeight="1">
      <c r="A939" s="709">
        <f t="shared" si="88"/>
        <v>52</v>
      </c>
      <c r="B939" s="296" t="s">
        <v>1088</v>
      </c>
      <c r="C939" s="725">
        <v>42289</v>
      </c>
      <c r="D939" s="726" t="s">
        <v>1089</v>
      </c>
      <c r="E939" s="812">
        <v>50</v>
      </c>
      <c r="F939" s="811">
        <v>39</v>
      </c>
      <c r="G939" s="811">
        <v>18</v>
      </c>
      <c r="H939" s="807">
        <f t="shared" si="84"/>
        <v>1.1000000000000001</v>
      </c>
      <c r="I939" s="710">
        <v>300</v>
      </c>
      <c r="J939" s="710">
        <f t="shared" si="89"/>
        <v>330</v>
      </c>
      <c r="K939" s="710">
        <f t="shared" si="91"/>
        <v>8202.5496470392009</v>
      </c>
      <c r="L939" s="656"/>
      <c r="M939" s="445"/>
      <c r="N939" s="733"/>
      <c r="O939" s="755"/>
      <c r="P939" s="723"/>
      <c r="Q939" s="735"/>
    </row>
    <row r="940" spans="1:17" ht="16.5" customHeight="1">
      <c r="A940" s="709">
        <f t="shared" si="88"/>
        <v>53</v>
      </c>
      <c r="B940" s="296" t="s">
        <v>1091</v>
      </c>
      <c r="C940" s="725">
        <v>42289</v>
      </c>
      <c r="D940" s="726" t="s">
        <v>1092</v>
      </c>
      <c r="E940" s="812">
        <v>119</v>
      </c>
      <c r="F940" s="811">
        <v>49</v>
      </c>
      <c r="G940" s="811">
        <v>51</v>
      </c>
      <c r="H940" s="807">
        <f t="shared" si="84"/>
        <v>3.51</v>
      </c>
      <c r="I940" s="710">
        <v>300</v>
      </c>
      <c r="J940" s="710">
        <f t="shared" si="89"/>
        <v>1053</v>
      </c>
      <c r="K940" s="710">
        <f t="shared" si="91"/>
        <v>26173.590237370536</v>
      </c>
      <c r="L940" s="656"/>
      <c r="M940" s="1101" t="s">
        <v>1867</v>
      </c>
      <c r="N940" s="1102"/>
      <c r="O940" s="1102"/>
      <c r="P940" s="1103"/>
      <c r="Q940" s="808">
        <f>Q937/J1261</f>
        <v>7456.8633154901818</v>
      </c>
    </row>
    <row r="941" spans="1:17" ht="16.5" customHeight="1">
      <c r="A941" s="709">
        <f t="shared" si="88"/>
        <v>54</v>
      </c>
      <c r="B941" s="296" t="s">
        <v>1094</v>
      </c>
      <c r="C941" s="725">
        <v>42289</v>
      </c>
      <c r="D941" s="726" t="s">
        <v>1092</v>
      </c>
      <c r="E941" s="812">
        <v>219</v>
      </c>
      <c r="F941" s="811">
        <v>49</v>
      </c>
      <c r="G941" s="811">
        <v>51</v>
      </c>
      <c r="H941" s="807">
        <f t="shared" si="84"/>
        <v>5.57</v>
      </c>
      <c r="I941" s="710">
        <v>50</v>
      </c>
      <c r="J941" s="710">
        <f t="shared" si="89"/>
        <v>278.5</v>
      </c>
      <c r="K941" s="710">
        <f t="shared" si="91"/>
        <v>41534.728667280317</v>
      </c>
      <c r="L941" s="656"/>
    </row>
    <row r="942" spans="1:17" ht="16.5" customHeight="1">
      <c r="A942" s="709">
        <f t="shared" si="88"/>
        <v>55</v>
      </c>
      <c r="B942" s="40" t="s">
        <v>1740</v>
      </c>
      <c r="C942" s="725">
        <v>42289</v>
      </c>
      <c r="D942" s="726" t="s">
        <v>1095</v>
      </c>
      <c r="E942" s="812">
        <v>80</v>
      </c>
      <c r="F942" s="811">
        <v>148</v>
      </c>
      <c r="G942" s="811"/>
      <c r="H942" s="807">
        <f t="shared" si="84"/>
        <v>1.18</v>
      </c>
      <c r="I942" s="710">
        <v>1400</v>
      </c>
      <c r="J942" s="710">
        <f t="shared" si="89"/>
        <v>1652</v>
      </c>
      <c r="K942" s="710">
        <f t="shared" si="91"/>
        <v>8799.0987122784136</v>
      </c>
      <c r="L942" s="656"/>
    </row>
    <row r="943" spans="1:17" ht="16.5" customHeight="1">
      <c r="A943" s="709">
        <f t="shared" si="88"/>
        <v>56</v>
      </c>
      <c r="B943" s="296" t="s">
        <v>2008</v>
      </c>
      <c r="C943" s="725">
        <v>42290</v>
      </c>
      <c r="D943" s="726" t="s">
        <v>1097</v>
      </c>
      <c r="E943" s="812">
        <v>23</v>
      </c>
      <c r="F943" s="811">
        <v>23</v>
      </c>
      <c r="G943" s="811">
        <v>18</v>
      </c>
      <c r="H943" s="807">
        <f t="shared" si="84"/>
        <v>0.43</v>
      </c>
      <c r="I943" s="710">
        <v>200</v>
      </c>
      <c r="J943" s="710">
        <f t="shared" si="89"/>
        <v>86</v>
      </c>
      <c r="K943" s="710">
        <f t="shared" si="91"/>
        <v>3206.4512256607782</v>
      </c>
      <c r="L943" s="656"/>
    </row>
    <row r="944" spans="1:17" ht="16.5" customHeight="1">
      <c r="A944" s="709">
        <f t="shared" si="88"/>
        <v>57</v>
      </c>
      <c r="B944" s="296" t="s">
        <v>746</v>
      </c>
      <c r="C944" s="725">
        <v>42290</v>
      </c>
      <c r="D944" s="726" t="s">
        <v>1098</v>
      </c>
      <c r="E944" s="812">
        <v>125</v>
      </c>
      <c r="F944" s="811">
        <v>185</v>
      </c>
      <c r="G944" s="811"/>
      <c r="H944" s="807">
        <f t="shared" si="84"/>
        <v>2.31</v>
      </c>
      <c r="I944" s="710">
        <v>1000</v>
      </c>
      <c r="J944" s="710">
        <f t="shared" si="89"/>
        <v>2310</v>
      </c>
      <c r="K944" s="710">
        <f t="shared" si="91"/>
        <v>17225.354258782321</v>
      </c>
      <c r="L944" s="656"/>
    </row>
    <row r="945" spans="1:12" ht="16.5" customHeight="1">
      <c r="A945" s="709">
        <f t="shared" si="88"/>
        <v>58</v>
      </c>
      <c r="B945" s="296" t="s">
        <v>1948</v>
      </c>
      <c r="C945" s="725">
        <v>42291</v>
      </c>
      <c r="D945" s="726" t="s">
        <v>1099</v>
      </c>
      <c r="E945" s="812">
        <v>43</v>
      </c>
      <c r="F945" s="811">
        <v>42</v>
      </c>
      <c r="G945" s="811">
        <v>26</v>
      </c>
      <c r="H945" s="807">
        <f t="shared" si="84"/>
        <v>1.24</v>
      </c>
      <c r="I945" s="710">
        <v>2107</v>
      </c>
      <c r="J945" s="710">
        <f t="shared" si="89"/>
        <v>2612.6799999999998</v>
      </c>
      <c r="K945" s="710">
        <f t="shared" si="91"/>
        <v>9246.5105112078254</v>
      </c>
      <c r="L945" s="656"/>
    </row>
    <row r="946" spans="1:12" ht="16.5" customHeight="1">
      <c r="A946" s="709">
        <f t="shared" si="88"/>
        <v>59</v>
      </c>
      <c r="B946" s="296" t="s">
        <v>1766</v>
      </c>
      <c r="C946" s="725">
        <v>42293</v>
      </c>
      <c r="D946" s="726" t="s">
        <v>1100</v>
      </c>
      <c r="E946" s="812">
        <v>110</v>
      </c>
      <c r="F946" s="811">
        <v>114</v>
      </c>
      <c r="G946" s="811"/>
      <c r="H946" s="807">
        <f t="shared" si="84"/>
        <v>1.25</v>
      </c>
      <c r="I946" s="710">
        <v>1500</v>
      </c>
      <c r="J946" s="710">
        <f t="shared" si="89"/>
        <v>1875</v>
      </c>
      <c r="K946" s="710">
        <f t="shared" si="91"/>
        <v>9321.0791443627277</v>
      </c>
      <c r="L946" s="656"/>
    </row>
    <row r="947" spans="1:12" ht="16.5" customHeight="1">
      <c r="A947" s="709">
        <f t="shared" si="88"/>
        <v>60</v>
      </c>
      <c r="B947" s="296" t="s">
        <v>398</v>
      </c>
      <c r="C947" s="725">
        <v>42293</v>
      </c>
      <c r="D947" s="726" t="s">
        <v>1101</v>
      </c>
      <c r="E947" s="812">
        <v>52</v>
      </c>
      <c r="F947" s="811">
        <v>24.5</v>
      </c>
      <c r="G947" s="811">
        <v>24.5</v>
      </c>
      <c r="H947" s="807">
        <f t="shared" si="84"/>
        <v>0.82</v>
      </c>
      <c r="I947" s="710">
        <v>1233</v>
      </c>
      <c r="J947" s="710">
        <f t="shared" si="89"/>
        <v>1011.06</v>
      </c>
      <c r="K947" s="710">
        <f t="shared" si="91"/>
        <v>6114.6279187019491</v>
      </c>
      <c r="L947" s="656"/>
    </row>
    <row r="948" spans="1:12" ht="16.5" customHeight="1">
      <c r="A948" s="709">
        <f t="shared" si="88"/>
        <v>61</v>
      </c>
      <c r="B948" s="296" t="s">
        <v>446</v>
      </c>
      <c r="C948" s="725">
        <v>42293</v>
      </c>
      <c r="D948" s="726" t="s">
        <v>1101</v>
      </c>
      <c r="E948" s="812">
        <v>52</v>
      </c>
      <c r="F948" s="811">
        <v>26.5</v>
      </c>
      <c r="G948" s="811">
        <v>26.5</v>
      </c>
      <c r="H948" s="807">
        <f t="shared" si="84"/>
        <v>0.91</v>
      </c>
      <c r="I948" s="710">
        <v>607</v>
      </c>
      <c r="J948" s="710">
        <f t="shared" si="89"/>
        <v>552.37</v>
      </c>
      <c r="K948" s="710">
        <f t="shared" si="91"/>
        <v>6785.7456170960659</v>
      </c>
      <c r="L948" s="656"/>
    </row>
    <row r="949" spans="1:12" ht="16.5" customHeight="1">
      <c r="A949" s="709">
        <f t="shared" si="88"/>
        <v>62</v>
      </c>
      <c r="B949" s="296" t="s">
        <v>413</v>
      </c>
      <c r="C949" s="725">
        <v>42293</v>
      </c>
      <c r="D949" s="726" t="s">
        <v>1102</v>
      </c>
      <c r="E949" s="812">
        <v>49</v>
      </c>
      <c r="F949" s="811">
        <v>38</v>
      </c>
      <c r="G949" s="811">
        <v>12</v>
      </c>
      <c r="H949" s="807">
        <f t="shared" si="84"/>
        <v>0.95</v>
      </c>
      <c r="I949" s="710">
        <v>411</v>
      </c>
      <c r="J949" s="710">
        <f t="shared" si="89"/>
        <v>390.45</v>
      </c>
      <c r="K949" s="710">
        <f t="shared" si="91"/>
        <v>7084.0201497156722</v>
      </c>
      <c r="L949" s="656"/>
    </row>
    <row r="950" spans="1:12" ht="16.5" customHeight="1">
      <c r="A950" s="709">
        <f t="shared" si="88"/>
        <v>63</v>
      </c>
      <c r="B950" s="296" t="s">
        <v>999</v>
      </c>
      <c r="C950" s="725">
        <v>42293</v>
      </c>
      <c r="D950" s="726" t="s">
        <v>1102</v>
      </c>
      <c r="E950" s="812">
        <v>40</v>
      </c>
      <c r="F950" s="811">
        <v>30</v>
      </c>
      <c r="G950" s="811">
        <v>18.5</v>
      </c>
      <c r="H950" s="807">
        <f t="shared" si="84"/>
        <v>0.75</v>
      </c>
      <c r="I950" s="710">
        <v>536</v>
      </c>
      <c r="J950" s="710">
        <f t="shared" si="89"/>
        <v>402</v>
      </c>
      <c r="K950" s="710">
        <f t="shared" si="91"/>
        <v>5592.6474866176359</v>
      </c>
      <c r="L950" s="656"/>
    </row>
    <row r="951" spans="1:12" ht="16.5" customHeight="1">
      <c r="A951" s="709">
        <f t="shared" si="88"/>
        <v>64</v>
      </c>
      <c r="B951" s="296" t="s">
        <v>1103</v>
      </c>
      <c r="C951" s="725">
        <v>42293</v>
      </c>
      <c r="D951" s="726" t="s">
        <v>1104</v>
      </c>
      <c r="E951" s="812">
        <v>52</v>
      </c>
      <c r="F951" s="811">
        <v>24</v>
      </c>
      <c r="G951" s="811">
        <v>24</v>
      </c>
      <c r="H951" s="807">
        <f t="shared" si="84"/>
        <v>0.8</v>
      </c>
      <c r="I951" s="710">
        <v>203</v>
      </c>
      <c r="J951" s="710">
        <f t="shared" si="89"/>
        <v>162.4</v>
      </c>
      <c r="K951" s="710">
        <f t="shared" si="91"/>
        <v>5965.4906523921454</v>
      </c>
      <c r="L951" s="656"/>
    </row>
    <row r="952" spans="1:12" ht="16.5" customHeight="1">
      <c r="A952" s="709">
        <f t="shared" si="88"/>
        <v>65</v>
      </c>
      <c r="B952" s="296" t="s">
        <v>1106</v>
      </c>
      <c r="C952" s="725">
        <v>42293</v>
      </c>
      <c r="D952" s="726" t="s">
        <v>1104</v>
      </c>
      <c r="E952" s="812">
        <v>52</v>
      </c>
      <c r="F952" s="811">
        <v>27</v>
      </c>
      <c r="G952" s="811">
        <v>27</v>
      </c>
      <c r="H952" s="807">
        <f t="shared" ref="H952:H1015" si="94">IF(G952&lt;&gt;"",ROUND(((E952+F952)*2+5)*(F952+G952+3)/10000,2),ROUND(E952*F952/10000,2))</f>
        <v>0.93</v>
      </c>
      <c r="I952" s="710">
        <v>312</v>
      </c>
      <c r="J952" s="710">
        <f t="shared" si="89"/>
        <v>290.16000000000003</v>
      </c>
      <c r="K952" s="710">
        <f t="shared" si="91"/>
        <v>6934.8828834058695</v>
      </c>
      <c r="L952" s="656"/>
    </row>
    <row r="953" spans="1:12" ht="16.5" customHeight="1">
      <c r="A953" s="709">
        <f t="shared" si="88"/>
        <v>66</v>
      </c>
      <c r="B953" s="296" t="s">
        <v>1107</v>
      </c>
      <c r="C953" s="725">
        <v>42293</v>
      </c>
      <c r="D953" s="726" t="s">
        <v>1104</v>
      </c>
      <c r="E953" s="812">
        <v>57</v>
      </c>
      <c r="F953" s="811">
        <v>46</v>
      </c>
      <c r="G953" s="811">
        <v>30</v>
      </c>
      <c r="H953" s="807">
        <f t="shared" si="94"/>
        <v>1.67</v>
      </c>
      <c r="I953" s="710">
        <v>513</v>
      </c>
      <c r="J953" s="710">
        <f t="shared" ref="J953:J1016" si="95">H953*I953</f>
        <v>856.70999999999992</v>
      </c>
      <c r="K953" s="710">
        <f t="shared" ref="K953:K1016" si="96">H953*$Q$940</f>
        <v>12452.961736868603</v>
      </c>
      <c r="L953" s="656"/>
    </row>
    <row r="954" spans="1:12" ht="16.5" customHeight="1">
      <c r="A954" s="709">
        <f t="shared" si="88"/>
        <v>67</v>
      </c>
      <c r="B954" s="296" t="s">
        <v>616</v>
      </c>
      <c r="C954" s="725">
        <v>42294</v>
      </c>
      <c r="D954" s="726" t="s">
        <v>1108</v>
      </c>
      <c r="E954" s="812">
        <v>37.5</v>
      </c>
      <c r="F954" s="811">
        <v>22.8</v>
      </c>
      <c r="G954" s="811">
        <v>27</v>
      </c>
      <c r="H954" s="807">
        <f t="shared" si="94"/>
        <v>0.66</v>
      </c>
      <c r="I954" s="710">
        <v>1056</v>
      </c>
      <c r="J954" s="710">
        <f t="shared" si="95"/>
        <v>696.96</v>
      </c>
      <c r="K954" s="710">
        <f t="shared" si="96"/>
        <v>4921.52978822352</v>
      </c>
      <c r="L954" s="656"/>
    </row>
    <row r="955" spans="1:12" ht="16.5" customHeight="1">
      <c r="A955" s="709">
        <f t="shared" si="88"/>
        <v>68</v>
      </c>
      <c r="B955" s="296" t="s">
        <v>965</v>
      </c>
      <c r="C955" s="725">
        <v>42294</v>
      </c>
      <c r="D955" s="726" t="s">
        <v>1109</v>
      </c>
      <c r="E955" s="812">
        <v>60</v>
      </c>
      <c r="F955" s="811">
        <v>45</v>
      </c>
      <c r="G955" s="811">
        <v>33</v>
      </c>
      <c r="H955" s="807">
        <f t="shared" si="94"/>
        <v>1.74</v>
      </c>
      <c r="I955" s="710">
        <v>500</v>
      </c>
      <c r="J955" s="710">
        <f t="shared" si="95"/>
        <v>870</v>
      </c>
      <c r="K955" s="710">
        <f t="shared" si="96"/>
        <v>12974.942168952915</v>
      </c>
      <c r="L955" s="656"/>
    </row>
    <row r="956" spans="1:12" ht="16.5" customHeight="1">
      <c r="A956" s="709">
        <f t="shared" si="88"/>
        <v>69</v>
      </c>
      <c r="B956" s="296" t="s">
        <v>1110</v>
      </c>
      <c r="C956" s="725">
        <v>42294</v>
      </c>
      <c r="D956" s="726" t="s">
        <v>1111</v>
      </c>
      <c r="E956" s="812">
        <v>37</v>
      </c>
      <c r="F956" s="811">
        <v>22</v>
      </c>
      <c r="G956" s="811">
        <v>68</v>
      </c>
      <c r="H956" s="807">
        <f t="shared" si="94"/>
        <v>1.1399999999999999</v>
      </c>
      <c r="I956" s="710">
        <v>252</v>
      </c>
      <c r="J956" s="710">
        <f t="shared" si="95"/>
        <v>287.27999999999997</v>
      </c>
      <c r="K956" s="710">
        <f t="shared" si="96"/>
        <v>8500.8241796588063</v>
      </c>
      <c r="L956" s="656"/>
    </row>
    <row r="957" spans="1:12" ht="16.5" customHeight="1">
      <c r="A957" s="709">
        <f t="shared" si="88"/>
        <v>70</v>
      </c>
      <c r="B957" s="296" t="s">
        <v>2009</v>
      </c>
      <c r="C957" s="725">
        <v>42296</v>
      </c>
      <c r="D957" s="726" t="s">
        <v>1112</v>
      </c>
      <c r="E957" s="812">
        <v>41</v>
      </c>
      <c r="F957" s="811">
        <v>39</v>
      </c>
      <c r="G957" s="811">
        <v>20</v>
      </c>
      <c r="H957" s="807">
        <f t="shared" si="94"/>
        <v>1.02</v>
      </c>
      <c r="I957" s="710">
        <v>44</v>
      </c>
      <c r="J957" s="710">
        <f t="shared" si="95"/>
        <v>44.88</v>
      </c>
      <c r="K957" s="710">
        <f t="shared" si="96"/>
        <v>7606.0005817999854</v>
      </c>
      <c r="L957" s="656"/>
    </row>
    <row r="958" spans="1:12" ht="16.5" customHeight="1">
      <c r="A958" s="709">
        <f t="shared" si="88"/>
        <v>71</v>
      </c>
      <c r="B958" s="296" t="s">
        <v>1948</v>
      </c>
      <c r="C958" s="725">
        <v>42296</v>
      </c>
      <c r="D958" s="726" t="s">
        <v>1112</v>
      </c>
      <c r="E958" s="812">
        <v>43</v>
      </c>
      <c r="F958" s="811">
        <v>42</v>
      </c>
      <c r="G958" s="811">
        <v>26</v>
      </c>
      <c r="H958" s="807">
        <f t="shared" si="94"/>
        <v>1.24</v>
      </c>
      <c r="I958" s="710">
        <v>44</v>
      </c>
      <c r="J958" s="710">
        <f t="shared" si="95"/>
        <v>54.56</v>
      </c>
      <c r="K958" s="710">
        <f t="shared" si="96"/>
        <v>9246.5105112078254</v>
      </c>
      <c r="L958" s="656"/>
    </row>
    <row r="959" spans="1:12" ht="16.5" customHeight="1">
      <c r="A959" s="709">
        <f t="shared" si="88"/>
        <v>72</v>
      </c>
      <c r="B959" s="296" t="s">
        <v>1949</v>
      </c>
      <c r="C959" s="725">
        <v>42296</v>
      </c>
      <c r="D959" s="726" t="s">
        <v>1112</v>
      </c>
      <c r="E959" s="812">
        <v>49</v>
      </c>
      <c r="F959" s="811">
        <v>47</v>
      </c>
      <c r="G959" s="811">
        <v>27</v>
      </c>
      <c r="H959" s="807">
        <f t="shared" si="94"/>
        <v>1.52</v>
      </c>
      <c r="I959" s="710">
        <v>44</v>
      </c>
      <c r="J959" s="710">
        <f t="shared" si="95"/>
        <v>66.88</v>
      </c>
      <c r="K959" s="710">
        <f t="shared" si="96"/>
        <v>11334.432239545076</v>
      </c>
      <c r="L959" s="656"/>
    </row>
    <row r="960" spans="1:12" ht="16.5" customHeight="1">
      <c r="A960" s="709">
        <f t="shared" si="88"/>
        <v>73</v>
      </c>
      <c r="B960" s="296" t="s">
        <v>1950</v>
      </c>
      <c r="C960" s="725">
        <v>42296</v>
      </c>
      <c r="D960" s="726" t="s">
        <v>1112</v>
      </c>
      <c r="E960" s="812">
        <v>38</v>
      </c>
      <c r="F960" s="811">
        <v>37</v>
      </c>
      <c r="G960" s="811">
        <v>30</v>
      </c>
      <c r="H960" s="807">
        <f t="shared" si="94"/>
        <v>1.0900000000000001</v>
      </c>
      <c r="I960" s="710">
        <v>50</v>
      </c>
      <c r="J960" s="710">
        <f t="shared" si="95"/>
        <v>54.500000000000007</v>
      </c>
      <c r="K960" s="710">
        <f t="shared" si="96"/>
        <v>8127.9810138842986</v>
      </c>
      <c r="L960" s="656"/>
    </row>
    <row r="961" spans="1:12" ht="16.5" customHeight="1">
      <c r="A961" s="709">
        <f t="shared" si="88"/>
        <v>74</v>
      </c>
      <c r="B961" s="296" t="s">
        <v>1952</v>
      </c>
      <c r="C961" s="725">
        <v>42296</v>
      </c>
      <c r="D961" s="726" t="s">
        <v>1112</v>
      </c>
      <c r="E961" s="812">
        <v>42</v>
      </c>
      <c r="F961" s="811">
        <v>41</v>
      </c>
      <c r="G961" s="811">
        <v>34</v>
      </c>
      <c r="H961" s="807">
        <f t="shared" si="94"/>
        <v>1.33</v>
      </c>
      <c r="I961" s="710">
        <v>50</v>
      </c>
      <c r="J961" s="710">
        <f t="shared" si="95"/>
        <v>66.5</v>
      </c>
      <c r="K961" s="710">
        <f t="shared" si="96"/>
        <v>9917.6282096019422</v>
      </c>
      <c r="L961" s="656"/>
    </row>
    <row r="962" spans="1:12" ht="16.5" customHeight="1">
      <c r="A962" s="709">
        <f t="shared" si="88"/>
        <v>75</v>
      </c>
      <c r="B962" s="296" t="s">
        <v>2011</v>
      </c>
      <c r="C962" s="725">
        <v>42296</v>
      </c>
      <c r="D962" s="726" t="s">
        <v>1112</v>
      </c>
      <c r="E962" s="812">
        <v>63</v>
      </c>
      <c r="F962" s="811">
        <v>53</v>
      </c>
      <c r="G962" s="811">
        <v>32</v>
      </c>
      <c r="H962" s="807">
        <f t="shared" si="94"/>
        <v>2.09</v>
      </c>
      <c r="I962" s="710">
        <v>50</v>
      </c>
      <c r="J962" s="710">
        <f t="shared" si="95"/>
        <v>104.5</v>
      </c>
      <c r="K962" s="710">
        <f t="shared" si="96"/>
        <v>15584.844329374479</v>
      </c>
      <c r="L962" s="656"/>
    </row>
    <row r="963" spans="1:12" ht="16.5" customHeight="1">
      <c r="A963" s="709">
        <f t="shared" si="88"/>
        <v>76</v>
      </c>
      <c r="B963" s="296" t="s">
        <v>741</v>
      </c>
      <c r="C963" s="725">
        <v>42296</v>
      </c>
      <c r="D963" s="726" t="s">
        <v>1113</v>
      </c>
      <c r="E963" s="812">
        <v>85</v>
      </c>
      <c r="F963" s="811">
        <v>116</v>
      </c>
      <c r="G963" s="811"/>
      <c r="H963" s="807">
        <f t="shared" si="94"/>
        <v>0.99</v>
      </c>
      <c r="I963" s="710">
        <v>338</v>
      </c>
      <c r="J963" s="710">
        <f t="shared" si="95"/>
        <v>334.62</v>
      </c>
      <c r="K963" s="710">
        <f t="shared" si="96"/>
        <v>7382.2946823352795</v>
      </c>
      <c r="L963" s="656"/>
    </row>
    <row r="964" spans="1:12" ht="16.5" customHeight="1">
      <c r="A964" s="709">
        <f t="shared" si="88"/>
        <v>77</v>
      </c>
      <c r="B964" s="296" t="s">
        <v>849</v>
      </c>
      <c r="C964" s="725">
        <v>42296</v>
      </c>
      <c r="D964" s="726" t="s">
        <v>1114</v>
      </c>
      <c r="E964" s="812">
        <v>58.5</v>
      </c>
      <c r="F964" s="811">
        <v>45</v>
      </c>
      <c r="G964" s="811">
        <v>31</v>
      </c>
      <c r="H964" s="807">
        <f t="shared" si="94"/>
        <v>1.67</v>
      </c>
      <c r="I964" s="710">
        <v>50</v>
      </c>
      <c r="J964" s="710">
        <f t="shared" si="95"/>
        <v>83.5</v>
      </c>
      <c r="K964" s="710">
        <f t="shared" si="96"/>
        <v>12452.961736868603</v>
      </c>
      <c r="L964" s="656"/>
    </row>
    <row r="965" spans="1:12" ht="16.5" customHeight="1">
      <c r="A965" s="709">
        <f t="shared" si="88"/>
        <v>78</v>
      </c>
      <c r="B965" s="296" t="s">
        <v>852</v>
      </c>
      <c r="C965" s="725">
        <v>42296</v>
      </c>
      <c r="D965" s="726" t="s">
        <v>1114</v>
      </c>
      <c r="E965" s="812">
        <v>61</v>
      </c>
      <c r="F965" s="811">
        <v>49</v>
      </c>
      <c r="G965" s="811">
        <v>33</v>
      </c>
      <c r="H965" s="807">
        <f t="shared" si="94"/>
        <v>1.91</v>
      </c>
      <c r="I965" s="710">
        <v>200</v>
      </c>
      <c r="J965" s="710">
        <f t="shared" si="95"/>
        <v>382</v>
      </c>
      <c r="K965" s="710">
        <f t="shared" si="96"/>
        <v>14242.608932586247</v>
      </c>
      <c r="L965" s="656"/>
    </row>
    <row r="966" spans="1:12" ht="16.5" customHeight="1">
      <c r="A966" s="709">
        <f t="shared" si="88"/>
        <v>79</v>
      </c>
      <c r="B966" s="296" t="s">
        <v>853</v>
      </c>
      <c r="C966" s="725">
        <v>42296</v>
      </c>
      <c r="D966" s="726" t="s">
        <v>1114</v>
      </c>
      <c r="E966" s="812">
        <v>65</v>
      </c>
      <c r="F966" s="811">
        <v>52</v>
      </c>
      <c r="G966" s="811">
        <v>34.5</v>
      </c>
      <c r="H966" s="807">
        <f t="shared" si="94"/>
        <v>2.14</v>
      </c>
      <c r="I966" s="710">
        <v>100</v>
      </c>
      <c r="J966" s="710">
        <f t="shared" si="95"/>
        <v>214</v>
      </c>
      <c r="K966" s="710">
        <f t="shared" si="96"/>
        <v>15957.68749514899</v>
      </c>
      <c r="L966" s="656"/>
    </row>
    <row r="967" spans="1:12" ht="16.5" customHeight="1">
      <c r="A967" s="709">
        <f t="shared" si="88"/>
        <v>80</v>
      </c>
      <c r="B967" s="296" t="s">
        <v>1115</v>
      </c>
      <c r="C967" s="725">
        <v>42297</v>
      </c>
      <c r="D967" s="726" t="s">
        <v>1116</v>
      </c>
      <c r="E967" s="812">
        <v>50</v>
      </c>
      <c r="F967" s="811">
        <v>35</v>
      </c>
      <c r="G967" s="811">
        <v>42</v>
      </c>
      <c r="H967" s="807">
        <f t="shared" si="94"/>
        <v>1.4</v>
      </c>
      <c r="I967" s="710">
        <v>300</v>
      </c>
      <c r="J967" s="710">
        <f t="shared" si="95"/>
        <v>420</v>
      </c>
      <c r="K967" s="710">
        <f t="shared" si="96"/>
        <v>10439.608641686254</v>
      </c>
      <c r="L967" s="656"/>
    </row>
    <row r="968" spans="1:12" ht="16.5" customHeight="1">
      <c r="A968" s="709">
        <f t="shared" si="88"/>
        <v>81</v>
      </c>
      <c r="B968" s="296" t="s">
        <v>1117</v>
      </c>
      <c r="C968" s="725">
        <v>42297</v>
      </c>
      <c r="D968" s="726" t="s">
        <v>1118</v>
      </c>
      <c r="E968" s="812">
        <v>143</v>
      </c>
      <c r="F968" s="811">
        <v>49</v>
      </c>
      <c r="G968" s="811">
        <v>51</v>
      </c>
      <c r="H968" s="807">
        <f t="shared" si="94"/>
        <v>4.01</v>
      </c>
      <c r="I968" s="710">
        <v>200</v>
      </c>
      <c r="J968" s="710">
        <f t="shared" si="95"/>
        <v>802</v>
      </c>
      <c r="K968" s="710">
        <f t="shared" si="96"/>
        <v>29902.021895115628</v>
      </c>
      <c r="L968" s="656"/>
    </row>
    <row r="969" spans="1:12" ht="16.5" customHeight="1">
      <c r="A969" s="709">
        <f t="shared" si="88"/>
        <v>82</v>
      </c>
      <c r="B969" s="296" t="s">
        <v>1119</v>
      </c>
      <c r="C969" s="725">
        <v>42297</v>
      </c>
      <c r="D969" s="726" t="s">
        <v>1118</v>
      </c>
      <c r="E969" s="812">
        <v>151</v>
      </c>
      <c r="F969" s="811">
        <v>49</v>
      </c>
      <c r="G969" s="811">
        <v>51</v>
      </c>
      <c r="H969" s="807">
        <f t="shared" si="94"/>
        <v>4.17</v>
      </c>
      <c r="I969" s="710">
        <v>150</v>
      </c>
      <c r="J969" s="710">
        <f t="shared" si="95"/>
        <v>625.5</v>
      </c>
      <c r="K969" s="710">
        <f t="shared" si="96"/>
        <v>31095.120025594057</v>
      </c>
      <c r="L969" s="656"/>
    </row>
    <row r="970" spans="1:12" ht="16.5" customHeight="1">
      <c r="A970" s="709">
        <f t="shared" si="88"/>
        <v>83</v>
      </c>
      <c r="B970" s="296" t="s">
        <v>1120</v>
      </c>
      <c r="C970" s="725">
        <v>42298</v>
      </c>
      <c r="D970" s="726" t="s">
        <v>1121</v>
      </c>
      <c r="E970" s="812">
        <v>50</v>
      </c>
      <c r="F970" s="811">
        <v>29.5</v>
      </c>
      <c r="G970" s="811">
        <v>49.5</v>
      </c>
      <c r="H970" s="807">
        <f t="shared" si="94"/>
        <v>1.34</v>
      </c>
      <c r="I970" s="710">
        <v>1000</v>
      </c>
      <c r="J970" s="710">
        <f t="shared" si="95"/>
        <v>1340</v>
      </c>
      <c r="K970" s="710">
        <f t="shared" si="96"/>
        <v>9992.1968427568445</v>
      </c>
      <c r="L970" s="656"/>
    </row>
    <row r="971" spans="1:12" ht="16.5" customHeight="1">
      <c r="A971" s="709">
        <f t="shared" si="88"/>
        <v>84</v>
      </c>
      <c r="B971" s="296" t="s">
        <v>1122</v>
      </c>
      <c r="C971" s="725">
        <v>42299</v>
      </c>
      <c r="D971" s="726" t="s">
        <v>1123</v>
      </c>
      <c r="E971" s="812">
        <v>45</v>
      </c>
      <c r="F971" s="811">
        <v>35</v>
      </c>
      <c r="G971" s="811">
        <v>28</v>
      </c>
      <c r="H971" s="807">
        <f t="shared" si="94"/>
        <v>1.0900000000000001</v>
      </c>
      <c r="I971" s="710">
        <v>173</v>
      </c>
      <c r="J971" s="710">
        <f t="shared" si="95"/>
        <v>188.57000000000002</v>
      </c>
      <c r="K971" s="710">
        <f t="shared" si="96"/>
        <v>8127.9810138842986</v>
      </c>
      <c r="L971" s="656"/>
    </row>
    <row r="972" spans="1:12" ht="16.5" customHeight="1">
      <c r="A972" s="709">
        <f t="shared" si="88"/>
        <v>85</v>
      </c>
      <c r="B972" s="296" t="s">
        <v>540</v>
      </c>
      <c r="C972" s="725">
        <v>42299</v>
      </c>
      <c r="D972" s="726" t="s">
        <v>1123</v>
      </c>
      <c r="E972" s="812">
        <v>42</v>
      </c>
      <c r="F972" s="811">
        <v>26</v>
      </c>
      <c r="G972" s="811">
        <v>33</v>
      </c>
      <c r="H972" s="807">
        <f t="shared" si="94"/>
        <v>0.87</v>
      </c>
      <c r="I972" s="710">
        <v>318</v>
      </c>
      <c r="J972" s="710">
        <f t="shared" si="95"/>
        <v>276.66000000000003</v>
      </c>
      <c r="K972" s="710">
        <f t="shared" si="96"/>
        <v>6487.4710844764577</v>
      </c>
      <c r="L972" s="656"/>
    </row>
    <row r="973" spans="1:12" ht="16.5" customHeight="1">
      <c r="A973" s="709">
        <f t="shared" si="88"/>
        <v>86</v>
      </c>
      <c r="B973" s="296" t="s">
        <v>451</v>
      </c>
      <c r="C973" s="725">
        <v>42299</v>
      </c>
      <c r="D973" s="726" t="s">
        <v>1123</v>
      </c>
      <c r="E973" s="812">
        <v>49.5</v>
      </c>
      <c r="F973" s="811">
        <v>38.5</v>
      </c>
      <c r="G973" s="811">
        <v>32.5</v>
      </c>
      <c r="H973" s="807">
        <f t="shared" si="94"/>
        <v>1.34</v>
      </c>
      <c r="I973" s="710">
        <v>512</v>
      </c>
      <c r="J973" s="710">
        <f t="shared" si="95"/>
        <v>686.08</v>
      </c>
      <c r="K973" s="710">
        <f t="shared" si="96"/>
        <v>9992.1968427568445</v>
      </c>
      <c r="L973" s="656"/>
    </row>
    <row r="974" spans="1:12" ht="16.5" customHeight="1">
      <c r="A974" s="709">
        <f t="shared" si="88"/>
        <v>87</v>
      </c>
      <c r="B974" s="296" t="s">
        <v>931</v>
      </c>
      <c r="C974" s="725">
        <v>42299</v>
      </c>
      <c r="D974" s="726" t="s">
        <v>1123</v>
      </c>
      <c r="E974" s="812">
        <v>35</v>
      </c>
      <c r="F974" s="811">
        <v>35</v>
      </c>
      <c r="G974" s="811">
        <v>29</v>
      </c>
      <c r="H974" s="807">
        <f t="shared" si="94"/>
        <v>0.97</v>
      </c>
      <c r="I974" s="710">
        <v>207</v>
      </c>
      <c r="J974" s="710">
        <f t="shared" si="95"/>
        <v>200.79</v>
      </c>
      <c r="K974" s="710">
        <f t="shared" si="96"/>
        <v>7233.1574160254759</v>
      </c>
      <c r="L974" s="656"/>
    </row>
    <row r="975" spans="1:12" ht="16.5" customHeight="1">
      <c r="A975" s="709">
        <f t="shared" si="88"/>
        <v>88</v>
      </c>
      <c r="B975" s="296" t="s">
        <v>1124</v>
      </c>
      <c r="C975" s="725">
        <v>42299</v>
      </c>
      <c r="D975" s="726" t="s">
        <v>1125</v>
      </c>
      <c r="E975" s="812">
        <v>45</v>
      </c>
      <c r="F975" s="811">
        <v>28</v>
      </c>
      <c r="G975" s="811">
        <v>28</v>
      </c>
      <c r="H975" s="807">
        <f t="shared" si="94"/>
        <v>0.89</v>
      </c>
      <c r="I975" s="710">
        <v>300</v>
      </c>
      <c r="J975" s="710">
        <f t="shared" si="95"/>
        <v>267</v>
      </c>
      <c r="K975" s="710">
        <f t="shared" si="96"/>
        <v>6636.6083507862622</v>
      </c>
      <c r="L975" s="656"/>
    </row>
    <row r="976" spans="1:12" ht="16.5" customHeight="1">
      <c r="A976" s="709">
        <f t="shared" si="88"/>
        <v>89</v>
      </c>
      <c r="B976" s="296" t="s">
        <v>1953</v>
      </c>
      <c r="C976" s="725">
        <v>42299</v>
      </c>
      <c r="D976" s="726" t="s">
        <v>1127</v>
      </c>
      <c r="E976" s="812">
        <v>42.5</v>
      </c>
      <c r="F976" s="811">
        <v>28.5</v>
      </c>
      <c r="G976" s="811">
        <v>23</v>
      </c>
      <c r="H976" s="807">
        <f t="shared" si="94"/>
        <v>0.8</v>
      </c>
      <c r="I976" s="710">
        <v>800</v>
      </c>
      <c r="J976" s="710">
        <f t="shared" si="95"/>
        <v>640</v>
      </c>
      <c r="K976" s="710">
        <f t="shared" si="96"/>
        <v>5965.4906523921454</v>
      </c>
      <c r="L976" s="656"/>
    </row>
    <row r="977" spans="1:12" ht="16.5" customHeight="1">
      <c r="A977" s="709">
        <f t="shared" si="88"/>
        <v>90</v>
      </c>
      <c r="B977" s="296" t="s">
        <v>436</v>
      </c>
      <c r="C977" s="725">
        <v>42300</v>
      </c>
      <c r="D977" s="726" t="s">
        <v>1129</v>
      </c>
      <c r="E977" s="812">
        <v>32.5</v>
      </c>
      <c r="F977" s="812">
        <v>32.5</v>
      </c>
      <c r="G977" s="811">
        <v>29.5</v>
      </c>
      <c r="H977" s="807">
        <f t="shared" si="94"/>
        <v>0.88</v>
      </c>
      <c r="I977" s="710">
        <v>221</v>
      </c>
      <c r="J977" s="710">
        <f t="shared" si="95"/>
        <v>194.48</v>
      </c>
      <c r="K977" s="710">
        <f t="shared" si="96"/>
        <v>6562.03971763136</v>
      </c>
      <c r="L977" s="656"/>
    </row>
    <row r="978" spans="1:12" ht="16.5" customHeight="1">
      <c r="A978" s="709">
        <f t="shared" si="88"/>
        <v>91</v>
      </c>
      <c r="B978" s="296" t="s">
        <v>441</v>
      </c>
      <c r="C978" s="725">
        <v>42300</v>
      </c>
      <c r="D978" s="726" t="s">
        <v>1129</v>
      </c>
      <c r="E978" s="812">
        <v>22</v>
      </c>
      <c r="F978" s="812">
        <v>22</v>
      </c>
      <c r="G978" s="811">
        <v>29.5</v>
      </c>
      <c r="H978" s="807">
        <f t="shared" si="94"/>
        <v>0.51</v>
      </c>
      <c r="I978" s="710">
        <v>518</v>
      </c>
      <c r="J978" s="710">
        <f t="shared" si="95"/>
        <v>264.18</v>
      </c>
      <c r="K978" s="710">
        <f t="shared" si="96"/>
        <v>3803.0002908999927</v>
      </c>
      <c r="L978" s="656"/>
    </row>
    <row r="979" spans="1:12" ht="16.5" customHeight="1">
      <c r="A979" s="709">
        <f t="shared" si="88"/>
        <v>92</v>
      </c>
      <c r="B979" s="296" t="s">
        <v>522</v>
      </c>
      <c r="C979" s="725">
        <v>42300</v>
      </c>
      <c r="D979" s="726" t="s">
        <v>1129</v>
      </c>
      <c r="E979" s="812">
        <v>32.5</v>
      </c>
      <c r="F979" s="811">
        <v>30.5</v>
      </c>
      <c r="G979" s="811">
        <v>7.5</v>
      </c>
      <c r="H979" s="807">
        <f t="shared" si="94"/>
        <v>0.54</v>
      </c>
      <c r="I979" s="710">
        <v>227</v>
      </c>
      <c r="J979" s="710">
        <f t="shared" si="95"/>
        <v>122.58000000000001</v>
      </c>
      <c r="K979" s="710">
        <f t="shared" si="96"/>
        <v>4026.7061903646986</v>
      </c>
      <c r="L979" s="656"/>
    </row>
    <row r="980" spans="1:12" ht="16.5" customHeight="1">
      <c r="A980" s="709">
        <f t="shared" si="88"/>
        <v>93</v>
      </c>
      <c r="B980" s="296" t="s">
        <v>439</v>
      </c>
      <c r="C980" s="725">
        <v>42300</v>
      </c>
      <c r="D980" s="726" t="s">
        <v>1129</v>
      </c>
      <c r="E980" s="812">
        <v>51.5</v>
      </c>
      <c r="F980" s="811">
        <v>28.5</v>
      </c>
      <c r="G980" s="811">
        <v>7.2</v>
      </c>
      <c r="H980" s="807">
        <f t="shared" si="94"/>
        <v>0.64</v>
      </c>
      <c r="I980" s="710">
        <v>204</v>
      </c>
      <c r="J980" s="710">
        <f t="shared" si="95"/>
        <v>130.56</v>
      </c>
      <c r="K980" s="710">
        <f t="shared" si="96"/>
        <v>4772.3925219137163</v>
      </c>
      <c r="L980" s="656"/>
    </row>
    <row r="981" spans="1:12" ht="16.5" customHeight="1">
      <c r="A981" s="709">
        <f t="shared" si="88"/>
        <v>94</v>
      </c>
      <c r="B981" s="296" t="s">
        <v>1130</v>
      </c>
      <c r="C981" s="725">
        <v>42300</v>
      </c>
      <c r="D981" s="726" t="s">
        <v>1131</v>
      </c>
      <c r="E981" s="812">
        <v>63</v>
      </c>
      <c r="F981" s="811">
        <v>60</v>
      </c>
      <c r="G981" s="811">
        <v>135</v>
      </c>
      <c r="H981" s="807">
        <f t="shared" si="94"/>
        <v>4.97</v>
      </c>
      <c r="I981" s="710">
        <v>50</v>
      </c>
      <c r="J981" s="710">
        <f t="shared" si="95"/>
        <v>248.5</v>
      </c>
      <c r="K981" s="710">
        <f t="shared" si="96"/>
        <v>37060.610677986202</v>
      </c>
      <c r="L981" s="656"/>
    </row>
    <row r="982" spans="1:12" ht="16.5" customHeight="1">
      <c r="A982" s="709">
        <f t="shared" si="88"/>
        <v>95</v>
      </c>
      <c r="B982" s="296" t="s">
        <v>1132</v>
      </c>
      <c r="C982" s="725">
        <v>42300</v>
      </c>
      <c r="D982" s="726" t="s">
        <v>1131</v>
      </c>
      <c r="E982" s="812">
        <v>74</v>
      </c>
      <c r="F982" s="811">
        <v>48</v>
      </c>
      <c r="G982" s="811">
        <v>146</v>
      </c>
      <c r="H982" s="807">
        <f t="shared" si="94"/>
        <v>4.91</v>
      </c>
      <c r="I982" s="710">
        <v>38</v>
      </c>
      <c r="J982" s="710">
        <f t="shared" si="95"/>
        <v>186.58</v>
      </c>
      <c r="K982" s="710">
        <f t="shared" si="96"/>
        <v>36613.198879056792</v>
      </c>
      <c r="L982" s="656"/>
    </row>
    <row r="983" spans="1:12" ht="16.5" customHeight="1">
      <c r="A983" s="709">
        <f t="shared" si="88"/>
        <v>96</v>
      </c>
      <c r="B983" s="296" t="s">
        <v>454</v>
      </c>
      <c r="C983" s="725">
        <v>42300</v>
      </c>
      <c r="D983" s="726" t="s">
        <v>1131</v>
      </c>
      <c r="E983" s="812">
        <v>103</v>
      </c>
      <c r="F983" s="811">
        <v>50</v>
      </c>
      <c r="G983" s="811">
        <v>180</v>
      </c>
      <c r="H983" s="807">
        <f t="shared" si="94"/>
        <v>7.25</v>
      </c>
      <c r="I983" s="710">
        <v>257</v>
      </c>
      <c r="J983" s="710">
        <f t="shared" si="95"/>
        <v>1863.25</v>
      </c>
      <c r="K983" s="710">
        <f t="shared" si="96"/>
        <v>54062.259037303818</v>
      </c>
      <c r="L983" s="656"/>
    </row>
    <row r="984" spans="1:12" ht="16.5" customHeight="1">
      <c r="A984" s="709">
        <f t="shared" si="88"/>
        <v>97</v>
      </c>
      <c r="B984" s="296" t="s">
        <v>1007</v>
      </c>
      <c r="C984" s="725">
        <v>42300</v>
      </c>
      <c r="D984" s="726" t="s">
        <v>1131</v>
      </c>
      <c r="E984" s="812">
        <v>123</v>
      </c>
      <c r="F984" s="811">
        <v>54</v>
      </c>
      <c r="G984" s="811">
        <v>175</v>
      </c>
      <c r="H984" s="807">
        <f t="shared" si="94"/>
        <v>8.33</v>
      </c>
      <c r="I984" s="710">
        <v>31</v>
      </c>
      <c r="J984" s="710">
        <f t="shared" si="95"/>
        <v>258.23</v>
      </c>
      <c r="K984" s="710">
        <f t="shared" si="96"/>
        <v>62115.671418033213</v>
      </c>
      <c r="L984" s="656"/>
    </row>
    <row r="985" spans="1:12" ht="16.5" customHeight="1">
      <c r="A985" s="709">
        <f t="shared" si="88"/>
        <v>98</v>
      </c>
      <c r="B985" s="296" t="s">
        <v>661</v>
      </c>
      <c r="C985" s="725">
        <v>42300</v>
      </c>
      <c r="D985" s="726" t="s">
        <v>1133</v>
      </c>
      <c r="E985" s="812">
        <v>57</v>
      </c>
      <c r="F985" s="811">
        <v>37</v>
      </c>
      <c r="G985" s="811">
        <v>16</v>
      </c>
      <c r="H985" s="807">
        <f t="shared" si="94"/>
        <v>1.08</v>
      </c>
      <c r="I985" s="710">
        <v>180</v>
      </c>
      <c r="J985" s="710">
        <f t="shared" si="95"/>
        <v>194.4</v>
      </c>
      <c r="K985" s="710">
        <f t="shared" si="96"/>
        <v>8053.4123807293972</v>
      </c>
      <c r="L985" s="656"/>
    </row>
    <row r="986" spans="1:12" ht="16.5" customHeight="1">
      <c r="A986" s="709">
        <f t="shared" si="88"/>
        <v>99</v>
      </c>
      <c r="B986" s="296" t="s">
        <v>432</v>
      </c>
      <c r="C986" s="725">
        <v>42300</v>
      </c>
      <c r="D986" s="726" t="s">
        <v>1133</v>
      </c>
      <c r="E986" s="812">
        <v>47</v>
      </c>
      <c r="F986" s="811">
        <v>42</v>
      </c>
      <c r="G986" s="811">
        <v>27</v>
      </c>
      <c r="H986" s="807">
        <f t="shared" si="94"/>
        <v>1.32</v>
      </c>
      <c r="I986" s="710">
        <v>120</v>
      </c>
      <c r="J986" s="710">
        <f t="shared" si="95"/>
        <v>158.4</v>
      </c>
      <c r="K986" s="710">
        <f t="shared" si="96"/>
        <v>9843.0595764470399</v>
      </c>
      <c r="L986" s="656"/>
    </row>
    <row r="987" spans="1:12" ht="16.5" customHeight="1">
      <c r="A987" s="709">
        <f t="shared" si="88"/>
        <v>100</v>
      </c>
      <c r="B987" s="296" t="s">
        <v>1134</v>
      </c>
      <c r="C987" s="725">
        <v>42300</v>
      </c>
      <c r="D987" s="726" t="s">
        <v>1133</v>
      </c>
      <c r="E987" s="812">
        <v>41</v>
      </c>
      <c r="F987" s="811">
        <v>37</v>
      </c>
      <c r="G987" s="811">
        <v>27</v>
      </c>
      <c r="H987" s="807">
        <f t="shared" si="94"/>
        <v>1.08</v>
      </c>
      <c r="I987" s="710">
        <v>220</v>
      </c>
      <c r="J987" s="710">
        <f t="shared" si="95"/>
        <v>237.60000000000002</v>
      </c>
      <c r="K987" s="710">
        <f t="shared" si="96"/>
        <v>8053.4123807293972</v>
      </c>
      <c r="L987" s="656"/>
    </row>
    <row r="988" spans="1:12" ht="16.5" customHeight="1">
      <c r="A988" s="709">
        <f t="shared" si="88"/>
        <v>101</v>
      </c>
      <c r="B988" s="296" t="s">
        <v>1135</v>
      </c>
      <c r="C988" s="725">
        <v>42300</v>
      </c>
      <c r="D988" s="726" t="s">
        <v>1133</v>
      </c>
      <c r="E988" s="812">
        <v>57</v>
      </c>
      <c r="F988" s="811">
        <v>42</v>
      </c>
      <c r="G988" s="811">
        <v>16</v>
      </c>
      <c r="H988" s="807">
        <f t="shared" si="94"/>
        <v>1.24</v>
      </c>
      <c r="I988" s="710">
        <v>360</v>
      </c>
      <c r="J988" s="710">
        <f t="shared" si="95"/>
        <v>446.4</v>
      </c>
      <c r="K988" s="710">
        <f t="shared" si="96"/>
        <v>9246.5105112078254</v>
      </c>
      <c r="L988" s="656"/>
    </row>
    <row r="989" spans="1:12" ht="16.5" customHeight="1">
      <c r="A989" s="709">
        <f t="shared" si="88"/>
        <v>102</v>
      </c>
      <c r="B989" s="296" t="s">
        <v>602</v>
      </c>
      <c r="C989" s="725">
        <v>42300</v>
      </c>
      <c r="D989" s="726" t="s">
        <v>1133</v>
      </c>
      <c r="E989" s="812">
        <v>46</v>
      </c>
      <c r="F989" s="811">
        <v>42</v>
      </c>
      <c r="G989" s="811">
        <v>24.5</v>
      </c>
      <c r="H989" s="807">
        <f t="shared" si="94"/>
        <v>1.26</v>
      </c>
      <c r="I989" s="710">
        <v>767</v>
      </c>
      <c r="J989" s="710">
        <f t="shared" si="95"/>
        <v>966.42</v>
      </c>
      <c r="K989" s="710">
        <f t="shared" si="96"/>
        <v>9395.6477775176299</v>
      </c>
      <c r="L989" s="656"/>
    </row>
    <row r="990" spans="1:12" ht="16.5" customHeight="1">
      <c r="A990" s="709">
        <f t="shared" si="88"/>
        <v>103</v>
      </c>
      <c r="B990" s="296" t="s">
        <v>2010</v>
      </c>
      <c r="C990" s="725">
        <v>42300</v>
      </c>
      <c r="D990" s="726" t="s">
        <v>1136</v>
      </c>
      <c r="E990" s="812">
        <v>41</v>
      </c>
      <c r="F990" s="811">
        <v>41</v>
      </c>
      <c r="G990" s="811">
        <v>25</v>
      </c>
      <c r="H990" s="807">
        <f t="shared" si="94"/>
        <v>1.17</v>
      </c>
      <c r="I990" s="710">
        <v>100</v>
      </c>
      <c r="J990" s="710">
        <f t="shared" si="95"/>
        <v>117</v>
      </c>
      <c r="K990" s="710">
        <f t="shared" si="96"/>
        <v>8724.5300791235113</v>
      </c>
      <c r="L990" s="656"/>
    </row>
    <row r="991" spans="1:12" ht="16.5" customHeight="1">
      <c r="A991" s="709">
        <f t="shared" si="88"/>
        <v>104</v>
      </c>
      <c r="B991" s="296" t="s">
        <v>1948</v>
      </c>
      <c r="C991" s="725">
        <v>42300</v>
      </c>
      <c r="D991" s="726" t="s">
        <v>1136</v>
      </c>
      <c r="E991" s="812">
        <v>43</v>
      </c>
      <c r="F991" s="811">
        <v>42</v>
      </c>
      <c r="G991" s="811">
        <v>26</v>
      </c>
      <c r="H991" s="807">
        <f t="shared" si="94"/>
        <v>1.24</v>
      </c>
      <c r="I991" s="710">
        <v>50</v>
      </c>
      <c r="J991" s="710">
        <f t="shared" si="95"/>
        <v>62</v>
      </c>
      <c r="K991" s="710">
        <f t="shared" si="96"/>
        <v>9246.5105112078254</v>
      </c>
      <c r="L991" s="656"/>
    </row>
    <row r="992" spans="1:12" ht="16.5" customHeight="1">
      <c r="A992" s="709">
        <f t="shared" si="88"/>
        <v>105</v>
      </c>
      <c r="B992" s="296" t="s">
        <v>1949</v>
      </c>
      <c r="C992" s="725">
        <v>42300</v>
      </c>
      <c r="D992" s="726" t="s">
        <v>1136</v>
      </c>
      <c r="E992" s="812">
        <v>49</v>
      </c>
      <c r="F992" s="811">
        <v>47</v>
      </c>
      <c r="G992" s="811">
        <v>27</v>
      </c>
      <c r="H992" s="807">
        <f t="shared" si="94"/>
        <v>1.52</v>
      </c>
      <c r="I992" s="710">
        <v>50</v>
      </c>
      <c r="J992" s="710">
        <f t="shared" si="95"/>
        <v>76</v>
      </c>
      <c r="K992" s="710">
        <f t="shared" si="96"/>
        <v>11334.432239545076</v>
      </c>
      <c r="L992" s="656"/>
    </row>
    <row r="993" spans="1:12" ht="16.5" customHeight="1">
      <c r="A993" s="709">
        <f t="shared" si="88"/>
        <v>106</v>
      </c>
      <c r="B993" s="296" t="s">
        <v>1951</v>
      </c>
      <c r="C993" s="725">
        <v>42300</v>
      </c>
      <c r="D993" s="726" t="s">
        <v>1136</v>
      </c>
      <c r="E993" s="812">
        <v>40</v>
      </c>
      <c r="F993" s="811">
        <v>39</v>
      </c>
      <c r="G993" s="811">
        <v>32</v>
      </c>
      <c r="H993" s="807">
        <f t="shared" si="94"/>
        <v>1.21</v>
      </c>
      <c r="I993" s="710">
        <v>50</v>
      </c>
      <c r="J993" s="710">
        <f t="shared" si="95"/>
        <v>60.5</v>
      </c>
      <c r="K993" s="710">
        <f t="shared" si="96"/>
        <v>9022.8046117431204</v>
      </c>
      <c r="L993" s="656"/>
    </row>
    <row r="994" spans="1:12" ht="16.5" customHeight="1">
      <c r="A994" s="709">
        <f t="shared" si="88"/>
        <v>107</v>
      </c>
      <c r="B994" s="296" t="s">
        <v>1137</v>
      </c>
      <c r="C994" s="725">
        <v>42300</v>
      </c>
      <c r="D994" s="726" t="s">
        <v>1138</v>
      </c>
      <c r="E994" s="812">
        <v>183</v>
      </c>
      <c r="F994" s="811">
        <v>15</v>
      </c>
      <c r="G994" s="811">
        <v>10</v>
      </c>
      <c r="H994" s="807">
        <f t="shared" si="94"/>
        <v>1.1200000000000001</v>
      </c>
      <c r="I994" s="710">
        <v>1418</v>
      </c>
      <c r="J994" s="710">
        <f t="shared" si="95"/>
        <v>1588.16</v>
      </c>
      <c r="K994" s="710">
        <f t="shared" si="96"/>
        <v>8351.6869133490036</v>
      </c>
      <c r="L994" s="656"/>
    </row>
    <row r="995" spans="1:12" ht="16.5" customHeight="1">
      <c r="A995" s="709">
        <f t="shared" si="88"/>
        <v>108</v>
      </c>
      <c r="B995" s="296" t="s">
        <v>413</v>
      </c>
      <c r="C995" s="725">
        <v>42303</v>
      </c>
      <c r="D995" s="726" t="s">
        <v>1139</v>
      </c>
      <c r="E995" s="812">
        <v>49</v>
      </c>
      <c r="F995" s="811">
        <v>38</v>
      </c>
      <c r="G995" s="811">
        <v>12</v>
      </c>
      <c r="H995" s="807">
        <f t="shared" si="94"/>
        <v>0.95</v>
      </c>
      <c r="I995" s="710">
        <v>430</v>
      </c>
      <c r="J995" s="710">
        <f t="shared" si="95"/>
        <v>408.5</v>
      </c>
      <c r="K995" s="710">
        <f t="shared" si="96"/>
        <v>7084.0201497156722</v>
      </c>
      <c r="L995" s="656"/>
    </row>
    <row r="996" spans="1:12" ht="16.5" customHeight="1">
      <c r="A996" s="709">
        <f t="shared" si="88"/>
        <v>109</v>
      </c>
      <c r="B996" s="296" t="s">
        <v>413</v>
      </c>
      <c r="C996" s="725">
        <v>42303</v>
      </c>
      <c r="D996" s="726" t="s">
        <v>1139</v>
      </c>
      <c r="E996" s="812">
        <v>49</v>
      </c>
      <c r="F996" s="811">
        <v>38</v>
      </c>
      <c r="G996" s="811">
        <v>12</v>
      </c>
      <c r="H996" s="807">
        <f t="shared" si="94"/>
        <v>0.95</v>
      </c>
      <c r="I996" s="710">
        <v>409</v>
      </c>
      <c r="J996" s="710">
        <f t="shared" si="95"/>
        <v>388.54999999999995</v>
      </c>
      <c r="K996" s="710">
        <f t="shared" si="96"/>
        <v>7084.0201497156722</v>
      </c>
      <c r="L996" s="656"/>
    </row>
    <row r="997" spans="1:12" ht="16.5" customHeight="1">
      <c r="A997" s="709">
        <f t="shared" si="88"/>
        <v>110</v>
      </c>
      <c r="B997" s="296" t="s">
        <v>1140</v>
      </c>
      <c r="C997" s="725">
        <v>42304</v>
      </c>
      <c r="D997" s="726" t="s">
        <v>1141</v>
      </c>
      <c r="E997" s="812">
        <v>45</v>
      </c>
      <c r="F997" s="811">
        <v>37</v>
      </c>
      <c r="G997" s="811">
        <v>27.5</v>
      </c>
      <c r="H997" s="807">
        <f t="shared" si="94"/>
        <v>1.1399999999999999</v>
      </c>
      <c r="I997" s="710">
        <v>726</v>
      </c>
      <c r="J997" s="710">
        <f t="shared" si="95"/>
        <v>827.63999999999987</v>
      </c>
      <c r="K997" s="710">
        <f t="shared" si="96"/>
        <v>8500.8241796588063</v>
      </c>
      <c r="L997" s="656"/>
    </row>
    <row r="998" spans="1:12" ht="16.5" customHeight="1">
      <c r="A998" s="709">
        <f t="shared" si="88"/>
        <v>111</v>
      </c>
      <c r="B998" s="296" t="s">
        <v>1140</v>
      </c>
      <c r="C998" s="725">
        <v>42304</v>
      </c>
      <c r="D998" s="726" t="s">
        <v>1141</v>
      </c>
      <c r="E998" s="812">
        <v>45</v>
      </c>
      <c r="F998" s="811">
        <v>37</v>
      </c>
      <c r="G998" s="811">
        <v>27.5</v>
      </c>
      <c r="H998" s="807">
        <f t="shared" si="94"/>
        <v>1.1399999999999999</v>
      </c>
      <c r="I998" s="710">
        <v>100</v>
      </c>
      <c r="J998" s="710">
        <f t="shared" si="95"/>
        <v>113.99999999999999</v>
      </c>
      <c r="K998" s="710">
        <f t="shared" si="96"/>
        <v>8500.8241796588063</v>
      </c>
      <c r="L998" s="656"/>
    </row>
    <row r="999" spans="1:12" ht="16.5" customHeight="1">
      <c r="A999" s="709">
        <f t="shared" si="88"/>
        <v>112</v>
      </c>
      <c r="B999" s="296" t="s">
        <v>1677</v>
      </c>
      <c r="C999" s="725">
        <v>42304</v>
      </c>
      <c r="D999" s="726" t="s">
        <v>1141</v>
      </c>
      <c r="E999" s="812">
        <v>44</v>
      </c>
      <c r="F999" s="811">
        <v>20</v>
      </c>
      <c r="G999" s="811"/>
      <c r="H999" s="807">
        <f t="shared" si="94"/>
        <v>0.09</v>
      </c>
      <c r="I999" s="710">
        <v>1652</v>
      </c>
      <c r="J999" s="710">
        <f t="shared" si="95"/>
        <v>148.68</v>
      </c>
      <c r="K999" s="710">
        <f t="shared" si="96"/>
        <v>671.11769839411636</v>
      </c>
      <c r="L999" s="656"/>
    </row>
    <row r="1000" spans="1:12" ht="16.5" customHeight="1">
      <c r="A1000" s="709">
        <f t="shared" si="88"/>
        <v>113</v>
      </c>
      <c r="B1000" s="296" t="s">
        <v>1122</v>
      </c>
      <c r="C1000" s="725">
        <v>42305</v>
      </c>
      <c r="D1000" s="726" t="s">
        <v>1142</v>
      </c>
      <c r="E1000" s="812">
        <v>45</v>
      </c>
      <c r="F1000" s="811">
        <v>35</v>
      </c>
      <c r="G1000" s="811">
        <v>28</v>
      </c>
      <c r="H1000" s="807">
        <f t="shared" si="94"/>
        <v>1.0900000000000001</v>
      </c>
      <c r="I1000" s="710">
        <v>103</v>
      </c>
      <c r="J1000" s="710">
        <f t="shared" si="95"/>
        <v>112.27000000000001</v>
      </c>
      <c r="K1000" s="710">
        <f t="shared" si="96"/>
        <v>8127.9810138842986</v>
      </c>
      <c r="L1000" s="656"/>
    </row>
    <row r="1001" spans="1:12" ht="16.5" customHeight="1">
      <c r="A1001" s="709">
        <f t="shared" si="88"/>
        <v>114</v>
      </c>
      <c r="B1001" s="296" t="s">
        <v>431</v>
      </c>
      <c r="C1001" s="725">
        <v>42306</v>
      </c>
      <c r="D1001" s="726" t="s">
        <v>1143</v>
      </c>
      <c r="E1001" s="812">
        <v>37</v>
      </c>
      <c r="F1001" s="811">
        <v>37</v>
      </c>
      <c r="G1001" s="811">
        <v>29</v>
      </c>
      <c r="H1001" s="807">
        <f t="shared" si="94"/>
        <v>1.06</v>
      </c>
      <c r="I1001" s="710">
        <v>110</v>
      </c>
      <c r="J1001" s="710">
        <f t="shared" si="95"/>
        <v>116.60000000000001</v>
      </c>
      <c r="K1001" s="710">
        <f t="shared" si="96"/>
        <v>7904.2751144195927</v>
      </c>
      <c r="L1001" s="656"/>
    </row>
    <row r="1002" spans="1:12" ht="16.5" customHeight="1">
      <c r="A1002" s="709">
        <f t="shared" si="88"/>
        <v>115</v>
      </c>
      <c r="B1002" s="296" t="s">
        <v>1144</v>
      </c>
      <c r="C1002" s="725">
        <v>42306</v>
      </c>
      <c r="D1002" s="726" t="s">
        <v>1143</v>
      </c>
      <c r="E1002" s="812">
        <v>35</v>
      </c>
      <c r="F1002" s="811">
        <v>32</v>
      </c>
      <c r="G1002" s="811">
        <v>27</v>
      </c>
      <c r="H1002" s="807">
        <f t="shared" si="94"/>
        <v>0.86</v>
      </c>
      <c r="I1002" s="710">
        <v>52</v>
      </c>
      <c r="J1002" s="710">
        <f t="shared" si="95"/>
        <v>44.72</v>
      </c>
      <c r="K1002" s="710">
        <f t="shared" si="96"/>
        <v>6412.9024513215563</v>
      </c>
      <c r="L1002" s="656"/>
    </row>
    <row r="1003" spans="1:12" ht="16.5" customHeight="1">
      <c r="A1003" s="709">
        <f t="shared" si="88"/>
        <v>116</v>
      </c>
      <c r="B1003" s="296" t="s">
        <v>602</v>
      </c>
      <c r="C1003" s="725">
        <v>42306</v>
      </c>
      <c r="D1003" s="726" t="s">
        <v>1143</v>
      </c>
      <c r="E1003" s="812">
        <v>46</v>
      </c>
      <c r="F1003" s="811">
        <v>42</v>
      </c>
      <c r="G1003" s="811">
        <v>24.5</v>
      </c>
      <c r="H1003" s="807">
        <f t="shared" si="94"/>
        <v>1.26</v>
      </c>
      <c r="I1003" s="710">
        <v>204</v>
      </c>
      <c r="J1003" s="710">
        <f t="shared" si="95"/>
        <v>257.04000000000002</v>
      </c>
      <c r="K1003" s="710">
        <f t="shared" si="96"/>
        <v>9395.6477775176299</v>
      </c>
      <c r="L1003" s="656"/>
    </row>
    <row r="1004" spans="1:12" ht="16.5" customHeight="1">
      <c r="A1004" s="709">
        <f t="shared" si="88"/>
        <v>117</v>
      </c>
      <c r="B1004" s="296" t="s">
        <v>430</v>
      </c>
      <c r="C1004" s="725">
        <v>42306</v>
      </c>
      <c r="D1004" s="726" t="s">
        <v>1143</v>
      </c>
      <c r="E1004" s="812">
        <v>35</v>
      </c>
      <c r="F1004" s="811">
        <v>32</v>
      </c>
      <c r="G1004" s="811">
        <v>29</v>
      </c>
      <c r="H1004" s="807">
        <f t="shared" si="94"/>
        <v>0.89</v>
      </c>
      <c r="I1004" s="710">
        <v>52</v>
      </c>
      <c r="J1004" s="710">
        <f t="shared" si="95"/>
        <v>46.28</v>
      </c>
      <c r="K1004" s="710">
        <f t="shared" si="96"/>
        <v>6636.6083507862622</v>
      </c>
      <c r="L1004" s="656"/>
    </row>
    <row r="1005" spans="1:12" ht="16.5" customHeight="1">
      <c r="A1005" s="709">
        <f t="shared" si="88"/>
        <v>118</v>
      </c>
      <c r="B1005" s="296" t="s">
        <v>523</v>
      </c>
      <c r="C1005" s="725">
        <v>42306</v>
      </c>
      <c r="D1005" s="726" t="s">
        <v>1143</v>
      </c>
      <c r="E1005" s="812">
        <v>47</v>
      </c>
      <c r="F1005" s="811">
        <v>42</v>
      </c>
      <c r="G1005" s="811">
        <v>29</v>
      </c>
      <c r="H1005" s="807">
        <f t="shared" si="94"/>
        <v>1.35</v>
      </c>
      <c r="I1005" s="710">
        <v>110</v>
      </c>
      <c r="J1005" s="710">
        <f t="shared" si="95"/>
        <v>148.5</v>
      </c>
      <c r="K1005" s="710">
        <f t="shared" si="96"/>
        <v>10066.765475911747</v>
      </c>
      <c r="L1005" s="656"/>
    </row>
    <row r="1006" spans="1:12" ht="16.5" customHeight="1">
      <c r="A1006" s="709">
        <f t="shared" si="88"/>
        <v>119</v>
      </c>
      <c r="B1006" s="296" t="s">
        <v>1145</v>
      </c>
      <c r="C1006" s="725">
        <v>42306</v>
      </c>
      <c r="D1006" s="726" t="s">
        <v>1143</v>
      </c>
      <c r="E1006" s="812">
        <v>42</v>
      </c>
      <c r="F1006" s="811">
        <v>39</v>
      </c>
      <c r="G1006" s="811">
        <v>27</v>
      </c>
      <c r="H1006" s="807">
        <f t="shared" si="94"/>
        <v>1.1499999999999999</v>
      </c>
      <c r="I1006" s="710">
        <v>52</v>
      </c>
      <c r="J1006" s="710">
        <f t="shared" si="95"/>
        <v>59.8</v>
      </c>
      <c r="K1006" s="710">
        <f t="shared" si="96"/>
        <v>8575.3928128137086</v>
      </c>
      <c r="L1006" s="656"/>
    </row>
    <row r="1007" spans="1:12" ht="16.5" customHeight="1">
      <c r="A1007" s="709">
        <f t="shared" si="88"/>
        <v>120</v>
      </c>
      <c r="B1007" s="296" t="s">
        <v>1146</v>
      </c>
      <c r="C1007" s="725">
        <v>42306</v>
      </c>
      <c r="D1007" s="726" t="s">
        <v>1143</v>
      </c>
      <c r="E1007" s="812">
        <v>42</v>
      </c>
      <c r="F1007" s="811">
        <v>39</v>
      </c>
      <c r="G1007" s="811">
        <v>29</v>
      </c>
      <c r="H1007" s="807">
        <f t="shared" si="94"/>
        <v>1.19</v>
      </c>
      <c r="I1007" s="710">
        <v>52</v>
      </c>
      <c r="J1007" s="710">
        <f t="shared" si="95"/>
        <v>61.879999999999995</v>
      </c>
      <c r="K1007" s="710">
        <f t="shared" si="96"/>
        <v>8873.6673454333159</v>
      </c>
      <c r="L1007" s="656"/>
    </row>
    <row r="1008" spans="1:12" ht="16.5" customHeight="1">
      <c r="A1008" s="709">
        <f t="shared" si="88"/>
        <v>121</v>
      </c>
      <c r="B1008" s="296" t="s">
        <v>432</v>
      </c>
      <c r="C1008" s="725">
        <v>42306</v>
      </c>
      <c r="D1008" s="726" t="s">
        <v>1143</v>
      </c>
      <c r="E1008" s="812">
        <v>47</v>
      </c>
      <c r="F1008" s="811">
        <v>42</v>
      </c>
      <c r="G1008" s="811">
        <v>27</v>
      </c>
      <c r="H1008" s="807">
        <f t="shared" si="94"/>
        <v>1.32</v>
      </c>
      <c r="I1008" s="710">
        <v>131</v>
      </c>
      <c r="J1008" s="710">
        <f t="shared" si="95"/>
        <v>172.92000000000002</v>
      </c>
      <c r="K1008" s="710">
        <f t="shared" si="96"/>
        <v>9843.0595764470399</v>
      </c>
      <c r="L1008" s="656"/>
    </row>
    <row r="1009" spans="1:12" ht="16.5" customHeight="1">
      <c r="A1009" s="709">
        <f t="shared" si="88"/>
        <v>122</v>
      </c>
      <c r="B1009" s="296" t="s">
        <v>523</v>
      </c>
      <c r="C1009" s="725">
        <v>42306</v>
      </c>
      <c r="D1009" s="726" t="s">
        <v>1143</v>
      </c>
      <c r="E1009" s="812">
        <v>47</v>
      </c>
      <c r="F1009" s="811">
        <v>42</v>
      </c>
      <c r="G1009" s="811">
        <v>29</v>
      </c>
      <c r="H1009" s="807">
        <f t="shared" si="94"/>
        <v>1.35</v>
      </c>
      <c r="I1009" s="710">
        <v>104</v>
      </c>
      <c r="J1009" s="710">
        <f t="shared" si="95"/>
        <v>140.4</v>
      </c>
      <c r="K1009" s="710">
        <f t="shared" si="96"/>
        <v>10066.765475911747</v>
      </c>
      <c r="L1009" s="656"/>
    </row>
    <row r="1010" spans="1:12" ht="16.5" customHeight="1">
      <c r="A1010" s="709">
        <f t="shared" si="88"/>
        <v>123</v>
      </c>
      <c r="B1010" s="40" t="s">
        <v>1740</v>
      </c>
      <c r="C1010" s="725">
        <v>42306</v>
      </c>
      <c r="D1010" s="726" t="s">
        <v>1147</v>
      </c>
      <c r="E1010" s="812">
        <v>80</v>
      </c>
      <c r="F1010" s="811">
        <v>148</v>
      </c>
      <c r="G1010" s="811"/>
      <c r="H1010" s="807">
        <f t="shared" si="94"/>
        <v>1.18</v>
      </c>
      <c r="I1010" s="710">
        <v>1490</v>
      </c>
      <c r="J1010" s="710">
        <f t="shared" si="95"/>
        <v>1758.1999999999998</v>
      </c>
      <c r="K1010" s="710">
        <f t="shared" si="96"/>
        <v>8799.0987122784136</v>
      </c>
      <c r="L1010" s="656"/>
    </row>
    <row r="1011" spans="1:12" ht="16.5" customHeight="1">
      <c r="A1011" s="709">
        <f t="shared" si="88"/>
        <v>124</v>
      </c>
      <c r="B1011" s="296" t="s">
        <v>1120</v>
      </c>
      <c r="C1011" s="725">
        <v>42308</v>
      </c>
      <c r="D1011" s="726" t="s">
        <v>1148</v>
      </c>
      <c r="E1011" s="812">
        <v>50</v>
      </c>
      <c r="F1011" s="811">
        <v>29.5</v>
      </c>
      <c r="G1011" s="811">
        <v>49.5</v>
      </c>
      <c r="H1011" s="807">
        <f t="shared" si="94"/>
        <v>1.34</v>
      </c>
      <c r="I1011" s="710">
        <v>1000</v>
      </c>
      <c r="J1011" s="710">
        <f t="shared" si="95"/>
        <v>1340</v>
      </c>
      <c r="K1011" s="710">
        <f t="shared" si="96"/>
        <v>9992.1968427568445</v>
      </c>
      <c r="L1011" s="656"/>
    </row>
    <row r="1012" spans="1:12" ht="16.5" customHeight="1">
      <c r="A1012" s="709">
        <f t="shared" si="88"/>
        <v>125</v>
      </c>
      <c r="B1012" s="296" t="s">
        <v>1948</v>
      </c>
      <c r="C1012" s="725">
        <v>42308</v>
      </c>
      <c r="D1012" s="726" t="s">
        <v>1149</v>
      </c>
      <c r="E1012" s="812">
        <v>43</v>
      </c>
      <c r="F1012" s="811">
        <v>42</v>
      </c>
      <c r="G1012" s="811">
        <v>26</v>
      </c>
      <c r="H1012" s="807">
        <f t="shared" si="94"/>
        <v>1.24</v>
      </c>
      <c r="I1012" s="710">
        <v>1667</v>
      </c>
      <c r="J1012" s="710">
        <f t="shared" si="95"/>
        <v>2067.08</v>
      </c>
      <c r="K1012" s="710">
        <f t="shared" si="96"/>
        <v>9246.5105112078254</v>
      </c>
      <c r="L1012" s="656"/>
    </row>
    <row r="1013" spans="1:12" ht="16.5" customHeight="1">
      <c r="A1013" s="709">
        <f t="shared" si="88"/>
        <v>126</v>
      </c>
      <c r="B1013" s="296" t="s">
        <v>454</v>
      </c>
      <c r="C1013" s="725">
        <v>42308</v>
      </c>
      <c r="D1013" s="726" t="s">
        <v>1150</v>
      </c>
      <c r="E1013" s="812">
        <v>103</v>
      </c>
      <c r="F1013" s="811">
        <v>50</v>
      </c>
      <c r="G1013" s="811">
        <v>180</v>
      </c>
      <c r="H1013" s="807">
        <f t="shared" si="94"/>
        <v>7.25</v>
      </c>
      <c r="I1013" s="710">
        <v>300</v>
      </c>
      <c r="J1013" s="710">
        <f t="shared" si="95"/>
        <v>2175</v>
      </c>
      <c r="K1013" s="710">
        <f t="shared" si="96"/>
        <v>54062.259037303818</v>
      </c>
      <c r="L1013" s="656"/>
    </row>
    <row r="1014" spans="1:12" ht="16.5" customHeight="1">
      <c r="A1014" s="709">
        <f t="shared" si="88"/>
        <v>127</v>
      </c>
      <c r="B1014" s="296" t="s">
        <v>454</v>
      </c>
      <c r="C1014" s="725">
        <v>42311</v>
      </c>
      <c r="D1014" s="726" t="s">
        <v>1151</v>
      </c>
      <c r="E1014" s="812">
        <v>103</v>
      </c>
      <c r="F1014" s="811">
        <v>50</v>
      </c>
      <c r="G1014" s="811">
        <v>180</v>
      </c>
      <c r="H1014" s="807">
        <f t="shared" si="94"/>
        <v>7.25</v>
      </c>
      <c r="I1014" s="710">
        <v>248</v>
      </c>
      <c r="J1014" s="710">
        <f t="shared" si="95"/>
        <v>1798</v>
      </c>
      <c r="K1014" s="710">
        <f t="shared" si="96"/>
        <v>54062.259037303818</v>
      </c>
      <c r="L1014" s="656"/>
    </row>
    <row r="1015" spans="1:12" ht="16.5" customHeight="1">
      <c r="A1015" s="709">
        <f t="shared" si="88"/>
        <v>128</v>
      </c>
      <c r="B1015" s="296" t="s">
        <v>518</v>
      </c>
      <c r="C1015" s="725">
        <v>42311</v>
      </c>
      <c r="D1015" s="726" t="s">
        <v>1152</v>
      </c>
      <c r="E1015" s="812">
        <v>45</v>
      </c>
      <c r="F1015" s="811">
        <v>35</v>
      </c>
      <c r="G1015" s="811">
        <v>25</v>
      </c>
      <c r="H1015" s="807">
        <f t="shared" si="94"/>
        <v>1.04</v>
      </c>
      <c r="I1015" s="710">
        <v>511</v>
      </c>
      <c r="J1015" s="710">
        <f t="shared" si="95"/>
        <v>531.44000000000005</v>
      </c>
      <c r="K1015" s="710">
        <f t="shared" si="96"/>
        <v>7755.137848109789</v>
      </c>
      <c r="L1015" s="656"/>
    </row>
    <row r="1016" spans="1:12" ht="16.5" customHeight="1">
      <c r="A1016" s="709">
        <f t="shared" si="88"/>
        <v>129</v>
      </c>
      <c r="B1016" s="296" t="s">
        <v>1676</v>
      </c>
      <c r="C1016" s="725">
        <v>42311</v>
      </c>
      <c r="D1016" s="726" t="s">
        <v>1152</v>
      </c>
      <c r="E1016" s="812">
        <v>43</v>
      </c>
      <c r="F1016" s="811">
        <v>32</v>
      </c>
      <c r="G1016" s="811"/>
      <c r="H1016" s="807">
        <f t="shared" ref="H1016:H1079" si="97">IF(G1016&lt;&gt;"",ROUND(((E1016+F1016)*2+5)*(F1016+G1016+3)/10000,2),ROUND(E1016*F1016/10000,2))</f>
        <v>0.14000000000000001</v>
      </c>
      <c r="I1016" s="710">
        <v>511</v>
      </c>
      <c r="J1016" s="710">
        <f t="shared" si="95"/>
        <v>71.540000000000006</v>
      </c>
      <c r="K1016" s="710">
        <f t="shared" si="96"/>
        <v>1043.9608641686254</v>
      </c>
      <c r="L1016" s="656"/>
    </row>
    <row r="1017" spans="1:12" ht="16.5" customHeight="1">
      <c r="A1017" s="709">
        <f t="shared" si="88"/>
        <v>130</v>
      </c>
      <c r="B1017" s="296" t="s">
        <v>398</v>
      </c>
      <c r="C1017" s="725">
        <v>42311</v>
      </c>
      <c r="D1017" s="726" t="s">
        <v>1153</v>
      </c>
      <c r="E1017" s="812">
        <v>52</v>
      </c>
      <c r="F1017" s="811">
        <v>24.5</v>
      </c>
      <c r="G1017" s="811">
        <v>24.5</v>
      </c>
      <c r="H1017" s="807">
        <f t="shared" si="97"/>
        <v>0.82</v>
      </c>
      <c r="I1017" s="710">
        <v>643</v>
      </c>
      <c r="J1017" s="710">
        <f t="shared" ref="J1017:J1080" si="98">H1017*I1017</f>
        <v>527.26</v>
      </c>
      <c r="K1017" s="710">
        <f t="shared" ref="K1017:K1080" si="99">H1017*$Q$940</f>
        <v>6114.6279187019491</v>
      </c>
      <c r="L1017" s="656"/>
    </row>
    <row r="1018" spans="1:12" ht="16.5" customHeight="1">
      <c r="A1018" s="709">
        <f t="shared" si="88"/>
        <v>131</v>
      </c>
      <c r="B1018" s="296" t="s">
        <v>501</v>
      </c>
      <c r="C1018" s="725">
        <v>42311</v>
      </c>
      <c r="D1018" s="726" t="s">
        <v>1153</v>
      </c>
      <c r="E1018" s="812">
        <v>55</v>
      </c>
      <c r="F1018" s="811">
        <v>45</v>
      </c>
      <c r="G1018" s="811">
        <v>29</v>
      </c>
      <c r="H1018" s="807">
        <f t="shared" si="97"/>
        <v>1.58</v>
      </c>
      <c r="I1018" s="710">
        <v>601</v>
      </c>
      <c r="J1018" s="710">
        <f t="shared" si="98"/>
        <v>949.58</v>
      </c>
      <c r="K1018" s="710">
        <f t="shared" si="99"/>
        <v>11781.844038474488</v>
      </c>
      <c r="L1018" s="656"/>
    </row>
    <row r="1019" spans="1:12" ht="16.5" customHeight="1">
      <c r="A1019" s="709">
        <f t="shared" si="88"/>
        <v>132</v>
      </c>
      <c r="B1019" s="296" t="s">
        <v>994</v>
      </c>
      <c r="C1019" s="725">
        <v>42311</v>
      </c>
      <c r="D1019" s="726" t="s">
        <v>1153</v>
      </c>
      <c r="E1019" s="812">
        <v>48</v>
      </c>
      <c r="F1019" s="811">
        <v>40</v>
      </c>
      <c r="G1019" s="811">
        <v>29</v>
      </c>
      <c r="H1019" s="807">
        <f t="shared" si="97"/>
        <v>1.3</v>
      </c>
      <c r="I1019" s="710">
        <v>610</v>
      </c>
      <c r="J1019" s="710">
        <f t="shared" si="98"/>
        <v>793</v>
      </c>
      <c r="K1019" s="710">
        <f t="shared" si="99"/>
        <v>9693.9223101372372</v>
      </c>
      <c r="L1019" s="656"/>
    </row>
    <row r="1020" spans="1:12" ht="16.5" customHeight="1">
      <c r="A1020" s="709">
        <f t="shared" si="88"/>
        <v>133</v>
      </c>
      <c r="B1020" s="296" t="s">
        <v>1808</v>
      </c>
      <c r="C1020" s="725">
        <v>42311</v>
      </c>
      <c r="D1020" s="726" t="s">
        <v>1154</v>
      </c>
      <c r="E1020" s="812">
        <v>80</v>
      </c>
      <c r="F1020" s="811">
        <v>63</v>
      </c>
      <c r="G1020" s="811"/>
      <c r="H1020" s="807">
        <f t="shared" si="97"/>
        <v>0.5</v>
      </c>
      <c r="I1020" s="710">
        <v>86</v>
      </c>
      <c r="J1020" s="710">
        <f t="shared" si="98"/>
        <v>43</v>
      </c>
      <c r="K1020" s="710">
        <f t="shared" si="99"/>
        <v>3728.4316577450909</v>
      </c>
      <c r="L1020" s="656"/>
    </row>
    <row r="1021" spans="1:12" ht="16.5" customHeight="1">
      <c r="A1021" s="709">
        <f t="shared" si="88"/>
        <v>134</v>
      </c>
      <c r="B1021" s="296" t="s">
        <v>1809</v>
      </c>
      <c r="C1021" s="725">
        <v>42311</v>
      </c>
      <c r="D1021" s="726" t="s">
        <v>1154</v>
      </c>
      <c r="E1021" s="812">
        <v>90</v>
      </c>
      <c r="F1021" s="811">
        <v>91</v>
      </c>
      <c r="G1021" s="811"/>
      <c r="H1021" s="807">
        <f t="shared" si="97"/>
        <v>0.82</v>
      </c>
      <c r="I1021" s="710">
        <v>250</v>
      </c>
      <c r="J1021" s="710">
        <f t="shared" si="98"/>
        <v>205</v>
      </c>
      <c r="K1021" s="710">
        <f t="shared" si="99"/>
        <v>6114.6279187019491</v>
      </c>
      <c r="L1021" s="656"/>
    </row>
    <row r="1022" spans="1:12" ht="16.5" customHeight="1">
      <c r="A1022" s="709">
        <f t="shared" si="88"/>
        <v>135</v>
      </c>
      <c r="B1022" s="296" t="s">
        <v>1810</v>
      </c>
      <c r="C1022" s="725">
        <v>42311</v>
      </c>
      <c r="D1022" s="726" t="s">
        <v>1154</v>
      </c>
      <c r="E1022" s="812">
        <v>110</v>
      </c>
      <c r="F1022" s="811">
        <v>76</v>
      </c>
      <c r="G1022" s="811"/>
      <c r="H1022" s="807">
        <f t="shared" si="97"/>
        <v>0.84</v>
      </c>
      <c r="I1022" s="710">
        <v>313</v>
      </c>
      <c r="J1022" s="710">
        <f t="shared" si="98"/>
        <v>262.92</v>
      </c>
      <c r="K1022" s="710">
        <f t="shared" si="99"/>
        <v>6263.7651850117527</v>
      </c>
      <c r="L1022" s="656"/>
    </row>
    <row r="1023" spans="1:12" ht="16.5" customHeight="1">
      <c r="A1023" s="709">
        <f t="shared" si="88"/>
        <v>136</v>
      </c>
      <c r="B1023" s="296" t="s">
        <v>1811</v>
      </c>
      <c r="C1023" s="725">
        <v>42311</v>
      </c>
      <c r="D1023" s="726" t="s">
        <v>1154</v>
      </c>
      <c r="E1023" s="812">
        <v>105</v>
      </c>
      <c r="F1023" s="811">
        <v>134</v>
      </c>
      <c r="G1023" s="811"/>
      <c r="H1023" s="807">
        <f t="shared" si="97"/>
        <v>1.41</v>
      </c>
      <c r="I1023" s="710">
        <v>100</v>
      </c>
      <c r="J1023" s="710">
        <f t="shared" si="98"/>
        <v>141</v>
      </c>
      <c r="K1023" s="710">
        <f t="shared" si="99"/>
        <v>10514.177274841155</v>
      </c>
      <c r="L1023" s="656"/>
    </row>
    <row r="1024" spans="1:12" ht="16.5" customHeight="1">
      <c r="A1024" s="709">
        <f t="shared" si="88"/>
        <v>137</v>
      </c>
      <c r="B1024" s="296" t="s">
        <v>1728</v>
      </c>
      <c r="C1024" s="725">
        <v>42311</v>
      </c>
      <c r="D1024" s="726" t="s">
        <v>1154</v>
      </c>
      <c r="E1024" s="812">
        <v>110</v>
      </c>
      <c r="F1024" s="811">
        <v>156</v>
      </c>
      <c r="G1024" s="811"/>
      <c r="H1024" s="807">
        <f t="shared" si="97"/>
        <v>1.72</v>
      </c>
      <c r="I1024" s="710">
        <v>10</v>
      </c>
      <c r="J1024" s="710">
        <f t="shared" si="98"/>
        <v>17.2</v>
      </c>
      <c r="K1024" s="710">
        <f t="shared" si="99"/>
        <v>12825.804902643113</v>
      </c>
      <c r="L1024" s="656"/>
    </row>
    <row r="1025" spans="1:12" ht="16.5" customHeight="1">
      <c r="A1025" s="709">
        <f t="shared" si="88"/>
        <v>138</v>
      </c>
      <c r="B1025" s="296" t="s">
        <v>1736</v>
      </c>
      <c r="C1025" s="725">
        <v>42311</v>
      </c>
      <c r="D1025" s="726" t="s">
        <v>1154</v>
      </c>
      <c r="E1025" s="812">
        <v>100</v>
      </c>
      <c r="F1025" s="811">
        <v>180</v>
      </c>
      <c r="G1025" s="811"/>
      <c r="H1025" s="807">
        <f t="shared" si="97"/>
        <v>1.8</v>
      </c>
      <c r="I1025" s="710">
        <v>10</v>
      </c>
      <c r="J1025" s="710">
        <f t="shared" si="98"/>
        <v>18</v>
      </c>
      <c r="K1025" s="710">
        <f t="shared" si="99"/>
        <v>13422.353967882327</v>
      </c>
      <c r="L1025" s="656"/>
    </row>
    <row r="1026" spans="1:12" ht="16.5" customHeight="1">
      <c r="A1026" s="709">
        <f t="shared" si="88"/>
        <v>139</v>
      </c>
      <c r="B1026" s="296" t="s">
        <v>692</v>
      </c>
      <c r="C1026" s="725">
        <v>42311</v>
      </c>
      <c r="D1026" s="726" t="s">
        <v>1154</v>
      </c>
      <c r="E1026" s="812">
        <v>105</v>
      </c>
      <c r="F1026" s="811">
        <v>170</v>
      </c>
      <c r="G1026" s="811"/>
      <c r="H1026" s="807">
        <f t="shared" si="97"/>
        <v>1.79</v>
      </c>
      <c r="I1026" s="710">
        <v>40</v>
      </c>
      <c r="J1026" s="710">
        <f t="shared" si="98"/>
        <v>71.599999999999994</v>
      </c>
      <c r="K1026" s="710">
        <f t="shared" si="99"/>
        <v>13347.785334727425</v>
      </c>
      <c r="L1026" s="656"/>
    </row>
    <row r="1027" spans="1:12" ht="16.5" customHeight="1">
      <c r="A1027" s="709">
        <f t="shared" si="88"/>
        <v>140</v>
      </c>
      <c r="B1027" s="296" t="s">
        <v>1752</v>
      </c>
      <c r="C1027" s="725">
        <v>42311</v>
      </c>
      <c r="D1027" s="726" t="s">
        <v>1154</v>
      </c>
      <c r="E1027" s="812">
        <v>110</v>
      </c>
      <c r="F1027" s="811">
        <v>144</v>
      </c>
      <c r="G1027" s="811"/>
      <c r="H1027" s="807">
        <f t="shared" si="97"/>
        <v>1.58</v>
      </c>
      <c r="I1027" s="710">
        <v>25</v>
      </c>
      <c r="J1027" s="710">
        <f t="shared" si="98"/>
        <v>39.5</v>
      </c>
      <c r="K1027" s="710">
        <f t="shared" si="99"/>
        <v>11781.844038474488</v>
      </c>
      <c r="L1027" s="656"/>
    </row>
    <row r="1028" spans="1:12" ht="16.5" customHeight="1">
      <c r="A1028" s="709">
        <f t="shared" si="88"/>
        <v>141</v>
      </c>
      <c r="B1028" s="296" t="s">
        <v>1769</v>
      </c>
      <c r="C1028" s="725">
        <v>42311</v>
      </c>
      <c r="D1028" s="726" t="s">
        <v>1154</v>
      </c>
      <c r="E1028" s="812">
        <v>100</v>
      </c>
      <c r="F1028" s="811">
        <v>156</v>
      </c>
      <c r="G1028" s="811"/>
      <c r="H1028" s="807">
        <f t="shared" si="97"/>
        <v>1.56</v>
      </c>
      <c r="I1028" s="710">
        <v>25</v>
      </c>
      <c r="J1028" s="710">
        <f t="shared" si="98"/>
        <v>39</v>
      </c>
      <c r="K1028" s="710">
        <f t="shared" si="99"/>
        <v>11632.706772164684</v>
      </c>
      <c r="L1028" s="656"/>
    </row>
    <row r="1029" spans="1:12" ht="16.5" customHeight="1">
      <c r="A1029" s="709">
        <f t="shared" si="88"/>
        <v>142</v>
      </c>
      <c r="B1029" s="296" t="s">
        <v>1812</v>
      </c>
      <c r="C1029" s="725">
        <v>42311</v>
      </c>
      <c r="D1029" s="726" t="s">
        <v>1154</v>
      </c>
      <c r="E1029" s="812">
        <v>75</v>
      </c>
      <c r="F1029" s="811">
        <v>136</v>
      </c>
      <c r="G1029" s="811"/>
      <c r="H1029" s="807">
        <f t="shared" si="97"/>
        <v>1.02</v>
      </c>
      <c r="I1029" s="710">
        <v>400</v>
      </c>
      <c r="J1029" s="710">
        <f t="shared" si="98"/>
        <v>408</v>
      </c>
      <c r="K1029" s="710">
        <f t="shared" si="99"/>
        <v>7606.0005817999854</v>
      </c>
      <c r="L1029" s="656"/>
    </row>
    <row r="1030" spans="1:12" ht="16.5" customHeight="1">
      <c r="A1030" s="709">
        <f t="shared" si="88"/>
        <v>143</v>
      </c>
      <c r="B1030" s="296" t="s">
        <v>1155</v>
      </c>
      <c r="C1030" s="725">
        <v>42312</v>
      </c>
      <c r="D1030" s="726" t="s">
        <v>1156</v>
      </c>
      <c r="E1030" s="812">
        <v>33.5</v>
      </c>
      <c r="F1030" s="811">
        <v>31.5</v>
      </c>
      <c r="G1030" s="811"/>
      <c r="H1030" s="807">
        <f t="shared" si="97"/>
        <v>0.11</v>
      </c>
      <c r="I1030" s="710">
        <v>497</v>
      </c>
      <c r="J1030" s="710">
        <f t="shared" si="98"/>
        <v>54.67</v>
      </c>
      <c r="K1030" s="710">
        <f t="shared" si="99"/>
        <v>820.25496470392</v>
      </c>
      <c r="L1030" s="656"/>
    </row>
    <row r="1031" spans="1:12" ht="16.5" customHeight="1">
      <c r="A1031" s="709">
        <f t="shared" si="88"/>
        <v>144</v>
      </c>
      <c r="B1031" s="296" t="s">
        <v>1157</v>
      </c>
      <c r="C1031" s="725">
        <v>42312</v>
      </c>
      <c r="D1031" s="726" t="s">
        <v>1158</v>
      </c>
      <c r="E1031" s="812">
        <v>56</v>
      </c>
      <c r="F1031" s="811">
        <v>45</v>
      </c>
      <c r="G1031" s="811">
        <v>31</v>
      </c>
      <c r="H1031" s="807">
        <f t="shared" si="97"/>
        <v>1.64</v>
      </c>
      <c r="I1031" s="710">
        <v>122</v>
      </c>
      <c r="J1031" s="710">
        <f t="shared" si="98"/>
        <v>200.07999999999998</v>
      </c>
      <c r="K1031" s="710">
        <f t="shared" si="99"/>
        <v>12229.255837403898</v>
      </c>
      <c r="L1031" s="656"/>
    </row>
    <row r="1032" spans="1:12" ht="16.5" customHeight="1">
      <c r="A1032" s="709">
        <f t="shared" si="88"/>
        <v>145</v>
      </c>
      <c r="B1032" s="296" t="s">
        <v>1159</v>
      </c>
      <c r="C1032" s="725">
        <v>42312</v>
      </c>
      <c r="D1032" s="726" t="s">
        <v>1158</v>
      </c>
      <c r="E1032" s="812">
        <v>56</v>
      </c>
      <c r="F1032" s="811">
        <v>46</v>
      </c>
      <c r="G1032" s="811">
        <v>32</v>
      </c>
      <c r="H1032" s="807">
        <f t="shared" si="97"/>
        <v>1.69</v>
      </c>
      <c r="I1032" s="710">
        <v>201</v>
      </c>
      <c r="J1032" s="710">
        <f t="shared" si="98"/>
        <v>339.69</v>
      </c>
      <c r="K1032" s="710">
        <f t="shared" si="99"/>
        <v>12602.099003178408</v>
      </c>
      <c r="L1032" s="656"/>
    </row>
    <row r="1033" spans="1:12" ht="16.5" customHeight="1">
      <c r="A1033" s="709">
        <f t="shared" si="88"/>
        <v>146</v>
      </c>
      <c r="B1033" s="296" t="s">
        <v>1813</v>
      </c>
      <c r="C1033" s="725">
        <v>42312</v>
      </c>
      <c r="D1033" s="726" t="s">
        <v>1160</v>
      </c>
      <c r="E1033" s="812">
        <v>95</v>
      </c>
      <c r="F1033" s="811">
        <v>99</v>
      </c>
      <c r="G1033" s="811"/>
      <c r="H1033" s="807">
        <f t="shared" si="97"/>
        <v>0.94</v>
      </c>
      <c r="I1033" s="710">
        <v>510</v>
      </c>
      <c r="J1033" s="710">
        <f t="shared" si="98"/>
        <v>479.4</v>
      </c>
      <c r="K1033" s="710">
        <f t="shared" si="99"/>
        <v>7009.4515165607709</v>
      </c>
      <c r="L1033" s="656"/>
    </row>
    <row r="1034" spans="1:12" ht="16.5" customHeight="1">
      <c r="A1034" s="709">
        <f t="shared" si="88"/>
        <v>147</v>
      </c>
      <c r="B1034" s="296" t="s">
        <v>1814</v>
      </c>
      <c r="C1034" s="725">
        <v>42312</v>
      </c>
      <c r="D1034" s="726" t="s">
        <v>1160</v>
      </c>
      <c r="E1034" s="812">
        <v>115</v>
      </c>
      <c r="F1034" s="811">
        <v>56</v>
      </c>
      <c r="G1034" s="811"/>
      <c r="H1034" s="807">
        <f t="shared" si="97"/>
        <v>0.64</v>
      </c>
      <c r="I1034" s="710">
        <v>350</v>
      </c>
      <c r="J1034" s="710">
        <f t="shared" si="98"/>
        <v>224</v>
      </c>
      <c r="K1034" s="710">
        <f t="shared" si="99"/>
        <v>4772.3925219137163</v>
      </c>
      <c r="L1034" s="656"/>
    </row>
    <row r="1035" spans="1:12" ht="16.5" customHeight="1">
      <c r="A1035" s="709">
        <f t="shared" si="88"/>
        <v>148</v>
      </c>
      <c r="B1035" s="296" t="s">
        <v>1815</v>
      </c>
      <c r="C1035" s="725">
        <v>42312</v>
      </c>
      <c r="D1035" s="726" t="s">
        <v>1160</v>
      </c>
      <c r="E1035" s="812">
        <v>140</v>
      </c>
      <c r="F1035" s="811">
        <v>110</v>
      </c>
      <c r="G1035" s="811"/>
      <c r="H1035" s="807">
        <f t="shared" si="97"/>
        <v>1.54</v>
      </c>
      <c r="I1035" s="710">
        <v>340</v>
      </c>
      <c r="J1035" s="710">
        <f t="shared" si="98"/>
        <v>523.6</v>
      </c>
      <c r="K1035" s="710">
        <f t="shared" si="99"/>
        <v>11483.569505854881</v>
      </c>
      <c r="L1035" s="656"/>
    </row>
    <row r="1036" spans="1:12" ht="16.5" customHeight="1">
      <c r="A1036" s="709">
        <f t="shared" si="88"/>
        <v>149</v>
      </c>
      <c r="B1036" s="296" t="s">
        <v>1751</v>
      </c>
      <c r="C1036" s="725">
        <v>42312</v>
      </c>
      <c r="D1036" s="726" t="s">
        <v>1160</v>
      </c>
      <c r="E1036" s="812">
        <v>145</v>
      </c>
      <c r="F1036" s="811">
        <v>111</v>
      </c>
      <c r="G1036" s="811"/>
      <c r="H1036" s="807">
        <f t="shared" si="97"/>
        <v>1.61</v>
      </c>
      <c r="I1036" s="710">
        <v>40</v>
      </c>
      <c r="J1036" s="710">
        <f t="shared" si="98"/>
        <v>64.400000000000006</v>
      </c>
      <c r="K1036" s="710">
        <f t="shared" si="99"/>
        <v>12005.549937939193</v>
      </c>
      <c r="L1036" s="656"/>
    </row>
    <row r="1037" spans="1:12" ht="16.5" customHeight="1">
      <c r="A1037" s="709">
        <f t="shared" si="88"/>
        <v>150</v>
      </c>
      <c r="B1037" s="296" t="s">
        <v>1816</v>
      </c>
      <c r="C1037" s="725">
        <v>42312</v>
      </c>
      <c r="D1037" s="726" t="s">
        <v>1160</v>
      </c>
      <c r="E1037" s="812">
        <v>30</v>
      </c>
      <c r="F1037" s="811">
        <v>24</v>
      </c>
      <c r="G1037" s="811"/>
      <c r="H1037" s="807">
        <f t="shared" si="97"/>
        <v>7.0000000000000007E-2</v>
      </c>
      <c r="I1037" s="710">
        <v>2104</v>
      </c>
      <c r="J1037" s="710">
        <f t="shared" si="98"/>
        <v>147.28</v>
      </c>
      <c r="K1037" s="710">
        <f t="shared" si="99"/>
        <v>521.98043208431272</v>
      </c>
      <c r="L1037" s="656"/>
    </row>
    <row r="1038" spans="1:12" ht="16.5" customHeight="1">
      <c r="A1038" s="709">
        <f t="shared" si="88"/>
        <v>151</v>
      </c>
      <c r="B1038" s="296" t="s">
        <v>1817</v>
      </c>
      <c r="C1038" s="725">
        <v>42312</v>
      </c>
      <c r="D1038" s="726" t="s">
        <v>1160</v>
      </c>
      <c r="E1038" s="812">
        <v>120</v>
      </c>
      <c r="F1038" s="811">
        <v>74</v>
      </c>
      <c r="G1038" s="811"/>
      <c r="H1038" s="807">
        <f t="shared" si="97"/>
        <v>0.89</v>
      </c>
      <c r="I1038" s="710">
        <v>34</v>
      </c>
      <c r="J1038" s="710">
        <f t="shared" si="98"/>
        <v>30.26</v>
      </c>
      <c r="K1038" s="710">
        <f t="shared" si="99"/>
        <v>6636.6083507862622</v>
      </c>
      <c r="L1038" s="656"/>
    </row>
    <row r="1039" spans="1:12" ht="16.5" customHeight="1">
      <c r="A1039" s="709">
        <f t="shared" si="88"/>
        <v>152</v>
      </c>
      <c r="B1039" s="296" t="s">
        <v>1818</v>
      </c>
      <c r="C1039" s="725">
        <v>42312</v>
      </c>
      <c r="D1039" s="726" t="s">
        <v>1160</v>
      </c>
      <c r="E1039" s="812">
        <v>130</v>
      </c>
      <c r="F1039" s="811">
        <v>151</v>
      </c>
      <c r="G1039" s="811"/>
      <c r="H1039" s="807">
        <f t="shared" si="97"/>
        <v>1.96</v>
      </c>
      <c r="I1039" s="710">
        <v>125</v>
      </c>
      <c r="J1039" s="710">
        <f t="shared" si="98"/>
        <v>245</v>
      </c>
      <c r="K1039" s="710">
        <f t="shared" si="99"/>
        <v>14615.452098360756</v>
      </c>
      <c r="L1039" s="656"/>
    </row>
    <row r="1040" spans="1:12" ht="16.5" customHeight="1">
      <c r="A1040" s="709">
        <f t="shared" si="88"/>
        <v>153</v>
      </c>
      <c r="B1040" s="296" t="s">
        <v>694</v>
      </c>
      <c r="C1040" s="725">
        <v>42312</v>
      </c>
      <c r="D1040" s="726" t="s">
        <v>1160</v>
      </c>
      <c r="E1040" s="812">
        <v>105</v>
      </c>
      <c r="F1040" s="811">
        <v>140</v>
      </c>
      <c r="G1040" s="811"/>
      <c r="H1040" s="807">
        <f t="shared" si="97"/>
        <v>1.47</v>
      </c>
      <c r="I1040" s="710">
        <v>35</v>
      </c>
      <c r="J1040" s="710">
        <f t="shared" si="98"/>
        <v>51.449999999999996</v>
      </c>
      <c r="K1040" s="710">
        <f t="shared" si="99"/>
        <v>10961.589073770567</v>
      </c>
      <c r="L1040" s="656"/>
    </row>
    <row r="1041" spans="1:12" ht="16.5" customHeight="1">
      <c r="A1041" s="709">
        <f t="shared" si="88"/>
        <v>154</v>
      </c>
      <c r="B1041" s="296" t="s">
        <v>1741</v>
      </c>
      <c r="C1041" s="725">
        <v>42312</v>
      </c>
      <c r="D1041" s="726" t="s">
        <v>1160</v>
      </c>
      <c r="E1041" s="812">
        <v>85</v>
      </c>
      <c r="F1041" s="811">
        <v>130</v>
      </c>
      <c r="G1041" s="811"/>
      <c r="H1041" s="807">
        <f t="shared" si="97"/>
        <v>1.1100000000000001</v>
      </c>
      <c r="I1041" s="710">
        <v>40</v>
      </c>
      <c r="J1041" s="710">
        <f t="shared" si="98"/>
        <v>44.400000000000006</v>
      </c>
      <c r="K1041" s="710">
        <f t="shared" si="99"/>
        <v>8277.1182801941031</v>
      </c>
      <c r="L1041" s="656"/>
    </row>
    <row r="1042" spans="1:12" ht="16.5" customHeight="1">
      <c r="A1042" s="709">
        <f t="shared" si="88"/>
        <v>155</v>
      </c>
      <c r="B1042" s="296" t="s">
        <v>1161</v>
      </c>
      <c r="C1042" s="725">
        <v>42313</v>
      </c>
      <c r="D1042" s="726" t="s">
        <v>1162</v>
      </c>
      <c r="E1042" s="812">
        <v>38</v>
      </c>
      <c r="F1042" s="812">
        <v>38</v>
      </c>
      <c r="G1042" s="811">
        <v>8</v>
      </c>
      <c r="H1042" s="807">
        <f t="shared" si="97"/>
        <v>0.77</v>
      </c>
      <c r="I1042" s="710">
        <v>650</v>
      </c>
      <c r="J1042" s="710">
        <f t="shared" si="98"/>
        <v>500.5</v>
      </c>
      <c r="K1042" s="710">
        <f t="shared" si="99"/>
        <v>5741.7847529274404</v>
      </c>
      <c r="L1042" s="656"/>
    </row>
    <row r="1043" spans="1:12" ht="16.5" customHeight="1">
      <c r="A1043" s="709">
        <f t="shared" si="88"/>
        <v>156</v>
      </c>
      <c r="B1043" s="296" t="s">
        <v>602</v>
      </c>
      <c r="C1043" s="725">
        <v>42313</v>
      </c>
      <c r="D1043" s="726" t="s">
        <v>1162</v>
      </c>
      <c r="E1043" s="812">
        <v>46</v>
      </c>
      <c r="F1043" s="811">
        <v>42</v>
      </c>
      <c r="G1043" s="811">
        <v>24.5</v>
      </c>
      <c r="H1043" s="807">
        <f t="shared" si="97"/>
        <v>1.26</v>
      </c>
      <c r="I1043" s="710">
        <v>357</v>
      </c>
      <c r="J1043" s="710">
        <f t="shared" si="98"/>
        <v>449.82</v>
      </c>
      <c r="K1043" s="710">
        <f t="shared" si="99"/>
        <v>9395.6477775176299</v>
      </c>
      <c r="L1043" s="656"/>
    </row>
    <row r="1044" spans="1:12" ht="16.5" customHeight="1">
      <c r="A1044" s="709">
        <f t="shared" si="88"/>
        <v>157</v>
      </c>
      <c r="B1044" s="296" t="s">
        <v>658</v>
      </c>
      <c r="C1044" s="725">
        <v>42313</v>
      </c>
      <c r="D1044" s="726" t="s">
        <v>1162</v>
      </c>
      <c r="E1044" s="812">
        <v>37</v>
      </c>
      <c r="F1044" s="811">
        <v>37</v>
      </c>
      <c r="G1044" s="811">
        <v>24.5</v>
      </c>
      <c r="H1044" s="807">
        <f t="shared" si="97"/>
        <v>0.99</v>
      </c>
      <c r="I1044" s="710">
        <v>90</v>
      </c>
      <c r="J1044" s="710">
        <f t="shared" si="98"/>
        <v>89.1</v>
      </c>
      <c r="K1044" s="710">
        <f t="shared" si="99"/>
        <v>7382.2946823352795</v>
      </c>
      <c r="L1044" s="656"/>
    </row>
    <row r="1045" spans="1:12" ht="16.5" customHeight="1">
      <c r="A1045" s="709">
        <f t="shared" si="88"/>
        <v>158</v>
      </c>
      <c r="B1045" s="296" t="s">
        <v>1163</v>
      </c>
      <c r="C1045" s="725">
        <v>42313</v>
      </c>
      <c r="D1045" s="726" t="s">
        <v>1162</v>
      </c>
      <c r="E1045" s="812">
        <v>38</v>
      </c>
      <c r="F1045" s="811">
        <v>37</v>
      </c>
      <c r="G1045" s="811">
        <v>24.5</v>
      </c>
      <c r="H1045" s="807">
        <f t="shared" si="97"/>
        <v>1</v>
      </c>
      <c r="I1045" s="710">
        <v>23</v>
      </c>
      <c r="J1045" s="710">
        <f t="shared" si="98"/>
        <v>23</v>
      </c>
      <c r="K1045" s="710">
        <f t="shared" si="99"/>
        <v>7456.8633154901818</v>
      </c>
      <c r="L1045" s="656"/>
    </row>
    <row r="1046" spans="1:12" ht="16.5" customHeight="1">
      <c r="A1046" s="709">
        <f t="shared" si="88"/>
        <v>159</v>
      </c>
      <c r="B1046" s="296" t="s">
        <v>1164</v>
      </c>
      <c r="C1046" s="725">
        <v>42313</v>
      </c>
      <c r="D1046" s="726" t="s">
        <v>1162</v>
      </c>
      <c r="E1046" s="812">
        <v>38</v>
      </c>
      <c r="F1046" s="811">
        <v>29</v>
      </c>
      <c r="G1046" s="811">
        <v>27</v>
      </c>
      <c r="H1046" s="807">
        <f t="shared" si="97"/>
        <v>0.82</v>
      </c>
      <c r="I1046" s="710">
        <v>23</v>
      </c>
      <c r="J1046" s="710">
        <f t="shared" si="98"/>
        <v>18.86</v>
      </c>
      <c r="K1046" s="710">
        <f t="shared" si="99"/>
        <v>6114.6279187019491</v>
      </c>
      <c r="L1046" s="656"/>
    </row>
    <row r="1047" spans="1:12" ht="16.5" customHeight="1">
      <c r="A1047" s="709">
        <f t="shared" si="88"/>
        <v>160</v>
      </c>
      <c r="B1047" s="296" t="s">
        <v>1165</v>
      </c>
      <c r="C1047" s="725">
        <v>42313</v>
      </c>
      <c r="D1047" s="726" t="s">
        <v>1166</v>
      </c>
      <c r="E1047" s="812">
        <v>56</v>
      </c>
      <c r="F1047" s="811">
        <v>47</v>
      </c>
      <c r="G1047" s="811">
        <v>34</v>
      </c>
      <c r="H1047" s="807">
        <f t="shared" si="97"/>
        <v>1.77</v>
      </c>
      <c r="I1047" s="710">
        <v>70</v>
      </c>
      <c r="J1047" s="710">
        <f t="shared" si="98"/>
        <v>123.9</v>
      </c>
      <c r="K1047" s="710">
        <f t="shared" si="99"/>
        <v>13198.648068417622</v>
      </c>
      <c r="L1047" s="656"/>
    </row>
    <row r="1048" spans="1:12" ht="16.5" customHeight="1">
      <c r="A1048" s="709">
        <f t="shared" si="88"/>
        <v>161</v>
      </c>
      <c r="B1048" s="296" t="s">
        <v>2008</v>
      </c>
      <c r="C1048" s="725">
        <v>42315</v>
      </c>
      <c r="D1048" s="726" t="s">
        <v>1167</v>
      </c>
      <c r="E1048" s="812">
        <v>23</v>
      </c>
      <c r="F1048" s="811">
        <v>23</v>
      </c>
      <c r="G1048" s="811">
        <v>18</v>
      </c>
      <c r="H1048" s="807">
        <f t="shared" si="97"/>
        <v>0.43</v>
      </c>
      <c r="I1048" s="710">
        <v>150</v>
      </c>
      <c r="J1048" s="710">
        <f t="shared" si="98"/>
        <v>64.5</v>
      </c>
      <c r="K1048" s="710">
        <f t="shared" si="99"/>
        <v>3206.4512256607782</v>
      </c>
      <c r="L1048" s="656"/>
    </row>
    <row r="1049" spans="1:12" ht="16.5" customHeight="1">
      <c r="A1049" s="709">
        <f t="shared" si="88"/>
        <v>162</v>
      </c>
      <c r="B1049" s="296" t="s">
        <v>398</v>
      </c>
      <c r="C1049" s="725">
        <v>42315</v>
      </c>
      <c r="D1049" s="726" t="s">
        <v>1168</v>
      </c>
      <c r="E1049" s="812">
        <v>52</v>
      </c>
      <c r="F1049" s="811">
        <v>24.5</v>
      </c>
      <c r="G1049" s="811">
        <v>24.5</v>
      </c>
      <c r="H1049" s="807">
        <f t="shared" si="97"/>
        <v>0.82</v>
      </c>
      <c r="I1049" s="710">
        <v>1188</v>
      </c>
      <c r="J1049" s="710">
        <f t="shared" si="98"/>
        <v>974.16</v>
      </c>
      <c r="K1049" s="710">
        <f t="shared" si="99"/>
        <v>6114.6279187019491</v>
      </c>
      <c r="L1049" s="656"/>
    </row>
    <row r="1050" spans="1:12" ht="16.5" customHeight="1">
      <c r="A1050" s="709">
        <f t="shared" si="88"/>
        <v>163</v>
      </c>
      <c r="B1050" s="296" t="s">
        <v>1169</v>
      </c>
      <c r="C1050" s="725">
        <v>42315</v>
      </c>
      <c r="D1050" s="726" t="s">
        <v>1168</v>
      </c>
      <c r="E1050" s="812">
        <v>52</v>
      </c>
      <c r="F1050" s="811">
        <v>32</v>
      </c>
      <c r="G1050" s="811">
        <v>31</v>
      </c>
      <c r="H1050" s="807">
        <f t="shared" si="97"/>
        <v>1.1399999999999999</v>
      </c>
      <c r="I1050" s="710">
        <v>304</v>
      </c>
      <c r="J1050" s="710">
        <f t="shared" si="98"/>
        <v>346.55999999999995</v>
      </c>
      <c r="K1050" s="710">
        <f t="shared" si="99"/>
        <v>8500.8241796588063</v>
      </c>
      <c r="L1050" s="656"/>
    </row>
    <row r="1051" spans="1:12" ht="16.5" customHeight="1">
      <c r="A1051" s="709">
        <f t="shared" si="88"/>
        <v>164</v>
      </c>
      <c r="B1051" s="296" t="s">
        <v>760</v>
      </c>
      <c r="C1051" s="725">
        <v>42317</v>
      </c>
      <c r="D1051" s="726" t="s">
        <v>1170</v>
      </c>
      <c r="E1051" s="812">
        <v>52</v>
      </c>
      <c r="F1051" s="811">
        <v>28</v>
      </c>
      <c r="G1051" s="811">
        <v>28</v>
      </c>
      <c r="H1051" s="807">
        <f t="shared" si="97"/>
        <v>0.97</v>
      </c>
      <c r="I1051" s="710">
        <v>519</v>
      </c>
      <c r="J1051" s="710">
        <f t="shared" si="98"/>
        <v>503.43</v>
      </c>
      <c r="K1051" s="710">
        <f t="shared" si="99"/>
        <v>7233.1574160254759</v>
      </c>
      <c r="L1051" s="656"/>
    </row>
    <row r="1052" spans="1:12" ht="16.5" customHeight="1">
      <c r="A1052" s="709">
        <f t="shared" si="88"/>
        <v>165</v>
      </c>
      <c r="B1052" s="40" t="s">
        <v>451</v>
      </c>
      <c r="C1052" s="725">
        <v>42317</v>
      </c>
      <c r="D1052" s="726" t="s">
        <v>1171</v>
      </c>
      <c r="E1052" s="812">
        <v>49.5</v>
      </c>
      <c r="F1052" s="811">
        <v>38.5</v>
      </c>
      <c r="G1052" s="811">
        <v>32.5</v>
      </c>
      <c r="H1052" s="807">
        <f t="shared" si="97"/>
        <v>1.34</v>
      </c>
      <c r="I1052" s="710">
        <v>100</v>
      </c>
      <c r="J1052" s="710">
        <f t="shared" si="98"/>
        <v>134</v>
      </c>
      <c r="K1052" s="710">
        <f t="shared" si="99"/>
        <v>9992.1968427568445</v>
      </c>
      <c r="L1052" s="656"/>
    </row>
    <row r="1053" spans="1:12" ht="16.5" customHeight="1">
      <c r="A1053" s="709">
        <f t="shared" si="88"/>
        <v>166</v>
      </c>
      <c r="B1053" s="296" t="s">
        <v>1173</v>
      </c>
      <c r="C1053" s="725">
        <v>42317</v>
      </c>
      <c r="D1053" s="726" t="s">
        <v>1174</v>
      </c>
      <c r="E1053" s="812">
        <v>40</v>
      </c>
      <c r="F1053" s="811">
        <v>31.5</v>
      </c>
      <c r="G1053" s="811">
        <v>35.5</v>
      </c>
      <c r="H1053" s="807">
        <f t="shared" si="97"/>
        <v>1.04</v>
      </c>
      <c r="I1053" s="710">
        <v>400</v>
      </c>
      <c r="J1053" s="710">
        <f t="shared" si="98"/>
        <v>416</v>
      </c>
      <c r="K1053" s="710">
        <f t="shared" si="99"/>
        <v>7755.137848109789</v>
      </c>
      <c r="L1053" s="656"/>
    </row>
    <row r="1054" spans="1:12" ht="16.5" customHeight="1">
      <c r="A1054" s="709">
        <f t="shared" si="88"/>
        <v>167</v>
      </c>
      <c r="B1054" s="296" t="s">
        <v>1819</v>
      </c>
      <c r="C1054" s="725">
        <v>42317</v>
      </c>
      <c r="D1054" s="726" t="s">
        <v>1176</v>
      </c>
      <c r="E1054" s="812">
        <v>134</v>
      </c>
      <c r="F1054" s="811">
        <v>131</v>
      </c>
      <c r="G1054" s="811"/>
      <c r="H1054" s="807">
        <f t="shared" si="97"/>
        <v>1.76</v>
      </c>
      <c r="I1054" s="710">
        <v>500</v>
      </c>
      <c r="J1054" s="710">
        <f t="shared" si="98"/>
        <v>880</v>
      </c>
      <c r="K1054" s="710">
        <f t="shared" si="99"/>
        <v>13124.07943526272</v>
      </c>
      <c r="L1054" s="656"/>
    </row>
    <row r="1055" spans="1:12" ht="16.5" customHeight="1">
      <c r="A1055" s="709">
        <f t="shared" si="88"/>
        <v>168</v>
      </c>
      <c r="B1055" s="296" t="s">
        <v>1751</v>
      </c>
      <c r="C1055" s="725">
        <v>42317</v>
      </c>
      <c r="D1055" s="726" t="s">
        <v>1176</v>
      </c>
      <c r="E1055" s="812">
        <v>145</v>
      </c>
      <c r="F1055" s="811">
        <v>111</v>
      </c>
      <c r="G1055" s="811"/>
      <c r="H1055" s="807">
        <f t="shared" si="97"/>
        <v>1.61</v>
      </c>
      <c r="I1055" s="710">
        <v>340</v>
      </c>
      <c r="J1055" s="710">
        <f t="shared" si="98"/>
        <v>547.4</v>
      </c>
      <c r="K1055" s="710">
        <f t="shared" si="99"/>
        <v>12005.549937939193</v>
      </c>
      <c r="L1055" s="656"/>
    </row>
    <row r="1056" spans="1:12" ht="16.5" customHeight="1">
      <c r="A1056" s="709">
        <f t="shared" si="88"/>
        <v>169</v>
      </c>
      <c r="B1056" s="296" t="s">
        <v>1820</v>
      </c>
      <c r="C1056" s="725">
        <v>42317</v>
      </c>
      <c r="D1056" s="726" t="s">
        <v>1176</v>
      </c>
      <c r="E1056" s="812">
        <v>125</v>
      </c>
      <c r="F1056" s="811">
        <v>133</v>
      </c>
      <c r="G1056" s="811"/>
      <c r="H1056" s="807">
        <f t="shared" si="97"/>
        <v>1.66</v>
      </c>
      <c r="I1056" s="710">
        <v>422</v>
      </c>
      <c r="J1056" s="710">
        <f t="shared" si="98"/>
        <v>700.52</v>
      </c>
      <c r="K1056" s="710">
        <f t="shared" si="99"/>
        <v>12378.393103713701</v>
      </c>
      <c r="L1056" s="656"/>
    </row>
    <row r="1057" spans="1:12" ht="16.5" customHeight="1">
      <c r="A1057" s="709">
        <f t="shared" si="88"/>
        <v>170</v>
      </c>
      <c r="B1057" s="296" t="s">
        <v>474</v>
      </c>
      <c r="C1057" s="725">
        <v>42319</v>
      </c>
      <c r="D1057" s="726" t="s">
        <v>1177</v>
      </c>
      <c r="E1057" s="812">
        <v>51</v>
      </c>
      <c r="F1057" s="811">
        <v>37</v>
      </c>
      <c r="G1057" s="811">
        <v>27</v>
      </c>
      <c r="H1057" s="807">
        <f t="shared" si="97"/>
        <v>1.21</v>
      </c>
      <c r="I1057" s="710">
        <v>154</v>
      </c>
      <c r="J1057" s="710">
        <f t="shared" si="98"/>
        <v>186.34</v>
      </c>
      <c r="K1057" s="710">
        <f t="shared" si="99"/>
        <v>9022.8046117431204</v>
      </c>
      <c r="L1057" s="656"/>
    </row>
    <row r="1058" spans="1:12" ht="16.5" customHeight="1">
      <c r="A1058" s="709">
        <f t="shared" si="88"/>
        <v>171</v>
      </c>
      <c r="B1058" s="296" t="s">
        <v>1030</v>
      </c>
      <c r="C1058" s="725">
        <v>42321</v>
      </c>
      <c r="D1058" s="726" t="s">
        <v>1179</v>
      </c>
      <c r="E1058" s="812">
        <v>55</v>
      </c>
      <c r="F1058" s="811">
        <v>47</v>
      </c>
      <c r="G1058" s="811">
        <v>27</v>
      </c>
      <c r="H1058" s="807">
        <f t="shared" si="97"/>
        <v>1.61</v>
      </c>
      <c r="I1058" s="710">
        <v>104</v>
      </c>
      <c r="J1058" s="710">
        <f t="shared" si="98"/>
        <v>167.44</v>
      </c>
      <c r="K1058" s="710">
        <f t="shared" si="99"/>
        <v>12005.549937939193</v>
      </c>
      <c r="L1058" s="656"/>
    </row>
    <row r="1059" spans="1:12" ht="16.5" customHeight="1">
      <c r="A1059" s="709">
        <f t="shared" si="88"/>
        <v>172</v>
      </c>
      <c r="B1059" s="296" t="s">
        <v>494</v>
      </c>
      <c r="C1059" s="725">
        <v>42321</v>
      </c>
      <c r="D1059" s="726" t="s">
        <v>1180</v>
      </c>
      <c r="E1059" s="812">
        <v>37.5</v>
      </c>
      <c r="F1059" s="811">
        <v>25.3</v>
      </c>
      <c r="G1059" s="811">
        <v>23.9</v>
      </c>
      <c r="H1059" s="807">
        <f t="shared" si="97"/>
        <v>0.68</v>
      </c>
      <c r="I1059" s="710">
        <v>736</v>
      </c>
      <c r="J1059" s="710">
        <f t="shared" si="98"/>
        <v>500.48</v>
      </c>
      <c r="K1059" s="710">
        <f t="shared" si="99"/>
        <v>5070.6670545333236</v>
      </c>
      <c r="L1059" s="656"/>
    </row>
    <row r="1060" spans="1:12" ht="16.5" customHeight="1">
      <c r="A1060" s="709">
        <f t="shared" si="88"/>
        <v>173</v>
      </c>
      <c r="B1060" s="296" t="s">
        <v>1948</v>
      </c>
      <c r="C1060" s="725">
        <v>42321</v>
      </c>
      <c r="D1060" s="726" t="s">
        <v>1181</v>
      </c>
      <c r="E1060" s="812">
        <v>43</v>
      </c>
      <c r="F1060" s="811">
        <v>42</v>
      </c>
      <c r="G1060" s="811">
        <v>26</v>
      </c>
      <c r="H1060" s="807">
        <f t="shared" si="97"/>
        <v>1.24</v>
      </c>
      <c r="I1060" s="710">
        <v>2667</v>
      </c>
      <c r="J1060" s="710">
        <f t="shared" si="98"/>
        <v>3307.08</v>
      </c>
      <c r="K1060" s="710">
        <f t="shared" si="99"/>
        <v>9246.5105112078254</v>
      </c>
      <c r="L1060" s="656"/>
    </row>
    <row r="1061" spans="1:12" ht="16.5" customHeight="1">
      <c r="A1061" s="709">
        <f t="shared" si="88"/>
        <v>174</v>
      </c>
      <c r="B1061" s="296" t="s">
        <v>441</v>
      </c>
      <c r="C1061" s="725">
        <v>42321</v>
      </c>
      <c r="D1061" s="726" t="s">
        <v>1182</v>
      </c>
      <c r="E1061" s="812">
        <v>22</v>
      </c>
      <c r="F1061" s="811">
        <v>22</v>
      </c>
      <c r="G1061" s="811">
        <v>29.5</v>
      </c>
      <c r="H1061" s="807">
        <f t="shared" si="97"/>
        <v>0.51</v>
      </c>
      <c r="I1061" s="710">
        <v>1010</v>
      </c>
      <c r="J1061" s="710">
        <f t="shared" si="98"/>
        <v>515.1</v>
      </c>
      <c r="K1061" s="710">
        <f t="shared" si="99"/>
        <v>3803.0002908999927</v>
      </c>
      <c r="L1061" s="656"/>
    </row>
    <row r="1062" spans="1:12" ht="16.5" customHeight="1">
      <c r="A1062" s="709">
        <f t="shared" si="88"/>
        <v>175</v>
      </c>
      <c r="B1062" s="296" t="s">
        <v>1183</v>
      </c>
      <c r="C1062" s="725">
        <v>42324</v>
      </c>
      <c r="D1062" s="726" t="s">
        <v>1184</v>
      </c>
      <c r="E1062" s="812">
        <v>61</v>
      </c>
      <c r="F1062" s="811">
        <v>36</v>
      </c>
      <c r="G1062" s="811">
        <v>43</v>
      </c>
      <c r="H1062" s="807">
        <f t="shared" si="97"/>
        <v>1.63</v>
      </c>
      <c r="I1062" s="710">
        <v>103</v>
      </c>
      <c r="J1062" s="710">
        <f t="shared" si="98"/>
        <v>167.89</v>
      </c>
      <c r="K1062" s="710">
        <f t="shared" si="99"/>
        <v>12154.687204248996</v>
      </c>
      <c r="L1062" s="656"/>
    </row>
    <row r="1063" spans="1:12" ht="16.5" customHeight="1">
      <c r="A1063" s="709">
        <f t="shared" si="88"/>
        <v>176</v>
      </c>
      <c r="B1063" s="296" t="s">
        <v>1185</v>
      </c>
      <c r="C1063" s="725">
        <v>42324</v>
      </c>
      <c r="D1063" s="726" t="s">
        <v>1184</v>
      </c>
      <c r="E1063" s="812">
        <v>61</v>
      </c>
      <c r="F1063" s="811">
        <v>49.5</v>
      </c>
      <c r="G1063" s="811">
        <v>46</v>
      </c>
      <c r="H1063" s="807">
        <f t="shared" si="97"/>
        <v>2.23</v>
      </c>
      <c r="I1063" s="710">
        <v>104</v>
      </c>
      <c r="J1063" s="710">
        <f t="shared" si="98"/>
        <v>231.92</v>
      </c>
      <c r="K1063" s="710">
        <f t="shared" si="99"/>
        <v>16628.805193543107</v>
      </c>
      <c r="L1063" s="656"/>
    </row>
    <row r="1064" spans="1:12" ht="16.5" customHeight="1">
      <c r="A1064" s="709">
        <f t="shared" si="88"/>
        <v>177</v>
      </c>
      <c r="B1064" s="296" t="s">
        <v>1949</v>
      </c>
      <c r="C1064" s="725">
        <v>42324</v>
      </c>
      <c r="D1064" s="726" t="s">
        <v>1186</v>
      </c>
      <c r="E1064" s="812">
        <v>49</v>
      </c>
      <c r="F1064" s="811">
        <v>47</v>
      </c>
      <c r="G1064" s="811">
        <v>27</v>
      </c>
      <c r="H1064" s="807">
        <f t="shared" si="97"/>
        <v>1.52</v>
      </c>
      <c r="I1064" s="710">
        <v>100</v>
      </c>
      <c r="J1064" s="710">
        <f t="shared" si="98"/>
        <v>152</v>
      </c>
      <c r="K1064" s="710">
        <f t="shared" si="99"/>
        <v>11334.432239545076</v>
      </c>
      <c r="L1064" s="656"/>
    </row>
    <row r="1065" spans="1:12" ht="16.5" customHeight="1">
      <c r="A1065" s="709">
        <f t="shared" si="88"/>
        <v>178</v>
      </c>
      <c r="B1065" s="296" t="s">
        <v>1957</v>
      </c>
      <c r="C1065" s="725">
        <v>42326</v>
      </c>
      <c r="D1065" s="726" t="s">
        <v>1187</v>
      </c>
      <c r="E1065" s="812">
        <v>39.299999999999997</v>
      </c>
      <c r="F1065" s="811">
        <v>28</v>
      </c>
      <c r="G1065" s="811">
        <v>28</v>
      </c>
      <c r="H1065" s="807">
        <f t="shared" si="97"/>
        <v>0.82</v>
      </c>
      <c r="I1065" s="710">
        <v>600</v>
      </c>
      <c r="J1065" s="710">
        <f t="shared" si="98"/>
        <v>491.99999999999994</v>
      </c>
      <c r="K1065" s="710">
        <f t="shared" si="99"/>
        <v>6114.6279187019491</v>
      </c>
      <c r="L1065" s="656"/>
    </row>
    <row r="1066" spans="1:12" ht="16.5" customHeight="1">
      <c r="A1066" s="709">
        <f t="shared" si="88"/>
        <v>179</v>
      </c>
      <c r="B1066" s="296" t="s">
        <v>1956</v>
      </c>
      <c r="C1066" s="725">
        <v>42326</v>
      </c>
      <c r="D1066" s="726" t="s">
        <v>1187</v>
      </c>
      <c r="E1066" s="812">
        <v>29</v>
      </c>
      <c r="F1066" s="811">
        <v>18</v>
      </c>
      <c r="G1066" s="811">
        <v>18.8</v>
      </c>
      <c r="H1066" s="807">
        <f t="shared" si="97"/>
        <v>0.39</v>
      </c>
      <c r="I1066" s="710">
        <v>1500</v>
      </c>
      <c r="J1066" s="710">
        <f t="shared" si="98"/>
        <v>585</v>
      </c>
      <c r="K1066" s="710">
        <f t="shared" si="99"/>
        <v>2908.1766930411709</v>
      </c>
      <c r="L1066" s="656"/>
    </row>
    <row r="1067" spans="1:12" ht="16.5" customHeight="1">
      <c r="A1067" s="709">
        <f t="shared" si="88"/>
        <v>180</v>
      </c>
      <c r="B1067" s="296" t="s">
        <v>1188</v>
      </c>
      <c r="C1067" s="725">
        <v>42326</v>
      </c>
      <c r="D1067" s="726" t="s">
        <v>1189</v>
      </c>
      <c r="E1067" s="812">
        <v>41.5</v>
      </c>
      <c r="F1067" s="811">
        <v>30</v>
      </c>
      <c r="G1067" s="811">
        <v>24.5</v>
      </c>
      <c r="H1067" s="807">
        <f t="shared" si="97"/>
        <v>0.85</v>
      </c>
      <c r="I1067" s="710">
        <v>505</v>
      </c>
      <c r="J1067" s="710">
        <f t="shared" si="98"/>
        <v>429.25</v>
      </c>
      <c r="K1067" s="710">
        <f t="shared" si="99"/>
        <v>6338.3338181666541</v>
      </c>
      <c r="L1067" s="656"/>
    </row>
    <row r="1068" spans="1:12" ht="16.5" customHeight="1">
      <c r="A1068" s="709">
        <f t="shared" si="88"/>
        <v>181</v>
      </c>
      <c r="B1068" s="296" t="s">
        <v>1678</v>
      </c>
      <c r="C1068" s="725">
        <v>42326</v>
      </c>
      <c r="D1068" s="726" t="s">
        <v>1189</v>
      </c>
      <c r="E1068" s="812">
        <v>39</v>
      </c>
      <c r="F1068" s="811">
        <v>28</v>
      </c>
      <c r="G1068" s="811"/>
      <c r="H1068" s="807">
        <f t="shared" si="97"/>
        <v>0.11</v>
      </c>
      <c r="I1068" s="710">
        <v>505</v>
      </c>
      <c r="J1068" s="710">
        <f t="shared" si="98"/>
        <v>55.55</v>
      </c>
      <c r="K1068" s="710">
        <f t="shared" si="99"/>
        <v>820.25496470392</v>
      </c>
      <c r="L1068" s="656"/>
    </row>
    <row r="1069" spans="1:12" ht="16.5" customHeight="1">
      <c r="A1069" s="709">
        <f t="shared" si="88"/>
        <v>182</v>
      </c>
      <c r="B1069" s="296" t="s">
        <v>518</v>
      </c>
      <c r="C1069" s="725">
        <v>42326</v>
      </c>
      <c r="D1069" s="726" t="s">
        <v>1189</v>
      </c>
      <c r="E1069" s="812">
        <v>45</v>
      </c>
      <c r="F1069" s="811">
        <v>35</v>
      </c>
      <c r="G1069" s="811">
        <v>25</v>
      </c>
      <c r="H1069" s="807">
        <f t="shared" si="97"/>
        <v>1.04</v>
      </c>
      <c r="I1069" s="710">
        <v>1002</v>
      </c>
      <c r="J1069" s="710">
        <f t="shared" si="98"/>
        <v>1042.08</v>
      </c>
      <c r="K1069" s="710">
        <f t="shared" si="99"/>
        <v>7755.137848109789</v>
      </c>
      <c r="L1069" s="656"/>
    </row>
    <row r="1070" spans="1:12" ht="16.5" customHeight="1">
      <c r="A1070" s="709">
        <f t="shared" si="88"/>
        <v>183</v>
      </c>
      <c r="B1070" s="296" t="s">
        <v>1676</v>
      </c>
      <c r="C1070" s="725">
        <v>42326</v>
      </c>
      <c r="D1070" s="726" t="s">
        <v>1189</v>
      </c>
      <c r="E1070" s="812">
        <v>50</v>
      </c>
      <c r="F1070" s="811">
        <v>32</v>
      </c>
      <c r="G1070" s="811"/>
      <c r="H1070" s="807">
        <f t="shared" si="97"/>
        <v>0.16</v>
      </c>
      <c r="I1070" s="710">
        <v>1002</v>
      </c>
      <c r="J1070" s="710">
        <f t="shared" si="98"/>
        <v>160.32</v>
      </c>
      <c r="K1070" s="710">
        <f t="shared" si="99"/>
        <v>1193.0981304784291</v>
      </c>
      <c r="L1070" s="656"/>
    </row>
    <row r="1071" spans="1:12" ht="16.5" customHeight="1">
      <c r="A1071" s="709">
        <f t="shared" si="88"/>
        <v>184</v>
      </c>
      <c r="B1071" s="296" t="s">
        <v>1190</v>
      </c>
      <c r="C1071" s="725">
        <v>42326</v>
      </c>
      <c r="D1071" s="726" t="s">
        <v>1191</v>
      </c>
      <c r="E1071" s="812">
        <v>50</v>
      </c>
      <c r="F1071" s="811">
        <v>30</v>
      </c>
      <c r="G1071" s="811">
        <v>30</v>
      </c>
      <c r="H1071" s="807">
        <f t="shared" si="97"/>
        <v>1.04</v>
      </c>
      <c r="I1071" s="710">
        <v>195</v>
      </c>
      <c r="J1071" s="710">
        <f t="shared" si="98"/>
        <v>202.8</v>
      </c>
      <c r="K1071" s="710">
        <f t="shared" si="99"/>
        <v>7755.137848109789</v>
      </c>
      <c r="L1071" s="656"/>
    </row>
    <row r="1072" spans="1:12" ht="16.5" customHeight="1">
      <c r="A1072" s="709">
        <f t="shared" si="88"/>
        <v>185</v>
      </c>
      <c r="B1072" s="296" t="s">
        <v>1192</v>
      </c>
      <c r="C1072" s="725">
        <v>42326</v>
      </c>
      <c r="D1072" s="726" t="s">
        <v>1191</v>
      </c>
      <c r="E1072" s="812">
        <v>52</v>
      </c>
      <c r="F1072" s="811">
        <v>35</v>
      </c>
      <c r="G1072" s="811">
        <v>40</v>
      </c>
      <c r="H1072" s="807">
        <f t="shared" si="97"/>
        <v>1.4</v>
      </c>
      <c r="I1072" s="710">
        <v>102</v>
      </c>
      <c r="J1072" s="710">
        <f t="shared" si="98"/>
        <v>142.79999999999998</v>
      </c>
      <c r="K1072" s="710">
        <f t="shared" si="99"/>
        <v>10439.608641686254</v>
      </c>
      <c r="L1072" s="656"/>
    </row>
    <row r="1073" spans="1:12" ht="16.5" customHeight="1">
      <c r="A1073" s="709">
        <f t="shared" si="88"/>
        <v>186</v>
      </c>
      <c r="B1073" s="296" t="s">
        <v>1193</v>
      </c>
      <c r="C1073" s="725">
        <v>42327</v>
      </c>
      <c r="D1073" s="726" t="s">
        <v>1194</v>
      </c>
      <c r="E1073" s="812">
        <v>52</v>
      </c>
      <c r="F1073" s="811">
        <v>25</v>
      </c>
      <c r="G1073" s="811">
        <v>25</v>
      </c>
      <c r="H1073" s="807">
        <f t="shared" si="97"/>
        <v>0.84</v>
      </c>
      <c r="I1073" s="710">
        <v>305</v>
      </c>
      <c r="J1073" s="710">
        <f t="shared" si="98"/>
        <v>256.2</v>
      </c>
      <c r="K1073" s="710">
        <f t="shared" si="99"/>
        <v>6263.7651850117527</v>
      </c>
      <c r="L1073" s="656"/>
    </row>
    <row r="1074" spans="1:12" ht="16.5" customHeight="1">
      <c r="A1074" s="709">
        <f t="shared" si="88"/>
        <v>187</v>
      </c>
      <c r="B1074" s="296" t="s">
        <v>413</v>
      </c>
      <c r="C1074" s="725">
        <v>42327</v>
      </c>
      <c r="D1074" s="726" t="s">
        <v>1195</v>
      </c>
      <c r="E1074" s="812">
        <v>49</v>
      </c>
      <c r="F1074" s="811">
        <v>38</v>
      </c>
      <c r="G1074" s="811">
        <v>12</v>
      </c>
      <c r="H1074" s="807">
        <f t="shared" si="97"/>
        <v>0.95</v>
      </c>
      <c r="I1074" s="710">
        <v>486</v>
      </c>
      <c r="J1074" s="710">
        <f t="shared" si="98"/>
        <v>461.7</v>
      </c>
      <c r="K1074" s="710">
        <f t="shared" si="99"/>
        <v>7084.0201497156722</v>
      </c>
      <c r="L1074" s="656"/>
    </row>
    <row r="1075" spans="1:12" ht="16.5" customHeight="1">
      <c r="A1075" s="709">
        <f t="shared" si="88"/>
        <v>188</v>
      </c>
      <c r="B1075" s="296" t="s">
        <v>413</v>
      </c>
      <c r="C1075" s="725">
        <v>42327</v>
      </c>
      <c r="D1075" s="726" t="s">
        <v>1195</v>
      </c>
      <c r="E1075" s="812">
        <v>49</v>
      </c>
      <c r="F1075" s="811">
        <v>38</v>
      </c>
      <c r="G1075" s="811">
        <v>12</v>
      </c>
      <c r="H1075" s="807">
        <f t="shared" si="97"/>
        <v>0.95</v>
      </c>
      <c r="I1075" s="710">
        <v>200</v>
      </c>
      <c r="J1075" s="710">
        <f t="shared" si="98"/>
        <v>190</v>
      </c>
      <c r="K1075" s="710">
        <f t="shared" si="99"/>
        <v>7084.0201497156722</v>
      </c>
      <c r="L1075" s="656"/>
    </row>
    <row r="1076" spans="1:12" ht="16.5" customHeight="1">
      <c r="A1076" s="709">
        <f t="shared" si="88"/>
        <v>189</v>
      </c>
      <c r="B1076" s="296" t="s">
        <v>413</v>
      </c>
      <c r="C1076" s="725">
        <v>42327</v>
      </c>
      <c r="D1076" s="726" t="s">
        <v>1195</v>
      </c>
      <c r="E1076" s="812">
        <v>49</v>
      </c>
      <c r="F1076" s="811">
        <v>38</v>
      </c>
      <c r="G1076" s="811">
        <v>12</v>
      </c>
      <c r="H1076" s="807">
        <f t="shared" si="97"/>
        <v>0.95</v>
      </c>
      <c r="I1076" s="710">
        <v>100</v>
      </c>
      <c r="J1076" s="710">
        <f t="shared" si="98"/>
        <v>95</v>
      </c>
      <c r="K1076" s="710">
        <f t="shared" si="99"/>
        <v>7084.0201497156722</v>
      </c>
      <c r="L1076" s="656"/>
    </row>
    <row r="1077" spans="1:12" ht="16.5" customHeight="1">
      <c r="A1077" s="709">
        <f t="shared" si="88"/>
        <v>190</v>
      </c>
      <c r="B1077" s="296" t="s">
        <v>413</v>
      </c>
      <c r="C1077" s="725">
        <v>42327</v>
      </c>
      <c r="D1077" s="726" t="s">
        <v>1195</v>
      </c>
      <c r="E1077" s="812">
        <v>49</v>
      </c>
      <c r="F1077" s="811">
        <v>38</v>
      </c>
      <c r="G1077" s="811">
        <v>12</v>
      </c>
      <c r="H1077" s="807">
        <f t="shared" si="97"/>
        <v>0.95</v>
      </c>
      <c r="I1077" s="710">
        <v>102</v>
      </c>
      <c r="J1077" s="710">
        <f t="shared" si="98"/>
        <v>96.899999999999991</v>
      </c>
      <c r="K1077" s="710">
        <f t="shared" si="99"/>
        <v>7084.0201497156722</v>
      </c>
      <c r="L1077" s="656"/>
    </row>
    <row r="1078" spans="1:12" ht="16.5" customHeight="1">
      <c r="A1078" s="709">
        <f t="shared" si="88"/>
        <v>191</v>
      </c>
      <c r="B1078" s="296" t="s">
        <v>1196</v>
      </c>
      <c r="C1078" s="725">
        <v>42329</v>
      </c>
      <c r="D1078" s="726" t="s">
        <v>1197</v>
      </c>
      <c r="E1078" s="812">
        <v>52</v>
      </c>
      <c r="F1078" s="812">
        <v>52</v>
      </c>
      <c r="G1078" s="811">
        <v>24.5</v>
      </c>
      <c r="H1078" s="807">
        <f t="shared" si="97"/>
        <v>1.69</v>
      </c>
      <c r="I1078" s="710">
        <v>1200</v>
      </c>
      <c r="J1078" s="710">
        <f t="shared" si="98"/>
        <v>2028</v>
      </c>
      <c r="K1078" s="710">
        <f t="shared" si="99"/>
        <v>12602.099003178408</v>
      </c>
      <c r="L1078" s="656"/>
    </row>
    <row r="1079" spans="1:12" ht="16.5" customHeight="1">
      <c r="A1079" s="709">
        <f t="shared" si="88"/>
        <v>192</v>
      </c>
      <c r="B1079" s="296" t="s">
        <v>446</v>
      </c>
      <c r="C1079" s="725">
        <v>42329</v>
      </c>
      <c r="D1079" s="726" t="s">
        <v>1197</v>
      </c>
      <c r="E1079" s="812">
        <v>52</v>
      </c>
      <c r="F1079" s="811">
        <v>26.5</v>
      </c>
      <c r="G1079" s="811">
        <v>26.5</v>
      </c>
      <c r="H1079" s="807">
        <f t="shared" si="97"/>
        <v>0.91</v>
      </c>
      <c r="I1079" s="710">
        <v>634</v>
      </c>
      <c r="J1079" s="710">
        <f t="shared" si="98"/>
        <v>576.94000000000005</v>
      </c>
      <c r="K1079" s="710">
        <f t="shared" si="99"/>
        <v>6785.7456170960659</v>
      </c>
      <c r="L1079" s="656"/>
    </row>
    <row r="1080" spans="1:12" ht="16.5" customHeight="1">
      <c r="A1080" s="709">
        <f t="shared" si="88"/>
        <v>193</v>
      </c>
      <c r="B1080" s="296" t="s">
        <v>595</v>
      </c>
      <c r="C1080" s="725">
        <v>42329</v>
      </c>
      <c r="D1080" s="726" t="s">
        <v>1198</v>
      </c>
      <c r="E1080" s="812">
        <v>43</v>
      </c>
      <c r="F1080" s="811">
        <v>27.5</v>
      </c>
      <c r="G1080" s="811">
        <v>33</v>
      </c>
      <c r="H1080" s="807">
        <f t="shared" ref="H1080:H1143" si="100">IF(G1080&lt;&gt;"",ROUND(((E1080+F1080)*2+5)*(F1080+G1080+3)/10000,2),ROUND(E1080*F1080/10000,2))</f>
        <v>0.93</v>
      </c>
      <c r="I1080" s="710">
        <v>422</v>
      </c>
      <c r="J1080" s="710">
        <f t="shared" si="98"/>
        <v>392.46000000000004</v>
      </c>
      <c r="K1080" s="710">
        <f t="shared" si="99"/>
        <v>6934.8828834058695</v>
      </c>
      <c r="L1080" s="656"/>
    </row>
    <row r="1081" spans="1:12" ht="16.5" customHeight="1">
      <c r="A1081" s="709">
        <f t="shared" si="88"/>
        <v>194</v>
      </c>
      <c r="B1081" s="296" t="s">
        <v>539</v>
      </c>
      <c r="C1081" s="725">
        <v>42329</v>
      </c>
      <c r="D1081" s="726" t="s">
        <v>1198</v>
      </c>
      <c r="E1081" s="812">
        <v>39.5</v>
      </c>
      <c r="F1081" s="811">
        <v>32.299999999999997</v>
      </c>
      <c r="G1081" s="811">
        <v>27.7</v>
      </c>
      <c r="H1081" s="807">
        <f t="shared" si="100"/>
        <v>0.94</v>
      </c>
      <c r="I1081" s="710">
        <v>204</v>
      </c>
      <c r="J1081" s="710">
        <f t="shared" ref="J1081:J1144" si="101">H1081*I1081</f>
        <v>191.76</v>
      </c>
      <c r="K1081" s="710">
        <f t="shared" ref="K1081:K1144" si="102">H1081*$Q$940</f>
        <v>7009.4515165607709</v>
      </c>
      <c r="L1081" s="656"/>
    </row>
    <row r="1082" spans="1:12" ht="16.5" customHeight="1">
      <c r="A1082" s="709">
        <f t="shared" si="88"/>
        <v>195</v>
      </c>
      <c r="B1082" s="296" t="s">
        <v>998</v>
      </c>
      <c r="C1082" s="725">
        <v>42329</v>
      </c>
      <c r="D1082" s="726" t="s">
        <v>1198</v>
      </c>
      <c r="E1082" s="812">
        <v>68</v>
      </c>
      <c r="F1082" s="811">
        <v>35</v>
      </c>
      <c r="G1082" s="811">
        <v>18</v>
      </c>
      <c r="H1082" s="807">
        <f t="shared" si="100"/>
        <v>1.18</v>
      </c>
      <c r="I1082" s="710">
        <v>104</v>
      </c>
      <c r="J1082" s="710">
        <f t="shared" si="101"/>
        <v>122.72</v>
      </c>
      <c r="K1082" s="710">
        <f t="shared" si="102"/>
        <v>8799.0987122784136</v>
      </c>
      <c r="L1082" s="656"/>
    </row>
    <row r="1083" spans="1:12" ht="16.5" customHeight="1">
      <c r="A1083" s="709">
        <f t="shared" ref="A1083:A1146" si="103">IF(B1083&lt;&gt;"",A1082+1,"")</f>
        <v>196</v>
      </c>
      <c r="B1083" s="296" t="s">
        <v>451</v>
      </c>
      <c r="C1083" s="725">
        <v>42329</v>
      </c>
      <c r="D1083" s="726" t="s">
        <v>1198</v>
      </c>
      <c r="E1083" s="812">
        <v>49.5</v>
      </c>
      <c r="F1083" s="811">
        <v>38.5</v>
      </c>
      <c r="G1083" s="811">
        <v>32.5</v>
      </c>
      <c r="H1083" s="807">
        <f t="shared" si="100"/>
        <v>1.34</v>
      </c>
      <c r="I1083" s="710">
        <v>316</v>
      </c>
      <c r="J1083" s="710">
        <f t="shared" si="101"/>
        <v>423.44</v>
      </c>
      <c r="K1083" s="710">
        <f t="shared" si="102"/>
        <v>9992.1968427568445</v>
      </c>
      <c r="L1083" s="656"/>
    </row>
    <row r="1084" spans="1:12" ht="16.5" customHeight="1">
      <c r="A1084" s="709">
        <f t="shared" si="103"/>
        <v>197</v>
      </c>
      <c r="B1084" s="296" t="s">
        <v>1199</v>
      </c>
      <c r="C1084" s="725">
        <v>42331</v>
      </c>
      <c r="D1084" s="726" t="s">
        <v>1200</v>
      </c>
      <c r="E1084" s="812">
        <v>38</v>
      </c>
      <c r="F1084" s="811">
        <v>23.5</v>
      </c>
      <c r="G1084" s="811">
        <v>69</v>
      </c>
      <c r="H1084" s="807">
        <f t="shared" si="100"/>
        <v>1.22</v>
      </c>
      <c r="I1084" s="710">
        <v>212</v>
      </c>
      <c r="J1084" s="710">
        <f t="shared" si="101"/>
        <v>258.64</v>
      </c>
      <c r="K1084" s="710">
        <f t="shared" si="102"/>
        <v>9097.3732448980209</v>
      </c>
      <c r="L1084" s="656"/>
    </row>
    <row r="1085" spans="1:12" ht="16.5" customHeight="1">
      <c r="A1085" s="709">
        <f t="shared" si="103"/>
        <v>198</v>
      </c>
      <c r="B1085" s="296" t="s">
        <v>538</v>
      </c>
      <c r="C1085" s="725">
        <v>42332</v>
      </c>
      <c r="D1085" s="726" t="s">
        <v>1201</v>
      </c>
      <c r="E1085" s="812">
        <v>41</v>
      </c>
      <c r="F1085" s="811">
        <v>31</v>
      </c>
      <c r="G1085" s="811">
        <v>25.5</v>
      </c>
      <c r="H1085" s="807">
        <f t="shared" si="100"/>
        <v>0.89</v>
      </c>
      <c r="I1085" s="710">
        <v>100</v>
      </c>
      <c r="J1085" s="710">
        <f t="shared" si="101"/>
        <v>89</v>
      </c>
      <c r="K1085" s="710">
        <f t="shared" si="102"/>
        <v>6636.6083507862622</v>
      </c>
      <c r="L1085" s="656"/>
    </row>
    <row r="1086" spans="1:12" ht="16.5" customHeight="1">
      <c r="A1086" s="709">
        <f t="shared" si="103"/>
        <v>199</v>
      </c>
      <c r="B1086" s="296" t="s">
        <v>539</v>
      </c>
      <c r="C1086" s="725">
        <v>42332</v>
      </c>
      <c r="D1086" s="726" t="s">
        <v>1201</v>
      </c>
      <c r="E1086" s="812">
        <v>39.5</v>
      </c>
      <c r="F1086" s="811">
        <v>32.299999999999997</v>
      </c>
      <c r="G1086" s="811">
        <v>27.7</v>
      </c>
      <c r="H1086" s="807">
        <f t="shared" si="100"/>
        <v>0.94</v>
      </c>
      <c r="I1086" s="710">
        <v>181</v>
      </c>
      <c r="J1086" s="710">
        <f t="shared" si="101"/>
        <v>170.14</v>
      </c>
      <c r="K1086" s="710">
        <f t="shared" si="102"/>
        <v>7009.4515165607709</v>
      </c>
      <c r="L1086" s="656"/>
    </row>
    <row r="1087" spans="1:12" ht="16.5" customHeight="1">
      <c r="A1087" s="709">
        <f t="shared" si="103"/>
        <v>200</v>
      </c>
      <c r="B1087" s="296" t="s">
        <v>2010</v>
      </c>
      <c r="C1087" s="725">
        <v>42332</v>
      </c>
      <c r="D1087" s="726" t="s">
        <v>1202</v>
      </c>
      <c r="E1087" s="812">
        <v>41</v>
      </c>
      <c r="F1087" s="811">
        <v>41</v>
      </c>
      <c r="G1087" s="811">
        <v>25</v>
      </c>
      <c r="H1087" s="807">
        <f t="shared" si="100"/>
        <v>1.17</v>
      </c>
      <c r="I1087" s="710">
        <v>2000</v>
      </c>
      <c r="J1087" s="710">
        <f t="shared" si="101"/>
        <v>2340</v>
      </c>
      <c r="K1087" s="710">
        <f t="shared" si="102"/>
        <v>8724.5300791235113</v>
      </c>
      <c r="L1087" s="656"/>
    </row>
    <row r="1088" spans="1:12" ht="16.5" customHeight="1">
      <c r="A1088" s="709">
        <f t="shared" si="103"/>
        <v>201</v>
      </c>
      <c r="B1088" s="296" t="s">
        <v>781</v>
      </c>
      <c r="C1088" s="725">
        <v>42332</v>
      </c>
      <c r="D1088" s="726" t="s">
        <v>1203</v>
      </c>
      <c r="E1088" s="812">
        <v>57</v>
      </c>
      <c r="F1088" s="811">
        <v>36</v>
      </c>
      <c r="G1088" s="811">
        <v>34</v>
      </c>
      <c r="H1088" s="807">
        <f t="shared" si="100"/>
        <v>1.39</v>
      </c>
      <c r="I1088" s="710">
        <v>800</v>
      </c>
      <c r="J1088" s="710">
        <f t="shared" si="101"/>
        <v>1112</v>
      </c>
      <c r="K1088" s="710">
        <f t="shared" si="102"/>
        <v>10365.040008531352</v>
      </c>
      <c r="L1088" s="656"/>
    </row>
    <row r="1089" spans="1:12" ht="16.5" customHeight="1">
      <c r="A1089" s="709">
        <f t="shared" si="103"/>
        <v>202</v>
      </c>
      <c r="B1089" s="296" t="s">
        <v>1821</v>
      </c>
      <c r="C1089" s="725">
        <v>42332</v>
      </c>
      <c r="D1089" s="726" t="s">
        <v>1204</v>
      </c>
      <c r="E1089" s="812">
        <v>145</v>
      </c>
      <c r="F1089" s="811">
        <v>191</v>
      </c>
      <c r="G1089" s="811"/>
      <c r="H1089" s="807">
        <f t="shared" si="100"/>
        <v>2.77</v>
      </c>
      <c r="I1089" s="710">
        <v>130</v>
      </c>
      <c r="J1089" s="710">
        <f t="shared" si="101"/>
        <v>360.1</v>
      </c>
      <c r="K1089" s="710">
        <f t="shared" si="102"/>
        <v>20655.511383907804</v>
      </c>
      <c r="L1089" s="656"/>
    </row>
    <row r="1090" spans="1:12" ht="16.5" customHeight="1">
      <c r="A1090" s="709">
        <f t="shared" si="103"/>
        <v>203</v>
      </c>
      <c r="B1090" s="296" t="s">
        <v>1822</v>
      </c>
      <c r="C1090" s="725">
        <v>42332</v>
      </c>
      <c r="D1090" s="726" t="s">
        <v>1204</v>
      </c>
      <c r="E1090" s="812">
        <v>130</v>
      </c>
      <c r="F1090" s="811">
        <v>130</v>
      </c>
      <c r="G1090" s="811"/>
      <c r="H1090" s="807">
        <f t="shared" si="100"/>
        <v>1.69</v>
      </c>
      <c r="I1090" s="710">
        <v>200</v>
      </c>
      <c r="J1090" s="710">
        <f t="shared" si="101"/>
        <v>338</v>
      </c>
      <c r="K1090" s="710">
        <f t="shared" si="102"/>
        <v>12602.099003178408</v>
      </c>
      <c r="L1090" s="656"/>
    </row>
    <row r="1091" spans="1:12" ht="16.5" customHeight="1">
      <c r="A1091" s="709">
        <f t="shared" si="103"/>
        <v>204</v>
      </c>
      <c r="B1091" s="296" t="s">
        <v>1823</v>
      </c>
      <c r="C1091" s="725">
        <v>42332</v>
      </c>
      <c r="D1091" s="726" t="s">
        <v>1204</v>
      </c>
      <c r="E1091" s="812">
        <v>110</v>
      </c>
      <c r="F1091" s="811">
        <v>123</v>
      </c>
      <c r="G1091" s="811"/>
      <c r="H1091" s="807">
        <f t="shared" si="100"/>
        <v>1.35</v>
      </c>
      <c r="I1091" s="710">
        <v>510</v>
      </c>
      <c r="J1091" s="710">
        <f t="shared" si="101"/>
        <v>688.5</v>
      </c>
      <c r="K1091" s="710">
        <f t="shared" si="102"/>
        <v>10066.765475911747</v>
      </c>
      <c r="L1091" s="656"/>
    </row>
    <row r="1092" spans="1:12" ht="16.5" customHeight="1">
      <c r="A1092" s="709">
        <f t="shared" si="103"/>
        <v>205</v>
      </c>
      <c r="B1092" s="296" t="s">
        <v>1824</v>
      </c>
      <c r="C1092" s="725">
        <v>42332</v>
      </c>
      <c r="D1092" s="726" t="s">
        <v>1204</v>
      </c>
      <c r="E1092" s="812">
        <v>105</v>
      </c>
      <c r="F1092" s="811">
        <v>121</v>
      </c>
      <c r="G1092" s="811"/>
      <c r="H1092" s="807">
        <f t="shared" si="100"/>
        <v>1.27</v>
      </c>
      <c r="I1092" s="710">
        <v>250</v>
      </c>
      <c r="J1092" s="710">
        <f t="shared" si="101"/>
        <v>317.5</v>
      </c>
      <c r="K1092" s="710">
        <f t="shared" si="102"/>
        <v>9470.2164106725304</v>
      </c>
      <c r="L1092" s="656"/>
    </row>
    <row r="1093" spans="1:12" ht="16.5" customHeight="1">
      <c r="A1093" s="709">
        <f t="shared" si="103"/>
        <v>206</v>
      </c>
      <c r="B1093" s="296" t="s">
        <v>781</v>
      </c>
      <c r="C1093" s="725">
        <v>42334</v>
      </c>
      <c r="D1093" s="726" t="s">
        <v>1205</v>
      </c>
      <c r="E1093" s="812">
        <v>57</v>
      </c>
      <c r="F1093" s="811">
        <v>36</v>
      </c>
      <c r="G1093" s="811">
        <v>34</v>
      </c>
      <c r="H1093" s="807">
        <f t="shared" si="100"/>
        <v>1.39</v>
      </c>
      <c r="I1093" s="710">
        <v>600</v>
      </c>
      <c r="J1093" s="710">
        <f t="shared" si="101"/>
        <v>833.99999999999989</v>
      </c>
      <c r="K1093" s="710">
        <f t="shared" si="102"/>
        <v>10365.040008531352</v>
      </c>
      <c r="L1093" s="656"/>
    </row>
    <row r="1094" spans="1:12" ht="16.5" customHeight="1">
      <c r="A1094" s="709">
        <f t="shared" si="103"/>
        <v>207</v>
      </c>
      <c r="B1094" s="296" t="s">
        <v>616</v>
      </c>
      <c r="C1094" s="725">
        <v>42335</v>
      </c>
      <c r="D1094" s="726" t="s">
        <v>1206</v>
      </c>
      <c r="E1094" s="812">
        <v>37.5</v>
      </c>
      <c r="F1094" s="811">
        <v>22.8</v>
      </c>
      <c r="G1094" s="811">
        <v>27</v>
      </c>
      <c r="H1094" s="807">
        <f t="shared" si="100"/>
        <v>0.66</v>
      </c>
      <c r="I1094" s="710">
        <v>1031</v>
      </c>
      <c r="J1094" s="710">
        <f t="shared" si="101"/>
        <v>680.46</v>
      </c>
      <c r="K1094" s="710">
        <f t="shared" si="102"/>
        <v>4921.52978822352</v>
      </c>
      <c r="L1094" s="656"/>
    </row>
    <row r="1095" spans="1:12" ht="16.5" customHeight="1">
      <c r="A1095" s="709">
        <f t="shared" si="103"/>
        <v>208</v>
      </c>
      <c r="B1095" s="296" t="s">
        <v>616</v>
      </c>
      <c r="C1095" s="725">
        <v>42335</v>
      </c>
      <c r="D1095" s="726" t="s">
        <v>1206</v>
      </c>
      <c r="E1095" s="812">
        <v>37.5</v>
      </c>
      <c r="F1095" s="811">
        <v>22.8</v>
      </c>
      <c r="G1095" s="811">
        <v>27</v>
      </c>
      <c r="H1095" s="807">
        <f t="shared" si="100"/>
        <v>0.66</v>
      </c>
      <c r="I1095" s="710">
        <v>980</v>
      </c>
      <c r="J1095" s="710">
        <f t="shared" si="101"/>
        <v>646.80000000000007</v>
      </c>
      <c r="K1095" s="710">
        <f t="shared" si="102"/>
        <v>4921.52978822352</v>
      </c>
      <c r="L1095" s="656"/>
    </row>
    <row r="1096" spans="1:12" ht="16.5" customHeight="1">
      <c r="A1096" s="709">
        <f t="shared" si="103"/>
        <v>209</v>
      </c>
      <c r="B1096" s="40" t="s">
        <v>451</v>
      </c>
      <c r="C1096" s="725">
        <v>42335</v>
      </c>
      <c r="D1096" s="726" t="s">
        <v>1207</v>
      </c>
      <c r="E1096" s="812">
        <v>49.5</v>
      </c>
      <c r="F1096" s="811">
        <v>38.5</v>
      </c>
      <c r="G1096" s="811">
        <v>32.5</v>
      </c>
      <c r="H1096" s="807">
        <f t="shared" si="100"/>
        <v>1.34</v>
      </c>
      <c r="I1096" s="710">
        <v>100</v>
      </c>
      <c r="J1096" s="710">
        <f t="shared" si="101"/>
        <v>134</v>
      </c>
      <c r="K1096" s="710">
        <f t="shared" si="102"/>
        <v>9992.1968427568445</v>
      </c>
      <c r="L1096" s="656"/>
    </row>
    <row r="1097" spans="1:12" ht="16.5" customHeight="1">
      <c r="A1097" s="709">
        <f t="shared" si="103"/>
        <v>210</v>
      </c>
      <c r="B1097" s="296" t="s">
        <v>409</v>
      </c>
      <c r="C1097" s="725">
        <v>42335</v>
      </c>
      <c r="D1097" s="726" t="s">
        <v>1208</v>
      </c>
      <c r="E1097" s="812">
        <v>36.5</v>
      </c>
      <c r="F1097" s="811">
        <v>27.3</v>
      </c>
      <c r="G1097" s="811">
        <v>25.5</v>
      </c>
      <c r="H1097" s="807">
        <f t="shared" si="100"/>
        <v>0.74</v>
      </c>
      <c r="I1097" s="710">
        <v>1178</v>
      </c>
      <c r="J1097" s="710">
        <f t="shared" si="101"/>
        <v>871.72</v>
      </c>
      <c r="K1097" s="710">
        <f t="shared" si="102"/>
        <v>5518.0788534627345</v>
      </c>
      <c r="L1097" s="656"/>
    </row>
    <row r="1098" spans="1:12" ht="16.5" customHeight="1">
      <c r="A1098" s="709">
        <f t="shared" si="103"/>
        <v>211</v>
      </c>
      <c r="B1098" s="296" t="s">
        <v>1766</v>
      </c>
      <c r="C1098" s="725">
        <v>42335</v>
      </c>
      <c r="D1098" s="726" t="s">
        <v>1209</v>
      </c>
      <c r="E1098" s="812">
        <v>110</v>
      </c>
      <c r="F1098" s="811">
        <v>114</v>
      </c>
      <c r="G1098" s="811"/>
      <c r="H1098" s="807">
        <f t="shared" si="100"/>
        <v>1.25</v>
      </c>
      <c r="I1098" s="710">
        <v>1500</v>
      </c>
      <c r="J1098" s="710">
        <f t="shared" si="101"/>
        <v>1875</v>
      </c>
      <c r="K1098" s="710">
        <f t="shared" si="102"/>
        <v>9321.0791443627277</v>
      </c>
      <c r="L1098" s="656"/>
    </row>
    <row r="1099" spans="1:12" ht="16.5" customHeight="1">
      <c r="A1099" s="709">
        <f t="shared" si="103"/>
        <v>212</v>
      </c>
      <c r="B1099" s="296" t="s">
        <v>728</v>
      </c>
      <c r="C1099" s="725">
        <v>42335</v>
      </c>
      <c r="D1099" s="726" t="s">
        <v>1209</v>
      </c>
      <c r="E1099" s="812">
        <v>80</v>
      </c>
      <c r="F1099" s="811">
        <v>212</v>
      </c>
      <c r="G1099" s="811"/>
      <c r="H1099" s="807">
        <f t="shared" si="100"/>
        <v>1.7</v>
      </c>
      <c r="I1099" s="710">
        <v>200</v>
      </c>
      <c r="J1099" s="710">
        <f t="shared" si="101"/>
        <v>340</v>
      </c>
      <c r="K1099" s="710">
        <f t="shared" si="102"/>
        <v>12676.667636333308</v>
      </c>
      <c r="L1099" s="656"/>
    </row>
    <row r="1100" spans="1:12" ht="16.5" customHeight="1">
      <c r="A1100" s="709">
        <f t="shared" si="103"/>
        <v>213</v>
      </c>
      <c r="B1100" s="296" t="s">
        <v>1824</v>
      </c>
      <c r="C1100" s="725">
        <v>42335</v>
      </c>
      <c r="D1100" s="726" t="s">
        <v>1209</v>
      </c>
      <c r="E1100" s="812">
        <v>105</v>
      </c>
      <c r="F1100" s="811">
        <v>121</v>
      </c>
      <c r="G1100" s="811"/>
      <c r="H1100" s="807">
        <f t="shared" si="100"/>
        <v>1.27</v>
      </c>
      <c r="I1100" s="710">
        <v>260</v>
      </c>
      <c r="J1100" s="710">
        <f t="shared" si="101"/>
        <v>330.2</v>
      </c>
      <c r="K1100" s="710">
        <f t="shared" si="102"/>
        <v>9470.2164106725304</v>
      </c>
      <c r="L1100" s="656"/>
    </row>
    <row r="1101" spans="1:12" ht="16.5" customHeight="1">
      <c r="A1101" s="709">
        <f t="shared" si="103"/>
        <v>214</v>
      </c>
      <c r="B1101" s="296" t="s">
        <v>494</v>
      </c>
      <c r="C1101" s="725">
        <v>42338</v>
      </c>
      <c r="D1101" s="726" t="s">
        <v>1210</v>
      </c>
      <c r="E1101" s="812">
        <v>37.5</v>
      </c>
      <c r="F1101" s="811">
        <v>25.3</v>
      </c>
      <c r="G1101" s="811">
        <v>23.9</v>
      </c>
      <c r="H1101" s="807">
        <f t="shared" si="100"/>
        <v>0.68</v>
      </c>
      <c r="I1101" s="710">
        <v>1066</v>
      </c>
      <c r="J1101" s="710">
        <f t="shared" si="101"/>
        <v>724.88</v>
      </c>
      <c r="K1101" s="710">
        <f t="shared" si="102"/>
        <v>5070.6670545333236</v>
      </c>
      <c r="L1101" s="656"/>
    </row>
    <row r="1102" spans="1:12" ht="16.5" customHeight="1">
      <c r="A1102" s="709">
        <f t="shared" si="103"/>
        <v>215</v>
      </c>
      <c r="B1102" s="296" t="s">
        <v>746</v>
      </c>
      <c r="C1102" s="725">
        <v>42338</v>
      </c>
      <c r="D1102" s="726" t="s">
        <v>1211</v>
      </c>
      <c r="E1102" s="812">
        <v>125</v>
      </c>
      <c r="F1102" s="811">
        <v>185</v>
      </c>
      <c r="G1102" s="811"/>
      <c r="H1102" s="807">
        <f t="shared" si="100"/>
        <v>2.31</v>
      </c>
      <c r="I1102" s="710">
        <v>1000</v>
      </c>
      <c r="J1102" s="710">
        <f t="shared" si="101"/>
        <v>2310</v>
      </c>
      <c r="K1102" s="710">
        <f t="shared" si="102"/>
        <v>17225.354258782321</v>
      </c>
      <c r="L1102" s="656"/>
    </row>
    <row r="1103" spans="1:12" ht="16.5" customHeight="1">
      <c r="A1103" s="709">
        <f t="shared" si="103"/>
        <v>216</v>
      </c>
      <c r="B1103" s="296" t="s">
        <v>748</v>
      </c>
      <c r="C1103" s="725">
        <v>42338</v>
      </c>
      <c r="D1103" s="726" t="s">
        <v>1211</v>
      </c>
      <c r="E1103" s="812">
        <v>115</v>
      </c>
      <c r="F1103" s="811">
        <v>163</v>
      </c>
      <c r="G1103" s="811"/>
      <c r="H1103" s="807">
        <f t="shared" si="100"/>
        <v>1.87</v>
      </c>
      <c r="I1103" s="710">
        <v>250</v>
      </c>
      <c r="J1103" s="710">
        <f t="shared" si="101"/>
        <v>467.5</v>
      </c>
      <c r="K1103" s="710">
        <f t="shared" si="102"/>
        <v>13944.334399966641</v>
      </c>
      <c r="L1103" s="656"/>
    </row>
    <row r="1104" spans="1:12" ht="16.5" customHeight="1">
      <c r="A1104" s="709">
        <f t="shared" si="103"/>
        <v>217</v>
      </c>
      <c r="B1104" s="296" t="s">
        <v>1212</v>
      </c>
      <c r="C1104" s="725">
        <v>42338</v>
      </c>
      <c r="D1104" s="726" t="s">
        <v>1213</v>
      </c>
      <c r="E1104" s="812">
        <v>112</v>
      </c>
      <c r="F1104" s="811">
        <v>59</v>
      </c>
      <c r="G1104" s="811">
        <v>170</v>
      </c>
      <c r="H1104" s="807">
        <f t="shared" si="100"/>
        <v>8.0500000000000007</v>
      </c>
      <c r="I1104" s="710">
        <v>63</v>
      </c>
      <c r="J1104" s="710">
        <f t="shared" si="101"/>
        <v>507.15000000000003</v>
      </c>
      <c r="K1104" s="710">
        <f t="shared" si="102"/>
        <v>60027.749689695971</v>
      </c>
      <c r="L1104" s="656"/>
    </row>
    <row r="1105" spans="1:12" ht="16.5" customHeight="1">
      <c r="A1105" s="709">
        <f t="shared" si="103"/>
        <v>218</v>
      </c>
      <c r="B1105" s="296" t="s">
        <v>841</v>
      </c>
      <c r="C1105" s="725">
        <v>42338</v>
      </c>
      <c r="D1105" s="726" t="s">
        <v>1213</v>
      </c>
      <c r="E1105" s="812">
        <v>70</v>
      </c>
      <c r="F1105" s="811">
        <v>67</v>
      </c>
      <c r="G1105" s="811">
        <v>152</v>
      </c>
      <c r="H1105" s="807">
        <f t="shared" si="100"/>
        <v>6.19</v>
      </c>
      <c r="I1105" s="710">
        <v>41</v>
      </c>
      <c r="J1105" s="710">
        <f t="shared" si="101"/>
        <v>253.79000000000002</v>
      </c>
      <c r="K1105" s="710">
        <f t="shared" si="102"/>
        <v>46157.983922884225</v>
      </c>
      <c r="L1105" s="656"/>
    </row>
    <row r="1106" spans="1:12" ht="16.5" customHeight="1">
      <c r="A1106" s="709">
        <f t="shared" si="103"/>
        <v>219</v>
      </c>
      <c r="B1106" s="296" t="s">
        <v>921</v>
      </c>
      <c r="C1106" s="725">
        <v>42338</v>
      </c>
      <c r="D1106" s="726" t="s">
        <v>1213</v>
      </c>
      <c r="E1106" s="812">
        <v>47</v>
      </c>
      <c r="F1106" s="811">
        <v>47</v>
      </c>
      <c r="G1106" s="811">
        <v>52</v>
      </c>
      <c r="H1106" s="807">
        <f t="shared" si="100"/>
        <v>1.97</v>
      </c>
      <c r="I1106" s="710">
        <v>50</v>
      </c>
      <c r="J1106" s="710">
        <f t="shared" si="101"/>
        <v>98.5</v>
      </c>
      <c r="K1106" s="710">
        <f t="shared" si="102"/>
        <v>14690.020731515659</v>
      </c>
      <c r="L1106" s="656"/>
    </row>
    <row r="1107" spans="1:12" ht="16.5" customHeight="1">
      <c r="A1107" s="709">
        <f t="shared" si="103"/>
        <v>220</v>
      </c>
      <c r="B1107" s="296" t="s">
        <v>927</v>
      </c>
      <c r="C1107" s="725">
        <v>42338</v>
      </c>
      <c r="D1107" s="726" t="s">
        <v>1213</v>
      </c>
      <c r="E1107" s="812">
        <v>124</v>
      </c>
      <c r="F1107" s="811">
        <v>54</v>
      </c>
      <c r="G1107" s="811">
        <v>180</v>
      </c>
      <c r="H1107" s="807">
        <f t="shared" si="100"/>
        <v>8.56</v>
      </c>
      <c r="I1107" s="710">
        <v>21</v>
      </c>
      <c r="J1107" s="710">
        <f t="shared" si="101"/>
        <v>179.76000000000002</v>
      </c>
      <c r="K1107" s="710">
        <f t="shared" si="102"/>
        <v>63830.74998059596</v>
      </c>
      <c r="L1107" s="656"/>
    </row>
    <row r="1108" spans="1:12" ht="16.5" customHeight="1">
      <c r="A1108" s="709">
        <f t="shared" si="103"/>
        <v>221</v>
      </c>
      <c r="B1108" s="296" t="s">
        <v>624</v>
      </c>
      <c r="C1108" s="725">
        <v>42338</v>
      </c>
      <c r="D1108" s="726" t="s">
        <v>1213</v>
      </c>
      <c r="E1108" s="812">
        <v>142</v>
      </c>
      <c r="F1108" s="811">
        <v>72</v>
      </c>
      <c r="G1108" s="811">
        <v>58</v>
      </c>
      <c r="H1108" s="807">
        <f t="shared" si="100"/>
        <v>5.76</v>
      </c>
      <c r="I1108" s="710">
        <v>50</v>
      </c>
      <c r="J1108" s="710">
        <f t="shared" si="101"/>
        <v>288</v>
      </c>
      <c r="K1108" s="710">
        <f t="shared" si="102"/>
        <v>42951.532697223447</v>
      </c>
      <c r="L1108" s="656"/>
    </row>
    <row r="1109" spans="1:12" ht="16.5" customHeight="1">
      <c r="A1109" s="709">
        <f t="shared" si="103"/>
        <v>222</v>
      </c>
      <c r="B1109" s="296" t="s">
        <v>439</v>
      </c>
      <c r="C1109" s="725">
        <v>42339</v>
      </c>
      <c r="D1109" s="726" t="s">
        <v>1214</v>
      </c>
      <c r="E1109" s="812">
        <v>51.5</v>
      </c>
      <c r="F1109" s="811">
        <v>28.5</v>
      </c>
      <c r="G1109" s="811">
        <v>7.2</v>
      </c>
      <c r="H1109" s="807">
        <f t="shared" si="100"/>
        <v>0.64</v>
      </c>
      <c r="I1109" s="710">
        <v>500</v>
      </c>
      <c r="J1109" s="710">
        <f t="shared" si="101"/>
        <v>320</v>
      </c>
      <c r="K1109" s="710">
        <f t="shared" si="102"/>
        <v>4772.3925219137163</v>
      </c>
      <c r="L1109" s="656"/>
    </row>
    <row r="1110" spans="1:12" ht="16.5" customHeight="1">
      <c r="A1110" s="709">
        <f t="shared" si="103"/>
        <v>223</v>
      </c>
      <c r="B1110" s="296" t="s">
        <v>1215</v>
      </c>
      <c r="C1110" s="725">
        <v>42339</v>
      </c>
      <c r="D1110" s="726" t="s">
        <v>1214</v>
      </c>
      <c r="E1110" s="812">
        <v>42</v>
      </c>
      <c r="F1110" s="811">
        <v>22</v>
      </c>
      <c r="G1110" s="811">
        <v>6</v>
      </c>
      <c r="H1110" s="807">
        <f t="shared" si="100"/>
        <v>0.41</v>
      </c>
      <c r="I1110" s="710">
        <v>216</v>
      </c>
      <c r="J1110" s="710">
        <f t="shared" si="101"/>
        <v>88.559999999999988</v>
      </c>
      <c r="K1110" s="710">
        <f t="shared" si="102"/>
        <v>3057.3139593509745</v>
      </c>
      <c r="L1110" s="656"/>
    </row>
    <row r="1111" spans="1:12" ht="16.5" customHeight="1">
      <c r="A1111" s="709">
        <f t="shared" si="103"/>
        <v>224</v>
      </c>
      <c r="B1111" s="296" t="s">
        <v>1949</v>
      </c>
      <c r="C1111" s="725">
        <v>42339</v>
      </c>
      <c r="D1111" s="726" t="s">
        <v>1216</v>
      </c>
      <c r="E1111" s="812">
        <v>49</v>
      </c>
      <c r="F1111" s="811">
        <v>47</v>
      </c>
      <c r="G1111" s="811">
        <v>27</v>
      </c>
      <c r="H1111" s="807">
        <f t="shared" si="100"/>
        <v>1.52</v>
      </c>
      <c r="I1111" s="710">
        <v>30</v>
      </c>
      <c r="J1111" s="710">
        <f t="shared" si="101"/>
        <v>45.6</v>
      </c>
      <c r="K1111" s="710">
        <f t="shared" si="102"/>
        <v>11334.432239545076</v>
      </c>
      <c r="L1111" s="656"/>
    </row>
    <row r="1112" spans="1:12" ht="16.5" customHeight="1">
      <c r="A1112" s="709">
        <f t="shared" si="103"/>
        <v>225</v>
      </c>
      <c r="B1112" s="296" t="s">
        <v>1950</v>
      </c>
      <c r="C1112" s="725">
        <v>42339</v>
      </c>
      <c r="D1112" s="726" t="s">
        <v>1216</v>
      </c>
      <c r="E1112" s="812">
        <v>38</v>
      </c>
      <c r="F1112" s="811">
        <v>37</v>
      </c>
      <c r="G1112" s="811">
        <v>30</v>
      </c>
      <c r="H1112" s="807">
        <f t="shared" si="100"/>
        <v>1.0900000000000001</v>
      </c>
      <c r="I1112" s="710">
        <v>30</v>
      </c>
      <c r="J1112" s="710">
        <f t="shared" si="101"/>
        <v>32.700000000000003</v>
      </c>
      <c r="K1112" s="710">
        <f t="shared" si="102"/>
        <v>8127.9810138842986</v>
      </c>
      <c r="L1112" s="656"/>
    </row>
    <row r="1113" spans="1:12" ht="16.5" customHeight="1">
      <c r="A1113" s="709">
        <f t="shared" si="103"/>
        <v>226</v>
      </c>
      <c r="B1113" s="296" t="s">
        <v>1951</v>
      </c>
      <c r="C1113" s="725">
        <v>42339</v>
      </c>
      <c r="D1113" s="726" t="s">
        <v>1216</v>
      </c>
      <c r="E1113" s="812">
        <v>40</v>
      </c>
      <c r="F1113" s="811">
        <v>39</v>
      </c>
      <c r="G1113" s="811">
        <v>32</v>
      </c>
      <c r="H1113" s="807">
        <f t="shared" si="100"/>
        <v>1.21</v>
      </c>
      <c r="I1113" s="710">
        <v>60</v>
      </c>
      <c r="J1113" s="710">
        <f t="shared" si="101"/>
        <v>72.599999999999994</v>
      </c>
      <c r="K1113" s="710">
        <f t="shared" si="102"/>
        <v>9022.8046117431204</v>
      </c>
      <c r="L1113" s="656"/>
    </row>
    <row r="1114" spans="1:12" ht="16.5" customHeight="1">
      <c r="A1114" s="709">
        <f t="shared" si="103"/>
        <v>227</v>
      </c>
      <c r="B1114" s="296" t="s">
        <v>1952</v>
      </c>
      <c r="C1114" s="725">
        <v>42339</v>
      </c>
      <c r="D1114" s="726" t="s">
        <v>1216</v>
      </c>
      <c r="E1114" s="812">
        <v>42</v>
      </c>
      <c r="F1114" s="811">
        <v>41</v>
      </c>
      <c r="G1114" s="811">
        <v>34</v>
      </c>
      <c r="H1114" s="807">
        <f t="shared" si="100"/>
        <v>1.33</v>
      </c>
      <c r="I1114" s="710">
        <v>20</v>
      </c>
      <c r="J1114" s="710">
        <f t="shared" si="101"/>
        <v>26.6</v>
      </c>
      <c r="K1114" s="710">
        <f t="shared" si="102"/>
        <v>9917.6282096019422</v>
      </c>
      <c r="L1114" s="656"/>
    </row>
    <row r="1115" spans="1:12" ht="16.5" customHeight="1">
      <c r="A1115" s="709">
        <f t="shared" si="103"/>
        <v>228</v>
      </c>
      <c r="B1115" s="296" t="s">
        <v>2011</v>
      </c>
      <c r="C1115" s="725">
        <v>42339</v>
      </c>
      <c r="D1115" s="726" t="s">
        <v>1216</v>
      </c>
      <c r="E1115" s="812">
        <v>63</v>
      </c>
      <c r="F1115" s="811">
        <v>53</v>
      </c>
      <c r="G1115" s="811">
        <v>32</v>
      </c>
      <c r="H1115" s="807">
        <f t="shared" si="100"/>
        <v>2.09</v>
      </c>
      <c r="I1115" s="710">
        <v>10</v>
      </c>
      <c r="J1115" s="710">
        <f t="shared" si="101"/>
        <v>20.9</v>
      </c>
      <c r="K1115" s="710">
        <f t="shared" si="102"/>
        <v>15584.844329374479</v>
      </c>
      <c r="L1115" s="656"/>
    </row>
    <row r="1116" spans="1:12" ht="16.5" customHeight="1">
      <c r="A1116" s="709">
        <f t="shared" si="103"/>
        <v>229</v>
      </c>
      <c r="B1116" s="296" t="s">
        <v>451</v>
      </c>
      <c r="C1116" s="725">
        <v>42340</v>
      </c>
      <c r="D1116" s="726" t="s">
        <v>1217</v>
      </c>
      <c r="E1116" s="812">
        <v>49.5</v>
      </c>
      <c r="F1116" s="811">
        <v>38.5</v>
      </c>
      <c r="G1116" s="811">
        <v>32.5</v>
      </c>
      <c r="H1116" s="807">
        <f t="shared" si="100"/>
        <v>1.34</v>
      </c>
      <c r="I1116" s="710">
        <v>306</v>
      </c>
      <c r="J1116" s="710">
        <f t="shared" si="101"/>
        <v>410.04</v>
      </c>
      <c r="K1116" s="710">
        <f t="shared" si="102"/>
        <v>9992.1968427568445</v>
      </c>
      <c r="L1116" s="656"/>
    </row>
    <row r="1117" spans="1:12" ht="16.5" customHeight="1">
      <c r="A1117" s="709">
        <f t="shared" si="103"/>
        <v>230</v>
      </c>
      <c r="B1117" s="296" t="s">
        <v>1155</v>
      </c>
      <c r="C1117" s="725">
        <v>42340</v>
      </c>
      <c r="D1117" s="726" t="s">
        <v>1218</v>
      </c>
      <c r="E1117" s="812">
        <v>33.5</v>
      </c>
      <c r="F1117" s="811">
        <v>31.5</v>
      </c>
      <c r="G1117" s="811">
        <v>24</v>
      </c>
      <c r="H1117" s="807">
        <f t="shared" si="100"/>
        <v>0.79</v>
      </c>
      <c r="I1117" s="710">
        <v>500</v>
      </c>
      <c r="J1117" s="710">
        <f t="shared" si="101"/>
        <v>395</v>
      </c>
      <c r="K1117" s="710">
        <f t="shared" si="102"/>
        <v>5890.9220192372441</v>
      </c>
      <c r="L1117" s="656"/>
    </row>
    <row r="1118" spans="1:12" ht="16.5" customHeight="1">
      <c r="A1118" s="709">
        <f t="shared" si="103"/>
        <v>231</v>
      </c>
      <c r="B1118" s="296" t="s">
        <v>999</v>
      </c>
      <c r="C1118" s="725">
        <v>42340</v>
      </c>
      <c r="D1118" s="726" t="s">
        <v>1219</v>
      </c>
      <c r="E1118" s="812">
        <v>40</v>
      </c>
      <c r="F1118" s="811">
        <v>30</v>
      </c>
      <c r="G1118" s="811">
        <v>18.5</v>
      </c>
      <c r="H1118" s="807">
        <f t="shared" si="100"/>
        <v>0.75</v>
      </c>
      <c r="I1118" s="710">
        <v>306</v>
      </c>
      <c r="J1118" s="710">
        <f t="shared" si="101"/>
        <v>229.5</v>
      </c>
      <c r="K1118" s="710">
        <f t="shared" si="102"/>
        <v>5592.6474866176359</v>
      </c>
      <c r="L1118" s="656"/>
    </row>
    <row r="1119" spans="1:12" ht="16.5" customHeight="1">
      <c r="A1119" s="709">
        <f t="shared" si="103"/>
        <v>232</v>
      </c>
      <c r="B1119" s="296" t="s">
        <v>413</v>
      </c>
      <c r="C1119" s="725">
        <v>42340</v>
      </c>
      <c r="D1119" s="726" t="s">
        <v>1219</v>
      </c>
      <c r="E1119" s="812">
        <v>49</v>
      </c>
      <c r="F1119" s="811">
        <v>38</v>
      </c>
      <c r="G1119" s="811">
        <v>12</v>
      </c>
      <c r="H1119" s="807">
        <f t="shared" si="100"/>
        <v>0.95</v>
      </c>
      <c r="I1119" s="710">
        <v>522</v>
      </c>
      <c r="J1119" s="710">
        <f t="shared" si="101"/>
        <v>495.9</v>
      </c>
      <c r="K1119" s="710">
        <f t="shared" si="102"/>
        <v>7084.0201497156722</v>
      </c>
      <c r="L1119" s="656"/>
    </row>
    <row r="1120" spans="1:12" ht="16.5" customHeight="1">
      <c r="A1120" s="709">
        <f t="shared" si="103"/>
        <v>233</v>
      </c>
      <c r="B1120" s="296" t="s">
        <v>1950</v>
      </c>
      <c r="C1120" s="725">
        <v>42340</v>
      </c>
      <c r="D1120" s="726" t="s">
        <v>1220</v>
      </c>
      <c r="E1120" s="812">
        <v>38</v>
      </c>
      <c r="F1120" s="811">
        <v>37</v>
      </c>
      <c r="G1120" s="811">
        <v>30</v>
      </c>
      <c r="H1120" s="807">
        <f t="shared" si="100"/>
        <v>1.0900000000000001</v>
      </c>
      <c r="I1120" s="710">
        <v>100</v>
      </c>
      <c r="J1120" s="710">
        <f t="shared" si="101"/>
        <v>109.00000000000001</v>
      </c>
      <c r="K1120" s="710">
        <f t="shared" si="102"/>
        <v>8127.9810138842986</v>
      </c>
      <c r="L1120" s="656"/>
    </row>
    <row r="1121" spans="1:12" ht="16.5" customHeight="1">
      <c r="A1121" s="709">
        <f t="shared" si="103"/>
        <v>234</v>
      </c>
      <c r="B1121" s="296" t="s">
        <v>1952</v>
      </c>
      <c r="C1121" s="725">
        <v>42340</v>
      </c>
      <c r="D1121" s="726" t="s">
        <v>1220</v>
      </c>
      <c r="E1121" s="812">
        <v>42</v>
      </c>
      <c r="F1121" s="811">
        <v>41</v>
      </c>
      <c r="G1121" s="811">
        <v>34</v>
      </c>
      <c r="H1121" s="807">
        <f t="shared" si="100"/>
        <v>1.33</v>
      </c>
      <c r="I1121" s="710">
        <v>20</v>
      </c>
      <c r="J1121" s="710">
        <f t="shared" si="101"/>
        <v>26.6</v>
      </c>
      <c r="K1121" s="710">
        <f t="shared" si="102"/>
        <v>9917.6282096019422</v>
      </c>
      <c r="L1121" s="656"/>
    </row>
    <row r="1122" spans="1:12" ht="16.5" customHeight="1">
      <c r="A1122" s="709">
        <f t="shared" si="103"/>
        <v>235</v>
      </c>
      <c r="B1122" s="296" t="s">
        <v>2011</v>
      </c>
      <c r="C1122" s="725">
        <v>42340</v>
      </c>
      <c r="D1122" s="726" t="s">
        <v>1220</v>
      </c>
      <c r="E1122" s="812">
        <v>63</v>
      </c>
      <c r="F1122" s="811">
        <v>53</v>
      </c>
      <c r="G1122" s="811">
        <v>32</v>
      </c>
      <c r="H1122" s="807">
        <f t="shared" si="100"/>
        <v>2.09</v>
      </c>
      <c r="I1122" s="710">
        <v>20</v>
      </c>
      <c r="J1122" s="710">
        <f t="shared" si="101"/>
        <v>41.8</v>
      </c>
      <c r="K1122" s="710">
        <f t="shared" si="102"/>
        <v>15584.844329374479</v>
      </c>
      <c r="L1122" s="656"/>
    </row>
    <row r="1123" spans="1:12" ht="16.5" customHeight="1">
      <c r="A1123" s="709">
        <f t="shared" si="103"/>
        <v>236</v>
      </c>
      <c r="B1123" s="296" t="s">
        <v>424</v>
      </c>
      <c r="C1123" s="725">
        <v>42341</v>
      </c>
      <c r="D1123" s="726" t="s">
        <v>1221</v>
      </c>
      <c r="E1123" s="812">
        <v>46</v>
      </c>
      <c r="F1123" s="811">
        <v>42</v>
      </c>
      <c r="G1123" s="811">
        <v>13</v>
      </c>
      <c r="H1123" s="807">
        <f t="shared" si="100"/>
        <v>1.05</v>
      </c>
      <c r="I1123" s="710">
        <v>2820</v>
      </c>
      <c r="J1123" s="710">
        <f t="shared" si="101"/>
        <v>2961</v>
      </c>
      <c r="K1123" s="710">
        <f t="shared" si="102"/>
        <v>7829.7064812646913</v>
      </c>
      <c r="L1123" s="656"/>
    </row>
    <row r="1124" spans="1:12" ht="16.5" customHeight="1">
      <c r="A1124" s="709">
        <f t="shared" si="103"/>
        <v>237</v>
      </c>
      <c r="B1124" s="296" t="s">
        <v>602</v>
      </c>
      <c r="C1124" s="725">
        <v>42341</v>
      </c>
      <c r="D1124" s="726" t="s">
        <v>1221</v>
      </c>
      <c r="E1124" s="812">
        <v>46</v>
      </c>
      <c r="F1124" s="811">
        <v>42</v>
      </c>
      <c r="G1124" s="811">
        <v>24.5</v>
      </c>
      <c r="H1124" s="807">
        <f t="shared" si="100"/>
        <v>1.26</v>
      </c>
      <c r="I1124" s="710">
        <v>406</v>
      </c>
      <c r="J1124" s="710">
        <f t="shared" si="101"/>
        <v>511.56</v>
      </c>
      <c r="K1124" s="710">
        <f t="shared" si="102"/>
        <v>9395.6477775176299</v>
      </c>
      <c r="L1124" s="656"/>
    </row>
    <row r="1125" spans="1:12" ht="16.5" customHeight="1">
      <c r="A1125" s="709">
        <f t="shared" si="103"/>
        <v>238</v>
      </c>
      <c r="B1125" s="296" t="s">
        <v>1948</v>
      </c>
      <c r="C1125" s="725">
        <v>42341</v>
      </c>
      <c r="D1125" s="726" t="s">
        <v>1222</v>
      </c>
      <c r="E1125" s="812">
        <v>43</v>
      </c>
      <c r="F1125" s="811">
        <v>42</v>
      </c>
      <c r="G1125" s="811">
        <v>26</v>
      </c>
      <c r="H1125" s="807">
        <f t="shared" si="100"/>
        <v>1.24</v>
      </c>
      <c r="I1125" s="710">
        <v>3000</v>
      </c>
      <c r="J1125" s="710">
        <f t="shared" si="101"/>
        <v>3720</v>
      </c>
      <c r="K1125" s="710">
        <f t="shared" si="102"/>
        <v>9246.5105112078254</v>
      </c>
      <c r="L1125" s="656"/>
    </row>
    <row r="1126" spans="1:12" ht="16.5" customHeight="1">
      <c r="A1126" s="709">
        <f t="shared" si="103"/>
        <v>239</v>
      </c>
      <c r="B1126" s="296" t="s">
        <v>1948</v>
      </c>
      <c r="C1126" s="725">
        <v>42341</v>
      </c>
      <c r="D1126" s="726" t="s">
        <v>1223</v>
      </c>
      <c r="E1126" s="812">
        <v>43</v>
      </c>
      <c r="F1126" s="811">
        <v>42</v>
      </c>
      <c r="G1126" s="811">
        <v>26</v>
      </c>
      <c r="H1126" s="807">
        <f t="shared" si="100"/>
        <v>1.24</v>
      </c>
      <c r="I1126" s="710">
        <v>400</v>
      </c>
      <c r="J1126" s="710">
        <f t="shared" si="101"/>
        <v>496</v>
      </c>
      <c r="K1126" s="710">
        <f t="shared" si="102"/>
        <v>9246.5105112078254</v>
      </c>
      <c r="L1126" s="656"/>
    </row>
    <row r="1127" spans="1:12" ht="16.5" customHeight="1">
      <c r="A1127" s="709">
        <f t="shared" si="103"/>
        <v>240</v>
      </c>
      <c r="B1127" s="296" t="s">
        <v>1224</v>
      </c>
      <c r="C1127" s="725">
        <v>42341</v>
      </c>
      <c r="D1127" s="726" t="s">
        <v>1225</v>
      </c>
      <c r="E1127" s="812">
        <v>68</v>
      </c>
      <c r="F1127" s="811">
        <v>68</v>
      </c>
      <c r="G1127" s="811">
        <v>29</v>
      </c>
      <c r="H1127" s="807">
        <f t="shared" si="100"/>
        <v>2.77</v>
      </c>
      <c r="I1127" s="710">
        <v>87</v>
      </c>
      <c r="J1127" s="710">
        <f t="shared" si="101"/>
        <v>240.99</v>
      </c>
      <c r="K1127" s="710">
        <f t="shared" si="102"/>
        <v>20655.511383907804</v>
      </c>
      <c r="L1127" s="656"/>
    </row>
    <row r="1128" spans="1:12" ht="16.5" customHeight="1">
      <c r="A1128" s="709">
        <f t="shared" si="103"/>
        <v>241</v>
      </c>
      <c r="B1128" s="296" t="s">
        <v>1227</v>
      </c>
      <c r="C1128" s="725">
        <v>42341</v>
      </c>
      <c r="D1128" s="726" t="s">
        <v>1225</v>
      </c>
      <c r="E1128" s="812">
        <v>78</v>
      </c>
      <c r="F1128" s="811">
        <v>63</v>
      </c>
      <c r="G1128" s="811">
        <v>31</v>
      </c>
      <c r="H1128" s="807">
        <f t="shared" si="100"/>
        <v>2.78</v>
      </c>
      <c r="I1128" s="710">
        <v>78</v>
      </c>
      <c r="J1128" s="710">
        <f t="shared" si="101"/>
        <v>216.83999999999997</v>
      </c>
      <c r="K1128" s="710">
        <f t="shared" si="102"/>
        <v>20730.080017062704</v>
      </c>
      <c r="L1128" s="656"/>
    </row>
    <row r="1129" spans="1:12" ht="16.5" customHeight="1">
      <c r="A1129" s="709">
        <f t="shared" si="103"/>
        <v>242</v>
      </c>
      <c r="B1129" s="296" t="s">
        <v>1228</v>
      </c>
      <c r="C1129" s="725">
        <v>42341</v>
      </c>
      <c r="D1129" s="726" t="s">
        <v>1225</v>
      </c>
      <c r="E1129" s="812">
        <v>78</v>
      </c>
      <c r="F1129" s="811">
        <v>45</v>
      </c>
      <c r="G1129" s="811">
        <v>42</v>
      </c>
      <c r="H1129" s="807">
        <f t="shared" si="100"/>
        <v>2.2599999999999998</v>
      </c>
      <c r="I1129" s="710">
        <v>104</v>
      </c>
      <c r="J1129" s="710">
        <f t="shared" si="101"/>
        <v>235.03999999999996</v>
      </c>
      <c r="K1129" s="710">
        <f t="shared" si="102"/>
        <v>16852.511093007808</v>
      </c>
      <c r="L1129" s="656"/>
    </row>
    <row r="1130" spans="1:12" ht="16.5" customHeight="1">
      <c r="A1130" s="709">
        <f t="shared" si="103"/>
        <v>243</v>
      </c>
      <c r="B1130" s="296" t="s">
        <v>1679</v>
      </c>
      <c r="C1130" s="725">
        <v>42341</v>
      </c>
      <c r="D1130" s="726" t="s">
        <v>1225</v>
      </c>
      <c r="E1130" s="812">
        <v>66</v>
      </c>
      <c r="F1130" s="811">
        <v>66</v>
      </c>
      <c r="G1130" s="811"/>
      <c r="H1130" s="807">
        <f t="shared" si="100"/>
        <v>0.44</v>
      </c>
      <c r="I1130" s="710">
        <v>274</v>
      </c>
      <c r="J1130" s="710">
        <f t="shared" si="101"/>
        <v>120.56</v>
      </c>
      <c r="K1130" s="710">
        <f t="shared" si="102"/>
        <v>3281.01985881568</v>
      </c>
      <c r="L1130" s="656"/>
    </row>
    <row r="1131" spans="1:12" ht="16.5" customHeight="1">
      <c r="A1131" s="709">
        <f t="shared" si="103"/>
        <v>244</v>
      </c>
      <c r="B1131" s="296" t="s">
        <v>1680</v>
      </c>
      <c r="C1131" s="725">
        <v>42341</v>
      </c>
      <c r="D1131" s="726" t="s">
        <v>1225</v>
      </c>
      <c r="E1131" s="812">
        <v>76</v>
      </c>
      <c r="F1131" s="811">
        <v>61</v>
      </c>
      <c r="G1131" s="811"/>
      <c r="H1131" s="807">
        <f t="shared" si="100"/>
        <v>0.46</v>
      </c>
      <c r="I1131" s="710">
        <v>156</v>
      </c>
      <c r="J1131" s="710">
        <f t="shared" si="101"/>
        <v>71.760000000000005</v>
      </c>
      <c r="K1131" s="710">
        <f t="shared" si="102"/>
        <v>3430.1571251254836</v>
      </c>
      <c r="L1131" s="656"/>
    </row>
    <row r="1132" spans="1:12" ht="16.5" customHeight="1">
      <c r="A1132" s="709">
        <f t="shared" si="103"/>
        <v>245</v>
      </c>
      <c r="B1132" s="296" t="s">
        <v>1681</v>
      </c>
      <c r="C1132" s="725">
        <v>42341</v>
      </c>
      <c r="D1132" s="726" t="s">
        <v>1225</v>
      </c>
      <c r="E1132" s="812">
        <v>76</v>
      </c>
      <c r="F1132" s="811">
        <v>29</v>
      </c>
      <c r="G1132" s="811"/>
      <c r="H1132" s="807">
        <f t="shared" si="100"/>
        <v>0.22</v>
      </c>
      <c r="I1132" s="710">
        <v>312</v>
      </c>
      <c r="J1132" s="710">
        <f t="shared" si="101"/>
        <v>68.64</v>
      </c>
      <c r="K1132" s="710">
        <f t="shared" si="102"/>
        <v>1640.50992940784</v>
      </c>
      <c r="L1132" s="656"/>
    </row>
    <row r="1133" spans="1:12" ht="16.5" customHeight="1">
      <c r="A1133" s="709">
        <f t="shared" si="103"/>
        <v>246</v>
      </c>
      <c r="B1133" s="296" t="s">
        <v>1682</v>
      </c>
      <c r="C1133" s="725">
        <v>42341</v>
      </c>
      <c r="D1133" s="726" t="s">
        <v>1225</v>
      </c>
      <c r="E1133" s="812">
        <v>66</v>
      </c>
      <c r="F1133" s="811">
        <v>27</v>
      </c>
      <c r="G1133" s="811"/>
      <c r="H1133" s="807">
        <f t="shared" si="100"/>
        <v>0.18</v>
      </c>
      <c r="I1133" s="710">
        <v>435</v>
      </c>
      <c r="J1133" s="710">
        <f t="shared" si="101"/>
        <v>78.3</v>
      </c>
      <c r="K1133" s="710">
        <f t="shared" si="102"/>
        <v>1342.2353967882327</v>
      </c>
      <c r="L1133" s="656"/>
    </row>
    <row r="1134" spans="1:12" ht="16.5" customHeight="1">
      <c r="A1134" s="709">
        <f t="shared" si="103"/>
        <v>247</v>
      </c>
      <c r="B1134" s="296" t="s">
        <v>1683</v>
      </c>
      <c r="C1134" s="725">
        <v>42341</v>
      </c>
      <c r="D1134" s="726" t="s">
        <v>1225</v>
      </c>
      <c r="E1134" s="812">
        <v>76</v>
      </c>
      <c r="F1134" s="811">
        <v>43</v>
      </c>
      <c r="G1134" s="811"/>
      <c r="H1134" s="807">
        <f t="shared" si="100"/>
        <v>0.33</v>
      </c>
      <c r="I1134" s="710">
        <v>508</v>
      </c>
      <c r="J1134" s="710">
        <f t="shared" si="101"/>
        <v>167.64000000000001</v>
      </c>
      <c r="K1134" s="710">
        <f t="shared" si="102"/>
        <v>2460.76489411176</v>
      </c>
      <c r="L1134" s="656"/>
    </row>
    <row r="1135" spans="1:12" ht="16.5" customHeight="1">
      <c r="A1135" s="709">
        <f t="shared" si="103"/>
        <v>248</v>
      </c>
      <c r="B1135" s="296" t="s">
        <v>1315</v>
      </c>
      <c r="C1135" s="725">
        <v>42341</v>
      </c>
      <c r="D1135" s="726" t="s">
        <v>1225</v>
      </c>
      <c r="E1135" s="812">
        <v>67</v>
      </c>
      <c r="F1135" s="811">
        <v>43</v>
      </c>
      <c r="G1135" s="811"/>
      <c r="H1135" s="807">
        <f t="shared" si="100"/>
        <v>0.28999999999999998</v>
      </c>
      <c r="I1135" s="710">
        <v>100</v>
      </c>
      <c r="J1135" s="710">
        <f t="shared" si="101"/>
        <v>28.999999999999996</v>
      </c>
      <c r="K1135" s="710">
        <f t="shared" si="102"/>
        <v>2162.4903614921527</v>
      </c>
      <c r="L1135" s="656"/>
    </row>
    <row r="1136" spans="1:12" ht="16.5" customHeight="1">
      <c r="A1136" s="709">
        <f t="shared" si="103"/>
        <v>249</v>
      </c>
      <c r="B1136" s="296" t="s">
        <v>1684</v>
      </c>
      <c r="C1136" s="725">
        <v>42341</v>
      </c>
      <c r="D1136" s="726" t="s">
        <v>1229</v>
      </c>
      <c r="E1136" s="812">
        <v>61</v>
      </c>
      <c r="F1136" s="811">
        <v>29</v>
      </c>
      <c r="G1136" s="811"/>
      <c r="H1136" s="807">
        <f t="shared" si="100"/>
        <v>0.18</v>
      </c>
      <c r="I1136" s="710">
        <v>78</v>
      </c>
      <c r="J1136" s="710">
        <f t="shared" si="101"/>
        <v>14.04</v>
      </c>
      <c r="K1136" s="710">
        <f t="shared" si="102"/>
        <v>1342.2353967882327</v>
      </c>
      <c r="L1136" s="656"/>
    </row>
    <row r="1137" spans="1:12" ht="16.5" customHeight="1">
      <c r="A1137" s="709">
        <f t="shared" si="103"/>
        <v>250</v>
      </c>
      <c r="B1137" s="296" t="s">
        <v>1685</v>
      </c>
      <c r="C1137" s="725">
        <v>42341</v>
      </c>
      <c r="D1137" s="726" t="s">
        <v>1229</v>
      </c>
      <c r="E1137" s="812">
        <v>43</v>
      </c>
      <c r="F1137" s="811">
        <v>40</v>
      </c>
      <c r="G1137" s="811"/>
      <c r="H1137" s="807">
        <f t="shared" si="100"/>
        <v>0.17</v>
      </c>
      <c r="I1137" s="710">
        <v>1360</v>
      </c>
      <c r="J1137" s="710">
        <f t="shared" si="101"/>
        <v>231.20000000000002</v>
      </c>
      <c r="K1137" s="710">
        <f t="shared" si="102"/>
        <v>1267.6667636333309</v>
      </c>
      <c r="L1137" s="656"/>
    </row>
    <row r="1138" spans="1:12" ht="16.5" customHeight="1">
      <c r="A1138" s="709">
        <f t="shared" si="103"/>
        <v>251</v>
      </c>
      <c r="B1138" s="296" t="s">
        <v>1318</v>
      </c>
      <c r="C1138" s="725">
        <v>42341</v>
      </c>
      <c r="D1138" s="726" t="s">
        <v>1229</v>
      </c>
      <c r="E1138" s="812">
        <v>84</v>
      </c>
      <c r="F1138" s="811">
        <v>55</v>
      </c>
      <c r="G1138" s="811"/>
      <c r="H1138" s="807">
        <f t="shared" si="100"/>
        <v>0.46</v>
      </c>
      <c r="I1138" s="710">
        <v>100</v>
      </c>
      <c r="J1138" s="710">
        <f t="shared" si="101"/>
        <v>46</v>
      </c>
      <c r="K1138" s="710">
        <f t="shared" si="102"/>
        <v>3430.1571251254836</v>
      </c>
      <c r="L1138" s="656"/>
    </row>
    <row r="1139" spans="1:12" ht="16.5" customHeight="1">
      <c r="A1139" s="709">
        <f t="shared" si="103"/>
        <v>252</v>
      </c>
      <c r="B1139" s="296" t="s">
        <v>1231</v>
      </c>
      <c r="C1139" s="725">
        <v>42345</v>
      </c>
      <c r="D1139" s="726" t="s">
        <v>1232</v>
      </c>
      <c r="E1139" s="812">
        <v>30</v>
      </c>
      <c r="F1139" s="811">
        <v>19</v>
      </c>
      <c r="G1139" s="811">
        <v>10</v>
      </c>
      <c r="H1139" s="807">
        <f t="shared" si="100"/>
        <v>0.33</v>
      </c>
      <c r="I1139" s="710">
        <v>444</v>
      </c>
      <c r="J1139" s="710">
        <f t="shared" si="101"/>
        <v>146.52000000000001</v>
      </c>
      <c r="K1139" s="710">
        <f t="shared" si="102"/>
        <v>2460.76489411176</v>
      </c>
      <c r="L1139" s="656"/>
    </row>
    <row r="1140" spans="1:12" ht="16.5" customHeight="1">
      <c r="A1140" s="709">
        <f t="shared" si="103"/>
        <v>253</v>
      </c>
      <c r="B1140" s="296" t="s">
        <v>1777</v>
      </c>
      <c r="C1140" s="725">
        <v>42345</v>
      </c>
      <c r="D1140" s="726" t="s">
        <v>1233</v>
      </c>
      <c r="E1140" s="812">
        <v>85</v>
      </c>
      <c r="F1140" s="811">
        <v>186</v>
      </c>
      <c r="G1140" s="811"/>
      <c r="H1140" s="807">
        <f t="shared" si="100"/>
        <v>1.58</v>
      </c>
      <c r="I1140" s="710">
        <v>300</v>
      </c>
      <c r="J1140" s="710">
        <f t="shared" si="101"/>
        <v>474</v>
      </c>
      <c r="K1140" s="710">
        <f t="shared" si="102"/>
        <v>11781.844038474488</v>
      </c>
      <c r="L1140" s="656"/>
    </row>
    <row r="1141" spans="1:12" ht="16.5" customHeight="1">
      <c r="A1141" s="709">
        <f t="shared" si="103"/>
        <v>254</v>
      </c>
      <c r="B1141" s="296" t="s">
        <v>1825</v>
      </c>
      <c r="C1141" s="725">
        <v>42345</v>
      </c>
      <c r="D1141" s="726" t="s">
        <v>1233</v>
      </c>
      <c r="E1141" s="812">
        <v>80</v>
      </c>
      <c r="F1141" s="811">
        <v>149</v>
      </c>
      <c r="G1141" s="811"/>
      <c r="H1141" s="807">
        <f t="shared" si="100"/>
        <v>1.19</v>
      </c>
      <c r="I1141" s="710">
        <v>30</v>
      </c>
      <c r="J1141" s="710">
        <f t="shared" si="101"/>
        <v>35.699999999999996</v>
      </c>
      <c r="K1141" s="710">
        <f t="shared" si="102"/>
        <v>8873.6673454333159</v>
      </c>
      <c r="L1141" s="656"/>
    </row>
    <row r="1142" spans="1:12" ht="16.5" customHeight="1">
      <c r="A1142" s="709">
        <f t="shared" si="103"/>
        <v>255</v>
      </c>
      <c r="B1142" s="296" t="s">
        <v>692</v>
      </c>
      <c r="C1142" s="725">
        <v>42345</v>
      </c>
      <c r="D1142" s="726" t="s">
        <v>1233</v>
      </c>
      <c r="E1142" s="812">
        <v>105</v>
      </c>
      <c r="F1142" s="811">
        <v>170</v>
      </c>
      <c r="G1142" s="811"/>
      <c r="H1142" s="807">
        <f t="shared" si="100"/>
        <v>1.79</v>
      </c>
      <c r="I1142" s="710">
        <v>15</v>
      </c>
      <c r="J1142" s="710">
        <f t="shared" si="101"/>
        <v>26.85</v>
      </c>
      <c r="K1142" s="710">
        <f t="shared" si="102"/>
        <v>13347.785334727425</v>
      </c>
      <c r="L1142" s="656"/>
    </row>
    <row r="1143" spans="1:12" ht="16.5" customHeight="1">
      <c r="A1143" s="709">
        <f t="shared" si="103"/>
        <v>256</v>
      </c>
      <c r="B1143" s="296" t="s">
        <v>1753</v>
      </c>
      <c r="C1143" s="725">
        <v>42345</v>
      </c>
      <c r="D1143" s="726" t="s">
        <v>1233</v>
      </c>
      <c r="E1143" s="812">
        <v>125</v>
      </c>
      <c r="F1143" s="811">
        <v>146</v>
      </c>
      <c r="G1143" s="811"/>
      <c r="H1143" s="807">
        <f t="shared" si="100"/>
        <v>1.83</v>
      </c>
      <c r="I1143" s="710">
        <v>100</v>
      </c>
      <c r="J1143" s="710">
        <f t="shared" si="101"/>
        <v>183</v>
      </c>
      <c r="K1143" s="710">
        <f t="shared" si="102"/>
        <v>13646.059867347034</v>
      </c>
      <c r="L1143" s="656"/>
    </row>
    <row r="1144" spans="1:12" ht="16.5" customHeight="1">
      <c r="A1144" s="709">
        <f t="shared" si="103"/>
        <v>257</v>
      </c>
      <c r="B1144" s="296" t="s">
        <v>1747</v>
      </c>
      <c r="C1144" s="725">
        <v>42345</v>
      </c>
      <c r="D1144" s="726" t="s">
        <v>1233</v>
      </c>
      <c r="E1144" s="812">
        <v>85</v>
      </c>
      <c r="F1144" s="811">
        <v>84</v>
      </c>
      <c r="G1144" s="811"/>
      <c r="H1144" s="807">
        <f t="shared" ref="H1144:H1207" si="104">IF(G1144&lt;&gt;"",ROUND(((E1144+F1144)*2+5)*(F1144+G1144+3)/10000,2),ROUND(E1144*F1144/10000,2))</f>
        <v>0.71</v>
      </c>
      <c r="I1144" s="710">
        <v>130</v>
      </c>
      <c r="J1144" s="710">
        <f t="shared" si="101"/>
        <v>92.3</v>
      </c>
      <c r="K1144" s="710">
        <f t="shared" si="102"/>
        <v>5294.3729539980286</v>
      </c>
      <c r="L1144" s="656"/>
    </row>
    <row r="1145" spans="1:12" ht="16.5" customHeight="1">
      <c r="A1145" s="709">
        <f t="shared" si="103"/>
        <v>258</v>
      </c>
      <c r="B1145" s="296" t="s">
        <v>1826</v>
      </c>
      <c r="C1145" s="725">
        <v>42345</v>
      </c>
      <c r="D1145" s="726" t="s">
        <v>1233</v>
      </c>
      <c r="E1145" s="812">
        <v>100</v>
      </c>
      <c r="F1145" s="811">
        <v>197</v>
      </c>
      <c r="G1145" s="811"/>
      <c r="H1145" s="807">
        <f t="shared" si="104"/>
        <v>1.97</v>
      </c>
      <c r="I1145" s="710">
        <v>70</v>
      </c>
      <c r="J1145" s="710">
        <f t="shared" ref="J1145:J1208" si="105">H1145*I1145</f>
        <v>137.9</v>
      </c>
      <c r="K1145" s="710">
        <f t="shared" ref="K1145:K1208" si="106">H1145*$Q$940</f>
        <v>14690.020731515659</v>
      </c>
      <c r="L1145" s="656"/>
    </row>
    <row r="1146" spans="1:12" ht="16.5" customHeight="1">
      <c r="A1146" s="709">
        <f t="shared" si="103"/>
        <v>259</v>
      </c>
      <c r="B1146" s="296" t="s">
        <v>1827</v>
      </c>
      <c r="C1146" s="725">
        <v>42345</v>
      </c>
      <c r="D1146" s="726" t="s">
        <v>1233</v>
      </c>
      <c r="E1146" s="812">
        <v>100</v>
      </c>
      <c r="F1146" s="811">
        <v>126</v>
      </c>
      <c r="G1146" s="811"/>
      <c r="H1146" s="807">
        <f t="shared" si="104"/>
        <v>1.26</v>
      </c>
      <c r="I1146" s="710">
        <v>55</v>
      </c>
      <c r="J1146" s="710">
        <f t="shared" si="105"/>
        <v>69.3</v>
      </c>
      <c r="K1146" s="710">
        <f t="shared" si="106"/>
        <v>9395.6477775176299</v>
      </c>
      <c r="L1146" s="656"/>
    </row>
    <row r="1147" spans="1:12" ht="16.5" customHeight="1">
      <c r="A1147" s="709">
        <f t="shared" ref="A1147:A1210" si="107">IF(B1147&lt;&gt;"",A1146+1,"")</f>
        <v>260</v>
      </c>
      <c r="B1147" s="296" t="s">
        <v>1828</v>
      </c>
      <c r="C1147" s="725">
        <v>42345</v>
      </c>
      <c r="D1147" s="726" t="s">
        <v>1233</v>
      </c>
      <c r="E1147" s="812">
        <v>90</v>
      </c>
      <c r="F1147" s="811">
        <v>184</v>
      </c>
      <c r="G1147" s="811"/>
      <c r="H1147" s="807">
        <f t="shared" si="104"/>
        <v>1.66</v>
      </c>
      <c r="I1147" s="710">
        <v>55</v>
      </c>
      <c r="J1147" s="710">
        <f t="shared" si="105"/>
        <v>91.3</v>
      </c>
      <c r="K1147" s="710">
        <f t="shared" si="106"/>
        <v>12378.393103713701</v>
      </c>
      <c r="L1147" s="656"/>
    </row>
    <row r="1148" spans="1:12" ht="16.5" customHeight="1">
      <c r="A1148" s="709">
        <f t="shared" si="107"/>
        <v>261</v>
      </c>
      <c r="B1148" s="296" t="s">
        <v>1829</v>
      </c>
      <c r="C1148" s="725">
        <v>42345</v>
      </c>
      <c r="D1148" s="726" t="s">
        <v>1233</v>
      </c>
      <c r="E1148" s="812">
        <v>90</v>
      </c>
      <c r="F1148" s="811">
        <v>128</v>
      </c>
      <c r="G1148" s="811"/>
      <c r="H1148" s="807">
        <f t="shared" si="104"/>
        <v>1.1499999999999999</v>
      </c>
      <c r="I1148" s="710">
        <v>155</v>
      </c>
      <c r="J1148" s="710">
        <f t="shared" si="105"/>
        <v>178.25</v>
      </c>
      <c r="K1148" s="710">
        <f t="shared" si="106"/>
        <v>8575.3928128137086</v>
      </c>
      <c r="L1148" s="656"/>
    </row>
    <row r="1149" spans="1:12" ht="16.5" customHeight="1">
      <c r="A1149" s="709">
        <f t="shared" si="107"/>
        <v>262</v>
      </c>
      <c r="B1149" s="296" t="s">
        <v>747</v>
      </c>
      <c r="C1149" s="725">
        <v>42345</v>
      </c>
      <c r="D1149" s="726" t="s">
        <v>1233</v>
      </c>
      <c r="E1149" s="812">
        <v>73</v>
      </c>
      <c r="F1149" s="811">
        <v>73</v>
      </c>
      <c r="G1149" s="811"/>
      <c r="H1149" s="807">
        <f t="shared" si="104"/>
        <v>0.53</v>
      </c>
      <c r="I1149" s="710">
        <v>1000</v>
      </c>
      <c r="J1149" s="710">
        <f t="shared" si="105"/>
        <v>530</v>
      </c>
      <c r="K1149" s="710">
        <f t="shared" si="106"/>
        <v>3952.1375572097963</v>
      </c>
      <c r="L1149" s="656"/>
    </row>
    <row r="1150" spans="1:12" ht="16.5" customHeight="1">
      <c r="A1150" s="709">
        <f t="shared" si="107"/>
        <v>263</v>
      </c>
      <c r="B1150" s="296" t="s">
        <v>398</v>
      </c>
      <c r="C1150" s="725">
        <v>42346</v>
      </c>
      <c r="D1150" s="726" t="s">
        <v>1234</v>
      </c>
      <c r="E1150" s="812">
        <v>52</v>
      </c>
      <c r="F1150" s="811">
        <v>24.5</v>
      </c>
      <c r="G1150" s="811">
        <v>24.5</v>
      </c>
      <c r="H1150" s="807">
        <f t="shared" si="104"/>
        <v>0.82</v>
      </c>
      <c r="I1150" s="710">
        <v>944</v>
      </c>
      <c r="J1150" s="710">
        <f t="shared" si="105"/>
        <v>774.07999999999993</v>
      </c>
      <c r="K1150" s="710">
        <f t="shared" si="106"/>
        <v>6114.6279187019491</v>
      </c>
      <c r="L1150" s="656"/>
    </row>
    <row r="1151" spans="1:12" ht="16.5" customHeight="1">
      <c r="A1151" s="709">
        <f t="shared" si="107"/>
        <v>264</v>
      </c>
      <c r="B1151" s="296" t="s">
        <v>446</v>
      </c>
      <c r="C1151" s="725">
        <v>42346</v>
      </c>
      <c r="D1151" s="726" t="s">
        <v>1234</v>
      </c>
      <c r="E1151" s="812">
        <v>52</v>
      </c>
      <c r="F1151" s="811">
        <v>26.5</v>
      </c>
      <c r="G1151" s="811">
        <v>26.5</v>
      </c>
      <c r="H1151" s="807">
        <f t="shared" si="104"/>
        <v>0.91</v>
      </c>
      <c r="I1151" s="710">
        <v>640</v>
      </c>
      <c r="J1151" s="710">
        <f t="shared" si="105"/>
        <v>582.4</v>
      </c>
      <c r="K1151" s="710">
        <f t="shared" si="106"/>
        <v>6785.7456170960659</v>
      </c>
      <c r="L1151" s="656"/>
    </row>
    <row r="1152" spans="1:12" ht="16.5" customHeight="1">
      <c r="A1152" s="709">
        <f t="shared" si="107"/>
        <v>265</v>
      </c>
      <c r="B1152" s="296" t="s">
        <v>501</v>
      </c>
      <c r="C1152" s="725">
        <v>42346</v>
      </c>
      <c r="D1152" s="726" t="s">
        <v>1234</v>
      </c>
      <c r="E1152" s="812">
        <v>55</v>
      </c>
      <c r="F1152" s="811">
        <v>45</v>
      </c>
      <c r="G1152" s="811">
        <v>29</v>
      </c>
      <c r="H1152" s="807">
        <f t="shared" si="104"/>
        <v>1.58</v>
      </c>
      <c r="I1152" s="710">
        <v>519</v>
      </c>
      <c r="J1152" s="710">
        <f t="shared" si="105"/>
        <v>820.02</v>
      </c>
      <c r="K1152" s="710">
        <f t="shared" si="106"/>
        <v>11781.844038474488</v>
      </c>
      <c r="L1152" s="656"/>
    </row>
    <row r="1153" spans="1:12" ht="16.5" customHeight="1">
      <c r="A1153" s="709">
        <f t="shared" si="107"/>
        <v>266</v>
      </c>
      <c r="B1153" s="296" t="s">
        <v>1235</v>
      </c>
      <c r="C1153" s="725">
        <v>42346</v>
      </c>
      <c r="D1153" s="726" t="s">
        <v>1236</v>
      </c>
      <c r="E1153" s="812">
        <v>43</v>
      </c>
      <c r="F1153" s="811">
        <v>29</v>
      </c>
      <c r="G1153" s="811">
        <v>20</v>
      </c>
      <c r="H1153" s="807">
        <f t="shared" si="104"/>
        <v>0.77</v>
      </c>
      <c r="I1153" s="710">
        <v>626</v>
      </c>
      <c r="J1153" s="710">
        <f t="shared" si="105"/>
        <v>482.02000000000004</v>
      </c>
      <c r="K1153" s="710">
        <f t="shared" si="106"/>
        <v>5741.7847529274404</v>
      </c>
      <c r="L1153" s="656"/>
    </row>
    <row r="1154" spans="1:12" ht="16.5" customHeight="1">
      <c r="A1154" s="709">
        <f t="shared" si="107"/>
        <v>267</v>
      </c>
      <c r="B1154" s="296" t="s">
        <v>1238</v>
      </c>
      <c r="C1154" s="725">
        <v>42346</v>
      </c>
      <c r="D1154" s="726" t="s">
        <v>1236</v>
      </c>
      <c r="E1154" s="812">
        <v>57</v>
      </c>
      <c r="F1154" s="811">
        <v>38</v>
      </c>
      <c r="G1154" s="811">
        <v>33</v>
      </c>
      <c r="H1154" s="807">
        <f t="shared" si="104"/>
        <v>1.44</v>
      </c>
      <c r="I1154" s="710">
        <v>302</v>
      </c>
      <c r="J1154" s="710">
        <f t="shared" si="105"/>
        <v>434.88</v>
      </c>
      <c r="K1154" s="710">
        <f t="shared" si="106"/>
        <v>10737.883174305862</v>
      </c>
      <c r="L1154" s="656"/>
    </row>
    <row r="1155" spans="1:12" ht="16.5" customHeight="1">
      <c r="A1155" s="709">
        <f t="shared" si="107"/>
        <v>268</v>
      </c>
      <c r="B1155" s="296" t="s">
        <v>1830</v>
      </c>
      <c r="C1155" s="725">
        <v>42346</v>
      </c>
      <c r="D1155" s="726" t="s">
        <v>1239</v>
      </c>
      <c r="E1155" s="812">
        <v>95</v>
      </c>
      <c r="F1155" s="811">
        <v>144</v>
      </c>
      <c r="G1155" s="811"/>
      <c r="H1155" s="807">
        <f t="shared" si="104"/>
        <v>1.37</v>
      </c>
      <c r="I1155" s="710">
        <v>200</v>
      </c>
      <c r="J1155" s="710">
        <f t="shared" si="105"/>
        <v>274</v>
      </c>
      <c r="K1155" s="710">
        <f t="shared" si="106"/>
        <v>10215.902742221549</v>
      </c>
      <c r="L1155" s="656"/>
    </row>
    <row r="1156" spans="1:12" ht="16.5" customHeight="1">
      <c r="A1156" s="709">
        <f t="shared" si="107"/>
        <v>269</v>
      </c>
      <c r="B1156" s="296" t="s">
        <v>1831</v>
      </c>
      <c r="C1156" s="725">
        <v>42346</v>
      </c>
      <c r="D1156" s="726" t="s">
        <v>1239</v>
      </c>
      <c r="E1156" s="812">
        <v>75</v>
      </c>
      <c r="F1156" s="811">
        <v>181</v>
      </c>
      <c r="G1156" s="811"/>
      <c r="H1156" s="807">
        <f t="shared" si="104"/>
        <v>1.36</v>
      </c>
      <c r="I1156" s="710">
        <v>230</v>
      </c>
      <c r="J1156" s="710">
        <f t="shared" si="105"/>
        <v>312.8</v>
      </c>
      <c r="K1156" s="710">
        <f t="shared" si="106"/>
        <v>10141.334109066647</v>
      </c>
      <c r="L1156" s="656"/>
    </row>
    <row r="1157" spans="1:12" ht="16.5" customHeight="1">
      <c r="A1157" s="709">
        <f t="shared" si="107"/>
        <v>270</v>
      </c>
      <c r="B1157" s="296" t="s">
        <v>1832</v>
      </c>
      <c r="C1157" s="725">
        <v>42346</v>
      </c>
      <c r="D1157" s="726" t="s">
        <v>1239</v>
      </c>
      <c r="E1157" s="812">
        <v>138</v>
      </c>
      <c r="F1157" s="811">
        <v>95</v>
      </c>
      <c r="G1157" s="811"/>
      <c r="H1157" s="807">
        <f t="shared" si="104"/>
        <v>1.31</v>
      </c>
      <c r="I1157" s="710">
        <v>140</v>
      </c>
      <c r="J1157" s="710">
        <f t="shared" si="105"/>
        <v>183.4</v>
      </c>
      <c r="K1157" s="710">
        <f t="shared" si="106"/>
        <v>9768.4909432921377</v>
      </c>
      <c r="L1157" s="656"/>
    </row>
    <row r="1158" spans="1:12" ht="16.5" customHeight="1">
      <c r="A1158" s="709">
        <f t="shared" si="107"/>
        <v>271</v>
      </c>
      <c r="B1158" s="296" t="s">
        <v>1833</v>
      </c>
      <c r="C1158" s="725">
        <v>42346</v>
      </c>
      <c r="D1158" s="726" t="s">
        <v>1239</v>
      </c>
      <c r="E1158" s="812">
        <v>100</v>
      </c>
      <c r="F1158" s="811">
        <v>98</v>
      </c>
      <c r="G1158" s="811"/>
      <c r="H1158" s="807">
        <f t="shared" si="104"/>
        <v>0.98</v>
      </c>
      <c r="I1158" s="710">
        <v>125</v>
      </c>
      <c r="J1158" s="710">
        <f t="shared" si="105"/>
        <v>122.5</v>
      </c>
      <c r="K1158" s="710">
        <f t="shared" si="106"/>
        <v>7307.7260491803781</v>
      </c>
      <c r="L1158" s="656"/>
    </row>
    <row r="1159" spans="1:12" ht="16.5" customHeight="1">
      <c r="A1159" s="709">
        <f t="shared" si="107"/>
        <v>272</v>
      </c>
      <c r="B1159" s="296" t="s">
        <v>1834</v>
      </c>
      <c r="C1159" s="725">
        <v>42346</v>
      </c>
      <c r="D1159" s="726" t="s">
        <v>1239</v>
      </c>
      <c r="E1159" s="812">
        <v>125</v>
      </c>
      <c r="F1159" s="811">
        <v>160</v>
      </c>
      <c r="G1159" s="811"/>
      <c r="H1159" s="807">
        <f t="shared" si="104"/>
        <v>2</v>
      </c>
      <c r="I1159" s="710">
        <v>55</v>
      </c>
      <c r="J1159" s="710">
        <f t="shared" si="105"/>
        <v>110</v>
      </c>
      <c r="K1159" s="710">
        <f t="shared" si="106"/>
        <v>14913.726630980364</v>
      </c>
      <c r="L1159" s="656"/>
    </row>
    <row r="1160" spans="1:12" ht="16.5" customHeight="1">
      <c r="A1160" s="709">
        <f t="shared" si="107"/>
        <v>273</v>
      </c>
      <c r="B1160" s="296" t="s">
        <v>1741</v>
      </c>
      <c r="C1160" s="725">
        <v>42346</v>
      </c>
      <c r="D1160" s="726" t="s">
        <v>1239</v>
      </c>
      <c r="E1160" s="812">
        <v>85</v>
      </c>
      <c r="F1160" s="811">
        <v>130</v>
      </c>
      <c r="G1160" s="811"/>
      <c r="H1160" s="807">
        <f t="shared" si="104"/>
        <v>1.1100000000000001</v>
      </c>
      <c r="I1160" s="710">
        <v>20</v>
      </c>
      <c r="J1160" s="710">
        <f t="shared" si="105"/>
        <v>22.200000000000003</v>
      </c>
      <c r="K1160" s="710">
        <f t="shared" si="106"/>
        <v>8277.1182801941031</v>
      </c>
      <c r="L1160" s="656"/>
    </row>
    <row r="1161" spans="1:12" ht="16.5" customHeight="1">
      <c r="A1161" s="709">
        <f t="shared" si="107"/>
        <v>274</v>
      </c>
      <c r="B1161" s="296" t="s">
        <v>1835</v>
      </c>
      <c r="C1161" s="725">
        <v>42346</v>
      </c>
      <c r="D1161" s="726" t="s">
        <v>1239</v>
      </c>
      <c r="E1161" s="812">
        <v>145</v>
      </c>
      <c r="F1161" s="811">
        <v>106</v>
      </c>
      <c r="G1161" s="811"/>
      <c r="H1161" s="807">
        <f t="shared" si="104"/>
        <v>1.54</v>
      </c>
      <c r="I1161" s="710">
        <v>234</v>
      </c>
      <c r="J1161" s="710">
        <f t="shared" si="105"/>
        <v>360.36</v>
      </c>
      <c r="K1161" s="710">
        <f t="shared" si="106"/>
        <v>11483.569505854881</v>
      </c>
      <c r="L1161" s="656"/>
    </row>
    <row r="1162" spans="1:12" ht="16.5" customHeight="1">
      <c r="A1162" s="709">
        <f t="shared" si="107"/>
        <v>275</v>
      </c>
      <c r="B1162" s="296" t="s">
        <v>1836</v>
      </c>
      <c r="C1162" s="725">
        <v>42346</v>
      </c>
      <c r="D1162" s="726" t="s">
        <v>1239</v>
      </c>
      <c r="E1162" s="812">
        <v>155</v>
      </c>
      <c r="F1162" s="811">
        <v>131</v>
      </c>
      <c r="G1162" s="811"/>
      <c r="H1162" s="807">
        <f t="shared" si="104"/>
        <v>2.0299999999999998</v>
      </c>
      <c r="I1162" s="710">
        <v>75</v>
      </c>
      <c r="J1162" s="710">
        <f t="shared" si="105"/>
        <v>152.24999999999997</v>
      </c>
      <c r="K1162" s="710">
        <f t="shared" si="106"/>
        <v>15137.432530445067</v>
      </c>
      <c r="L1162" s="656"/>
    </row>
    <row r="1163" spans="1:12" ht="16.5" customHeight="1">
      <c r="A1163" s="709">
        <f t="shared" si="107"/>
        <v>276</v>
      </c>
      <c r="B1163" s="296" t="s">
        <v>1240</v>
      </c>
      <c r="C1163" s="725">
        <v>42347</v>
      </c>
      <c r="D1163" s="726" t="s">
        <v>1241</v>
      </c>
      <c r="E1163" s="812">
        <v>130</v>
      </c>
      <c r="F1163" s="811">
        <v>50</v>
      </c>
      <c r="G1163" s="811">
        <v>180</v>
      </c>
      <c r="H1163" s="807">
        <f t="shared" si="104"/>
        <v>8.5</v>
      </c>
      <c r="I1163" s="710">
        <v>344</v>
      </c>
      <c r="J1163" s="710">
        <f t="shared" si="105"/>
        <v>2924</v>
      </c>
      <c r="K1163" s="710">
        <f t="shared" si="106"/>
        <v>63383.338181666542</v>
      </c>
      <c r="L1163" s="656"/>
    </row>
    <row r="1164" spans="1:12" ht="16.5" customHeight="1">
      <c r="A1164" s="709">
        <f t="shared" si="107"/>
        <v>277</v>
      </c>
      <c r="B1164" s="296" t="s">
        <v>1837</v>
      </c>
      <c r="C1164" s="725">
        <v>42347</v>
      </c>
      <c r="D1164" s="726" t="s">
        <v>1242</v>
      </c>
      <c r="E1164" s="812">
        <v>145</v>
      </c>
      <c r="F1164" s="811">
        <v>120</v>
      </c>
      <c r="G1164" s="811"/>
      <c r="H1164" s="807">
        <f t="shared" si="104"/>
        <v>1.74</v>
      </c>
      <c r="I1164" s="710">
        <v>1500</v>
      </c>
      <c r="J1164" s="710">
        <f t="shared" si="105"/>
        <v>2610</v>
      </c>
      <c r="K1164" s="710">
        <f t="shared" si="106"/>
        <v>12974.942168952915</v>
      </c>
      <c r="L1164" s="656"/>
    </row>
    <row r="1165" spans="1:12" ht="16.5" customHeight="1">
      <c r="A1165" s="709">
        <f t="shared" si="107"/>
        <v>278</v>
      </c>
      <c r="B1165" s="296" t="s">
        <v>1838</v>
      </c>
      <c r="C1165" s="725">
        <v>42347</v>
      </c>
      <c r="D1165" s="726" t="s">
        <v>1242</v>
      </c>
      <c r="E1165" s="812">
        <v>80</v>
      </c>
      <c r="F1165" s="811">
        <v>130</v>
      </c>
      <c r="G1165" s="811"/>
      <c r="H1165" s="807">
        <f t="shared" si="104"/>
        <v>1.04</v>
      </c>
      <c r="I1165" s="710">
        <v>100</v>
      </c>
      <c r="J1165" s="710">
        <f t="shared" si="105"/>
        <v>104</v>
      </c>
      <c r="K1165" s="710">
        <f t="shared" si="106"/>
        <v>7755.137848109789</v>
      </c>
      <c r="L1165" s="656"/>
    </row>
    <row r="1166" spans="1:12" ht="16.5" customHeight="1">
      <c r="A1166" s="709">
        <f t="shared" si="107"/>
        <v>279</v>
      </c>
      <c r="B1166" s="296" t="s">
        <v>1243</v>
      </c>
      <c r="C1166" s="725">
        <v>42348</v>
      </c>
      <c r="D1166" s="726" t="s">
        <v>1244</v>
      </c>
      <c r="E1166" s="812">
        <v>37</v>
      </c>
      <c r="F1166" s="811">
        <v>30</v>
      </c>
      <c r="G1166" s="811">
        <v>40</v>
      </c>
      <c r="H1166" s="807">
        <f t="shared" si="104"/>
        <v>1.01</v>
      </c>
      <c r="I1166" s="710">
        <v>201</v>
      </c>
      <c r="J1166" s="710">
        <f t="shared" si="105"/>
        <v>203.01</v>
      </c>
      <c r="K1166" s="710">
        <f t="shared" si="106"/>
        <v>7531.431948645084</v>
      </c>
      <c r="L1166" s="656"/>
    </row>
    <row r="1167" spans="1:12" ht="16.5" customHeight="1">
      <c r="A1167" s="709">
        <f t="shared" si="107"/>
        <v>280</v>
      </c>
      <c r="B1167" s="296" t="s">
        <v>1246</v>
      </c>
      <c r="C1167" s="725">
        <v>42348</v>
      </c>
      <c r="D1167" s="726" t="s">
        <v>1244</v>
      </c>
      <c r="E1167" s="812">
        <v>39</v>
      </c>
      <c r="F1167" s="811">
        <v>31.5</v>
      </c>
      <c r="G1167" s="811">
        <v>37</v>
      </c>
      <c r="H1167" s="807">
        <f t="shared" si="104"/>
        <v>1.04</v>
      </c>
      <c r="I1167" s="710">
        <v>200</v>
      </c>
      <c r="J1167" s="710">
        <f t="shared" si="105"/>
        <v>208</v>
      </c>
      <c r="K1167" s="710">
        <f t="shared" si="106"/>
        <v>7755.137848109789</v>
      </c>
      <c r="L1167" s="656"/>
    </row>
    <row r="1168" spans="1:12" ht="16.5" customHeight="1">
      <c r="A1168" s="709">
        <f t="shared" si="107"/>
        <v>281</v>
      </c>
      <c r="B1168" s="296" t="s">
        <v>1247</v>
      </c>
      <c r="C1168" s="725">
        <v>42348</v>
      </c>
      <c r="D1168" s="726" t="s">
        <v>1244</v>
      </c>
      <c r="E1168" s="812">
        <v>41</v>
      </c>
      <c r="F1168" s="811">
        <v>33</v>
      </c>
      <c r="G1168" s="811">
        <v>44</v>
      </c>
      <c r="H1168" s="807">
        <f t="shared" si="104"/>
        <v>1.22</v>
      </c>
      <c r="I1168" s="710">
        <v>216</v>
      </c>
      <c r="J1168" s="710">
        <f t="shared" si="105"/>
        <v>263.52</v>
      </c>
      <c r="K1168" s="710">
        <f t="shared" si="106"/>
        <v>9097.3732448980209</v>
      </c>
      <c r="L1168" s="656"/>
    </row>
    <row r="1169" spans="1:12" ht="16.5" customHeight="1">
      <c r="A1169" s="709">
        <f t="shared" si="107"/>
        <v>282</v>
      </c>
      <c r="B1169" s="296" t="s">
        <v>1248</v>
      </c>
      <c r="C1169" s="725">
        <v>42348</v>
      </c>
      <c r="D1169" s="726" t="s">
        <v>1244</v>
      </c>
      <c r="E1169" s="812">
        <v>37.5</v>
      </c>
      <c r="F1169" s="811">
        <v>30.5</v>
      </c>
      <c r="G1169" s="811">
        <v>42.5</v>
      </c>
      <c r="H1169" s="807">
        <f t="shared" si="104"/>
        <v>1.07</v>
      </c>
      <c r="I1169" s="710">
        <v>200</v>
      </c>
      <c r="J1169" s="710">
        <f t="shared" si="105"/>
        <v>214</v>
      </c>
      <c r="K1169" s="710">
        <f t="shared" si="106"/>
        <v>7978.843747574495</v>
      </c>
      <c r="L1169" s="656"/>
    </row>
    <row r="1170" spans="1:12" ht="16.5" customHeight="1">
      <c r="A1170" s="709">
        <f t="shared" si="107"/>
        <v>283</v>
      </c>
      <c r="B1170" s="296" t="s">
        <v>1249</v>
      </c>
      <c r="C1170" s="725">
        <v>42348</v>
      </c>
      <c r="D1170" s="726" t="s">
        <v>1244</v>
      </c>
      <c r="E1170" s="812">
        <v>56.5</v>
      </c>
      <c r="F1170" s="811">
        <v>45</v>
      </c>
      <c r="G1170" s="811">
        <v>45</v>
      </c>
      <c r="H1170" s="807">
        <f t="shared" si="104"/>
        <v>1.93</v>
      </c>
      <c r="I1170" s="710">
        <v>206</v>
      </c>
      <c r="J1170" s="710">
        <f t="shared" si="105"/>
        <v>397.58</v>
      </c>
      <c r="K1170" s="710">
        <f t="shared" si="106"/>
        <v>14391.746198896049</v>
      </c>
      <c r="L1170" s="656"/>
    </row>
    <row r="1171" spans="1:12" ht="16.5" customHeight="1">
      <c r="A1171" s="709">
        <f t="shared" si="107"/>
        <v>284</v>
      </c>
      <c r="B1171" s="296" t="s">
        <v>1250</v>
      </c>
      <c r="C1171" s="725">
        <v>42348</v>
      </c>
      <c r="D1171" s="726" t="s">
        <v>1244</v>
      </c>
      <c r="E1171" s="812">
        <v>45</v>
      </c>
      <c r="F1171" s="811">
        <v>35.5</v>
      </c>
      <c r="G1171" s="811">
        <v>45</v>
      </c>
      <c r="H1171" s="807">
        <f t="shared" si="104"/>
        <v>1.39</v>
      </c>
      <c r="I1171" s="710">
        <v>197</v>
      </c>
      <c r="J1171" s="710">
        <f t="shared" si="105"/>
        <v>273.83</v>
      </c>
      <c r="K1171" s="710">
        <f t="shared" si="106"/>
        <v>10365.040008531352</v>
      </c>
      <c r="L1171" s="656"/>
    </row>
    <row r="1172" spans="1:12" ht="16.5" customHeight="1">
      <c r="A1172" s="709">
        <f t="shared" si="107"/>
        <v>285</v>
      </c>
      <c r="B1172" s="296" t="s">
        <v>1251</v>
      </c>
      <c r="C1172" s="725">
        <v>42348</v>
      </c>
      <c r="D1172" s="726" t="s">
        <v>1252</v>
      </c>
      <c r="E1172" s="812">
        <v>50</v>
      </c>
      <c r="F1172" s="811">
        <v>37</v>
      </c>
      <c r="G1172" s="811">
        <v>18</v>
      </c>
      <c r="H1172" s="807">
        <f t="shared" si="104"/>
        <v>1.04</v>
      </c>
      <c r="I1172" s="710">
        <v>444</v>
      </c>
      <c r="J1172" s="710">
        <f t="shared" si="105"/>
        <v>461.76</v>
      </c>
      <c r="K1172" s="710">
        <f t="shared" si="106"/>
        <v>7755.137848109789</v>
      </c>
      <c r="L1172" s="656"/>
    </row>
    <row r="1173" spans="1:12" ht="16.5" customHeight="1">
      <c r="A1173" s="709">
        <f t="shared" si="107"/>
        <v>286</v>
      </c>
      <c r="B1173" s="296" t="s">
        <v>1254</v>
      </c>
      <c r="C1173" s="725">
        <v>42348</v>
      </c>
      <c r="D1173" s="726" t="s">
        <v>1252</v>
      </c>
      <c r="E1173" s="812">
        <v>45</v>
      </c>
      <c r="F1173" s="811">
        <v>33</v>
      </c>
      <c r="G1173" s="811">
        <v>46</v>
      </c>
      <c r="H1173" s="807">
        <f t="shared" si="104"/>
        <v>1.32</v>
      </c>
      <c r="I1173" s="710">
        <v>504</v>
      </c>
      <c r="J1173" s="710">
        <f t="shared" si="105"/>
        <v>665.28000000000009</v>
      </c>
      <c r="K1173" s="710">
        <f t="shared" si="106"/>
        <v>9843.0595764470399</v>
      </c>
      <c r="L1173" s="656"/>
    </row>
    <row r="1174" spans="1:12" ht="16.5" customHeight="1">
      <c r="A1174" s="709">
        <f t="shared" si="107"/>
        <v>287</v>
      </c>
      <c r="B1174" s="296" t="s">
        <v>1255</v>
      </c>
      <c r="C1174" s="725">
        <v>42348</v>
      </c>
      <c r="D1174" s="726" t="s">
        <v>1252</v>
      </c>
      <c r="E1174" s="812">
        <v>40</v>
      </c>
      <c r="F1174" s="811">
        <v>25</v>
      </c>
      <c r="G1174" s="811">
        <v>57</v>
      </c>
      <c r="H1174" s="807">
        <f t="shared" si="104"/>
        <v>1.1499999999999999</v>
      </c>
      <c r="I1174" s="710">
        <v>203</v>
      </c>
      <c r="J1174" s="710">
        <f t="shared" si="105"/>
        <v>233.45</v>
      </c>
      <c r="K1174" s="710">
        <f t="shared" si="106"/>
        <v>8575.3928128137086</v>
      </c>
      <c r="L1174" s="656"/>
    </row>
    <row r="1175" spans="1:12" ht="16.5" customHeight="1">
      <c r="A1175" s="709">
        <f t="shared" si="107"/>
        <v>288</v>
      </c>
      <c r="B1175" s="296" t="s">
        <v>1256</v>
      </c>
      <c r="C1175" s="725">
        <v>42348</v>
      </c>
      <c r="D1175" s="726" t="s">
        <v>1252</v>
      </c>
      <c r="E1175" s="812">
        <v>42</v>
      </c>
      <c r="F1175" s="811">
        <v>24</v>
      </c>
      <c r="G1175" s="811">
        <v>25</v>
      </c>
      <c r="H1175" s="807">
        <f t="shared" si="104"/>
        <v>0.71</v>
      </c>
      <c r="I1175" s="710">
        <v>410</v>
      </c>
      <c r="J1175" s="710">
        <f t="shared" si="105"/>
        <v>291.09999999999997</v>
      </c>
      <c r="K1175" s="710">
        <f t="shared" si="106"/>
        <v>5294.3729539980286</v>
      </c>
      <c r="L1175" s="656"/>
    </row>
    <row r="1176" spans="1:12" ht="16.5" customHeight="1">
      <c r="A1176" s="709">
        <f t="shared" si="107"/>
        <v>289</v>
      </c>
      <c r="B1176" s="296" t="s">
        <v>1257</v>
      </c>
      <c r="C1176" s="725">
        <v>42348</v>
      </c>
      <c r="D1176" s="726" t="s">
        <v>1252</v>
      </c>
      <c r="E1176" s="812">
        <v>58</v>
      </c>
      <c r="F1176" s="811">
        <v>40</v>
      </c>
      <c r="G1176" s="811">
        <v>45.5</v>
      </c>
      <c r="H1176" s="807">
        <f t="shared" si="104"/>
        <v>1.78</v>
      </c>
      <c r="I1176" s="710">
        <v>300</v>
      </c>
      <c r="J1176" s="710">
        <f t="shared" si="105"/>
        <v>534</v>
      </c>
      <c r="K1176" s="710">
        <f t="shared" si="106"/>
        <v>13273.216701572524</v>
      </c>
      <c r="L1176" s="656"/>
    </row>
    <row r="1177" spans="1:12" ht="16.5" customHeight="1">
      <c r="A1177" s="709">
        <f t="shared" si="107"/>
        <v>290</v>
      </c>
      <c r="B1177" s="296" t="s">
        <v>1839</v>
      </c>
      <c r="C1177" s="725">
        <v>42348</v>
      </c>
      <c r="D1177" s="726" t="s">
        <v>1258</v>
      </c>
      <c r="E1177" s="812">
        <v>135</v>
      </c>
      <c r="F1177" s="811">
        <v>126</v>
      </c>
      <c r="G1177" s="811"/>
      <c r="H1177" s="807">
        <f t="shared" si="104"/>
        <v>1.7</v>
      </c>
      <c r="I1177" s="710">
        <v>107</v>
      </c>
      <c r="J1177" s="710">
        <f t="shared" si="105"/>
        <v>181.9</v>
      </c>
      <c r="K1177" s="710">
        <f t="shared" si="106"/>
        <v>12676.667636333308</v>
      </c>
      <c r="L1177" s="656"/>
    </row>
    <row r="1178" spans="1:12" ht="16.5" customHeight="1">
      <c r="A1178" s="709">
        <f t="shared" si="107"/>
        <v>291</v>
      </c>
      <c r="B1178" s="296" t="s">
        <v>1840</v>
      </c>
      <c r="C1178" s="725">
        <v>42348</v>
      </c>
      <c r="D1178" s="726" t="s">
        <v>1258</v>
      </c>
      <c r="E1178" s="812">
        <v>130</v>
      </c>
      <c r="F1178" s="811">
        <v>128</v>
      </c>
      <c r="G1178" s="811"/>
      <c r="H1178" s="807">
        <f t="shared" si="104"/>
        <v>1.66</v>
      </c>
      <c r="I1178" s="710">
        <v>205</v>
      </c>
      <c r="J1178" s="710">
        <f t="shared" si="105"/>
        <v>340.3</v>
      </c>
      <c r="K1178" s="710">
        <f t="shared" si="106"/>
        <v>12378.393103713701</v>
      </c>
      <c r="L1178" s="656"/>
    </row>
    <row r="1179" spans="1:12" ht="16.5" customHeight="1">
      <c r="A1179" s="709">
        <f t="shared" si="107"/>
        <v>292</v>
      </c>
      <c r="B1179" s="296" t="s">
        <v>692</v>
      </c>
      <c r="C1179" s="725">
        <v>42348</v>
      </c>
      <c r="D1179" s="726" t="s">
        <v>1258</v>
      </c>
      <c r="E1179" s="812">
        <v>105</v>
      </c>
      <c r="F1179" s="811">
        <v>170</v>
      </c>
      <c r="G1179" s="811"/>
      <c r="H1179" s="807">
        <f t="shared" si="104"/>
        <v>1.79</v>
      </c>
      <c r="I1179" s="710">
        <v>30</v>
      </c>
      <c r="J1179" s="710">
        <f t="shared" si="105"/>
        <v>53.7</v>
      </c>
      <c r="K1179" s="710">
        <f t="shared" si="106"/>
        <v>13347.785334727425</v>
      </c>
      <c r="L1179" s="656"/>
    </row>
    <row r="1180" spans="1:12" ht="16.5" customHeight="1">
      <c r="A1180" s="709">
        <f t="shared" si="107"/>
        <v>293</v>
      </c>
      <c r="B1180" s="296" t="s">
        <v>1841</v>
      </c>
      <c r="C1180" s="725">
        <v>42348</v>
      </c>
      <c r="D1180" s="726" t="s">
        <v>1258</v>
      </c>
      <c r="E1180" s="812">
        <v>90</v>
      </c>
      <c r="F1180" s="811">
        <v>115</v>
      </c>
      <c r="G1180" s="811"/>
      <c r="H1180" s="807">
        <f t="shared" si="104"/>
        <v>1.04</v>
      </c>
      <c r="I1180" s="710">
        <v>125</v>
      </c>
      <c r="J1180" s="710">
        <f t="shared" si="105"/>
        <v>130</v>
      </c>
      <c r="K1180" s="710">
        <f t="shared" si="106"/>
        <v>7755.137848109789</v>
      </c>
      <c r="L1180" s="656"/>
    </row>
    <row r="1181" spans="1:12" ht="16.5" customHeight="1">
      <c r="A1181" s="709">
        <f t="shared" si="107"/>
        <v>294</v>
      </c>
      <c r="B1181" s="296" t="s">
        <v>694</v>
      </c>
      <c r="C1181" s="725">
        <v>42348</v>
      </c>
      <c r="D1181" s="726" t="s">
        <v>1258</v>
      </c>
      <c r="E1181" s="812">
        <v>105</v>
      </c>
      <c r="F1181" s="811">
        <v>140</v>
      </c>
      <c r="G1181" s="811"/>
      <c r="H1181" s="807">
        <f t="shared" si="104"/>
        <v>1.47</v>
      </c>
      <c r="I1181" s="710">
        <v>100</v>
      </c>
      <c r="J1181" s="710">
        <f t="shared" si="105"/>
        <v>147</v>
      </c>
      <c r="K1181" s="710">
        <f t="shared" si="106"/>
        <v>10961.589073770567</v>
      </c>
      <c r="L1181" s="656"/>
    </row>
    <row r="1182" spans="1:12" ht="16.5" customHeight="1">
      <c r="A1182" s="709">
        <f t="shared" si="107"/>
        <v>295</v>
      </c>
      <c r="B1182" s="296" t="s">
        <v>694</v>
      </c>
      <c r="C1182" s="725">
        <v>42348</v>
      </c>
      <c r="D1182" s="726" t="s">
        <v>1258</v>
      </c>
      <c r="E1182" s="812">
        <v>105</v>
      </c>
      <c r="F1182" s="811">
        <v>140</v>
      </c>
      <c r="G1182" s="811"/>
      <c r="H1182" s="807">
        <f t="shared" si="104"/>
        <v>1.47</v>
      </c>
      <c r="I1182" s="710">
        <v>20</v>
      </c>
      <c r="J1182" s="710">
        <f t="shared" si="105"/>
        <v>29.4</v>
      </c>
      <c r="K1182" s="710">
        <f t="shared" si="106"/>
        <v>10961.589073770567</v>
      </c>
      <c r="L1182" s="656"/>
    </row>
    <row r="1183" spans="1:12" ht="16.5" customHeight="1">
      <c r="A1183" s="709">
        <f t="shared" si="107"/>
        <v>296</v>
      </c>
      <c r="B1183" s="296" t="s">
        <v>1842</v>
      </c>
      <c r="C1183" s="725">
        <v>42348</v>
      </c>
      <c r="D1183" s="726" t="s">
        <v>1258</v>
      </c>
      <c r="E1183" s="812">
        <v>130</v>
      </c>
      <c r="F1183" s="811">
        <v>129</v>
      </c>
      <c r="G1183" s="811"/>
      <c r="H1183" s="807">
        <f t="shared" si="104"/>
        <v>1.68</v>
      </c>
      <c r="I1183" s="710">
        <v>24</v>
      </c>
      <c r="J1183" s="710">
        <f t="shared" si="105"/>
        <v>40.32</v>
      </c>
      <c r="K1183" s="710">
        <f t="shared" si="106"/>
        <v>12527.530370023505</v>
      </c>
      <c r="L1183" s="656"/>
    </row>
    <row r="1184" spans="1:12" ht="16.5" customHeight="1">
      <c r="A1184" s="709">
        <f t="shared" si="107"/>
        <v>297</v>
      </c>
      <c r="B1184" s="296" t="s">
        <v>742</v>
      </c>
      <c r="C1184" s="725">
        <v>42348</v>
      </c>
      <c r="D1184" s="726" t="s">
        <v>1258</v>
      </c>
      <c r="E1184" s="812">
        <v>140</v>
      </c>
      <c r="F1184" s="811">
        <v>140</v>
      </c>
      <c r="G1184" s="811"/>
      <c r="H1184" s="807">
        <f t="shared" si="104"/>
        <v>1.96</v>
      </c>
      <c r="I1184" s="710">
        <v>400</v>
      </c>
      <c r="J1184" s="710">
        <f t="shared" si="105"/>
        <v>784</v>
      </c>
      <c r="K1184" s="710">
        <f t="shared" si="106"/>
        <v>14615.452098360756</v>
      </c>
      <c r="L1184" s="656"/>
    </row>
    <row r="1185" spans="1:12" ht="16.5" customHeight="1">
      <c r="A1185" s="709">
        <f t="shared" si="107"/>
        <v>298</v>
      </c>
      <c r="B1185" s="296" t="s">
        <v>999</v>
      </c>
      <c r="C1185" s="725">
        <v>42350</v>
      </c>
      <c r="D1185" s="726" t="s">
        <v>1259</v>
      </c>
      <c r="E1185" s="812">
        <v>40</v>
      </c>
      <c r="F1185" s="811">
        <v>30</v>
      </c>
      <c r="G1185" s="811">
        <v>18.5</v>
      </c>
      <c r="H1185" s="807">
        <f t="shared" si="104"/>
        <v>0.75</v>
      </c>
      <c r="I1185" s="710">
        <v>201</v>
      </c>
      <c r="J1185" s="710">
        <f t="shared" si="105"/>
        <v>150.75</v>
      </c>
      <c r="K1185" s="710">
        <f t="shared" si="106"/>
        <v>5592.6474866176359</v>
      </c>
      <c r="L1185" s="656"/>
    </row>
    <row r="1186" spans="1:12" ht="16.5" customHeight="1">
      <c r="A1186" s="709">
        <f t="shared" si="107"/>
        <v>299</v>
      </c>
      <c r="B1186" s="296" t="s">
        <v>1260</v>
      </c>
      <c r="C1186" s="725">
        <v>42350</v>
      </c>
      <c r="D1186" s="726" t="s">
        <v>1261</v>
      </c>
      <c r="E1186" s="812">
        <v>33</v>
      </c>
      <c r="F1186" s="811">
        <v>31</v>
      </c>
      <c r="G1186" s="811">
        <v>8.5</v>
      </c>
      <c r="H1186" s="807">
        <f t="shared" si="104"/>
        <v>0.56999999999999995</v>
      </c>
      <c r="I1186" s="710">
        <v>403</v>
      </c>
      <c r="J1186" s="710">
        <f t="shared" si="105"/>
        <v>229.70999999999998</v>
      </c>
      <c r="K1186" s="710">
        <f t="shared" si="106"/>
        <v>4250.4120898294032</v>
      </c>
      <c r="L1186" s="656"/>
    </row>
    <row r="1187" spans="1:12" ht="16.5" customHeight="1">
      <c r="A1187" s="709">
        <f t="shared" si="107"/>
        <v>300</v>
      </c>
      <c r="B1187" s="296" t="s">
        <v>1262</v>
      </c>
      <c r="C1187" s="725">
        <v>42350</v>
      </c>
      <c r="D1187" s="726" t="s">
        <v>1261</v>
      </c>
      <c r="E1187" s="812">
        <v>33</v>
      </c>
      <c r="F1187" s="811">
        <v>31</v>
      </c>
      <c r="G1187" s="811">
        <v>12.3</v>
      </c>
      <c r="H1187" s="807">
        <f t="shared" si="104"/>
        <v>0.62</v>
      </c>
      <c r="I1187" s="710">
        <v>101</v>
      </c>
      <c r="J1187" s="710">
        <f t="shared" si="105"/>
        <v>62.62</v>
      </c>
      <c r="K1187" s="710">
        <f t="shared" si="106"/>
        <v>4623.2552556039127</v>
      </c>
      <c r="L1187" s="656"/>
    </row>
    <row r="1188" spans="1:12" ht="16.5" customHeight="1">
      <c r="A1188" s="709">
        <f t="shared" si="107"/>
        <v>301</v>
      </c>
      <c r="B1188" s="296" t="s">
        <v>1263</v>
      </c>
      <c r="C1188" s="725">
        <v>42350</v>
      </c>
      <c r="D1188" s="726" t="s">
        <v>1261</v>
      </c>
      <c r="E1188" s="812">
        <v>52</v>
      </c>
      <c r="F1188" s="811">
        <v>29</v>
      </c>
      <c r="G1188" s="811">
        <v>11.8</v>
      </c>
      <c r="H1188" s="807">
        <f t="shared" si="104"/>
        <v>0.73</v>
      </c>
      <c r="I1188" s="710">
        <v>106</v>
      </c>
      <c r="J1188" s="710">
        <f t="shared" si="105"/>
        <v>77.38</v>
      </c>
      <c r="K1188" s="710">
        <f t="shared" si="106"/>
        <v>5443.5102203078322</v>
      </c>
      <c r="L1188" s="656"/>
    </row>
    <row r="1189" spans="1:12" ht="16.5" customHeight="1">
      <c r="A1189" s="709">
        <f t="shared" si="107"/>
        <v>302</v>
      </c>
      <c r="B1189" s="296" t="s">
        <v>439</v>
      </c>
      <c r="C1189" s="725">
        <v>42350</v>
      </c>
      <c r="D1189" s="726" t="s">
        <v>1261</v>
      </c>
      <c r="E1189" s="812">
        <v>51.5</v>
      </c>
      <c r="F1189" s="811">
        <v>28.5</v>
      </c>
      <c r="G1189" s="811">
        <v>7.2</v>
      </c>
      <c r="H1189" s="807">
        <f t="shared" si="104"/>
        <v>0.64</v>
      </c>
      <c r="I1189" s="710">
        <v>500</v>
      </c>
      <c r="J1189" s="710">
        <f t="shared" si="105"/>
        <v>320</v>
      </c>
      <c r="K1189" s="710">
        <f t="shared" si="106"/>
        <v>4772.3925219137163</v>
      </c>
      <c r="L1189" s="656"/>
    </row>
    <row r="1190" spans="1:12" ht="16.5" customHeight="1">
      <c r="A1190" s="709">
        <f t="shared" si="107"/>
        <v>303</v>
      </c>
      <c r="B1190" s="296" t="s">
        <v>1264</v>
      </c>
      <c r="C1190" s="725">
        <v>42353</v>
      </c>
      <c r="D1190" s="726" t="s">
        <v>1265</v>
      </c>
      <c r="E1190" s="812">
        <v>39</v>
      </c>
      <c r="F1190" s="811">
        <v>34</v>
      </c>
      <c r="G1190" s="811">
        <v>22.5</v>
      </c>
      <c r="H1190" s="807">
        <f t="shared" si="104"/>
        <v>0.9</v>
      </c>
      <c r="I1190" s="710">
        <v>244</v>
      </c>
      <c r="J1190" s="710">
        <f t="shared" si="105"/>
        <v>219.6</v>
      </c>
      <c r="K1190" s="710">
        <f t="shared" si="106"/>
        <v>6711.1769839411636</v>
      </c>
      <c r="L1190" s="656"/>
    </row>
    <row r="1191" spans="1:12" ht="16.5" customHeight="1">
      <c r="A1191" s="709">
        <f t="shared" si="107"/>
        <v>304</v>
      </c>
      <c r="B1191" s="296" t="s">
        <v>1686</v>
      </c>
      <c r="C1191" s="725">
        <v>42353</v>
      </c>
      <c r="D1191" s="726" t="s">
        <v>1265</v>
      </c>
      <c r="E1191" s="812">
        <v>37</v>
      </c>
      <c r="F1191" s="811">
        <v>31</v>
      </c>
      <c r="G1191" s="811"/>
      <c r="H1191" s="807">
        <f t="shared" si="104"/>
        <v>0.11</v>
      </c>
      <c r="I1191" s="710">
        <v>488</v>
      </c>
      <c r="J1191" s="710">
        <f t="shared" si="105"/>
        <v>53.68</v>
      </c>
      <c r="K1191" s="710">
        <f t="shared" si="106"/>
        <v>820.25496470392</v>
      </c>
      <c r="L1191" s="656"/>
    </row>
    <row r="1192" spans="1:12" ht="16.5" customHeight="1">
      <c r="A1192" s="709">
        <f t="shared" si="107"/>
        <v>305</v>
      </c>
      <c r="B1192" s="296" t="s">
        <v>1030</v>
      </c>
      <c r="C1192" s="725">
        <v>42353</v>
      </c>
      <c r="D1192" s="726" t="s">
        <v>1266</v>
      </c>
      <c r="E1192" s="812">
        <v>55</v>
      </c>
      <c r="F1192" s="811">
        <v>47</v>
      </c>
      <c r="G1192" s="811">
        <v>27</v>
      </c>
      <c r="H1192" s="807">
        <f t="shared" si="104"/>
        <v>1.61</v>
      </c>
      <c r="I1192" s="710">
        <v>508</v>
      </c>
      <c r="J1192" s="710">
        <f t="shared" si="105"/>
        <v>817.88</v>
      </c>
      <c r="K1192" s="710">
        <f t="shared" si="106"/>
        <v>12005.549937939193</v>
      </c>
      <c r="L1192" s="656"/>
    </row>
    <row r="1193" spans="1:12" ht="16.5" customHeight="1">
      <c r="A1193" s="709">
        <f t="shared" si="107"/>
        <v>306</v>
      </c>
      <c r="B1193" s="296" t="s">
        <v>1267</v>
      </c>
      <c r="C1193" s="725">
        <v>42353</v>
      </c>
      <c r="D1193" s="726" t="s">
        <v>1268</v>
      </c>
      <c r="E1193" s="812">
        <v>36.5</v>
      </c>
      <c r="F1193" s="811">
        <v>29.5</v>
      </c>
      <c r="G1193" s="811">
        <v>26</v>
      </c>
      <c r="H1193" s="807">
        <f t="shared" si="104"/>
        <v>0.8</v>
      </c>
      <c r="I1193" s="710">
        <v>130</v>
      </c>
      <c r="J1193" s="710">
        <f t="shared" si="105"/>
        <v>104</v>
      </c>
      <c r="K1193" s="710">
        <f t="shared" si="106"/>
        <v>5965.4906523921454</v>
      </c>
      <c r="L1193" s="656"/>
    </row>
    <row r="1194" spans="1:12" ht="16.5" customHeight="1">
      <c r="A1194" s="709">
        <f t="shared" si="107"/>
        <v>307</v>
      </c>
      <c r="B1194" s="296" t="s">
        <v>906</v>
      </c>
      <c r="C1194" s="725">
        <v>42355</v>
      </c>
      <c r="D1194" s="726" t="s">
        <v>1269</v>
      </c>
      <c r="E1194" s="812">
        <v>43.5</v>
      </c>
      <c r="F1194" s="811">
        <v>31</v>
      </c>
      <c r="G1194" s="811">
        <v>24.8</v>
      </c>
      <c r="H1194" s="807">
        <f t="shared" si="104"/>
        <v>0.91</v>
      </c>
      <c r="I1194" s="710">
        <v>302</v>
      </c>
      <c r="J1194" s="710">
        <f t="shared" si="105"/>
        <v>274.82</v>
      </c>
      <c r="K1194" s="710">
        <f t="shared" si="106"/>
        <v>6785.7456170960659</v>
      </c>
      <c r="L1194" s="656"/>
    </row>
    <row r="1195" spans="1:12" ht="16.5" customHeight="1">
      <c r="A1195" s="709">
        <f t="shared" si="107"/>
        <v>308</v>
      </c>
      <c r="B1195" s="296" t="s">
        <v>906</v>
      </c>
      <c r="C1195" s="725">
        <v>42355</v>
      </c>
      <c r="D1195" s="726" t="s">
        <v>1269</v>
      </c>
      <c r="E1195" s="812">
        <v>43.5</v>
      </c>
      <c r="F1195" s="811">
        <v>31</v>
      </c>
      <c r="G1195" s="811">
        <v>24.8</v>
      </c>
      <c r="H1195" s="807">
        <f t="shared" si="104"/>
        <v>0.91</v>
      </c>
      <c r="I1195" s="710">
        <v>300</v>
      </c>
      <c r="J1195" s="710">
        <f t="shared" si="105"/>
        <v>273</v>
      </c>
      <c r="K1195" s="710">
        <f t="shared" si="106"/>
        <v>6785.7456170960659</v>
      </c>
      <c r="L1195" s="656"/>
    </row>
    <row r="1196" spans="1:12" ht="16.5" customHeight="1">
      <c r="A1196" s="709">
        <f t="shared" si="107"/>
        <v>309</v>
      </c>
      <c r="B1196" s="296" t="s">
        <v>614</v>
      </c>
      <c r="C1196" s="725">
        <v>42355</v>
      </c>
      <c r="D1196" s="726" t="s">
        <v>1269</v>
      </c>
      <c r="E1196" s="812">
        <v>36.5</v>
      </c>
      <c r="F1196" s="811">
        <v>20.5</v>
      </c>
      <c r="G1196" s="811">
        <v>32</v>
      </c>
      <c r="H1196" s="807">
        <f t="shared" si="104"/>
        <v>0.66</v>
      </c>
      <c r="I1196" s="710">
        <v>300</v>
      </c>
      <c r="J1196" s="710">
        <f t="shared" si="105"/>
        <v>198</v>
      </c>
      <c r="K1196" s="710">
        <f t="shared" si="106"/>
        <v>4921.52978822352</v>
      </c>
      <c r="L1196" s="656"/>
    </row>
    <row r="1197" spans="1:12" ht="16.5" customHeight="1">
      <c r="A1197" s="709">
        <f t="shared" si="107"/>
        <v>310</v>
      </c>
      <c r="B1197" s="296" t="s">
        <v>614</v>
      </c>
      <c r="C1197" s="725">
        <v>42355</v>
      </c>
      <c r="D1197" s="726" t="s">
        <v>1269</v>
      </c>
      <c r="E1197" s="812">
        <v>36.5</v>
      </c>
      <c r="F1197" s="811">
        <v>20.5</v>
      </c>
      <c r="G1197" s="811">
        <v>32</v>
      </c>
      <c r="H1197" s="807">
        <f t="shared" si="104"/>
        <v>0.66</v>
      </c>
      <c r="I1197" s="710">
        <v>298</v>
      </c>
      <c r="J1197" s="710">
        <f t="shared" si="105"/>
        <v>196.68</v>
      </c>
      <c r="K1197" s="710">
        <f t="shared" si="106"/>
        <v>4921.52978822352</v>
      </c>
      <c r="L1197" s="656"/>
    </row>
    <row r="1198" spans="1:12" ht="16.5" customHeight="1">
      <c r="A1198" s="709">
        <f t="shared" si="107"/>
        <v>311</v>
      </c>
      <c r="B1198" s="296" t="s">
        <v>614</v>
      </c>
      <c r="C1198" s="725">
        <v>42355</v>
      </c>
      <c r="D1198" s="726" t="s">
        <v>1269</v>
      </c>
      <c r="E1198" s="812">
        <v>36.5</v>
      </c>
      <c r="F1198" s="811">
        <v>20.5</v>
      </c>
      <c r="G1198" s="811">
        <v>32</v>
      </c>
      <c r="H1198" s="807">
        <f t="shared" si="104"/>
        <v>0.66</v>
      </c>
      <c r="I1198" s="710">
        <v>300</v>
      </c>
      <c r="J1198" s="710">
        <f t="shared" si="105"/>
        <v>198</v>
      </c>
      <c r="K1198" s="710">
        <f t="shared" si="106"/>
        <v>4921.52978822352</v>
      </c>
      <c r="L1198" s="656"/>
    </row>
    <row r="1199" spans="1:12" ht="16.5" customHeight="1">
      <c r="A1199" s="709">
        <f t="shared" si="107"/>
        <v>312</v>
      </c>
      <c r="B1199" s="296" t="s">
        <v>614</v>
      </c>
      <c r="C1199" s="725">
        <v>42355</v>
      </c>
      <c r="D1199" s="726" t="s">
        <v>1269</v>
      </c>
      <c r="E1199" s="812">
        <v>36.5</v>
      </c>
      <c r="F1199" s="811">
        <v>20.5</v>
      </c>
      <c r="G1199" s="811">
        <v>32</v>
      </c>
      <c r="H1199" s="807">
        <f t="shared" si="104"/>
        <v>0.66</v>
      </c>
      <c r="I1199" s="710">
        <v>300</v>
      </c>
      <c r="J1199" s="710">
        <f t="shared" si="105"/>
        <v>198</v>
      </c>
      <c r="K1199" s="710">
        <f t="shared" si="106"/>
        <v>4921.52978822352</v>
      </c>
      <c r="L1199" s="656"/>
    </row>
    <row r="1200" spans="1:12" ht="16.5" customHeight="1">
      <c r="A1200" s="709">
        <f t="shared" si="107"/>
        <v>313</v>
      </c>
      <c r="B1200" s="296" t="s">
        <v>614</v>
      </c>
      <c r="C1200" s="725">
        <v>42355</v>
      </c>
      <c r="D1200" s="726" t="s">
        <v>1269</v>
      </c>
      <c r="E1200" s="812">
        <v>36.5</v>
      </c>
      <c r="F1200" s="811">
        <v>20.5</v>
      </c>
      <c r="G1200" s="811">
        <v>32</v>
      </c>
      <c r="H1200" s="807">
        <f t="shared" si="104"/>
        <v>0.66</v>
      </c>
      <c r="I1200" s="710">
        <v>300</v>
      </c>
      <c r="J1200" s="710">
        <f t="shared" si="105"/>
        <v>198</v>
      </c>
      <c r="K1200" s="710">
        <f t="shared" si="106"/>
        <v>4921.52978822352</v>
      </c>
      <c r="L1200" s="656"/>
    </row>
    <row r="1201" spans="1:12" ht="16.5" customHeight="1">
      <c r="A1201" s="709">
        <f t="shared" si="107"/>
        <v>314</v>
      </c>
      <c r="B1201" s="296" t="s">
        <v>1270</v>
      </c>
      <c r="C1201" s="725">
        <v>42355</v>
      </c>
      <c r="D1201" s="726" t="s">
        <v>1271</v>
      </c>
      <c r="E1201" s="812">
        <v>62.5</v>
      </c>
      <c r="F1201" s="811">
        <v>32.5</v>
      </c>
      <c r="G1201" s="811">
        <v>43</v>
      </c>
      <c r="H1201" s="807">
        <f t="shared" si="104"/>
        <v>1.53</v>
      </c>
      <c r="I1201" s="710">
        <v>100</v>
      </c>
      <c r="J1201" s="710">
        <f t="shared" si="105"/>
        <v>153</v>
      </c>
      <c r="K1201" s="710">
        <f t="shared" si="106"/>
        <v>11409.000872699979</v>
      </c>
      <c r="L1201" s="656"/>
    </row>
    <row r="1202" spans="1:12" ht="16.5" customHeight="1">
      <c r="A1202" s="709">
        <f t="shared" si="107"/>
        <v>315</v>
      </c>
      <c r="B1202" s="296" t="s">
        <v>1273</v>
      </c>
      <c r="C1202" s="725">
        <v>42356</v>
      </c>
      <c r="D1202" s="726" t="s">
        <v>1274</v>
      </c>
      <c r="E1202" s="812">
        <v>36.5</v>
      </c>
      <c r="F1202" s="811">
        <v>28</v>
      </c>
      <c r="G1202" s="811">
        <v>22</v>
      </c>
      <c r="H1202" s="807">
        <f t="shared" si="104"/>
        <v>0.71</v>
      </c>
      <c r="I1202" s="710">
        <v>241</v>
      </c>
      <c r="J1202" s="710">
        <f t="shared" si="105"/>
        <v>171.10999999999999</v>
      </c>
      <c r="K1202" s="710">
        <f t="shared" si="106"/>
        <v>5294.3729539980286</v>
      </c>
      <c r="L1202" s="656"/>
    </row>
    <row r="1203" spans="1:12" ht="16.5" customHeight="1">
      <c r="A1203" s="709">
        <f t="shared" si="107"/>
        <v>316</v>
      </c>
      <c r="B1203" s="296" t="s">
        <v>1687</v>
      </c>
      <c r="C1203" s="725">
        <v>42356</v>
      </c>
      <c r="D1203" s="726" t="s">
        <v>1274</v>
      </c>
      <c r="E1203" s="812">
        <v>34</v>
      </c>
      <c r="F1203" s="811">
        <v>25</v>
      </c>
      <c r="G1203" s="811"/>
      <c r="H1203" s="807">
        <f t="shared" si="104"/>
        <v>0.09</v>
      </c>
      <c r="I1203" s="710">
        <v>241</v>
      </c>
      <c r="J1203" s="710">
        <f t="shared" si="105"/>
        <v>21.689999999999998</v>
      </c>
      <c r="K1203" s="710">
        <f t="shared" si="106"/>
        <v>671.11769839411636</v>
      </c>
      <c r="L1203" s="656"/>
    </row>
    <row r="1204" spans="1:12" ht="16.5" customHeight="1">
      <c r="A1204" s="709">
        <f t="shared" si="107"/>
        <v>317</v>
      </c>
      <c r="B1204" s="296" t="s">
        <v>1777</v>
      </c>
      <c r="C1204" s="725">
        <v>42356</v>
      </c>
      <c r="D1204" s="726" t="s">
        <v>1275</v>
      </c>
      <c r="E1204" s="812">
        <v>85</v>
      </c>
      <c r="F1204" s="811">
        <v>186</v>
      </c>
      <c r="G1204" s="811"/>
      <c r="H1204" s="807">
        <f t="shared" si="104"/>
        <v>1.58</v>
      </c>
      <c r="I1204" s="710">
        <v>480</v>
      </c>
      <c r="J1204" s="710">
        <f t="shared" si="105"/>
        <v>758.40000000000009</v>
      </c>
      <c r="K1204" s="710">
        <f t="shared" si="106"/>
        <v>11781.844038474488</v>
      </c>
      <c r="L1204" s="656"/>
    </row>
    <row r="1205" spans="1:12" ht="16.5" customHeight="1">
      <c r="A1205" s="709">
        <f t="shared" si="107"/>
        <v>318</v>
      </c>
      <c r="B1205" s="296" t="s">
        <v>728</v>
      </c>
      <c r="C1205" s="725">
        <v>42356</v>
      </c>
      <c r="D1205" s="726" t="s">
        <v>1275</v>
      </c>
      <c r="E1205" s="812">
        <v>80</v>
      </c>
      <c r="F1205" s="811">
        <v>212</v>
      </c>
      <c r="G1205" s="811"/>
      <c r="H1205" s="807">
        <f t="shared" si="104"/>
        <v>1.7</v>
      </c>
      <c r="I1205" s="710">
        <v>500</v>
      </c>
      <c r="J1205" s="710">
        <f t="shared" si="105"/>
        <v>850</v>
      </c>
      <c r="K1205" s="710">
        <f t="shared" si="106"/>
        <v>12676.667636333308</v>
      </c>
      <c r="L1205" s="656"/>
    </row>
    <row r="1206" spans="1:12" ht="16.5" customHeight="1">
      <c r="A1206" s="709">
        <f t="shared" si="107"/>
        <v>319</v>
      </c>
      <c r="B1206" s="296" t="s">
        <v>745</v>
      </c>
      <c r="C1206" s="725">
        <v>42356</v>
      </c>
      <c r="D1206" s="726" t="s">
        <v>1275</v>
      </c>
      <c r="E1206" s="812">
        <v>85</v>
      </c>
      <c r="F1206" s="811">
        <v>125</v>
      </c>
      <c r="G1206" s="811"/>
      <c r="H1206" s="807">
        <f t="shared" si="104"/>
        <v>1.06</v>
      </c>
      <c r="I1206" s="710">
        <v>500</v>
      </c>
      <c r="J1206" s="710">
        <f t="shared" si="105"/>
        <v>530</v>
      </c>
      <c r="K1206" s="710">
        <f t="shared" si="106"/>
        <v>7904.2751144195927</v>
      </c>
      <c r="L1206" s="656"/>
    </row>
    <row r="1207" spans="1:12" ht="16.5" customHeight="1">
      <c r="A1207" s="709">
        <f t="shared" si="107"/>
        <v>320</v>
      </c>
      <c r="B1207" s="296" t="s">
        <v>1749</v>
      </c>
      <c r="C1207" s="725">
        <v>42356</v>
      </c>
      <c r="D1207" s="726" t="s">
        <v>1275</v>
      </c>
      <c r="E1207" s="812">
        <v>125</v>
      </c>
      <c r="F1207" s="811">
        <v>148</v>
      </c>
      <c r="G1207" s="811"/>
      <c r="H1207" s="807">
        <f t="shared" si="104"/>
        <v>1.85</v>
      </c>
      <c r="I1207" s="710">
        <v>50</v>
      </c>
      <c r="J1207" s="710">
        <f t="shared" si="105"/>
        <v>92.5</v>
      </c>
      <c r="K1207" s="710">
        <f t="shared" si="106"/>
        <v>13795.197133656837</v>
      </c>
      <c r="L1207" s="656"/>
    </row>
    <row r="1208" spans="1:12" ht="16.5" customHeight="1">
      <c r="A1208" s="709">
        <f t="shared" si="107"/>
        <v>321</v>
      </c>
      <c r="B1208" s="296" t="s">
        <v>424</v>
      </c>
      <c r="C1208" s="725">
        <v>42357</v>
      </c>
      <c r="D1208" s="726" t="s">
        <v>1276</v>
      </c>
      <c r="E1208" s="812">
        <v>46</v>
      </c>
      <c r="F1208" s="811">
        <v>42</v>
      </c>
      <c r="G1208" s="811">
        <v>13</v>
      </c>
      <c r="H1208" s="807">
        <f t="shared" ref="H1208:H1259" si="108">IF(G1208&lt;&gt;"",ROUND(((E1208+F1208)*2+5)*(F1208+G1208+3)/10000,2),ROUND(E1208*F1208/10000,2))</f>
        <v>1.05</v>
      </c>
      <c r="I1208" s="710">
        <v>5800</v>
      </c>
      <c r="J1208" s="710">
        <f t="shared" si="105"/>
        <v>6090</v>
      </c>
      <c r="K1208" s="710">
        <f t="shared" si="106"/>
        <v>7829.7064812646913</v>
      </c>
      <c r="L1208" s="656"/>
    </row>
    <row r="1209" spans="1:12" ht="16.5" customHeight="1">
      <c r="A1209" s="709">
        <f t="shared" si="107"/>
        <v>322</v>
      </c>
      <c r="B1209" s="296" t="s">
        <v>1277</v>
      </c>
      <c r="C1209" s="725">
        <v>42357</v>
      </c>
      <c r="D1209" s="726" t="s">
        <v>1276</v>
      </c>
      <c r="E1209" s="812">
        <v>42</v>
      </c>
      <c r="F1209" s="811">
        <v>40</v>
      </c>
      <c r="G1209" s="811">
        <v>25</v>
      </c>
      <c r="H1209" s="807">
        <f t="shared" si="108"/>
        <v>1.1499999999999999</v>
      </c>
      <c r="I1209" s="710">
        <v>55</v>
      </c>
      <c r="J1209" s="710">
        <f t="shared" ref="J1209:J1259" si="109">H1209*I1209</f>
        <v>63.249999999999993</v>
      </c>
      <c r="K1209" s="710">
        <f t="shared" ref="K1209:K1259" si="110">H1209*$Q$940</f>
        <v>8575.3928128137086</v>
      </c>
      <c r="L1209" s="656"/>
    </row>
    <row r="1210" spans="1:12" ht="16.5" customHeight="1">
      <c r="A1210" s="709">
        <f t="shared" si="107"/>
        <v>323</v>
      </c>
      <c r="B1210" s="296" t="s">
        <v>602</v>
      </c>
      <c r="C1210" s="725">
        <v>42357</v>
      </c>
      <c r="D1210" s="726" t="s">
        <v>1276</v>
      </c>
      <c r="E1210" s="812">
        <v>46</v>
      </c>
      <c r="F1210" s="811">
        <v>42</v>
      </c>
      <c r="G1210" s="811">
        <v>24.5</v>
      </c>
      <c r="H1210" s="807">
        <f t="shared" si="108"/>
        <v>1.26</v>
      </c>
      <c r="I1210" s="710">
        <v>161</v>
      </c>
      <c r="J1210" s="710">
        <f t="shared" si="109"/>
        <v>202.86</v>
      </c>
      <c r="K1210" s="710">
        <f t="shared" si="110"/>
        <v>9395.6477775176299</v>
      </c>
      <c r="L1210" s="656"/>
    </row>
    <row r="1211" spans="1:12" ht="16.5" customHeight="1">
      <c r="A1211" s="709">
        <f t="shared" ref="A1211:A1259" si="111">IF(B1211&lt;&gt;"",A1210+1,"")</f>
        <v>324</v>
      </c>
      <c r="B1211" s="296" t="s">
        <v>1240</v>
      </c>
      <c r="C1211" s="725">
        <v>42357</v>
      </c>
      <c r="D1211" s="726" t="s">
        <v>1278</v>
      </c>
      <c r="E1211" s="812">
        <v>130</v>
      </c>
      <c r="F1211" s="811">
        <v>50</v>
      </c>
      <c r="G1211" s="811">
        <v>180</v>
      </c>
      <c r="H1211" s="807">
        <f t="shared" si="108"/>
        <v>8.5</v>
      </c>
      <c r="I1211" s="710">
        <v>251</v>
      </c>
      <c r="J1211" s="710">
        <f t="shared" si="109"/>
        <v>2133.5</v>
      </c>
      <c r="K1211" s="710">
        <f t="shared" si="110"/>
        <v>63383.338181666542</v>
      </c>
      <c r="L1211" s="656"/>
    </row>
    <row r="1212" spans="1:12" ht="16.5" customHeight="1">
      <c r="A1212" s="709">
        <f t="shared" si="111"/>
        <v>325</v>
      </c>
      <c r="B1212" s="296" t="s">
        <v>1948</v>
      </c>
      <c r="C1212" s="725">
        <v>42359</v>
      </c>
      <c r="D1212" s="726" t="s">
        <v>1279</v>
      </c>
      <c r="E1212" s="812">
        <v>43</v>
      </c>
      <c r="F1212" s="811">
        <v>42</v>
      </c>
      <c r="G1212" s="811">
        <v>26</v>
      </c>
      <c r="H1212" s="807">
        <f t="shared" si="108"/>
        <v>1.24</v>
      </c>
      <c r="I1212" s="710">
        <v>3935</v>
      </c>
      <c r="J1212" s="710">
        <f t="shared" si="109"/>
        <v>4879.3999999999996</v>
      </c>
      <c r="K1212" s="710">
        <f t="shared" si="110"/>
        <v>9246.5105112078254</v>
      </c>
      <c r="L1212" s="656"/>
    </row>
    <row r="1213" spans="1:12" ht="16.5" customHeight="1">
      <c r="A1213" s="709">
        <f t="shared" si="111"/>
        <v>326</v>
      </c>
      <c r="B1213" s="296" t="s">
        <v>1953</v>
      </c>
      <c r="C1213" s="725">
        <v>42359</v>
      </c>
      <c r="D1213" s="726" t="s">
        <v>1280</v>
      </c>
      <c r="E1213" s="812">
        <v>42.5</v>
      </c>
      <c r="F1213" s="811">
        <v>28.5</v>
      </c>
      <c r="G1213" s="811">
        <v>23</v>
      </c>
      <c r="H1213" s="807">
        <f t="shared" si="108"/>
        <v>0.8</v>
      </c>
      <c r="I1213" s="710">
        <v>400</v>
      </c>
      <c r="J1213" s="710">
        <f t="shared" si="109"/>
        <v>320</v>
      </c>
      <c r="K1213" s="710">
        <f t="shared" si="110"/>
        <v>5965.4906523921454</v>
      </c>
      <c r="L1213" s="656"/>
    </row>
    <row r="1214" spans="1:12" ht="16.5" customHeight="1">
      <c r="A1214" s="709">
        <f t="shared" si="111"/>
        <v>327</v>
      </c>
      <c r="B1214" s="296" t="s">
        <v>1956</v>
      </c>
      <c r="C1214" s="725">
        <v>42359</v>
      </c>
      <c r="D1214" s="726" t="s">
        <v>1280</v>
      </c>
      <c r="E1214" s="812">
        <v>29</v>
      </c>
      <c r="F1214" s="811">
        <v>18</v>
      </c>
      <c r="G1214" s="811">
        <v>18.8</v>
      </c>
      <c r="H1214" s="807">
        <f t="shared" si="108"/>
        <v>0.39</v>
      </c>
      <c r="I1214" s="710">
        <v>2000</v>
      </c>
      <c r="J1214" s="710">
        <f t="shared" si="109"/>
        <v>780</v>
      </c>
      <c r="K1214" s="710">
        <f t="shared" si="110"/>
        <v>2908.1766930411709</v>
      </c>
      <c r="L1214" s="656"/>
    </row>
    <row r="1215" spans="1:12" ht="16.5" customHeight="1">
      <c r="A1215" s="709">
        <f t="shared" si="111"/>
        <v>328</v>
      </c>
      <c r="B1215" s="296" t="s">
        <v>1954</v>
      </c>
      <c r="C1215" s="725">
        <v>42359</v>
      </c>
      <c r="D1215" s="726" t="s">
        <v>1280</v>
      </c>
      <c r="E1215" s="812">
        <v>39.299999999999997</v>
      </c>
      <c r="F1215" s="811">
        <v>28</v>
      </c>
      <c r="G1215" s="811">
        <v>28</v>
      </c>
      <c r="H1215" s="807">
        <f t="shared" si="108"/>
        <v>0.82</v>
      </c>
      <c r="I1215" s="710">
        <v>200</v>
      </c>
      <c r="J1215" s="710">
        <f t="shared" si="109"/>
        <v>164</v>
      </c>
      <c r="K1215" s="710">
        <f t="shared" si="110"/>
        <v>6114.6279187019491</v>
      </c>
      <c r="L1215" s="656"/>
    </row>
    <row r="1216" spans="1:12" ht="16.5" customHeight="1">
      <c r="A1216" s="709">
        <f t="shared" si="111"/>
        <v>329</v>
      </c>
      <c r="B1216" s="296" t="s">
        <v>1140</v>
      </c>
      <c r="C1216" s="725">
        <v>42361</v>
      </c>
      <c r="D1216" s="726" t="s">
        <v>1281</v>
      </c>
      <c r="E1216" s="812">
        <v>45</v>
      </c>
      <c r="F1216" s="811">
        <v>37</v>
      </c>
      <c r="G1216" s="811">
        <v>27.5</v>
      </c>
      <c r="H1216" s="807">
        <f t="shared" si="108"/>
        <v>1.1399999999999999</v>
      </c>
      <c r="I1216" s="710">
        <v>1453</v>
      </c>
      <c r="J1216" s="710">
        <f t="shared" si="109"/>
        <v>1656.4199999999998</v>
      </c>
      <c r="K1216" s="710">
        <f t="shared" si="110"/>
        <v>8500.8241796588063</v>
      </c>
      <c r="L1216" s="656"/>
    </row>
    <row r="1217" spans="1:12" ht="16.5" customHeight="1">
      <c r="A1217" s="709">
        <f t="shared" si="111"/>
        <v>330</v>
      </c>
      <c r="B1217" s="296" t="s">
        <v>1140</v>
      </c>
      <c r="C1217" s="725">
        <v>42361</v>
      </c>
      <c r="D1217" s="726" t="s">
        <v>1281</v>
      </c>
      <c r="E1217" s="812">
        <v>45</v>
      </c>
      <c r="F1217" s="811">
        <v>37</v>
      </c>
      <c r="G1217" s="811">
        <v>27.5</v>
      </c>
      <c r="H1217" s="807">
        <f t="shared" si="108"/>
        <v>1.1399999999999999</v>
      </c>
      <c r="I1217" s="710">
        <v>100</v>
      </c>
      <c r="J1217" s="710">
        <f t="shared" si="109"/>
        <v>113.99999999999999</v>
      </c>
      <c r="K1217" s="710">
        <f t="shared" si="110"/>
        <v>8500.8241796588063</v>
      </c>
      <c r="L1217" s="656"/>
    </row>
    <row r="1218" spans="1:12" ht="16.5" customHeight="1">
      <c r="A1218" s="709">
        <f t="shared" si="111"/>
        <v>331</v>
      </c>
      <c r="B1218" s="296" t="s">
        <v>1654</v>
      </c>
      <c r="C1218" s="725">
        <v>42361</v>
      </c>
      <c r="D1218" s="726" t="s">
        <v>1281</v>
      </c>
      <c r="E1218" s="812">
        <v>50</v>
      </c>
      <c r="F1218" s="811">
        <v>20</v>
      </c>
      <c r="G1218" s="811"/>
      <c r="H1218" s="807">
        <f t="shared" si="108"/>
        <v>0.1</v>
      </c>
      <c r="I1218" s="710">
        <v>3106</v>
      </c>
      <c r="J1218" s="710">
        <f t="shared" si="109"/>
        <v>310.60000000000002</v>
      </c>
      <c r="K1218" s="710">
        <f t="shared" si="110"/>
        <v>745.68633154901818</v>
      </c>
      <c r="L1218" s="656"/>
    </row>
    <row r="1219" spans="1:12" ht="16.5" customHeight="1">
      <c r="A1219" s="709">
        <f t="shared" si="111"/>
        <v>332</v>
      </c>
      <c r="B1219" s="296" t="s">
        <v>1952</v>
      </c>
      <c r="C1219" s="725">
        <v>42361</v>
      </c>
      <c r="D1219" s="726" t="s">
        <v>1282</v>
      </c>
      <c r="E1219" s="812">
        <v>42</v>
      </c>
      <c r="F1219" s="811">
        <v>41</v>
      </c>
      <c r="G1219" s="811">
        <v>34</v>
      </c>
      <c r="H1219" s="807">
        <f t="shared" si="108"/>
        <v>1.33</v>
      </c>
      <c r="I1219" s="710">
        <v>100</v>
      </c>
      <c r="J1219" s="710">
        <f t="shared" si="109"/>
        <v>133</v>
      </c>
      <c r="K1219" s="710">
        <f t="shared" si="110"/>
        <v>9917.6282096019422</v>
      </c>
      <c r="L1219" s="656"/>
    </row>
    <row r="1220" spans="1:12" ht="16.5" customHeight="1">
      <c r="A1220" s="709">
        <f t="shared" si="111"/>
        <v>333</v>
      </c>
      <c r="B1220" s="296" t="s">
        <v>844</v>
      </c>
      <c r="C1220" s="725">
        <v>42363</v>
      </c>
      <c r="D1220" s="726" t="s">
        <v>1283</v>
      </c>
      <c r="E1220" s="812">
        <v>58</v>
      </c>
      <c r="F1220" s="811">
        <v>38</v>
      </c>
      <c r="G1220" s="811">
        <v>17</v>
      </c>
      <c r="H1220" s="807">
        <f t="shared" si="108"/>
        <v>1.1399999999999999</v>
      </c>
      <c r="I1220" s="710">
        <v>300</v>
      </c>
      <c r="J1220" s="710">
        <f t="shared" si="109"/>
        <v>341.99999999999994</v>
      </c>
      <c r="K1220" s="710">
        <f t="shared" si="110"/>
        <v>8500.8241796588063</v>
      </c>
      <c r="L1220" s="656"/>
    </row>
    <row r="1221" spans="1:12" ht="16.5" customHeight="1">
      <c r="A1221" s="709">
        <f t="shared" si="111"/>
        <v>334</v>
      </c>
      <c r="B1221" s="296" t="s">
        <v>624</v>
      </c>
      <c r="C1221" s="725">
        <v>42363</v>
      </c>
      <c r="D1221" s="726" t="s">
        <v>1283</v>
      </c>
      <c r="E1221" s="812">
        <v>142</v>
      </c>
      <c r="F1221" s="811">
        <v>72</v>
      </c>
      <c r="G1221" s="811">
        <v>58</v>
      </c>
      <c r="H1221" s="807">
        <f t="shared" si="108"/>
        <v>5.76</v>
      </c>
      <c r="I1221" s="710">
        <v>102</v>
      </c>
      <c r="J1221" s="710">
        <f t="shared" si="109"/>
        <v>587.52</v>
      </c>
      <c r="K1221" s="710">
        <f t="shared" si="110"/>
        <v>42951.532697223447</v>
      </c>
      <c r="L1221" s="656"/>
    </row>
    <row r="1222" spans="1:12" ht="16.5" customHeight="1">
      <c r="A1222" s="709">
        <f t="shared" si="111"/>
        <v>335</v>
      </c>
      <c r="B1222" s="296" t="s">
        <v>1284</v>
      </c>
      <c r="C1222" s="725">
        <v>42363</v>
      </c>
      <c r="D1222" s="726" t="s">
        <v>1283</v>
      </c>
      <c r="E1222" s="812">
        <v>74</v>
      </c>
      <c r="F1222" s="811">
        <v>53</v>
      </c>
      <c r="G1222" s="811">
        <v>140</v>
      </c>
      <c r="H1222" s="807">
        <f t="shared" si="108"/>
        <v>5.08</v>
      </c>
      <c r="I1222" s="710">
        <v>17</v>
      </c>
      <c r="J1222" s="710">
        <f t="shared" si="109"/>
        <v>86.36</v>
      </c>
      <c r="K1222" s="710">
        <f t="shared" si="110"/>
        <v>37880.865642690122</v>
      </c>
      <c r="L1222" s="656"/>
    </row>
    <row r="1223" spans="1:12" ht="16.5" customHeight="1">
      <c r="A1223" s="709">
        <f t="shared" si="111"/>
        <v>336</v>
      </c>
      <c r="B1223" s="296" t="s">
        <v>1285</v>
      </c>
      <c r="C1223" s="725">
        <v>42363</v>
      </c>
      <c r="D1223" s="726" t="s">
        <v>1286</v>
      </c>
      <c r="E1223" s="812">
        <v>38</v>
      </c>
      <c r="F1223" s="811">
        <v>37</v>
      </c>
      <c r="G1223" s="811">
        <v>27</v>
      </c>
      <c r="H1223" s="807">
        <f t="shared" si="108"/>
        <v>1.04</v>
      </c>
      <c r="I1223" s="710">
        <v>380</v>
      </c>
      <c r="J1223" s="710">
        <f t="shared" si="109"/>
        <v>395.2</v>
      </c>
      <c r="K1223" s="710">
        <f t="shared" si="110"/>
        <v>7755.137848109789</v>
      </c>
      <c r="L1223" s="656"/>
    </row>
    <row r="1224" spans="1:12" ht="16.5" customHeight="1">
      <c r="A1224" s="709">
        <f t="shared" si="111"/>
        <v>337</v>
      </c>
      <c r="B1224" s="296" t="s">
        <v>1103</v>
      </c>
      <c r="C1224" s="725">
        <v>42363</v>
      </c>
      <c r="D1224" s="726" t="s">
        <v>1287</v>
      </c>
      <c r="E1224" s="812">
        <v>52</v>
      </c>
      <c r="F1224" s="811">
        <v>24</v>
      </c>
      <c r="G1224" s="811">
        <v>24</v>
      </c>
      <c r="H1224" s="807">
        <f t="shared" si="108"/>
        <v>0.8</v>
      </c>
      <c r="I1224" s="710">
        <v>218</v>
      </c>
      <c r="J1224" s="710">
        <f t="shared" si="109"/>
        <v>174.4</v>
      </c>
      <c r="K1224" s="710">
        <f t="shared" si="110"/>
        <v>5965.4906523921454</v>
      </c>
      <c r="L1224" s="656"/>
    </row>
    <row r="1225" spans="1:12" ht="16.5" customHeight="1">
      <c r="A1225" s="709">
        <f t="shared" si="111"/>
        <v>338</v>
      </c>
      <c r="B1225" s="296" t="s">
        <v>1106</v>
      </c>
      <c r="C1225" s="725">
        <v>42363</v>
      </c>
      <c r="D1225" s="726" t="s">
        <v>1287</v>
      </c>
      <c r="E1225" s="812">
        <v>52</v>
      </c>
      <c r="F1225" s="811">
        <v>27</v>
      </c>
      <c r="G1225" s="811">
        <v>27</v>
      </c>
      <c r="H1225" s="807">
        <f t="shared" si="108"/>
        <v>0.93</v>
      </c>
      <c r="I1225" s="710">
        <v>300</v>
      </c>
      <c r="J1225" s="710">
        <f t="shared" si="109"/>
        <v>279</v>
      </c>
      <c r="K1225" s="710">
        <f t="shared" si="110"/>
        <v>6934.8828834058695</v>
      </c>
      <c r="L1225" s="656"/>
    </row>
    <row r="1226" spans="1:12" ht="16.5" customHeight="1">
      <c r="A1226" s="709">
        <f t="shared" si="111"/>
        <v>339</v>
      </c>
      <c r="B1226" s="296" t="s">
        <v>1107</v>
      </c>
      <c r="C1226" s="725">
        <v>42363</v>
      </c>
      <c r="D1226" s="726" t="s">
        <v>1287</v>
      </c>
      <c r="E1226" s="812">
        <v>57</v>
      </c>
      <c r="F1226" s="811">
        <v>46</v>
      </c>
      <c r="G1226" s="811">
        <v>30</v>
      </c>
      <c r="H1226" s="807">
        <f t="shared" si="108"/>
        <v>1.67</v>
      </c>
      <c r="I1226" s="710">
        <v>513</v>
      </c>
      <c r="J1226" s="710">
        <f t="shared" si="109"/>
        <v>856.70999999999992</v>
      </c>
      <c r="K1226" s="710">
        <f t="shared" si="110"/>
        <v>12452.961736868603</v>
      </c>
      <c r="L1226" s="656"/>
    </row>
    <row r="1227" spans="1:12" ht="16.5" customHeight="1">
      <c r="A1227" s="709">
        <f t="shared" si="111"/>
        <v>340</v>
      </c>
      <c r="B1227" s="296" t="s">
        <v>441</v>
      </c>
      <c r="C1227" s="725">
        <v>42364</v>
      </c>
      <c r="D1227" s="726" t="s">
        <v>1288</v>
      </c>
      <c r="E1227" s="812">
        <v>22</v>
      </c>
      <c r="F1227" s="811">
        <v>22</v>
      </c>
      <c r="G1227" s="811">
        <v>29.5</v>
      </c>
      <c r="H1227" s="807">
        <f t="shared" si="108"/>
        <v>0.51</v>
      </c>
      <c r="I1227" s="710">
        <v>992</v>
      </c>
      <c r="J1227" s="710">
        <f t="shared" si="109"/>
        <v>505.92</v>
      </c>
      <c r="K1227" s="710">
        <f t="shared" si="110"/>
        <v>3803.0002908999927</v>
      </c>
      <c r="L1227" s="656"/>
    </row>
    <row r="1228" spans="1:12" ht="16.5" customHeight="1">
      <c r="A1228" s="709">
        <f t="shared" si="111"/>
        <v>341</v>
      </c>
      <c r="B1228" s="296" t="s">
        <v>1289</v>
      </c>
      <c r="C1228" s="725">
        <v>42364</v>
      </c>
      <c r="D1228" s="726" t="s">
        <v>1288</v>
      </c>
      <c r="E1228" s="812">
        <v>25.5</v>
      </c>
      <c r="F1228" s="812">
        <v>25.5</v>
      </c>
      <c r="G1228" s="811">
        <v>30.5</v>
      </c>
      <c r="H1228" s="807">
        <f t="shared" si="108"/>
        <v>0.63</v>
      </c>
      <c r="I1228" s="710">
        <v>305</v>
      </c>
      <c r="J1228" s="710">
        <f t="shared" si="109"/>
        <v>192.15</v>
      </c>
      <c r="K1228" s="710">
        <f t="shared" si="110"/>
        <v>4697.823888758815</v>
      </c>
      <c r="L1228" s="656"/>
    </row>
    <row r="1229" spans="1:12" ht="16.5" customHeight="1">
      <c r="A1229" s="709">
        <f t="shared" si="111"/>
        <v>342</v>
      </c>
      <c r="B1229" s="296" t="s">
        <v>413</v>
      </c>
      <c r="C1229" s="725">
        <v>42366</v>
      </c>
      <c r="D1229" s="726" t="s">
        <v>1290</v>
      </c>
      <c r="E1229" s="812">
        <v>49</v>
      </c>
      <c r="F1229" s="811">
        <v>38</v>
      </c>
      <c r="G1229" s="811">
        <v>12</v>
      </c>
      <c r="H1229" s="807">
        <f t="shared" si="108"/>
        <v>0.95</v>
      </c>
      <c r="I1229" s="710">
        <v>298</v>
      </c>
      <c r="J1229" s="710">
        <f t="shared" si="109"/>
        <v>283.09999999999997</v>
      </c>
      <c r="K1229" s="710">
        <f t="shared" si="110"/>
        <v>7084.0201497156722</v>
      </c>
      <c r="L1229" s="656"/>
    </row>
    <row r="1230" spans="1:12" ht="16.5" customHeight="1">
      <c r="A1230" s="709">
        <f t="shared" si="111"/>
        <v>343</v>
      </c>
      <c r="B1230" s="296" t="s">
        <v>413</v>
      </c>
      <c r="C1230" s="725">
        <v>42366</v>
      </c>
      <c r="D1230" s="726" t="s">
        <v>1290</v>
      </c>
      <c r="E1230" s="812">
        <v>49</v>
      </c>
      <c r="F1230" s="811">
        <v>38</v>
      </c>
      <c r="G1230" s="811">
        <v>12</v>
      </c>
      <c r="H1230" s="807">
        <f t="shared" si="108"/>
        <v>0.95</v>
      </c>
      <c r="I1230" s="710">
        <v>202</v>
      </c>
      <c r="J1230" s="710">
        <f t="shared" si="109"/>
        <v>191.89999999999998</v>
      </c>
      <c r="K1230" s="710">
        <f t="shared" si="110"/>
        <v>7084.0201497156722</v>
      </c>
      <c r="L1230" s="656"/>
    </row>
    <row r="1231" spans="1:12" ht="16.5" customHeight="1">
      <c r="A1231" s="709">
        <f t="shared" si="111"/>
        <v>344</v>
      </c>
      <c r="B1231" s="296" t="s">
        <v>413</v>
      </c>
      <c r="C1231" s="725">
        <v>42366</v>
      </c>
      <c r="D1231" s="726" t="s">
        <v>1290</v>
      </c>
      <c r="E1231" s="812">
        <v>49</v>
      </c>
      <c r="F1231" s="811">
        <v>38</v>
      </c>
      <c r="G1231" s="811">
        <v>12</v>
      </c>
      <c r="H1231" s="807">
        <f t="shared" si="108"/>
        <v>0.95</v>
      </c>
      <c r="I1231" s="710">
        <v>509</v>
      </c>
      <c r="J1231" s="710">
        <f t="shared" si="109"/>
        <v>483.54999999999995</v>
      </c>
      <c r="K1231" s="710">
        <f t="shared" si="110"/>
        <v>7084.0201497156722</v>
      </c>
      <c r="L1231" s="656"/>
    </row>
    <row r="1232" spans="1:12" ht="16.5" customHeight="1">
      <c r="A1232" s="709">
        <f t="shared" si="111"/>
        <v>345</v>
      </c>
      <c r="B1232" s="296" t="s">
        <v>413</v>
      </c>
      <c r="C1232" s="725">
        <v>42366</v>
      </c>
      <c r="D1232" s="726" t="s">
        <v>1290</v>
      </c>
      <c r="E1232" s="812">
        <v>49</v>
      </c>
      <c r="F1232" s="811">
        <v>38</v>
      </c>
      <c r="G1232" s="811">
        <v>12</v>
      </c>
      <c r="H1232" s="807">
        <f t="shared" si="108"/>
        <v>0.95</v>
      </c>
      <c r="I1232" s="710">
        <v>401</v>
      </c>
      <c r="J1232" s="710">
        <f t="shared" si="109"/>
        <v>380.95</v>
      </c>
      <c r="K1232" s="710">
        <f t="shared" si="110"/>
        <v>7084.0201497156722</v>
      </c>
      <c r="L1232" s="656"/>
    </row>
    <row r="1233" spans="1:17" ht="16.5" customHeight="1">
      <c r="A1233" s="709">
        <f t="shared" si="111"/>
        <v>346</v>
      </c>
      <c r="B1233" s="296" t="s">
        <v>2010</v>
      </c>
      <c r="C1233" s="725">
        <v>42366</v>
      </c>
      <c r="D1233" s="726" t="s">
        <v>1291</v>
      </c>
      <c r="E1233" s="812">
        <v>41</v>
      </c>
      <c r="F1233" s="811">
        <v>41</v>
      </c>
      <c r="G1233" s="811">
        <v>25</v>
      </c>
      <c r="H1233" s="807">
        <f t="shared" si="108"/>
        <v>1.17</v>
      </c>
      <c r="I1233" s="710">
        <v>2200</v>
      </c>
      <c r="J1233" s="710">
        <f t="shared" si="109"/>
        <v>2574</v>
      </c>
      <c r="K1233" s="710">
        <f t="shared" si="110"/>
        <v>8724.5300791235113</v>
      </c>
      <c r="L1233" s="656"/>
    </row>
    <row r="1234" spans="1:17" ht="16.5" customHeight="1">
      <c r="A1234" s="709">
        <f t="shared" si="111"/>
        <v>347</v>
      </c>
      <c r="B1234" s="296" t="s">
        <v>413</v>
      </c>
      <c r="C1234" s="725">
        <v>42367</v>
      </c>
      <c r="D1234" s="726" t="s">
        <v>1292</v>
      </c>
      <c r="E1234" s="812">
        <v>49</v>
      </c>
      <c r="F1234" s="811">
        <v>38</v>
      </c>
      <c r="G1234" s="811">
        <v>12</v>
      </c>
      <c r="H1234" s="807">
        <f t="shared" si="108"/>
        <v>0.95</v>
      </c>
      <c r="I1234" s="710">
        <v>310</v>
      </c>
      <c r="J1234" s="710">
        <f t="shared" si="109"/>
        <v>294.5</v>
      </c>
      <c r="K1234" s="710">
        <f t="shared" si="110"/>
        <v>7084.0201497156722</v>
      </c>
      <c r="L1234" s="656"/>
    </row>
    <row r="1235" spans="1:17" ht="16.5" customHeight="1">
      <c r="A1235" s="709">
        <f t="shared" si="111"/>
        <v>348</v>
      </c>
      <c r="B1235" s="296" t="s">
        <v>999</v>
      </c>
      <c r="C1235" s="725">
        <v>42367</v>
      </c>
      <c r="D1235" s="726" t="s">
        <v>1292</v>
      </c>
      <c r="E1235" s="812">
        <v>40</v>
      </c>
      <c r="F1235" s="811">
        <v>30</v>
      </c>
      <c r="G1235" s="811">
        <v>18.5</v>
      </c>
      <c r="H1235" s="807">
        <f t="shared" si="108"/>
        <v>0.75</v>
      </c>
      <c r="I1235" s="710">
        <v>408</v>
      </c>
      <c r="J1235" s="710">
        <f t="shared" si="109"/>
        <v>306</v>
      </c>
      <c r="K1235" s="710">
        <f t="shared" si="110"/>
        <v>5592.6474866176359</v>
      </c>
      <c r="L1235" s="656"/>
    </row>
    <row r="1236" spans="1:17" ht="16.5" customHeight="1">
      <c r="A1236" s="709">
        <f t="shared" si="111"/>
        <v>349</v>
      </c>
      <c r="B1236" s="296" t="s">
        <v>1088</v>
      </c>
      <c r="C1236" s="725">
        <v>42367</v>
      </c>
      <c r="D1236" s="726" t="s">
        <v>1293</v>
      </c>
      <c r="E1236" s="812">
        <v>50</v>
      </c>
      <c r="F1236" s="811">
        <v>39</v>
      </c>
      <c r="G1236" s="811">
        <v>18</v>
      </c>
      <c r="H1236" s="807">
        <f t="shared" si="108"/>
        <v>1.1000000000000001</v>
      </c>
      <c r="I1236" s="710">
        <v>250</v>
      </c>
      <c r="J1236" s="710">
        <f t="shared" si="109"/>
        <v>275</v>
      </c>
      <c r="K1236" s="710">
        <f t="shared" si="110"/>
        <v>8202.5496470392009</v>
      </c>
      <c r="L1236" s="656"/>
    </row>
    <row r="1237" spans="1:17" ht="16.5" customHeight="1">
      <c r="A1237" s="709">
        <f t="shared" si="111"/>
        <v>350</v>
      </c>
      <c r="B1237" s="296" t="s">
        <v>1294</v>
      </c>
      <c r="C1237" s="725">
        <v>42367</v>
      </c>
      <c r="D1237" s="726" t="s">
        <v>1295</v>
      </c>
      <c r="E1237" s="812">
        <v>31</v>
      </c>
      <c r="F1237" s="811">
        <v>28.5</v>
      </c>
      <c r="G1237" s="811">
        <v>9.5</v>
      </c>
      <c r="H1237" s="807">
        <f t="shared" si="108"/>
        <v>0.51</v>
      </c>
      <c r="I1237" s="710">
        <v>1000</v>
      </c>
      <c r="J1237" s="710">
        <f t="shared" si="109"/>
        <v>510</v>
      </c>
      <c r="K1237" s="710">
        <f t="shared" si="110"/>
        <v>3803.0002908999927</v>
      </c>
      <c r="L1237" s="656"/>
    </row>
    <row r="1238" spans="1:17" ht="16.5" customHeight="1">
      <c r="A1238" s="709">
        <f t="shared" si="111"/>
        <v>351</v>
      </c>
      <c r="B1238" s="296" t="s">
        <v>1296</v>
      </c>
      <c r="C1238" s="725">
        <v>42368</v>
      </c>
      <c r="D1238" s="726" t="s">
        <v>1297</v>
      </c>
      <c r="E1238" s="812">
        <v>123</v>
      </c>
      <c r="F1238" s="811">
        <v>54</v>
      </c>
      <c r="G1238" s="811">
        <v>178</v>
      </c>
      <c r="H1238" s="807">
        <f t="shared" si="108"/>
        <v>8.44</v>
      </c>
      <c r="I1238" s="710">
        <v>114</v>
      </c>
      <c r="J1238" s="710">
        <f t="shared" si="109"/>
        <v>962.16</v>
      </c>
      <c r="K1238" s="710">
        <f t="shared" si="110"/>
        <v>62935.926382737132</v>
      </c>
      <c r="L1238" s="656"/>
    </row>
    <row r="1239" spans="1:17" ht="16.5" customHeight="1">
      <c r="A1239" s="709">
        <f t="shared" si="111"/>
        <v>352</v>
      </c>
      <c r="B1239" s="296" t="s">
        <v>1298</v>
      </c>
      <c r="C1239" s="725">
        <v>42368</v>
      </c>
      <c r="D1239" s="726" t="s">
        <v>1297</v>
      </c>
      <c r="E1239" s="812">
        <v>101</v>
      </c>
      <c r="F1239" s="811">
        <v>66</v>
      </c>
      <c r="G1239" s="811">
        <v>157</v>
      </c>
      <c r="H1239" s="807">
        <f t="shared" si="108"/>
        <v>7.66</v>
      </c>
      <c r="I1239" s="710">
        <v>56</v>
      </c>
      <c r="J1239" s="710">
        <f t="shared" si="109"/>
        <v>428.96000000000004</v>
      </c>
      <c r="K1239" s="710">
        <f t="shared" si="110"/>
        <v>57119.572996654795</v>
      </c>
      <c r="L1239" s="656"/>
    </row>
    <row r="1240" spans="1:17" ht="16.5" customHeight="1">
      <c r="A1240" s="709">
        <f t="shared" si="111"/>
        <v>353</v>
      </c>
      <c r="B1240" s="296" t="s">
        <v>927</v>
      </c>
      <c r="C1240" s="725">
        <v>42368</v>
      </c>
      <c r="D1240" s="726" t="s">
        <v>1297</v>
      </c>
      <c r="E1240" s="812">
        <v>124</v>
      </c>
      <c r="F1240" s="811">
        <v>54</v>
      </c>
      <c r="G1240" s="811">
        <v>180</v>
      </c>
      <c r="H1240" s="807">
        <f t="shared" si="108"/>
        <v>8.56</v>
      </c>
      <c r="I1240" s="710">
        <v>14</v>
      </c>
      <c r="J1240" s="710">
        <f t="shared" si="109"/>
        <v>119.84</v>
      </c>
      <c r="K1240" s="710">
        <f t="shared" si="110"/>
        <v>63830.74998059596</v>
      </c>
      <c r="L1240" s="656"/>
    </row>
    <row r="1241" spans="1:17" ht="16.5" customHeight="1">
      <c r="A1241" s="709">
        <f t="shared" si="111"/>
        <v>354</v>
      </c>
      <c r="B1241" s="296" t="s">
        <v>737</v>
      </c>
      <c r="C1241" s="725">
        <v>42368</v>
      </c>
      <c r="D1241" s="726" t="s">
        <v>1297</v>
      </c>
      <c r="E1241" s="812">
        <v>46</v>
      </c>
      <c r="F1241" s="811">
        <v>46</v>
      </c>
      <c r="G1241" s="811">
        <v>30</v>
      </c>
      <c r="H1241" s="807">
        <f t="shared" si="108"/>
        <v>1.49</v>
      </c>
      <c r="I1241" s="710">
        <v>30</v>
      </c>
      <c r="J1241" s="710">
        <f t="shared" si="109"/>
        <v>44.7</v>
      </c>
      <c r="K1241" s="710">
        <f t="shared" si="110"/>
        <v>11110.726340080371</v>
      </c>
      <c r="L1241" s="656"/>
    </row>
    <row r="1242" spans="1:17" ht="16.5" customHeight="1">
      <c r="A1242" s="709">
        <f t="shared" si="111"/>
        <v>355</v>
      </c>
      <c r="B1242" s="296" t="s">
        <v>1299</v>
      </c>
      <c r="C1242" s="725">
        <v>42368</v>
      </c>
      <c r="D1242" s="726" t="s">
        <v>1297</v>
      </c>
      <c r="E1242" s="812">
        <v>47</v>
      </c>
      <c r="F1242" s="811">
        <v>47</v>
      </c>
      <c r="G1242" s="811">
        <v>51</v>
      </c>
      <c r="H1242" s="807">
        <f t="shared" si="108"/>
        <v>1.95</v>
      </c>
      <c r="I1242" s="710">
        <v>56</v>
      </c>
      <c r="J1242" s="710">
        <f t="shared" si="109"/>
        <v>109.2</v>
      </c>
      <c r="K1242" s="710">
        <f t="shared" si="110"/>
        <v>14540.883465205854</v>
      </c>
      <c r="L1242" s="656"/>
    </row>
    <row r="1243" spans="1:17" ht="16.5" customHeight="1">
      <c r="A1243" s="709">
        <f t="shared" si="111"/>
        <v>356</v>
      </c>
      <c r="B1243" s="296" t="s">
        <v>1300</v>
      </c>
      <c r="C1243" s="725">
        <v>42368</v>
      </c>
      <c r="D1243" s="726" t="s">
        <v>1297</v>
      </c>
      <c r="E1243" s="812">
        <v>46</v>
      </c>
      <c r="F1243" s="811">
        <v>39</v>
      </c>
      <c r="G1243" s="811">
        <v>43</v>
      </c>
      <c r="H1243" s="807">
        <f t="shared" si="108"/>
        <v>1.49</v>
      </c>
      <c r="I1243" s="710">
        <v>30</v>
      </c>
      <c r="J1243" s="710">
        <f t="shared" si="109"/>
        <v>44.7</v>
      </c>
      <c r="K1243" s="710">
        <f t="shared" si="110"/>
        <v>11110.726340080371</v>
      </c>
      <c r="L1243" s="656"/>
    </row>
    <row r="1244" spans="1:17" ht="16.5" customHeight="1">
      <c r="A1244" s="709">
        <f t="shared" si="111"/>
        <v>357</v>
      </c>
      <c r="B1244" s="296" t="s">
        <v>1301</v>
      </c>
      <c r="C1244" s="725">
        <v>42368</v>
      </c>
      <c r="D1244" s="726" t="s">
        <v>1297</v>
      </c>
      <c r="E1244" s="812">
        <v>161</v>
      </c>
      <c r="F1244" s="811">
        <v>81</v>
      </c>
      <c r="G1244" s="811">
        <v>5</v>
      </c>
      <c r="H1244" s="807">
        <f t="shared" si="108"/>
        <v>4.3499999999999996</v>
      </c>
      <c r="I1244" s="710">
        <v>130</v>
      </c>
      <c r="J1244" s="710">
        <f t="shared" si="109"/>
        <v>565.5</v>
      </c>
      <c r="K1244" s="710">
        <f t="shared" si="110"/>
        <v>32437.355422382287</v>
      </c>
      <c r="L1244" s="656"/>
    </row>
    <row r="1245" spans="1:17" ht="16.5" customHeight="1">
      <c r="A1245" s="709">
        <f t="shared" si="111"/>
        <v>358</v>
      </c>
      <c r="B1245" s="296" t="s">
        <v>1302</v>
      </c>
      <c r="C1245" s="725">
        <v>42368</v>
      </c>
      <c r="D1245" s="726" t="s">
        <v>1297</v>
      </c>
      <c r="E1245" s="812">
        <v>121</v>
      </c>
      <c r="F1245" s="811">
        <v>66</v>
      </c>
      <c r="G1245" s="811">
        <v>5</v>
      </c>
      <c r="H1245" s="807">
        <f t="shared" si="108"/>
        <v>2.8</v>
      </c>
      <c r="I1245" s="710">
        <v>7</v>
      </c>
      <c r="J1245" s="710">
        <f t="shared" si="109"/>
        <v>19.599999999999998</v>
      </c>
      <c r="K1245" s="710">
        <f t="shared" si="110"/>
        <v>20879.217283372509</v>
      </c>
      <c r="L1245" s="656"/>
    </row>
    <row r="1246" spans="1:17" ht="16.5" customHeight="1">
      <c r="A1246" s="709">
        <f t="shared" si="111"/>
        <v>359</v>
      </c>
      <c r="B1246" s="296" t="s">
        <v>454</v>
      </c>
      <c r="C1246" s="725">
        <v>42368</v>
      </c>
      <c r="D1246" s="726" t="s">
        <v>1303</v>
      </c>
      <c r="E1246" s="812">
        <v>103</v>
      </c>
      <c r="F1246" s="811">
        <v>50</v>
      </c>
      <c r="G1246" s="811">
        <v>180</v>
      </c>
      <c r="H1246" s="807">
        <f t="shared" si="108"/>
        <v>7.25</v>
      </c>
      <c r="I1246" s="710">
        <v>221</v>
      </c>
      <c r="J1246" s="710">
        <f t="shared" si="109"/>
        <v>1602.25</v>
      </c>
      <c r="K1246" s="710">
        <f t="shared" si="110"/>
        <v>54062.259037303818</v>
      </c>
      <c r="L1246" s="656"/>
    </row>
    <row r="1247" spans="1:17" ht="16.5" customHeight="1">
      <c r="A1247" s="709">
        <f t="shared" si="111"/>
        <v>360</v>
      </c>
      <c r="B1247" s="296" t="s">
        <v>1304</v>
      </c>
      <c r="C1247" s="725">
        <v>42368</v>
      </c>
      <c r="D1247" s="726" t="s">
        <v>1303</v>
      </c>
      <c r="E1247" s="812">
        <v>201</v>
      </c>
      <c r="F1247" s="811">
        <v>62</v>
      </c>
      <c r="G1247" s="811">
        <v>11</v>
      </c>
      <c r="H1247" s="807">
        <f t="shared" si="108"/>
        <v>4.04</v>
      </c>
      <c r="I1247" s="710">
        <v>103</v>
      </c>
      <c r="J1247" s="710">
        <f t="shared" si="109"/>
        <v>416.12</v>
      </c>
      <c r="K1247" s="710">
        <f t="shared" si="110"/>
        <v>30125.727794580336</v>
      </c>
      <c r="L1247" s="656"/>
    </row>
    <row r="1248" spans="1:17" ht="16.5" customHeight="1">
      <c r="A1248" s="709">
        <f t="shared" si="111"/>
        <v>361</v>
      </c>
      <c r="B1248" s="296" t="s">
        <v>1302</v>
      </c>
      <c r="C1248" s="725">
        <v>42368</v>
      </c>
      <c r="D1248" s="726" t="s">
        <v>1303</v>
      </c>
      <c r="E1248" s="812">
        <v>121</v>
      </c>
      <c r="F1248" s="811">
        <v>66</v>
      </c>
      <c r="G1248" s="811">
        <v>5</v>
      </c>
      <c r="H1248" s="807">
        <f t="shared" si="108"/>
        <v>2.8</v>
      </c>
      <c r="I1248" s="710">
        <v>143</v>
      </c>
      <c r="J1248" s="710">
        <f t="shared" si="109"/>
        <v>400.4</v>
      </c>
      <c r="K1248" s="710">
        <f t="shared" si="110"/>
        <v>20879.217283372509</v>
      </c>
      <c r="L1248" s="656"/>
      <c r="Q1248" s="887"/>
    </row>
    <row r="1249" spans="1:17" ht="16.5" customHeight="1">
      <c r="A1249" s="709">
        <f t="shared" si="111"/>
        <v>362</v>
      </c>
      <c r="B1249" s="296" t="s">
        <v>1305</v>
      </c>
      <c r="C1249" s="725">
        <v>42369</v>
      </c>
      <c r="D1249" s="726" t="s">
        <v>1306</v>
      </c>
      <c r="E1249" s="812">
        <v>66</v>
      </c>
      <c r="F1249" s="811">
        <v>68</v>
      </c>
      <c r="G1249" s="811">
        <v>28.5</v>
      </c>
      <c r="H1249" s="807">
        <f t="shared" si="108"/>
        <v>2.72</v>
      </c>
      <c r="I1249" s="710">
        <v>340</v>
      </c>
      <c r="J1249" s="710">
        <f t="shared" si="109"/>
        <v>924.80000000000007</v>
      </c>
      <c r="K1249" s="710">
        <f t="shared" si="110"/>
        <v>20282.668218133294</v>
      </c>
      <c r="L1249" s="656"/>
    </row>
    <row r="1250" spans="1:17" ht="16.5" customHeight="1">
      <c r="A1250" s="709">
        <f t="shared" si="111"/>
        <v>363</v>
      </c>
      <c r="B1250" s="296" t="s">
        <v>1308</v>
      </c>
      <c r="C1250" s="725">
        <v>42369</v>
      </c>
      <c r="D1250" s="726" t="s">
        <v>1306</v>
      </c>
      <c r="E1250" s="812">
        <v>70</v>
      </c>
      <c r="F1250" s="811">
        <v>69</v>
      </c>
      <c r="G1250" s="811">
        <v>31.5</v>
      </c>
      <c r="H1250" s="807">
        <f t="shared" si="108"/>
        <v>2.93</v>
      </c>
      <c r="I1250" s="710">
        <v>208</v>
      </c>
      <c r="J1250" s="710">
        <f t="shared" si="109"/>
        <v>609.44000000000005</v>
      </c>
      <c r="K1250" s="710">
        <f t="shared" si="110"/>
        <v>21848.609514386233</v>
      </c>
      <c r="L1250" s="656"/>
    </row>
    <row r="1251" spans="1:17" ht="16.5" customHeight="1">
      <c r="A1251" s="709">
        <f t="shared" si="111"/>
        <v>364</v>
      </c>
      <c r="B1251" s="296" t="s">
        <v>1309</v>
      </c>
      <c r="C1251" s="725">
        <v>42369</v>
      </c>
      <c r="D1251" s="726" t="s">
        <v>1306</v>
      </c>
      <c r="E1251" s="812">
        <v>66</v>
      </c>
      <c r="F1251" s="811">
        <v>65</v>
      </c>
      <c r="G1251" s="811">
        <v>28.5</v>
      </c>
      <c r="H1251" s="807">
        <f t="shared" si="108"/>
        <v>2.58</v>
      </c>
      <c r="I1251" s="710">
        <v>249</v>
      </c>
      <c r="J1251" s="710">
        <f t="shared" si="109"/>
        <v>642.42000000000007</v>
      </c>
      <c r="K1251" s="710">
        <f t="shared" si="110"/>
        <v>19238.70735396467</v>
      </c>
      <c r="L1251" s="656"/>
    </row>
    <row r="1252" spans="1:17" ht="16.5" customHeight="1">
      <c r="A1252" s="709">
        <f t="shared" si="111"/>
        <v>365</v>
      </c>
      <c r="B1252" s="296" t="s">
        <v>1310</v>
      </c>
      <c r="C1252" s="725">
        <v>42369</v>
      </c>
      <c r="D1252" s="726" t="s">
        <v>1311</v>
      </c>
      <c r="E1252" s="812">
        <v>86</v>
      </c>
      <c r="F1252" s="811">
        <v>57</v>
      </c>
      <c r="G1252" s="811">
        <v>31</v>
      </c>
      <c r="H1252" s="807">
        <f t="shared" si="108"/>
        <v>2.65</v>
      </c>
      <c r="I1252" s="710">
        <v>250</v>
      </c>
      <c r="J1252" s="710">
        <f t="shared" si="109"/>
        <v>662.5</v>
      </c>
      <c r="K1252" s="710">
        <f t="shared" si="110"/>
        <v>19760.68778604898</v>
      </c>
      <c r="L1252" s="656"/>
    </row>
    <row r="1253" spans="1:17" ht="16.5" customHeight="1">
      <c r="A1253" s="709">
        <f t="shared" si="111"/>
        <v>366</v>
      </c>
      <c r="B1253" s="296" t="s">
        <v>1312</v>
      </c>
      <c r="C1253" s="725">
        <v>42369</v>
      </c>
      <c r="D1253" s="726" t="s">
        <v>1311</v>
      </c>
      <c r="E1253" s="812">
        <v>69</v>
      </c>
      <c r="F1253" s="811">
        <v>45</v>
      </c>
      <c r="G1253" s="811">
        <v>47</v>
      </c>
      <c r="H1253" s="807">
        <f t="shared" si="108"/>
        <v>2.21</v>
      </c>
      <c r="I1253" s="710">
        <v>81</v>
      </c>
      <c r="J1253" s="710">
        <f t="shared" si="109"/>
        <v>179.01</v>
      </c>
      <c r="K1253" s="710">
        <f t="shared" si="110"/>
        <v>16479.667927233302</v>
      </c>
      <c r="L1253" s="656"/>
    </row>
    <row r="1254" spans="1:17" ht="16.5" customHeight="1">
      <c r="A1254" s="709">
        <f t="shared" si="111"/>
        <v>367</v>
      </c>
      <c r="B1254" s="296" t="s">
        <v>1313</v>
      </c>
      <c r="C1254" s="725">
        <v>42369</v>
      </c>
      <c r="D1254" s="726" t="s">
        <v>1311</v>
      </c>
      <c r="E1254" s="812">
        <v>55</v>
      </c>
      <c r="F1254" s="811">
        <v>29</v>
      </c>
      <c r="G1254" s="811"/>
      <c r="H1254" s="807">
        <f t="shared" si="108"/>
        <v>0.16</v>
      </c>
      <c r="I1254" s="710">
        <v>250</v>
      </c>
      <c r="J1254" s="710">
        <f t="shared" si="109"/>
        <v>40</v>
      </c>
      <c r="K1254" s="710">
        <f t="shared" si="110"/>
        <v>1193.0981304784291</v>
      </c>
      <c r="L1254" s="656"/>
    </row>
    <row r="1255" spans="1:17" ht="16.5" customHeight="1">
      <c r="A1255" s="709">
        <f t="shared" si="111"/>
        <v>368</v>
      </c>
      <c r="B1255" s="296" t="s">
        <v>1314</v>
      </c>
      <c r="C1255" s="725">
        <v>42369</v>
      </c>
      <c r="D1255" s="726" t="s">
        <v>1311</v>
      </c>
      <c r="E1255" s="812">
        <v>40</v>
      </c>
      <c r="F1255" s="811">
        <v>29</v>
      </c>
      <c r="G1255" s="811"/>
      <c r="H1255" s="807">
        <f t="shared" si="108"/>
        <v>0.12</v>
      </c>
      <c r="I1255" s="710">
        <v>1000</v>
      </c>
      <c r="J1255" s="710">
        <f t="shared" si="109"/>
        <v>120</v>
      </c>
      <c r="K1255" s="710">
        <f t="shared" si="110"/>
        <v>894.82359785882181</v>
      </c>
      <c r="L1255" s="656"/>
    </row>
    <row r="1256" spans="1:17" ht="16.5" customHeight="1">
      <c r="A1256" s="709">
        <f t="shared" si="111"/>
        <v>369</v>
      </c>
      <c r="B1256" s="296" t="s">
        <v>1315</v>
      </c>
      <c r="C1256" s="725">
        <v>42369</v>
      </c>
      <c r="D1256" s="726" t="s">
        <v>1311</v>
      </c>
      <c r="E1256" s="812">
        <v>67</v>
      </c>
      <c r="F1256" s="811">
        <v>43</v>
      </c>
      <c r="G1256" s="811"/>
      <c r="H1256" s="807">
        <f t="shared" si="108"/>
        <v>0.28999999999999998</v>
      </c>
      <c r="I1256" s="710">
        <v>243</v>
      </c>
      <c r="J1256" s="710">
        <f t="shared" si="109"/>
        <v>70.47</v>
      </c>
      <c r="K1256" s="710">
        <f t="shared" si="110"/>
        <v>2162.4903614921527</v>
      </c>
      <c r="L1256" s="656"/>
    </row>
    <row r="1257" spans="1:17" ht="16.5" customHeight="1">
      <c r="A1257" s="709">
        <f t="shared" si="111"/>
        <v>370</v>
      </c>
      <c r="B1257" s="296" t="s">
        <v>1316</v>
      </c>
      <c r="C1257" s="725">
        <v>42369</v>
      </c>
      <c r="D1257" s="726" t="s">
        <v>1311</v>
      </c>
      <c r="E1257" s="812">
        <v>43</v>
      </c>
      <c r="F1257" s="811">
        <v>22</v>
      </c>
      <c r="G1257" s="811"/>
      <c r="H1257" s="807">
        <f t="shared" si="108"/>
        <v>0.09</v>
      </c>
      <c r="I1257" s="710">
        <v>162</v>
      </c>
      <c r="J1257" s="710">
        <f t="shared" si="109"/>
        <v>14.58</v>
      </c>
      <c r="K1257" s="710">
        <f t="shared" si="110"/>
        <v>671.11769839411636</v>
      </c>
      <c r="L1257" s="656"/>
    </row>
    <row r="1258" spans="1:17" ht="16.5" customHeight="1">
      <c r="A1258" s="709">
        <f t="shared" si="111"/>
        <v>371</v>
      </c>
      <c r="B1258" s="296" t="s">
        <v>1317</v>
      </c>
      <c r="C1258" s="725">
        <v>42369</v>
      </c>
      <c r="D1258" s="726" t="s">
        <v>1311</v>
      </c>
      <c r="E1258" s="812">
        <v>32</v>
      </c>
      <c r="F1258" s="811">
        <v>22</v>
      </c>
      <c r="G1258" s="811"/>
      <c r="H1258" s="807">
        <f t="shared" si="108"/>
        <v>7.0000000000000007E-2</v>
      </c>
      <c r="I1258" s="710">
        <v>648</v>
      </c>
      <c r="J1258" s="710">
        <f t="shared" si="109"/>
        <v>45.360000000000007</v>
      </c>
      <c r="K1258" s="710">
        <f t="shared" si="110"/>
        <v>521.98043208431272</v>
      </c>
      <c r="L1258" s="656"/>
    </row>
    <row r="1259" spans="1:17" ht="16.5" customHeight="1">
      <c r="A1259" s="709">
        <f t="shared" si="111"/>
        <v>372</v>
      </c>
      <c r="B1259" s="296" t="s">
        <v>1318</v>
      </c>
      <c r="C1259" s="725">
        <v>42369</v>
      </c>
      <c r="D1259" s="726" t="s">
        <v>1311</v>
      </c>
      <c r="E1259" s="812">
        <v>84</v>
      </c>
      <c r="F1259" s="811">
        <v>55</v>
      </c>
      <c r="G1259" s="811"/>
      <c r="H1259" s="807">
        <f t="shared" si="108"/>
        <v>0.46</v>
      </c>
      <c r="I1259" s="710">
        <v>500</v>
      </c>
      <c r="J1259" s="710">
        <f t="shared" si="109"/>
        <v>230</v>
      </c>
      <c r="K1259" s="710">
        <f t="shared" si="110"/>
        <v>3430.1571251254836</v>
      </c>
      <c r="L1259" s="656"/>
    </row>
    <row r="1260" spans="1:17" ht="16.5" customHeight="1">
      <c r="A1260" s="709"/>
      <c r="B1260" s="296"/>
      <c r="C1260" s="725"/>
      <c r="D1260" s="726"/>
      <c r="E1260" s="812"/>
      <c r="F1260" s="811"/>
      <c r="G1260" s="811"/>
      <c r="H1260" s="710"/>
      <c r="I1260" s="710"/>
      <c r="J1260" s="710"/>
      <c r="K1260" s="710"/>
      <c r="L1260" s="656"/>
    </row>
    <row r="1261" spans="1:17" s="730" customFormat="1" ht="16.5" customHeight="1">
      <c r="A1261" s="711"/>
      <c r="B1261" s="712" t="s">
        <v>243</v>
      </c>
      <c r="C1261" s="731"/>
      <c r="D1261" s="732"/>
      <c r="E1261" s="805"/>
      <c r="F1261" s="805"/>
      <c r="G1261" s="805"/>
      <c r="H1261" s="808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6"/>
      <c r="M1261" s="705"/>
      <c r="N1261" s="718"/>
      <c r="O1261" s="751"/>
      <c r="P1261" s="292"/>
      <c r="Q1261" s="705"/>
    </row>
    <row r="1262" spans="1:17" s="706" customFormat="1">
      <c r="A1262" s="705"/>
      <c r="B1262" s="705"/>
      <c r="C1262" s="718"/>
      <c r="D1262" s="719"/>
      <c r="E1262" s="751"/>
      <c r="F1262" s="751"/>
      <c r="G1262" s="751"/>
      <c r="H1262" s="705"/>
      <c r="I1262" s="705"/>
      <c r="J1262" s="705"/>
      <c r="K1262" s="705"/>
      <c r="L1262" s="656"/>
      <c r="M1262" s="705"/>
      <c r="N1262" s="718"/>
      <c r="O1262" s="751"/>
      <c r="P1262" s="292"/>
      <c r="Q1262" s="705"/>
    </row>
    <row r="1263" spans="1:17">
      <c r="L1263" s="656"/>
    </row>
    <row r="1264" spans="1:17">
      <c r="L1264" s="656"/>
    </row>
    <row r="1265" spans="12:12">
      <c r="L1265" s="656"/>
    </row>
  </sheetData>
  <mergeCells count="56"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Q4:Q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6" customFormat="1" ht="19.5" customHeight="1">
      <c r="A1" s="563" t="str">
        <f>TH!A1</f>
        <v>Đơn vị: CÔNG TY TNHH SX TM KIM DUNG PHÁT</v>
      </c>
      <c r="B1" s="563"/>
      <c r="D1" s="447"/>
      <c r="E1" s="447"/>
      <c r="F1" s="447"/>
      <c r="G1" s="1107" t="s">
        <v>244</v>
      </c>
      <c r="H1" s="1107"/>
      <c r="I1" s="1107"/>
      <c r="J1" s="448"/>
      <c r="K1" s="449"/>
    </row>
    <row r="2" spans="1:11" s="446" customFormat="1" ht="19.5" customHeight="1">
      <c r="A2" s="612" t="str">
        <f>TH!A2</f>
        <v>Địa chỉ: 1A227/1 Ấp 1, Phạm Văn Hai, Bình Chánh, TPHCM</v>
      </c>
      <c r="B2" s="563"/>
      <c r="D2" s="450"/>
      <c r="E2" s="450"/>
      <c r="F2" s="450"/>
      <c r="G2" s="1108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08"/>
      <c r="I2" s="1108"/>
      <c r="J2" s="448"/>
      <c r="K2" s="438">
        <v>1</v>
      </c>
    </row>
    <row r="3" spans="1:11" s="446" customFormat="1" ht="15">
      <c r="A3" s="564"/>
      <c r="B3" s="565"/>
      <c r="C3" s="450"/>
      <c r="D3" s="450"/>
      <c r="E3" s="450"/>
      <c r="F3" s="450"/>
      <c r="G3" s="1108"/>
      <c r="H3" s="1108"/>
      <c r="I3" s="1108"/>
      <c r="J3" s="448"/>
    </row>
    <row r="4" spans="1:11" s="567" customFormat="1" ht="17.25" customHeight="1">
      <c r="A4" s="1109" t="s">
        <v>245</v>
      </c>
      <c r="B4" s="1109"/>
      <c r="C4" s="1109"/>
      <c r="D4" s="1109"/>
      <c r="E4" s="1109"/>
      <c r="F4" s="1109"/>
      <c r="G4" s="1109"/>
      <c r="H4" s="1109"/>
      <c r="I4" s="1109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10" t="s">
        <v>246</v>
      </c>
      <c r="D6" s="1110"/>
      <c r="E6" s="1111"/>
      <c r="F6" s="1111"/>
      <c r="G6" s="1111"/>
      <c r="H6" s="689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52" customFormat="1" ht="17.25" customHeight="1">
      <c r="A8" s="1112" t="s">
        <v>247</v>
      </c>
      <c r="B8" s="1113" t="s">
        <v>248</v>
      </c>
      <c r="C8" s="1113" t="s">
        <v>249</v>
      </c>
      <c r="D8" s="1113"/>
      <c r="E8" s="1113"/>
      <c r="F8" s="1113"/>
      <c r="G8" s="1113"/>
      <c r="H8" s="1113"/>
      <c r="I8" s="1113"/>
      <c r="J8" s="451"/>
    </row>
    <row r="9" spans="1:11" s="455" customFormat="1" ht="35.25" customHeight="1">
      <c r="A9" s="1112"/>
      <c r="B9" s="1113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0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6"/>
      <c r="G16" s="1106"/>
      <c r="H16" s="1106"/>
      <c r="I16" s="1106"/>
      <c r="J16" s="569"/>
    </row>
    <row r="17" spans="2:10" s="568" customFormat="1" ht="15">
      <c r="B17" s="458" t="s">
        <v>257</v>
      </c>
      <c r="C17" s="569"/>
      <c r="D17" s="569"/>
      <c r="E17" s="1106" t="s">
        <v>12</v>
      </c>
      <c r="F17" s="1106"/>
      <c r="G17" s="1106"/>
      <c r="H17" s="1106"/>
      <c r="I17" s="1106"/>
      <c r="J17" s="569"/>
    </row>
    <row r="19" spans="2:10" ht="15">
      <c r="E19" s="577"/>
      <c r="F19" s="577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3" t="str">
        <f>TH!A1</f>
        <v>Đơn vị: CÔNG TY TNHH SX TM KIM DUNG PHÁT</v>
      </c>
      <c r="L1" s="1124" t="s">
        <v>278</v>
      </c>
      <c r="M1" s="1124"/>
      <c r="N1" s="1124"/>
      <c r="O1" s="1124"/>
    </row>
    <row r="2" spans="1:18" ht="15" customHeight="1">
      <c r="A2" s="490" t="str">
        <f>TH!A2</f>
        <v>Địa chỉ: 1A227/1 Ấp 1, Phạm Văn Hai, Bình Chánh, TPHCM</v>
      </c>
      <c r="L2" s="112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23"/>
      <c r="N2" s="1123"/>
      <c r="O2" s="1123"/>
    </row>
    <row r="3" spans="1:18" ht="15" customHeight="1">
      <c r="L3" s="1123"/>
      <c r="M3" s="1123"/>
      <c r="N3" s="1123"/>
      <c r="O3" s="1123"/>
    </row>
    <row r="5" spans="1:18" s="496" customFormat="1" ht="24" customHeight="1">
      <c r="A5" s="1125" t="s">
        <v>279</v>
      </c>
      <c r="B5" s="1125"/>
      <c r="C5" s="1125"/>
      <c r="D5" s="1125"/>
      <c r="E5" s="1125"/>
      <c r="F5" s="1125"/>
      <c r="G5" s="1125"/>
      <c r="H5" s="1125"/>
      <c r="I5" s="1125"/>
      <c r="J5" s="1125"/>
      <c r="K5" s="1125"/>
      <c r="L5" s="1125"/>
      <c r="M5" s="1125"/>
      <c r="N5" s="1125"/>
      <c r="O5" s="1125"/>
      <c r="P5" s="556"/>
    </row>
    <row r="6" spans="1:18" s="496" customFormat="1" ht="21" customHeight="1">
      <c r="A6" s="1126" t="s">
        <v>376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  <c r="M6" s="1126"/>
      <c r="N6" s="1126"/>
      <c r="O6" s="1126"/>
      <c r="P6" s="556"/>
    </row>
    <row r="7" spans="1:18" s="496" customFormat="1" ht="21" customHeight="1">
      <c r="A7" s="1127" t="s">
        <v>321</v>
      </c>
      <c r="B7" s="1127"/>
      <c r="C7" s="1127"/>
      <c r="D7" s="1127"/>
      <c r="E7" s="1127"/>
      <c r="F7" s="1127"/>
      <c r="G7" s="1127"/>
      <c r="H7" s="1127"/>
      <c r="I7" s="1127"/>
      <c r="J7" s="1127"/>
      <c r="K7" s="1127"/>
      <c r="L7" s="1127"/>
      <c r="M7" s="1127"/>
      <c r="N7" s="1127"/>
      <c r="O7" s="1127"/>
      <c r="P7" s="556"/>
    </row>
    <row r="8" spans="1:18">
      <c r="D8" s="492"/>
    </row>
    <row r="9" spans="1:18" s="497" customFormat="1" ht="24" customHeight="1">
      <c r="A9" s="1114" t="s">
        <v>232</v>
      </c>
      <c r="B9" s="1117" t="s">
        <v>280</v>
      </c>
      <c r="C9" s="1118"/>
      <c r="D9" s="1118"/>
      <c r="E9" s="1118"/>
      <c r="F9" s="1118"/>
      <c r="G9" s="1118"/>
      <c r="H9" s="1119"/>
      <c r="I9" s="1117" t="s">
        <v>281</v>
      </c>
      <c r="J9" s="1118"/>
      <c r="K9" s="1118"/>
      <c r="L9" s="1119"/>
      <c r="M9" s="1120" t="s">
        <v>282</v>
      </c>
      <c r="N9" s="1120"/>
      <c r="O9" s="1120"/>
      <c r="P9" s="557"/>
    </row>
    <row r="10" spans="1:18" s="497" customFormat="1" ht="24" customHeight="1">
      <c r="A10" s="1115"/>
      <c r="B10" s="1117" t="s">
        <v>283</v>
      </c>
      <c r="C10" s="1119"/>
      <c r="D10" s="1114" t="s">
        <v>284</v>
      </c>
      <c r="E10" s="1114" t="s">
        <v>285</v>
      </c>
      <c r="F10" s="1114" t="s">
        <v>286</v>
      </c>
      <c r="G10" s="1114" t="s">
        <v>287</v>
      </c>
      <c r="H10" s="1114" t="s">
        <v>288</v>
      </c>
      <c r="I10" s="1117" t="s">
        <v>289</v>
      </c>
      <c r="J10" s="1119"/>
      <c r="K10" s="1121" t="s">
        <v>290</v>
      </c>
      <c r="L10" s="1114" t="s">
        <v>291</v>
      </c>
      <c r="M10" s="1120" t="s">
        <v>283</v>
      </c>
      <c r="N10" s="1120"/>
      <c r="O10" s="1120" t="s">
        <v>292</v>
      </c>
      <c r="P10" s="557"/>
    </row>
    <row r="11" spans="1:18" s="497" customFormat="1" ht="55.5" customHeight="1">
      <c r="A11" s="1116"/>
      <c r="B11" s="498" t="s">
        <v>293</v>
      </c>
      <c r="C11" s="498" t="s">
        <v>233</v>
      </c>
      <c r="D11" s="1116"/>
      <c r="E11" s="1116"/>
      <c r="F11" s="1116"/>
      <c r="G11" s="1116"/>
      <c r="H11" s="1116"/>
      <c r="I11" s="498" t="s">
        <v>294</v>
      </c>
      <c r="J11" s="498" t="s">
        <v>295</v>
      </c>
      <c r="K11" s="1122"/>
      <c r="L11" s="1116"/>
      <c r="M11" s="498" t="s">
        <v>15</v>
      </c>
      <c r="N11" s="498" t="s">
        <v>233</v>
      </c>
      <c r="O11" s="1120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1941</v>
      </c>
      <c r="E17" s="504" t="s">
        <v>300</v>
      </c>
      <c r="F17" s="878" t="s">
        <v>1942</v>
      </c>
      <c r="G17" s="879" t="s">
        <v>1943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0"/>
      <c r="N17" s="881"/>
      <c r="O17" s="881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1944</v>
      </c>
      <c r="E18" s="504" t="s">
        <v>300</v>
      </c>
      <c r="F18" s="878" t="s">
        <v>1942</v>
      </c>
      <c r="G18" s="879" t="s">
        <v>1945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0"/>
      <c r="N18" s="881"/>
      <c r="O18" s="881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1" t="s">
        <v>19</v>
      </c>
      <c r="N20" s="561" t="s">
        <v>19</v>
      </c>
      <c r="O20" s="561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2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4" t="str">
        <f>TH!A1</f>
        <v>Đơn vị: CÔNG TY TNHH SX TM KIM DUNG PHÁT</v>
      </c>
      <c r="B2" s="533"/>
      <c r="C2" s="533"/>
      <c r="D2" s="533"/>
      <c r="E2" s="494"/>
      <c r="F2" s="1124" t="s">
        <v>304</v>
      </c>
      <c r="G2" s="1124"/>
      <c r="H2" s="1124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23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23"/>
      <c r="H3" s="1123"/>
    </row>
    <row r="4" spans="1:11">
      <c r="A4" s="492"/>
      <c r="B4" s="492"/>
      <c r="C4" s="495"/>
      <c r="D4" s="495"/>
      <c r="E4" s="495"/>
      <c r="F4" s="1123"/>
      <c r="G4" s="1123"/>
      <c r="H4" s="1123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29" t="s">
        <v>305</v>
      </c>
      <c r="B6" s="1129"/>
      <c r="C6" s="1129"/>
      <c r="D6" s="1129"/>
      <c r="E6" s="1129"/>
      <c r="F6" s="1129"/>
      <c r="G6" s="1129"/>
      <c r="H6" s="1129"/>
    </row>
    <row r="7" spans="1:11" ht="17.25" customHeight="1" thickBot="1">
      <c r="A7" s="1128" t="str">
        <f ca="1" xml:space="preserve"> IF(ROWS($1:1)&gt;COUNT(Dong3),"","Số: "&amp;OFFSET('SO-TS'!$G$1,SMALL(Dong3,ROWS($1:1)),))</f>
        <v>Số: SX01/14</v>
      </c>
      <c r="B7" s="1128"/>
      <c r="C7" s="1128"/>
      <c r="D7" s="1128"/>
      <c r="E7" s="1128"/>
      <c r="F7" s="1128"/>
      <c r="G7" s="1128"/>
      <c r="H7" s="1128"/>
      <c r="J7" s="549" t="s">
        <v>322</v>
      </c>
      <c r="K7" s="550" t="s">
        <v>328</v>
      </c>
    </row>
    <row r="8" spans="1:11" ht="17.25" customHeight="1">
      <c r="A8" s="113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30"/>
      <c r="C8" s="1130"/>
      <c r="D8" s="1130"/>
      <c r="E8" s="1130"/>
      <c r="F8" s="1130"/>
      <c r="G8" s="1130"/>
      <c r="H8" s="1130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1941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33" t="s">
        <v>125</v>
      </c>
      <c r="B17" s="1134"/>
      <c r="C17" s="1137" t="s">
        <v>307</v>
      </c>
      <c r="D17" s="1138"/>
      <c r="E17" s="1139"/>
      <c r="F17" s="1140" t="s">
        <v>308</v>
      </c>
      <c r="G17" s="1141"/>
      <c r="H17" s="1142"/>
    </row>
    <row r="18" spans="1:8" s="545" customFormat="1" ht="28.5" customHeight="1">
      <c r="A18" s="1135"/>
      <c r="B18" s="1136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43" t="s">
        <v>2</v>
      </c>
      <c r="B19" s="1144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19">
        <f ca="1">IF(B20&lt;&gt;"",ROW()-19,"")</f>
        <v>1</v>
      </c>
      <c r="B20" s="920" t="str">
        <f ca="1" xml:space="preserve"> IF(ROWS($1:1)&gt;COUNT(Dong3),"",OFFSET('SO-TS'!G$1,SMALL(Dong3,ROWS($1:1)),))</f>
        <v>SX01/14</v>
      </c>
      <c r="C20" s="920" t="str">
        <f ca="1" xml:space="preserve"> IF(ROWS($1:1)&gt;COUNT(Dong3),"",OFFSET('SO-TS'!F$1,SMALL(Dong3,ROWS($1:1)),))</f>
        <v>07/2014</v>
      </c>
      <c r="D20" s="921" t="str">
        <f ca="1" xml:space="preserve"> IF(ROWS($1:1)&gt;COUNT(Dong3),"",OFFSET('SO-TS'!D$1,SMALL(Dong3,ROWS($1:1)),))</f>
        <v>Máy sóng giấy carton đầu 3 lớp</v>
      </c>
      <c r="E20" s="922">
        <f ca="1" xml:space="preserve"> IF(ROWS($1:1)&gt;COUNT(Dong3),"",OFFSET('SO-TS'!H$1,SMALL(Dong3,ROWS($1:1)),))</f>
        <v>500000000</v>
      </c>
      <c r="F20" s="923" t="str">
        <f ca="1" xml:space="preserve"> IF(ROWS($1:1)&gt;COUNT(Dong3),"",RIGHT(OFFSET('SO-TS'!F$1,SMALL(Dong3,ROWS($1:1)),),4))</f>
        <v>2014</v>
      </c>
      <c r="G20" s="924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24">
        <f ca="1">G20</f>
        <v>12500000</v>
      </c>
    </row>
    <row r="21" spans="1:8" ht="17.25" customHeight="1">
      <c r="A21" s="6"/>
      <c r="B21" s="928"/>
      <c r="C21" s="928"/>
      <c r="D21" s="929"/>
      <c r="E21" s="257"/>
      <c r="F21" s="560">
        <f ca="1">IF(OR(F20="",AND((ROW()-19)&gt;OFFSET('SO-TS'!I$1,SMALL(Dong3,ROWS(1:1)),)+1),$E$26-H20&lt;=0),"",IF(VALUE(F20)&gt;=VALUE(YEAR(TH!$C$10)),"",F20+1))</f>
        <v>2015</v>
      </c>
      <c r="G21" s="746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5">
        <f ca="1">IF(G21&lt;&gt;0,H20+G21,0)</f>
        <v>37500000</v>
      </c>
    </row>
    <row r="22" spans="1:8" ht="17.25" customHeight="1">
      <c r="A22" s="6"/>
      <c r="B22" s="928"/>
      <c r="C22" s="928"/>
      <c r="D22" s="929"/>
      <c r="E22" s="257"/>
      <c r="F22" s="560" t="str">
        <f ca="1">IF(OR(F21="",AND((ROW()-19)&gt;OFFSET('SO-TS'!I$1,SMALL(Dong3,ROWS(2:2)),)+1),$E$26-H21&lt;=0),"",IF(VALUE(F21)&gt;=VALUE(YEAR(TH!$C$10)),"",F21+1))</f>
        <v/>
      </c>
      <c r="G22" s="746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5">
        <f t="shared" ref="H22:H24" ca="1" si="0">IF(G22&lt;&gt;0,H21+G22,0)</f>
        <v>0</v>
      </c>
    </row>
    <row r="23" spans="1:8" ht="17.25" customHeight="1">
      <c r="A23" s="6"/>
      <c r="B23" s="928"/>
      <c r="C23" s="928"/>
      <c r="D23" s="929"/>
      <c r="E23" s="257"/>
      <c r="F23" s="560" t="str">
        <f ca="1">IF(OR(F22="",AND((ROW()-19)&gt;OFFSET('SO-TS'!I$1,SMALL(Dong3,ROWS(3:3)),)+1),$E$26-H22&lt;=0),"",IF(VALUE(F22)&gt;=VALUE(YEAR(TH!$C$10)),"",F22+1))</f>
        <v/>
      </c>
      <c r="G23" s="746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5">
        <f t="shared" ca="1" si="0"/>
        <v>0</v>
      </c>
    </row>
    <row r="24" spans="1:8" ht="17.25" customHeight="1">
      <c r="A24" s="6"/>
      <c r="B24" s="928"/>
      <c r="C24" s="928"/>
      <c r="D24" s="929"/>
      <c r="E24" s="257"/>
      <c r="F24" s="560" t="str">
        <f ca="1">IF(OR(F23="",AND((ROW()-19)&gt;OFFSET('SO-TS'!I$1,SMALL(Dong3,ROWS(4:4)),)+1),$E$26-H23&lt;=0),"",IF(VALUE(F23)&gt;=VALUE(YEAR(TH!$C$10)),"",F23+1))</f>
        <v/>
      </c>
      <c r="G24" s="746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5">
        <f t="shared" ca="1" si="0"/>
        <v>0</v>
      </c>
    </row>
    <row r="25" spans="1:8" ht="17.25" customHeight="1">
      <c r="A25" s="930" t="str">
        <f t="shared" ref="A25" si="1">IF(B25&lt;&gt;"",ROW()-19,"")</f>
        <v/>
      </c>
      <c r="B25" s="925"/>
      <c r="C25" s="926"/>
      <c r="D25" s="926"/>
      <c r="E25" s="927"/>
      <c r="F25" s="931"/>
      <c r="G25" s="927"/>
      <c r="H25" s="927"/>
    </row>
    <row r="26" spans="1:8" ht="17.25" customHeight="1">
      <c r="A26" s="505"/>
      <c r="B26" s="505" t="s">
        <v>314</v>
      </c>
      <c r="C26" s="535"/>
      <c r="D26" s="535"/>
      <c r="E26" s="561">
        <f ca="1">SUM(E20:E25)</f>
        <v>500000000</v>
      </c>
      <c r="F26" s="535"/>
      <c r="G26" s="561">
        <f ca="1">SUM(G20:G25)</f>
        <v>37500000</v>
      </c>
      <c r="H26" s="561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45" t="s">
        <v>315</v>
      </c>
      <c r="B29" s="1145"/>
      <c r="C29" s="1145"/>
      <c r="D29" s="1145"/>
      <c r="E29" s="1145"/>
      <c r="F29" s="1145"/>
      <c r="G29" s="1145"/>
      <c r="H29" s="1145"/>
    </row>
    <row r="30" spans="1:8" ht="27" customHeight="1">
      <c r="A30" s="505" t="s">
        <v>35</v>
      </c>
      <c r="B30" s="1117" t="s">
        <v>316</v>
      </c>
      <c r="C30" s="1119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46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46"/>
      <c r="C38" s="1146"/>
      <c r="D38" s="1146"/>
      <c r="E38" s="1146"/>
      <c r="F38" s="1146"/>
      <c r="G38" s="1146"/>
      <c r="H38" s="1146"/>
    </row>
    <row r="39" spans="1:8">
      <c r="A39" s="1146" t="str">
        <f ca="1" xml:space="preserve"> IF(ROWS($1:1)&gt;COUNT(Dong3),"","Lý do giảm:   "&amp;OFFSET('SO-TS'!$O$1,SMALL(Dong3,ROWS($1:1)),))</f>
        <v xml:space="preserve">Lý do giảm:   </v>
      </c>
      <c r="B39" s="1146"/>
      <c r="C39" s="1146"/>
      <c r="D39" s="1146"/>
      <c r="E39" s="1146"/>
      <c r="F39" s="1146"/>
      <c r="G39" s="1146"/>
      <c r="H39" s="1146"/>
    </row>
    <row r="40" spans="1:8">
      <c r="A40" s="515"/>
      <c r="B40" s="515"/>
      <c r="C40" s="510"/>
      <c r="D40" s="510"/>
      <c r="E40" s="1132" t="s">
        <v>369</v>
      </c>
      <c r="F40" s="1132"/>
      <c r="G40" s="1132"/>
      <c r="H40" s="1132"/>
    </row>
    <row r="41" spans="1:8">
      <c r="A41" s="1128" t="s">
        <v>319</v>
      </c>
      <c r="B41" s="1128"/>
      <c r="C41" s="1128" t="s">
        <v>12</v>
      </c>
      <c r="D41" s="1128"/>
      <c r="E41" s="1124" t="s">
        <v>109</v>
      </c>
      <c r="F41" s="1124"/>
      <c r="G41" s="1124"/>
      <c r="H41" s="1124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31" t="s">
        <v>151</v>
      </c>
      <c r="B49" s="1131"/>
      <c r="C49" s="510"/>
      <c r="D49" s="510"/>
      <c r="E49" s="1132" t="s">
        <v>103</v>
      </c>
      <c r="F49" s="1132"/>
      <c r="G49" s="1132"/>
      <c r="H49" s="1132"/>
    </row>
  </sheetData>
  <dataConsolidate/>
  <mergeCells count="19"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  <mergeCell ref="F3:H4"/>
    <mergeCell ref="F2:H2"/>
    <mergeCell ref="A41:B41"/>
    <mergeCell ref="C41:D41"/>
    <mergeCell ref="E41:H41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2017-01-11T04:58:35Z</cp:lastPrinted>
  <dcterms:created xsi:type="dcterms:W3CDTF">1996-10-14T23:33:28Z</dcterms:created>
  <dcterms:modified xsi:type="dcterms:W3CDTF">2017-03-09T07:40:50Z</dcterms:modified>
</cp:coreProperties>
</file>